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50" yWindow="15" windowWidth="14895" windowHeight="13020"/>
  </bookViews>
  <sheets>
    <sheet name="RATES" sheetId="1" r:id="rId1"/>
    <sheet name="FIT" sheetId="17" r:id="rId2"/>
    <sheet name="RESTATE" sheetId="3" r:id="rId3"/>
    <sheet name="13-PT AVERAGE" sheetId="25" r:id="rId4"/>
    <sheet name="PROFORMA" sheetId="2" r:id="rId5"/>
    <sheet name="RETURN" sheetId="4" r:id="rId6"/>
    <sheet name="PA-1 SALARY2016" sheetId="18" r:id="rId7"/>
    <sheet name="PA-2 MEDICAL INCREASE" sheetId="6" r:id="rId8"/>
    <sheet name="PA-3 DENTAL INCREASE" sheetId="12" r:id="rId9"/>
    <sheet name="PA-4 NEW EMPLOYEES" sheetId="20" r:id="rId10"/>
    <sheet name="PA-5 PROPERTY TAX INCREASE" sheetId="21" r:id="rId11"/>
    <sheet name="PA-6 RATE CASE COSTS" sheetId="22" r:id="rId12"/>
    <sheet name="PA-7 DOH OP PERMIT FEE INCREASE" sheetId="23" r:id="rId13"/>
    <sheet name="PA-8 UCMR3 WATER TESTING" sheetId="24" r:id="rId14"/>
  </sheets>
  <definedNames>
    <definedName name="_PG1">RATES!$A$8</definedName>
    <definedName name="_PG3">RATES!$A$112:$J$161</definedName>
    <definedName name="_PG4">RATES!$A$163:$F$212</definedName>
    <definedName name="_PGE2">RATES!$A$54:$K$110</definedName>
    <definedName name="_Regression_Int" localSheetId="0" hidden="1">1</definedName>
    <definedName name="_xlnm.Print_Area" localSheetId="6">'PA-1 SALARY2016'!$A$1:$AB$231</definedName>
    <definedName name="_xlnm.Print_Area" localSheetId="7">'PA-2 MEDICAL INCREASE'!$A$1:$I$53</definedName>
    <definedName name="_xlnm.Print_Area" localSheetId="9">'PA-4 NEW EMPLOYEES'!#REF!</definedName>
    <definedName name="_xlnm.Print_Area" localSheetId="0">RATES!$A$55:$K$110</definedName>
    <definedName name="_xlnm.Print_Area" localSheetId="2">RESTATE!$A$1:$I$56</definedName>
    <definedName name="_xlnm.Print_Area" localSheetId="5">RETURN!$A$1:$I$42</definedName>
    <definedName name="Print_Area_MI">RATES!$A$55:$K$110</definedName>
  </definedNames>
  <calcPr calcId="145621"/>
</workbook>
</file>

<file path=xl/calcChain.xml><?xml version="1.0" encoding="utf-8"?>
<calcChain xmlns="http://schemas.openxmlformats.org/spreadsheetml/2006/main">
  <c r="G12" i="22" l="1"/>
  <c r="H14" i="22" s="1"/>
  <c r="H16" i="22" s="1"/>
  <c r="G7" i="22"/>
  <c r="G6" i="22"/>
  <c r="D90" i="1"/>
  <c r="D72" i="1"/>
  <c r="E19" i="3"/>
  <c r="E38" i="3" s="1"/>
  <c r="D67" i="1"/>
  <c r="H72" i="21" l="1"/>
  <c r="J72" i="21"/>
  <c r="E26" i="25"/>
  <c r="C17" i="1"/>
  <c r="C72" i="1" s="1"/>
  <c r="C32" i="1"/>
  <c r="C87" i="1" s="1"/>
  <c r="C44" i="1"/>
  <c r="C41" i="1"/>
  <c r="C96" i="1" s="1"/>
  <c r="D98" i="1"/>
  <c r="C99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8" i="1"/>
  <c r="C89" i="1"/>
  <c r="C90" i="1"/>
  <c r="C16" i="1" l="1"/>
  <c r="C18" i="1" l="1"/>
  <c r="G24" i="6" l="1"/>
  <c r="H24" i="6" s="1"/>
  <c r="H44" i="6"/>
  <c r="H42" i="6"/>
  <c r="G44" i="6"/>
  <c r="G43" i="6"/>
  <c r="H43" i="6" s="1"/>
  <c r="G42" i="6" l="1"/>
  <c r="G35" i="6"/>
  <c r="H35" i="6" s="1"/>
  <c r="C26" i="25"/>
  <c r="D105" i="1"/>
  <c r="D104" i="18"/>
  <c r="B183" i="18" l="1"/>
  <c r="B192" i="18"/>
  <c r="B193" i="18"/>
  <c r="B198" i="18"/>
  <c r="B175" i="18"/>
  <c r="B16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D125" i="18" s="1"/>
  <c r="B196" i="18" s="1"/>
  <c r="A126" i="18"/>
  <c r="B126" i="18"/>
  <c r="D126" i="18" s="1"/>
  <c r="J126" i="18" s="1"/>
  <c r="L126" i="18" s="1"/>
  <c r="A127" i="18"/>
  <c r="B127" i="18"/>
  <c r="D127" i="18" s="1"/>
  <c r="J127" i="18" s="1"/>
  <c r="L127" i="18" s="1"/>
  <c r="A104" i="18"/>
  <c r="B104" i="18"/>
  <c r="J104" i="18" s="1"/>
  <c r="L104" i="18" s="1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B197" i="18" l="1"/>
  <c r="B57" i="18"/>
  <c r="E28" i="4"/>
  <c r="F17" i="4" s="1"/>
  <c r="H17" i="4" s="1"/>
  <c r="F16" i="4" l="1"/>
  <c r="E24" i="25" l="1"/>
  <c r="I72" i="21"/>
  <c r="G44" i="12" l="1"/>
  <c r="G40" i="12"/>
  <c r="G36" i="12"/>
  <c r="G25" i="12"/>
  <c r="F20" i="12"/>
  <c r="F49" i="12"/>
  <c r="G49" i="12" s="1"/>
  <c r="G13" i="6"/>
  <c r="D83" i="18" l="1"/>
  <c r="B154" i="18" s="1"/>
  <c r="D84" i="18"/>
  <c r="B155" i="18" s="1"/>
  <c r="D86" i="18"/>
  <c r="B157" i="18" s="1"/>
  <c r="D87" i="18"/>
  <c r="B158" i="18" s="1"/>
  <c r="D88" i="18"/>
  <c r="B159" i="18" s="1"/>
  <c r="D89" i="18"/>
  <c r="B160" i="18" s="1"/>
  <c r="D91" i="18"/>
  <c r="B162" i="18" s="1"/>
  <c r="D92" i="18"/>
  <c r="B163" i="18" s="1"/>
  <c r="D93" i="18"/>
  <c r="D94" i="18"/>
  <c r="B165" i="18" s="1"/>
  <c r="D95" i="18"/>
  <c r="B166" i="18" s="1"/>
  <c r="D96" i="18"/>
  <c r="B167" i="18" s="1"/>
  <c r="D98" i="18"/>
  <c r="B169" i="18" s="1"/>
  <c r="D99" i="18"/>
  <c r="B170" i="18" s="1"/>
  <c r="D100" i="18"/>
  <c r="B171" i="18" s="1"/>
  <c r="D101" i="18"/>
  <c r="B172" i="18" s="1"/>
  <c r="D102" i="18"/>
  <c r="B173" i="18" s="1"/>
  <c r="D106" i="18"/>
  <c r="B177" i="18" s="1"/>
  <c r="D107" i="18"/>
  <c r="B178" i="18" s="1"/>
  <c r="D108" i="18"/>
  <c r="B179" i="18" s="1"/>
  <c r="D109" i="18"/>
  <c r="B180" i="18" s="1"/>
  <c r="D110" i="18"/>
  <c r="B181" i="18" s="1"/>
  <c r="D111" i="18"/>
  <c r="B182" i="18" s="1"/>
  <c r="D112" i="18"/>
  <c r="D113" i="18"/>
  <c r="B184" i="18" s="1"/>
  <c r="D114" i="18"/>
  <c r="B185" i="18" s="1"/>
  <c r="D115" i="18"/>
  <c r="B186" i="18" s="1"/>
  <c r="D116" i="18"/>
  <c r="B187" i="18" s="1"/>
  <c r="D117" i="18"/>
  <c r="B188" i="18" s="1"/>
  <c r="D118" i="18"/>
  <c r="B189" i="18" s="1"/>
  <c r="D119" i="18"/>
  <c r="B190" i="18" s="1"/>
  <c r="D120" i="18"/>
  <c r="B191" i="18" s="1"/>
  <c r="D121" i="18"/>
  <c r="D122" i="18"/>
  <c r="D123" i="18"/>
  <c r="B194" i="18" s="1"/>
  <c r="D124" i="18"/>
  <c r="B195" i="18" s="1"/>
  <c r="D105" i="18"/>
  <c r="B176" i="18" s="1"/>
  <c r="J93" i="18" l="1"/>
  <c r="L93" i="18" s="1"/>
  <c r="J92" i="18"/>
  <c r="L92" i="18" s="1"/>
  <c r="J116" i="18"/>
  <c r="L116" i="18" s="1"/>
  <c r="J115" i="18"/>
  <c r="L115" i="18" s="1"/>
  <c r="J114" i="18"/>
  <c r="L114" i="18" s="1"/>
  <c r="J113" i="18"/>
  <c r="L113" i="18" s="1"/>
  <c r="J112" i="18"/>
  <c r="L112" i="18" s="1"/>
  <c r="B66" i="18"/>
  <c r="B69" i="18" s="1"/>
  <c r="C85" i="1"/>
  <c r="F46" i="12" l="1"/>
  <c r="G46" i="12" s="1"/>
  <c r="F45" i="12"/>
  <c r="G45" i="12" s="1"/>
  <c r="F24" i="12"/>
  <c r="G24" i="12" s="1"/>
  <c r="F11" i="25"/>
  <c r="F12" i="25"/>
  <c r="F13" i="25"/>
  <c r="F14" i="25"/>
  <c r="F15" i="25"/>
  <c r="F16" i="25"/>
  <c r="F17" i="25"/>
  <c r="F18" i="25"/>
  <c r="F19" i="25"/>
  <c r="F20" i="25"/>
  <c r="F21" i="25"/>
  <c r="F9" i="25"/>
  <c r="F10" i="25"/>
  <c r="E22" i="25" l="1"/>
  <c r="C22" i="25"/>
  <c r="C24" i="25"/>
  <c r="D103" i="1" l="1"/>
  <c r="F24" i="25"/>
  <c r="F22" i="25"/>
  <c r="A82" i="18"/>
  <c r="J102" i="18" l="1"/>
  <c r="L102" i="18" s="1"/>
  <c r="F26" i="25"/>
  <c r="E9" i="23"/>
  <c r="J20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I14" i="2"/>
  <c r="F8" i="24"/>
  <c r="I21" i="2" s="1"/>
  <c r="J21" i="2" s="1"/>
  <c r="H14" i="2"/>
  <c r="H22" i="2" l="1"/>
  <c r="J22" i="2" s="1"/>
  <c r="I39" i="2"/>
  <c r="I41" i="2" s="1"/>
  <c r="I42" i="2" l="1"/>
  <c r="I43" i="2" s="1"/>
  <c r="H39" i="2" l="1"/>
  <c r="G14" i="2"/>
  <c r="G92" i="1" l="1"/>
  <c r="G37" i="2"/>
  <c r="H41" i="2"/>
  <c r="I73" i="21" l="1"/>
  <c r="I75" i="21"/>
  <c r="F36" i="2" s="1"/>
  <c r="G39" i="2"/>
  <c r="J37" i="2"/>
  <c r="H42" i="2"/>
  <c r="F47" i="12"/>
  <c r="G47" i="12" s="1"/>
  <c r="F32" i="12"/>
  <c r="G32" i="12" s="1"/>
  <c r="F28" i="12"/>
  <c r="G28" i="12" s="1"/>
  <c r="G31" i="6"/>
  <c r="H31" i="6" s="1"/>
  <c r="G27" i="6"/>
  <c r="H27" i="6" s="1"/>
  <c r="G41" i="2" l="1"/>
  <c r="H43" i="2"/>
  <c r="B138" i="18"/>
  <c r="D138" i="18" s="1"/>
  <c r="B133" i="18"/>
  <c r="D133" i="18" s="1"/>
  <c r="B134" i="18"/>
  <c r="D134" i="18" s="1"/>
  <c r="B135" i="18"/>
  <c r="B136" i="18"/>
  <c r="D136" i="18" s="1"/>
  <c r="G42" i="2" l="1"/>
  <c r="J96" i="18"/>
  <c r="L96" i="18" s="1"/>
  <c r="G64" i="1"/>
  <c r="G63" i="1"/>
  <c r="D63" i="1"/>
  <c r="G43" i="2" l="1"/>
  <c r="G14" i="6"/>
  <c r="G16" i="6"/>
  <c r="G17" i="6"/>
  <c r="G18" i="6"/>
  <c r="G19" i="6"/>
  <c r="G21" i="6"/>
  <c r="G22" i="6"/>
  <c r="G23" i="6"/>
  <c r="G25" i="6"/>
  <c r="G26" i="6"/>
  <c r="G28" i="6"/>
  <c r="G29" i="6"/>
  <c r="G32" i="6"/>
  <c r="G33" i="6"/>
  <c r="G34" i="6"/>
  <c r="G36" i="6"/>
  <c r="G37" i="6"/>
  <c r="G38" i="6"/>
  <c r="G39" i="6"/>
  <c r="G40" i="6"/>
  <c r="G41" i="6"/>
  <c r="G45" i="6"/>
  <c r="G46" i="6"/>
  <c r="G47" i="6"/>
  <c r="G48" i="6"/>
  <c r="E15" i="3" l="1"/>
  <c r="F15" i="3"/>
  <c r="F38" i="3" s="1"/>
  <c r="C15" i="3"/>
  <c r="G68" i="1"/>
  <c r="F67" i="1"/>
  <c r="G103" i="1"/>
  <c r="I67" i="1" l="1"/>
  <c r="K67" i="1" s="1"/>
  <c r="B208" i="18" l="1"/>
  <c r="B204" i="18"/>
  <c r="B205" i="18"/>
  <c r="B225" i="18" s="1"/>
  <c r="B206" i="18"/>
  <c r="B203" i="18" l="1"/>
  <c r="J134" i="18"/>
  <c r="L134" i="18" s="1"/>
  <c r="J91" i="18"/>
  <c r="J89" i="18"/>
  <c r="L89" i="18" s="1"/>
  <c r="J124" i="18"/>
  <c r="L124" i="18" s="1"/>
  <c r="F48" i="12"/>
  <c r="G48" i="12" s="1"/>
  <c r="F14" i="12"/>
  <c r="F15" i="12"/>
  <c r="F16" i="12"/>
  <c r="F17" i="12"/>
  <c r="F18" i="12"/>
  <c r="F19" i="12"/>
  <c r="F21" i="12"/>
  <c r="F22" i="12"/>
  <c r="F23" i="12"/>
  <c r="F26" i="12"/>
  <c r="F27" i="12"/>
  <c r="F29" i="12"/>
  <c r="F30" i="12"/>
  <c r="F33" i="12"/>
  <c r="F34" i="12"/>
  <c r="F35" i="12"/>
  <c r="F37" i="12"/>
  <c r="F38" i="12"/>
  <c r="F39" i="12"/>
  <c r="F41" i="12"/>
  <c r="F42" i="12"/>
  <c r="F43" i="12"/>
  <c r="F13" i="12"/>
  <c r="H47" i="6"/>
  <c r="H41" i="6"/>
  <c r="H18" i="6"/>
  <c r="C71" i="1" l="1"/>
  <c r="G41" i="12"/>
  <c r="G39" i="12"/>
  <c r="G38" i="12"/>
  <c r="G37" i="12"/>
  <c r="G35" i="12"/>
  <c r="G34" i="12"/>
  <c r="G33" i="12"/>
  <c r="H45" i="6"/>
  <c r="H46" i="6"/>
  <c r="H48" i="6"/>
  <c r="H238" i="18" l="1"/>
  <c r="J238" i="18" s="1"/>
  <c r="H237" i="18"/>
  <c r="J237" i="18" s="1"/>
  <c r="D227" i="18"/>
  <c r="H219" i="18"/>
  <c r="H223" i="18" s="1"/>
  <c r="H217" i="18"/>
  <c r="D212" i="18"/>
  <c r="D219" i="18" s="1"/>
  <c r="H146" i="18"/>
  <c r="B137" i="18"/>
  <c r="D137" i="18" s="1"/>
  <c r="B82" i="18"/>
  <c r="B131" i="18" s="1"/>
  <c r="R69" i="18"/>
  <c r="N69" i="18"/>
  <c r="J69" i="18"/>
  <c r="H69" i="18"/>
  <c r="D69" i="18"/>
  <c r="AB24" i="18"/>
  <c r="AB69" i="18" s="1"/>
  <c r="AB70" i="18" s="1"/>
  <c r="Z24" i="18"/>
  <c r="Z69" i="18" s="1"/>
  <c r="Z70" i="18" s="1"/>
  <c r="X24" i="18"/>
  <c r="X69" i="18" s="1"/>
  <c r="X70" i="18" s="1"/>
  <c r="V24" i="18"/>
  <c r="V69" i="18" s="1"/>
  <c r="V70" i="18" s="1"/>
  <c r="T24" i="18"/>
  <c r="T69" i="18" s="1"/>
  <c r="T70" i="18" s="1"/>
  <c r="P24" i="18"/>
  <c r="P69" i="18" s="1"/>
  <c r="P70" i="18" s="1"/>
  <c r="L24" i="18"/>
  <c r="L69" i="18" s="1"/>
  <c r="L70" i="18" s="1"/>
  <c r="F24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F69" i="18" l="1"/>
  <c r="F70" i="18" s="1"/>
  <c r="AD24" i="18"/>
  <c r="AE26" i="18" s="1"/>
  <c r="D82" i="18"/>
  <c r="B207" i="18"/>
  <c r="B140" i="18"/>
  <c r="F227" i="18"/>
  <c r="AE21" i="18"/>
  <c r="J70" i="18"/>
  <c r="R70" i="18"/>
  <c r="B71" i="18"/>
  <c r="D223" i="18"/>
  <c r="D225" i="18"/>
  <c r="H70" i="18"/>
  <c r="N70" i="18"/>
  <c r="J239" i="18"/>
  <c r="B229" i="18" s="1"/>
  <c r="H225" i="18"/>
  <c r="AE24" i="18" l="1"/>
  <c r="C38" i="1"/>
  <c r="J137" i="18"/>
  <c r="L137" i="18" s="1"/>
  <c r="D140" i="18"/>
  <c r="B210" i="18"/>
  <c r="C18" i="2" s="1"/>
  <c r="N229" i="18"/>
  <c r="R229" i="18"/>
  <c r="F229" i="18"/>
  <c r="AB229" i="18"/>
  <c r="X229" i="18"/>
  <c r="T229" i="18"/>
  <c r="L229" i="18"/>
  <c r="Z229" i="18"/>
  <c r="V229" i="18"/>
  <c r="P229" i="18"/>
  <c r="D231" i="18"/>
  <c r="J229" i="18"/>
  <c r="AC69" i="18"/>
  <c r="H229" i="18"/>
  <c r="AC70" i="18"/>
  <c r="AE70" i="18" s="1"/>
  <c r="J18" i="2" l="1"/>
  <c r="G72" i="1"/>
  <c r="AC229" i="18"/>
  <c r="AD229" i="18" s="1"/>
  <c r="H231" i="18"/>
  <c r="E49" i="2" l="1"/>
  <c r="J49" i="2" s="1"/>
  <c r="G26" i="12"/>
  <c r="G14" i="12"/>
  <c r="H36" i="6"/>
  <c r="H28" i="6"/>
  <c r="H23" i="6"/>
  <c r="H14" i="6"/>
  <c r="C93" i="1"/>
  <c r="H40" i="6"/>
  <c r="H39" i="6"/>
  <c r="H13" i="6"/>
  <c r="C51" i="1"/>
  <c r="C103" i="1"/>
  <c r="F103" i="1" s="1"/>
  <c r="D104" i="1"/>
  <c r="C105" i="1"/>
  <c r="F105" i="1" s="1"/>
  <c r="C104" i="1"/>
  <c r="C13" i="1"/>
  <c r="D12" i="17"/>
  <c r="H16" i="6"/>
  <c r="H20" i="6" s="1"/>
  <c r="H17" i="6"/>
  <c r="H19" i="6"/>
  <c r="H21" i="6"/>
  <c r="H22" i="6"/>
  <c r="H25" i="6"/>
  <c r="H26" i="6"/>
  <c r="H29" i="6"/>
  <c r="H32" i="6"/>
  <c r="H33" i="6"/>
  <c r="H34" i="6"/>
  <c r="H37" i="6"/>
  <c r="H38" i="6"/>
  <c r="G13" i="12"/>
  <c r="G15" i="12"/>
  <c r="G16" i="12"/>
  <c r="G17" i="12"/>
  <c r="G18" i="12"/>
  <c r="G19" i="12"/>
  <c r="G21" i="12"/>
  <c r="G22" i="12"/>
  <c r="G23" i="12"/>
  <c r="G27" i="12"/>
  <c r="G29" i="12"/>
  <c r="G30" i="12"/>
  <c r="G42" i="12"/>
  <c r="G43" i="12"/>
  <c r="E14" i="2"/>
  <c r="F99" i="1"/>
  <c r="I99" i="1" s="1"/>
  <c r="K99" i="1" s="1"/>
  <c r="D9" i="17" s="1"/>
  <c r="C33" i="3"/>
  <c r="C36" i="3"/>
  <c r="B11" i="4"/>
  <c r="B13" i="4" s="1"/>
  <c r="B15" i="4" s="1"/>
  <c r="B30" i="4" s="1"/>
  <c r="C14" i="2"/>
  <c r="F14" i="2"/>
  <c r="F39" i="2"/>
  <c r="D14" i="2"/>
  <c r="J10" i="2"/>
  <c r="J11" i="2"/>
  <c r="J12" i="2"/>
  <c r="J13" i="2"/>
  <c r="J14" i="2"/>
  <c r="J9" i="2"/>
  <c r="C66" i="1"/>
  <c r="F66" i="1" s="1"/>
  <c r="I66" i="1" s="1"/>
  <c r="K66" i="1" s="1"/>
  <c r="F88" i="1"/>
  <c r="I88" i="1" s="1"/>
  <c r="K88" i="1" s="1"/>
  <c r="D13" i="1"/>
  <c r="D38" i="1"/>
  <c r="G13" i="1"/>
  <c r="G38" i="1"/>
  <c r="J13" i="1"/>
  <c r="J38" i="1"/>
  <c r="F44" i="1"/>
  <c r="I44" i="1" s="1"/>
  <c r="K44" i="1" s="1"/>
  <c r="F85" i="1"/>
  <c r="I85" i="1" s="1"/>
  <c r="K85" i="1" s="1"/>
  <c r="F84" i="1"/>
  <c r="I84" i="1" s="1"/>
  <c r="K84" i="1" s="1"/>
  <c r="F76" i="1"/>
  <c r="I76" i="1" s="1"/>
  <c r="K76" i="1" s="1"/>
  <c r="F73" i="1"/>
  <c r="C63" i="1"/>
  <c r="C64" i="1"/>
  <c r="F64" i="1" s="1"/>
  <c r="C65" i="1"/>
  <c r="F12" i="1"/>
  <c r="I12" i="1" s="1"/>
  <c r="K12" i="1" s="1"/>
  <c r="F9" i="1"/>
  <c r="I9" i="1" s="1"/>
  <c r="K9" i="1" s="1"/>
  <c r="F10" i="1"/>
  <c r="I10" i="1" s="1"/>
  <c r="K10" i="1" s="1"/>
  <c r="F11" i="1"/>
  <c r="I11" i="1" s="1"/>
  <c r="K11" i="1" s="1"/>
  <c r="F16" i="1"/>
  <c r="I16" i="1" s="1"/>
  <c r="K16" i="1" s="1"/>
  <c r="F17" i="1"/>
  <c r="I17" i="1" s="1"/>
  <c r="K17" i="1" s="1"/>
  <c r="F18" i="1"/>
  <c r="I18" i="1" s="1"/>
  <c r="K18" i="1" s="1"/>
  <c r="F19" i="1"/>
  <c r="I19" i="1" s="1"/>
  <c r="K19" i="1" s="1"/>
  <c r="F20" i="1"/>
  <c r="I20" i="1" s="1"/>
  <c r="K20" i="1" s="1"/>
  <c r="F21" i="1"/>
  <c r="I21" i="1" s="1"/>
  <c r="K21" i="1" s="1"/>
  <c r="F22" i="1"/>
  <c r="I22" i="1" s="1"/>
  <c r="K22" i="1" s="1"/>
  <c r="F23" i="1"/>
  <c r="I23" i="1" s="1"/>
  <c r="K23" i="1" s="1"/>
  <c r="F24" i="1"/>
  <c r="I24" i="1" s="1"/>
  <c r="K24" i="1" s="1"/>
  <c r="F25" i="1"/>
  <c r="I25" i="1" s="1"/>
  <c r="K25" i="1" s="1"/>
  <c r="F26" i="1"/>
  <c r="I26" i="1" s="1"/>
  <c r="K26" i="1" s="1"/>
  <c r="F27" i="1"/>
  <c r="I27" i="1" s="1"/>
  <c r="K27" i="1" s="1"/>
  <c r="F28" i="1"/>
  <c r="I28" i="1" s="1"/>
  <c r="K28" i="1" s="1"/>
  <c r="F29" i="1"/>
  <c r="I29" i="1" s="1"/>
  <c r="K29" i="1" s="1"/>
  <c r="F30" i="1"/>
  <c r="I30" i="1" s="1"/>
  <c r="K30" i="1" s="1"/>
  <c r="F31" i="1"/>
  <c r="I31" i="1" s="1"/>
  <c r="K31" i="1" s="1"/>
  <c r="F32" i="1"/>
  <c r="I32" i="1" s="1"/>
  <c r="K32" i="1" s="1"/>
  <c r="F33" i="1"/>
  <c r="I33" i="1" s="1"/>
  <c r="K33" i="1" s="1"/>
  <c r="F34" i="1"/>
  <c r="I34" i="1" s="1"/>
  <c r="K34" i="1" s="1"/>
  <c r="F35" i="1"/>
  <c r="I35" i="1" s="1"/>
  <c r="K35" i="1" s="1"/>
  <c r="F78" i="1"/>
  <c r="I78" i="1" s="1"/>
  <c r="K78" i="1" s="1"/>
  <c r="F79" i="1"/>
  <c r="I79" i="1" s="1"/>
  <c r="K79" i="1" s="1"/>
  <c r="F80" i="1"/>
  <c r="I80" i="1" s="1"/>
  <c r="K80" i="1" s="1"/>
  <c r="F81" i="1"/>
  <c r="I81" i="1" s="1"/>
  <c r="K81" i="1" s="1"/>
  <c r="F82" i="1"/>
  <c r="I82" i="1" s="1"/>
  <c r="K82" i="1" s="1"/>
  <c r="F83" i="1"/>
  <c r="I83" i="1" s="1"/>
  <c r="K83" i="1" s="1"/>
  <c r="F87" i="1"/>
  <c r="I87" i="1" s="1"/>
  <c r="K87" i="1" s="1"/>
  <c r="C61" i="1"/>
  <c r="K36" i="1"/>
  <c r="K37" i="1"/>
  <c r="F48" i="1"/>
  <c r="I48" i="1" s="1"/>
  <c r="K48" i="1" s="1"/>
  <c r="F49" i="1"/>
  <c r="I49" i="1" s="1"/>
  <c r="K49" i="1" s="1"/>
  <c r="F50" i="1"/>
  <c r="I50" i="1" s="1"/>
  <c r="K50" i="1" s="1"/>
  <c r="D51" i="1"/>
  <c r="G51" i="1"/>
  <c r="J51" i="1"/>
  <c r="F71" i="1"/>
  <c r="F72" i="1"/>
  <c r="F74" i="1"/>
  <c r="I74" i="1" s="1"/>
  <c r="K74" i="1" s="1"/>
  <c r="F75" i="1"/>
  <c r="I75" i="1" s="1"/>
  <c r="K75" i="1" s="1"/>
  <c r="F77" i="1"/>
  <c r="I77" i="1" s="1"/>
  <c r="K77" i="1" s="1"/>
  <c r="J108" i="1"/>
  <c r="F89" i="1"/>
  <c r="I89" i="1" s="1"/>
  <c r="F41" i="3"/>
  <c r="E41" i="3"/>
  <c r="I3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9" i="3"/>
  <c r="I10" i="3"/>
  <c r="I11" i="3"/>
  <c r="I13" i="3"/>
  <c r="H40" i="4"/>
  <c r="F12" i="4" l="1"/>
  <c r="H12" i="4" s="1"/>
  <c r="H16" i="4"/>
  <c r="F15" i="4"/>
  <c r="H15" i="4" s="1"/>
  <c r="C40" i="1"/>
  <c r="D6" i="17" s="1"/>
  <c r="G40" i="1"/>
  <c r="G41" i="1" s="1"/>
  <c r="G42" i="1" s="1"/>
  <c r="G45" i="1" s="1"/>
  <c r="F41" i="2"/>
  <c r="F42" i="2" s="1"/>
  <c r="C108" i="1"/>
  <c r="H51" i="6"/>
  <c r="E43" i="3"/>
  <c r="F92" i="1" s="1"/>
  <c r="D40" i="1"/>
  <c r="D41" i="1" s="1"/>
  <c r="F41" i="1" s="1"/>
  <c r="F104" i="1"/>
  <c r="I104" i="1" s="1"/>
  <c r="K104" i="1" s="1"/>
  <c r="C68" i="1"/>
  <c r="F43" i="3"/>
  <c r="F44" i="3" s="1"/>
  <c r="F45" i="3" s="1"/>
  <c r="J40" i="1"/>
  <c r="J41" i="1" s="1"/>
  <c r="J42" i="1" s="1"/>
  <c r="J45" i="1" s="1"/>
  <c r="F13" i="4"/>
  <c r="H13" i="4" s="1"/>
  <c r="E31" i="4"/>
  <c r="F11" i="4"/>
  <c r="H11" i="4" s="1"/>
  <c r="F14" i="4"/>
  <c r="H14" i="4" s="1"/>
  <c r="G51" i="12"/>
  <c r="G53" i="12" s="1"/>
  <c r="F38" i="1"/>
  <c r="I38" i="1" s="1"/>
  <c r="F13" i="1"/>
  <c r="I13" i="1" s="1"/>
  <c r="K13" i="1" s="1"/>
  <c r="I64" i="1"/>
  <c r="D42" i="1"/>
  <c r="I51" i="1"/>
  <c r="K51" i="1" s="1"/>
  <c r="F51" i="1"/>
  <c r="C38" i="3"/>
  <c r="C95" i="1" l="1"/>
  <c r="C97" i="1" s="1"/>
  <c r="C100" i="1" s="1"/>
  <c r="C42" i="1"/>
  <c r="C53" i="1" s="1"/>
  <c r="H53" i="6"/>
  <c r="D19" i="2" s="1"/>
  <c r="E19" i="2"/>
  <c r="E39" i="2" s="1"/>
  <c r="E41" i="2" s="1"/>
  <c r="E42" i="2" s="1"/>
  <c r="E43" i="2" s="1"/>
  <c r="I41" i="1"/>
  <c r="F43" i="2"/>
  <c r="F28" i="4"/>
  <c r="I92" i="1"/>
  <c r="K92" i="1" s="1"/>
  <c r="E44" i="3"/>
  <c r="E45" i="3" s="1"/>
  <c r="F65" i="1"/>
  <c r="I65" i="1" s="1"/>
  <c r="K65" i="1" s="1"/>
  <c r="I12" i="3"/>
  <c r="D15" i="3"/>
  <c r="I9" i="3"/>
  <c r="I105" i="1"/>
  <c r="K105" i="1" s="1"/>
  <c r="F108" i="1"/>
  <c r="F40" i="1"/>
  <c r="E38" i="4"/>
  <c r="C41" i="3"/>
  <c r="C43" i="3" s="1"/>
  <c r="I40" i="1"/>
  <c r="K38" i="1"/>
  <c r="K40" i="1" s="1"/>
  <c r="K41" i="1" s="1"/>
  <c r="D45" i="1"/>
  <c r="C110" i="1" l="1"/>
  <c r="C45" i="1"/>
  <c r="F45" i="1" s="1"/>
  <c r="I45" i="1" s="1"/>
  <c r="F42" i="1"/>
  <c r="I42" i="1" s="1"/>
  <c r="G73" i="1"/>
  <c r="I73" i="1" s="1"/>
  <c r="K73" i="1" s="1"/>
  <c r="D39" i="2"/>
  <c r="D41" i="2" s="1"/>
  <c r="J19" i="2"/>
  <c r="H28" i="4"/>
  <c r="G31" i="4" s="1"/>
  <c r="G38" i="4" s="1"/>
  <c r="H38" i="4" s="1"/>
  <c r="H42" i="4" s="1"/>
  <c r="D68" i="1"/>
  <c r="F63" i="1"/>
  <c r="D38" i="3"/>
  <c r="I15" i="3"/>
  <c r="D33" i="3"/>
  <c r="D86" i="1" s="1"/>
  <c r="C44" i="3"/>
  <c r="C45" i="3" s="1"/>
  <c r="F53" i="1" l="1"/>
  <c r="D41" i="3"/>
  <c r="D43" i="3" s="1"/>
  <c r="D44" i="3" s="1"/>
  <c r="D45" i="3" s="1"/>
  <c r="I33" i="3"/>
  <c r="F90" i="1"/>
  <c r="I38" i="3"/>
  <c r="I63" i="1"/>
  <c r="I68" i="1" s="1"/>
  <c r="F68" i="1"/>
  <c r="D42" i="2"/>
  <c r="D43" i="2" s="1"/>
  <c r="K42" i="1"/>
  <c r="I53" i="1"/>
  <c r="I41" i="3" l="1"/>
  <c r="I43" i="3" s="1"/>
  <c r="I44" i="3" s="1"/>
  <c r="I45" i="3" s="1"/>
  <c r="F86" i="1"/>
  <c r="D93" i="1"/>
  <c r="D95" i="1" s="1"/>
  <c r="K53" i="1"/>
  <c r="K45" i="1"/>
  <c r="I86" i="1" l="1"/>
  <c r="F93" i="1"/>
  <c r="F95" i="1"/>
  <c r="D96" i="1"/>
  <c r="F96" i="1" s="1"/>
  <c r="D97" i="1" l="1"/>
  <c r="D100" i="1" s="1"/>
  <c r="F100" i="1" s="1"/>
  <c r="F97" i="1"/>
  <c r="F110" i="1" s="1"/>
  <c r="C46" i="2"/>
  <c r="J46" i="2" l="1"/>
  <c r="G108" i="1" l="1"/>
  <c r="I108" i="1" s="1"/>
  <c r="E35" i="4" s="1"/>
  <c r="E33" i="4" s="1"/>
  <c r="I103" i="1"/>
  <c r="K103" i="1" s="1"/>
  <c r="F31" i="4" l="1"/>
  <c r="H31" i="4" s="1"/>
  <c r="B20" i="4"/>
  <c r="K108" i="1"/>
  <c r="E40" i="4" l="1"/>
  <c r="E42" i="4" s="1"/>
  <c r="F33" i="4"/>
  <c r="H33" i="4" s="1"/>
  <c r="H35" i="4" s="1"/>
  <c r="B22" i="4" s="1"/>
  <c r="B24" i="4" s="1"/>
  <c r="J82" i="18"/>
  <c r="L82" i="18" s="1"/>
  <c r="B153" i="18"/>
  <c r="J133" i="18"/>
  <c r="J83" i="18"/>
  <c r="L83" i="18" s="1"/>
  <c r="J84" i="18"/>
  <c r="L84" i="18" s="1"/>
  <c r="J86" i="18"/>
  <c r="L86" i="18" s="1"/>
  <c r="J87" i="18"/>
  <c r="L87" i="18" s="1"/>
  <c r="J88" i="18"/>
  <c r="L88" i="18" s="1"/>
  <c r="L91" i="18"/>
  <c r="J94" i="18"/>
  <c r="L94" i="18" s="1"/>
  <c r="J95" i="18"/>
  <c r="L95" i="18" s="1"/>
  <c r="J98" i="18"/>
  <c r="L98" i="18" s="1"/>
  <c r="J135" i="18"/>
  <c r="L135" i="18" s="1"/>
  <c r="J136" i="18"/>
  <c r="L136" i="18" s="1"/>
  <c r="J99" i="18"/>
  <c r="L99" i="18" s="1"/>
  <c r="J100" i="18"/>
  <c r="L100" i="18" s="1"/>
  <c r="L133" i="18" l="1"/>
  <c r="J101" i="18"/>
  <c r="L101" i="18" s="1"/>
  <c r="J105" i="18"/>
  <c r="L105" i="18" s="1"/>
  <c r="J106" i="18"/>
  <c r="L106" i="18" s="1"/>
  <c r="J107" i="18"/>
  <c r="L107" i="18" s="1"/>
  <c r="J108" i="18"/>
  <c r="L108" i="18" s="1"/>
  <c r="J109" i="18"/>
  <c r="L109" i="18" s="1"/>
  <c r="J110" i="18"/>
  <c r="L110" i="18" s="1"/>
  <c r="J111" i="18"/>
  <c r="L111" i="18" s="1"/>
  <c r="J117" i="18"/>
  <c r="L117" i="18" s="1"/>
  <c r="J118" i="18"/>
  <c r="L118" i="18" s="1"/>
  <c r="J119" i="18"/>
  <c r="L119" i="18" s="1"/>
  <c r="J120" i="18"/>
  <c r="L120" i="18" s="1"/>
  <c r="J121" i="18"/>
  <c r="L121" i="18" s="1"/>
  <c r="J122" i="18"/>
  <c r="L122" i="18" s="1"/>
  <c r="I72" i="1"/>
  <c r="K72" i="1" s="1"/>
  <c r="J123" i="18"/>
  <c r="L123" i="18" s="1"/>
  <c r="J125" i="18" l="1"/>
  <c r="L125" i="18" s="1"/>
  <c r="J138" i="18" l="1"/>
  <c r="J140" i="18" s="1"/>
  <c r="L138" i="18" l="1"/>
  <c r="L140" i="18" s="1"/>
  <c r="B142" i="18" l="1"/>
  <c r="D10" i="17"/>
  <c r="D85" i="18"/>
  <c r="B156" i="18" s="1"/>
  <c r="J85" i="18" l="1"/>
  <c r="L85" i="18" l="1"/>
  <c r="D97" i="18"/>
  <c r="B168" i="18" s="1"/>
  <c r="J97" i="18" l="1"/>
  <c r="L97" i="18" s="1"/>
  <c r="D90" i="18"/>
  <c r="B161" i="18" s="1"/>
  <c r="B201" i="18" l="1"/>
  <c r="J90" i="18"/>
  <c r="D131" i="18"/>
  <c r="D142" i="18" s="1"/>
  <c r="H142" i="18" s="1"/>
  <c r="L90" i="18" l="1"/>
  <c r="L131" i="18" s="1"/>
  <c r="L142" i="18" s="1"/>
  <c r="J131" i="18"/>
  <c r="J142" i="18" s="1"/>
  <c r="P225" i="18"/>
  <c r="AB225" i="18"/>
  <c r="F225" i="18"/>
  <c r="X225" i="18"/>
  <c r="Z225" i="18"/>
  <c r="T225" i="18"/>
  <c r="L225" i="18"/>
  <c r="V225" i="18"/>
  <c r="B212" i="18"/>
  <c r="C17" i="2"/>
  <c r="L212" i="18" l="1"/>
  <c r="J212" i="18"/>
  <c r="J219" i="18" s="1"/>
  <c r="V212" i="18"/>
  <c r="V219" i="18" s="1"/>
  <c r="V223" i="18" s="1"/>
  <c r="V231" i="18" s="1"/>
  <c r="F212" i="18"/>
  <c r="P212" i="18"/>
  <c r="P219" i="18" s="1"/>
  <c r="P223" i="18" s="1"/>
  <c r="P231" i="18" s="1"/>
  <c r="Z212" i="18"/>
  <c r="Z219" i="18" s="1"/>
  <c r="Z223" i="18" s="1"/>
  <c r="Z231" i="18" s="1"/>
  <c r="R212" i="18"/>
  <c r="R219" i="18" s="1"/>
  <c r="X212" i="18"/>
  <c r="X219" i="18" s="1"/>
  <c r="X223" i="18" s="1"/>
  <c r="X231" i="18" s="1"/>
  <c r="N212" i="18"/>
  <c r="N219" i="18" s="1"/>
  <c r="T212" i="18"/>
  <c r="T219" i="18" s="1"/>
  <c r="T223" i="18" s="1"/>
  <c r="T231" i="18" s="1"/>
  <c r="AB212" i="18"/>
  <c r="AB219" i="18" s="1"/>
  <c r="AB223" i="18" s="1"/>
  <c r="AB231" i="18" s="1"/>
  <c r="J17" i="2"/>
  <c r="G71" i="1"/>
  <c r="R223" i="18" l="1"/>
  <c r="R225" i="18"/>
  <c r="J225" i="18"/>
  <c r="J223" i="18"/>
  <c r="I71" i="1"/>
  <c r="N223" i="18"/>
  <c r="N225" i="18"/>
  <c r="L219" i="18"/>
  <c r="L223" i="18" s="1"/>
  <c r="L231" i="18" s="1"/>
  <c r="F219" i="18"/>
  <c r="AC212" i="18"/>
  <c r="AE212" i="18" s="1"/>
  <c r="J231" i="18" l="1"/>
  <c r="N231" i="18"/>
  <c r="R231" i="18"/>
  <c r="AC219" i="18"/>
  <c r="F223" i="18"/>
  <c r="AC225" i="18"/>
  <c r="AD225" i="18" s="1"/>
  <c r="K71" i="1"/>
  <c r="AC223" i="18" l="1"/>
  <c r="F231" i="18"/>
  <c r="AC231" i="18" s="1"/>
  <c r="C36" i="2" l="1"/>
  <c r="AD231" i="18"/>
  <c r="J36" i="2" l="1"/>
  <c r="G90" i="1"/>
  <c r="C39" i="2"/>
  <c r="J39" i="2" l="1"/>
  <c r="C41" i="2"/>
  <c r="I90" i="1"/>
  <c r="G93" i="1"/>
  <c r="G95" i="1" s="1"/>
  <c r="I93" i="1" l="1"/>
  <c r="J41" i="2"/>
  <c r="C42" i="2"/>
  <c r="J42" i="2" s="1"/>
  <c r="I95" i="1"/>
  <c r="G96" i="1"/>
  <c r="I96" i="1" s="1"/>
  <c r="G97" i="1" l="1"/>
  <c r="G100" i="1" s="1"/>
  <c r="I100" i="1" s="1"/>
  <c r="C43" i="2"/>
  <c r="J43" i="2" s="1"/>
  <c r="I97" i="1" l="1"/>
  <c r="B26" i="4" s="1"/>
  <c r="B28" i="4" s="1"/>
  <c r="B32" i="4" s="1"/>
  <c r="B44" i="4" s="1"/>
  <c r="I110" i="1" l="1"/>
  <c r="C54" i="4"/>
  <c r="C51" i="4"/>
  <c r="C53" i="4"/>
  <c r="J63" i="1" l="1"/>
  <c r="C47" i="4"/>
  <c r="J64" i="1" s="1"/>
  <c r="C55" i="4"/>
  <c r="L64" i="1" l="1"/>
  <c r="K64" i="1"/>
  <c r="M64" i="1" s="1"/>
  <c r="L63" i="1"/>
  <c r="M65" i="1"/>
  <c r="J68" i="1"/>
  <c r="K63" i="1"/>
  <c r="C48" i="4"/>
  <c r="C57" i="4" s="1"/>
  <c r="J90" i="1" l="1"/>
  <c r="K90" i="1" s="1"/>
  <c r="J89" i="1"/>
  <c r="K89" i="1" s="1"/>
  <c r="K68" i="1"/>
  <c r="L68" i="1"/>
  <c r="J86" i="1"/>
  <c r="C58" i="4"/>
  <c r="C59" i="4" s="1"/>
  <c r="J93" i="1" l="1"/>
  <c r="K86" i="1"/>
  <c r="K93" i="1" l="1"/>
  <c r="J95" i="1"/>
  <c r="J96" i="1" l="1"/>
  <c r="K96" i="1" s="1"/>
  <c r="K95" i="1"/>
  <c r="J97" i="1" l="1"/>
  <c r="J100" i="1" l="1"/>
  <c r="K100" i="1" s="1"/>
  <c r="K97" i="1"/>
  <c r="K110" i="1" s="1"/>
</calcChain>
</file>

<file path=xl/comments1.xml><?xml version="1.0" encoding="utf-8"?>
<comments xmlns="http://schemas.openxmlformats.org/spreadsheetml/2006/main">
  <authors>
    <author>Irene Murakami</author>
    <author>Bob Blackman</author>
  </authors>
  <commentList>
    <comment ref="E20" authorId="0">
      <text>
        <r>
          <rPr>
            <b/>
            <sz val="8"/>
            <color indexed="81"/>
            <rFont val="Tahoma"/>
            <family val="2"/>
          </rPr>
          <t>Irene Murakami:</t>
        </r>
        <r>
          <rPr>
            <sz val="8"/>
            <color indexed="81"/>
            <rFont val="Tahoma"/>
            <family val="2"/>
          </rPr>
          <t xml:space="preserve">
Old address 4709 Pt Fosdick Dr NW &amp; 4689 48th St</t>
        </r>
      </text>
    </comment>
    <comment ref="B43" authorId="1">
      <text>
        <r>
          <rPr>
            <b/>
            <sz val="8"/>
            <color indexed="81"/>
            <rFont val="Tahoma"/>
            <family val="2"/>
          </rPr>
          <t>Bob Blackman:</t>
        </r>
        <r>
          <rPr>
            <sz val="8"/>
            <color indexed="81"/>
            <rFont val="Tahoma"/>
            <family val="2"/>
          </rPr>
          <t xml:space="preserve">
changed 6/22/07
due to binding site plan  
</t>
        </r>
      </text>
    </comment>
  </commentList>
</comments>
</file>

<file path=xl/sharedStrings.xml><?xml version="1.0" encoding="utf-8"?>
<sst xmlns="http://schemas.openxmlformats.org/spreadsheetml/2006/main" count="1023" uniqueCount="536">
  <si>
    <t>Rainier View Water Co.,Inc.</t>
  </si>
  <si>
    <t>Results of Operations</t>
  </si>
  <si>
    <t>PER BOOKS</t>
  </si>
  <si>
    <t>PROFORMA</t>
  </si>
  <si>
    <t>YEAR END</t>
  </si>
  <si>
    <t xml:space="preserve">  RESTATE</t>
  </si>
  <si>
    <t>RESTATED</t>
  </si>
  <si>
    <t xml:space="preserve"> BEFORE</t>
  </si>
  <si>
    <t>EFFECT OF</t>
  </si>
  <si>
    <t xml:space="preserve">   AFTER</t>
  </si>
  <si>
    <t xml:space="preserve">    ADJ</t>
  </si>
  <si>
    <t>AMOUNTS</t>
  </si>
  <si>
    <t xml:space="preserve">   ADJ</t>
  </si>
  <si>
    <t>PROP RATES</t>
  </si>
  <si>
    <t>OPERATING REVENUES</t>
  </si>
  <si>
    <t>Unmetered sales</t>
  </si>
  <si>
    <t>Metered Sales</t>
  </si>
  <si>
    <t>Fire Flow</t>
  </si>
  <si>
    <t>Misc Service Revenue</t>
  </si>
  <si>
    <t>Total Operating Revenue</t>
  </si>
  <si>
    <t>OPERATING &amp; MAINTENCE EXPENSE</t>
  </si>
  <si>
    <t>Salaries--Employees</t>
  </si>
  <si>
    <t>Salaries--Officers</t>
  </si>
  <si>
    <t>Employee Benefits</t>
  </si>
  <si>
    <t>Purchased Power</t>
  </si>
  <si>
    <t>Chemical Testing</t>
  </si>
  <si>
    <t>Materials &amp; Supplies</t>
  </si>
  <si>
    <t>Contract Services-Engineering</t>
  </si>
  <si>
    <t>Contract Services-Acctg</t>
  </si>
  <si>
    <t>Contract Services-Legal</t>
  </si>
  <si>
    <t>Contract Services-Other</t>
  </si>
  <si>
    <t>Building Rent</t>
  </si>
  <si>
    <t>Equipment Rent</t>
  </si>
  <si>
    <t>Transportation Expense</t>
  </si>
  <si>
    <t>Insurance-Vehicle</t>
  </si>
  <si>
    <t>Insurance-General Liability</t>
  </si>
  <si>
    <t>Regulatory Commission Expense</t>
  </si>
  <si>
    <t>Miscellaneous Expense</t>
  </si>
  <si>
    <t>Depreciation - Amortization</t>
  </si>
  <si>
    <t>Bad Debt</t>
  </si>
  <si>
    <t>Taxes Other Than Income</t>
  </si>
  <si>
    <t xml:space="preserve">    Total Operating Expenses</t>
  </si>
  <si>
    <t>Utility Operating Income Before FIT</t>
  </si>
  <si>
    <t>Federal Income Tax</t>
  </si>
  <si>
    <t>Net Operating Income</t>
  </si>
  <si>
    <t>RATE BASE (AVERAGE)</t>
  </si>
  <si>
    <t>Utility Plant in Service</t>
  </si>
  <si>
    <t>LESS: Accumulated Depreciation</t>
  </si>
  <si>
    <t xml:space="preserve">    Net CIAC</t>
  </si>
  <si>
    <t>Net Average Rate Base</t>
  </si>
  <si>
    <t>RATE OF RETURN</t>
  </si>
  <si>
    <t>‚::</t>
  </si>
  <si>
    <t xml:space="preserve">     ADJ</t>
  </si>
  <si>
    <t>Rate Case Expense</t>
  </si>
  <si>
    <t>SALARIES</t>
  </si>
  <si>
    <t xml:space="preserve">    TOTAL</t>
  </si>
  <si>
    <t>EXPENSE</t>
  </si>
  <si>
    <t>PA-2</t>
  </si>
  <si>
    <t>PA-3</t>
  </si>
  <si>
    <t xml:space="preserve">       ADJ</t>
  </si>
  <si>
    <t>RESTATING</t>
  </si>
  <si>
    <t xml:space="preserve">    RA-1</t>
  </si>
  <si>
    <t>DIFFERENCE</t>
  </si>
  <si>
    <t xml:space="preserve">Chemical </t>
  </si>
  <si>
    <t>Rainier View Water Co., Inc.</t>
  </si>
  <si>
    <t xml:space="preserve">     REVENUES</t>
  </si>
  <si>
    <t>COST OF MONEY:</t>
  </si>
  <si>
    <t xml:space="preserve">        WUTC REGULATORY FEE</t>
  </si>
  <si>
    <t xml:space="preserve">        UTILITY TAX</t>
  </si>
  <si>
    <t xml:space="preserve">        UNCOLLECTABLES</t>
  </si>
  <si>
    <t xml:space="preserve">     FEDERAL INCOME TAX</t>
  </si>
  <si>
    <t xml:space="preserve">     CONVERSION FACTOR</t>
  </si>
  <si>
    <t xml:space="preserve">     PROFORMA RATE BASE</t>
  </si>
  <si>
    <t xml:space="preserve">     </t>
  </si>
  <si>
    <t xml:space="preserve">     RATE OF RETURN</t>
  </si>
  <si>
    <t xml:space="preserve">     NOI REQUIREMENT</t>
  </si>
  <si>
    <t xml:space="preserve">     PROFORMA NOI</t>
  </si>
  <si>
    <t>DEBT</t>
  </si>
  <si>
    <t xml:space="preserve">     NOI DEFICIENCY</t>
  </si>
  <si>
    <t>EQUITY</t>
  </si>
  <si>
    <t xml:space="preserve">     ADDITIONAL REVENUE REQUIREMENT</t>
  </si>
  <si>
    <t xml:space="preserve">     UNMETERED SALES</t>
  </si>
  <si>
    <t xml:space="preserve">     METERED SALES</t>
  </si>
  <si>
    <t xml:space="preserve">          TOTAL OPERATING REVENUES</t>
  </si>
  <si>
    <t xml:space="preserve">     LESS:</t>
  </si>
  <si>
    <t xml:space="preserve">               WUTC REGULATORY FEE</t>
  </si>
  <si>
    <t xml:space="preserve">               UTILITY TAX</t>
  </si>
  <si>
    <t xml:space="preserve">               UNCOLLECTABLES</t>
  </si>
  <si>
    <t xml:space="preserve">     UTILITY OPERATING INCOME BEFORE FIT</t>
  </si>
  <si>
    <t xml:space="preserve">     NET OPERATING REVENUE</t>
  </si>
  <si>
    <t>CURRENT</t>
  </si>
  <si>
    <t>INCREASE</t>
  </si>
  <si>
    <t>Net Income</t>
  </si>
  <si>
    <t>Interest Expense</t>
  </si>
  <si>
    <t>Treatment Surcharge</t>
  </si>
  <si>
    <t>Ready to Serve-Contracts</t>
  </si>
  <si>
    <t xml:space="preserve">    RA-2</t>
  </si>
  <si>
    <t>Federal Income Tax (C-Corp Rates)</t>
  </si>
  <si>
    <t>Proforma Adjustments</t>
  </si>
  <si>
    <t>Copper/Lead lawsuit-Amortization</t>
  </si>
  <si>
    <t>Working Capital</t>
  </si>
  <si>
    <t xml:space="preserve">    RA-3</t>
  </si>
  <si>
    <t>RAINIER VIEW WATER COMPANY</t>
  </si>
  <si>
    <t>ANNUALIZED PREMIUM INCREASE</t>
  </si>
  <si>
    <t>RENEWAL</t>
  </si>
  <si>
    <t>PREMIUM</t>
  </si>
  <si>
    <t>ANNUALIZATION</t>
  </si>
  <si>
    <t>TOTAL ANNUALIZED MEDICAL INCREASE</t>
  </si>
  <si>
    <t>DATE</t>
  </si>
  <si>
    <t>PERCENTAGE</t>
  </si>
  <si>
    <t xml:space="preserve"> Rainier View Water Co.,Inc.</t>
  </si>
  <si>
    <t>Salary Restatement</t>
  </si>
  <si>
    <t xml:space="preserve">  EMPLOYEE NAME</t>
  </si>
  <si>
    <t>GROSS</t>
  </si>
  <si>
    <t>MISC</t>
  </si>
  <si>
    <t>UTILITY</t>
  </si>
  <si>
    <t>NON-UTILITY</t>
  </si>
  <si>
    <t>MAT &amp; SUPPLIES</t>
  </si>
  <si>
    <t>WATER TRT</t>
  </si>
  <si>
    <t>TRANS &amp; DIST</t>
  </si>
  <si>
    <t>CUSTOMER ACCT</t>
  </si>
  <si>
    <t>GENERAL &amp; ADM</t>
  </si>
  <si>
    <t>EMPLOYEE</t>
  </si>
  <si>
    <t xml:space="preserve">TRUCK </t>
  </si>
  <si>
    <t>PAYROLL</t>
  </si>
  <si>
    <t>PLANT</t>
  </si>
  <si>
    <t>OPERATIONS</t>
  </si>
  <si>
    <t>MAINTENANCE</t>
  </si>
  <si>
    <t>BENEFITS</t>
  </si>
  <si>
    <t xml:space="preserve">     Abbe, Linda</t>
  </si>
  <si>
    <t>J</t>
  </si>
  <si>
    <t xml:space="preserve">     Blackman, Bob</t>
  </si>
  <si>
    <t>F</t>
  </si>
  <si>
    <t>M</t>
  </si>
  <si>
    <t xml:space="preserve">     Cross, Lori</t>
  </si>
  <si>
    <t>A</t>
  </si>
  <si>
    <t xml:space="preserve">     Fisher, Doug</t>
  </si>
  <si>
    <t xml:space="preserve">     Haynes, Sheila</t>
  </si>
  <si>
    <t xml:space="preserve">     Peredo, Tony</t>
  </si>
  <si>
    <t>S</t>
  </si>
  <si>
    <t>O</t>
  </si>
  <si>
    <t xml:space="preserve">     Richardson, Paula</t>
  </si>
  <si>
    <t>N</t>
  </si>
  <si>
    <t xml:space="preserve">     Richardson, Richard</t>
  </si>
  <si>
    <t>D</t>
  </si>
  <si>
    <t xml:space="preserve">     Bell, Robert</t>
  </si>
  <si>
    <t xml:space="preserve">     Cooper, Thomas</t>
  </si>
  <si>
    <t xml:space="preserve">     Fisher, Dennis</t>
  </si>
  <si>
    <t xml:space="preserve">     Hoskins, Rickey</t>
  </si>
  <si>
    <t xml:space="preserve">     Jensen, James</t>
  </si>
  <si>
    <t xml:space="preserve">     Warner, Chuck</t>
  </si>
  <si>
    <t xml:space="preserve">     Richardson, Neil</t>
  </si>
  <si>
    <t xml:space="preserve">               TOTALS</t>
  </si>
  <si>
    <t>(Fig. 1)</t>
  </si>
  <si>
    <t>CHANGE IN</t>
  </si>
  <si>
    <t xml:space="preserve">EFFECTIVE </t>
  </si>
  <si>
    <t xml:space="preserve">PROFORMA </t>
  </si>
  <si>
    <t>TOTAL PROFORMA</t>
  </si>
  <si>
    <t>SALARY</t>
  </si>
  <si>
    <t>ADJUSTMENT</t>
  </si>
  <si>
    <t>Salary Proforma</t>
  </si>
  <si>
    <t>SALARY RESTATEMENT</t>
  </si>
  <si>
    <t>TAXES OTHER THAN INCOME</t>
  </si>
  <si>
    <t>FICA</t>
  </si>
  <si>
    <t>TOTAL TAX RESTATEMENT</t>
  </si>
  <si>
    <t xml:space="preserve">      TOTALS</t>
  </si>
  <si>
    <t xml:space="preserve">  </t>
  </si>
  <si>
    <t>FUTA (UNDER 7,000)</t>
  </si>
  <si>
    <t xml:space="preserve"> Difference in Book and Tax Depreciation</t>
  </si>
  <si>
    <t>FEDERAL INCOME TAXES</t>
  </si>
  <si>
    <t>Other Income</t>
  </si>
  <si>
    <t>FIT-Net Deductions (including Interest Expense)</t>
  </si>
  <si>
    <t xml:space="preserve"> Taxable Income</t>
  </si>
  <si>
    <t>Net Federal Income Tax</t>
  </si>
  <si>
    <t>PA-5</t>
  </si>
  <si>
    <t>Depreciation - Amortization NET</t>
  </si>
  <si>
    <t xml:space="preserve">RATE BASE </t>
  </si>
  <si>
    <t xml:space="preserve">    RA-4</t>
  </si>
  <si>
    <t>RESTATING ADJUSTMENTS</t>
  </si>
  <si>
    <t>OPERATING &amp; MAINTENANCE EXPENSE</t>
  </si>
  <si>
    <t xml:space="preserve"> MONTHS</t>
  </si>
  <si>
    <t>(DECREASE)</t>
  </si>
  <si>
    <t>PA-1</t>
  </si>
  <si>
    <t xml:space="preserve">     Murakami, Irene</t>
  </si>
  <si>
    <t xml:space="preserve">     Collette, Martin</t>
  </si>
  <si>
    <t xml:space="preserve">     Cullings, Art</t>
  </si>
  <si>
    <t>TOTAL ANNUALIZED DENTAL INCREASE</t>
  </si>
  <si>
    <t xml:space="preserve"> </t>
  </si>
  <si>
    <t xml:space="preserve">     Hoskins, Christopher</t>
  </si>
  <si>
    <t>ABBE, LINDA</t>
  </si>
  <si>
    <t>BELL, ROBERT</t>
  </si>
  <si>
    <t>BLACKMAN, ROBERT</t>
  </si>
  <si>
    <t>COLLETTE, MARTIN</t>
  </si>
  <si>
    <t>COOPER, THOMAS</t>
  </si>
  <si>
    <t>FISHER, DOUGLAS</t>
  </si>
  <si>
    <t>HAYNES, SHEILA</t>
  </si>
  <si>
    <t>HOSKINS, RICKEY</t>
  </si>
  <si>
    <t>JENSEN, JAMES</t>
  </si>
  <si>
    <t>PEREDO, ANTHONY</t>
  </si>
  <si>
    <t>RICHARDSON, NEIL</t>
  </si>
  <si>
    <t>WARNER, CHARLES</t>
  </si>
  <si>
    <t>COBANK - SDADA/NEW OFFICE T-6</t>
  </si>
  <si>
    <t xml:space="preserve">     Hellickson, Carol</t>
  </si>
  <si>
    <t>HELLICKSON, CAROL 6/1/07</t>
  </si>
  <si>
    <t>L&amp;I</t>
  </si>
  <si>
    <t>1507 WATER WORKS</t>
  </si>
  <si>
    <t>4904 CLERICAL OFFICE</t>
  </si>
  <si>
    <t xml:space="preserve">Proforma Salary </t>
  </si>
  <si>
    <t xml:space="preserve">     Bowers, Donald</t>
  </si>
  <si>
    <t xml:space="preserve">     Miller Jr., Sid</t>
  </si>
  <si>
    <t xml:space="preserve">     Beaulieu, Gwen</t>
  </si>
  <si>
    <t xml:space="preserve">     O'Brien, Jason</t>
  </si>
  <si>
    <t>BEAULIEU, GWEN 7/1/09</t>
  </si>
  <si>
    <t>BOWERS, DONALD 5/1/09</t>
  </si>
  <si>
    <t>CULLINGS, ART 12/01/05</t>
  </si>
  <si>
    <t>HOSKENS, CHRISTOPHER 11/1/06</t>
  </si>
  <si>
    <t>MILLER, SIDNEY 07/01/08</t>
  </si>
  <si>
    <t>MURAKAMI, IRENE 11/01/04</t>
  </si>
  <si>
    <t>O'BRIEN, JASON 10/1/09</t>
  </si>
  <si>
    <t>POLLY, JAMES 11/1/08</t>
  </si>
  <si>
    <t>RICHARDSON, PAULA</t>
  </si>
  <si>
    <t>declined</t>
  </si>
  <si>
    <t>Rents from Water Property</t>
  </si>
  <si>
    <t>BLANKENSHIP, DAKOTA 3/1/11</t>
  </si>
  <si>
    <t>RINEHART, CAROL 7/1/10</t>
  </si>
  <si>
    <t xml:space="preserve">     Rinehart, Carol</t>
  </si>
  <si>
    <t xml:space="preserve">     Blankenship, Dakota</t>
  </si>
  <si>
    <t>Other Income-Ancillary charges</t>
  </si>
  <si>
    <t>BUY-UP</t>
  </si>
  <si>
    <t>COST</t>
  </si>
  <si>
    <t xml:space="preserve">     Inks, Danielle</t>
  </si>
  <si>
    <t xml:space="preserve">     Woods, Cindy</t>
  </si>
  <si>
    <t xml:space="preserve">     Hondel, Robert</t>
  </si>
  <si>
    <t xml:space="preserve">     Polly, Mike</t>
  </si>
  <si>
    <t xml:space="preserve">     Wakefield, Bryce</t>
  </si>
  <si>
    <t>SUTA (UNDER 39,800)</t>
  </si>
  <si>
    <t>HONDEL, ROBERT 8/1/12</t>
  </si>
  <si>
    <t>WAKEFIELD, BRYCE 8/1/12</t>
  </si>
  <si>
    <t>WOODS, CINDY</t>
  </si>
  <si>
    <t>INKS, DANIELLE</t>
  </si>
  <si>
    <t>MEDICAL</t>
  </si>
  <si>
    <t xml:space="preserve">DENTAL </t>
  </si>
  <si>
    <t>TOTAL</t>
  </si>
  <si>
    <t>PARCEL NUMBER</t>
  </si>
  <si>
    <t>COUNTY</t>
  </si>
  <si>
    <t xml:space="preserve">           NAME</t>
  </si>
  <si>
    <t>LOCATION</t>
  </si>
  <si>
    <t xml:space="preserve">TAX CODE </t>
  </si>
  <si>
    <t xml:space="preserve">          LEGAL DISCRIPTION</t>
  </si>
  <si>
    <t>P  20042-45050</t>
  </si>
  <si>
    <t>PIERCE</t>
  </si>
  <si>
    <t>RVWC</t>
  </si>
  <si>
    <t xml:space="preserve">GRAHAM AREA </t>
  </si>
  <si>
    <t>PERSONAL PROPERTY</t>
  </si>
  <si>
    <t>P 20084-14110</t>
  </si>
  <si>
    <t>GRAHAM AREA (Sound)</t>
  </si>
  <si>
    <t>P  20400-02990</t>
  </si>
  <si>
    <t>5410 189th St E</t>
  </si>
  <si>
    <t>P  20960-00175</t>
  </si>
  <si>
    <t>GIG HARBOR AREA</t>
  </si>
  <si>
    <t>P  20960-00180</t>
  </si>
  <si>
    <t>BETHEL AREA</t>
  </si>
  <si>
    <t>R  01-21-23-4-094</t>
  </si>
  <si>
    <t>7221 35TH ST NW</t>
  </si>
  <si>
    <t>PINECREST  (BACK SITE)</t>
  </si>
  <si>
    <t>R  01-21-23-5-058</t>
  </si>
  <si>
    <t>4304 73RD AVE NW</t>
  </si>
  <si>
    <t>ARTONDALE  TANK &amp; WELL SITE</t>
  </si>
  <si>
    <t>R  01-21-24-2-019</t>
  </si>
  <si>
    <t>4509 65TH AVE NW</t>
  </si>
  <si>
    <t>ARTONDALE  #1 &amp; #2</t>
  </si>
  <si>
    <t>R  01-21-24-3-015</t>
  </si>
  <si>
    <t>3426 63RD AVE NW</t>
  </si>
  <si>
    <t>BAYVIEW WELL SITE</t>
  </si>
  <si>
    <t>R  01-21-25-4-046</t>
  </si>
  <si>
    <t>2213 62ND AVE NW</t>
  </si>
  <si>
    <t>CROMWELL WELL SITE</t>
  </si>
  <si>
    <t>R  01-21-28-1-059</t>
  </si>
  <si>
    <t>3123 HORSEHEAD BAY DR NW</t>
  </si>
  <si>
    <t>SHAW'S COVE WELL SITE</t>
  </si>
  <si>
    <t>R  01-22-13-2-037</t>
  </si>
  <si>
    <t>6229 157TH ST NW</t>
  </si>
  <si>
    <t>PURDY ACRES WELL SITE</t>
  </si>
  <si>
    <t>R  02-21-19-2-036</t>
  </si>
  <si>
    <t>4306 EAST BAY DR NW</t>
  </si>
  <si>
    <t>EASEMENT - LOWER WOLLOCHET</t>
  </si>
  <si>
    <t>R  02-21-20-1-030</t>
  </si>
  <si>
    <t>2604 48TH ST NW</t>
  </si>
  <si>
    <t>075</t>
  </si>
  <si>
    <t>CONC TANK - OLY MALL</t>
  </si>
  <si>
    <t>R  02-21-21-2-035</t>
  </si>
  <si>
    <t>4519 REID DR NW</t>
  </si>
  <si>
    <t>OLY  MALL WELL SITE</t>
  </si>
  <si>
    <t>R  03-17-17-4-012</t>
  </si>
  <si>
    <t>32902 10TH AVE S</t>
  </si>
  <si>
    <t>MOORE'S 40 ACRES WELL SITE</t>
  </si>
  <si>
    <t>R  03-18-03-4-037</t>
  </si>
  <si>
    <t>20021 17TH AVE E</t>
  </si>
  <si>
    <t>SPANAWAY TANK SITE</t>
  </si>
  <si>
    <t>R  03-18-24-1-033</t>
  </si>
  <si>
    <t>24014 49TH AVE CT E</t>
  </si>
  <si>
    <t>SALLY HUBERT WELL SITE</t>
  </si>
  <si>
    <t xml:space="preserve">R  03-18-34-3-050 </t>
  </si>
  <si>
    <t>1002 282ND ST E</t>
  </si>
  <si>
    <t>THE RANCH WELL SITE</t>
  </si>
  <si>
    <t>R  03-18-36-5-020</t>
  </si>
  <si>
    <t>5301 277TH ST CT E</t>
  </si>
  <si>
    <t>MUCK CREEK HILL WELL SITE</t>
  </si>
  <si>
    <t>R  03-18-36-6-022</t>
  </si>
  <si>
    <t>4411 277TH ST CT E</t>
  </si>
  <si>
    <t>RYANWOOD  WELL SITE</t>
  </si>
  <si>
    <t>R  03-19-35-1-067</t>
  </si>
  <si>
    <t>3220 179TH ST E</t>
  </si>
  <si>
    <t>NELSON RIDGE WELL SITE</t>
  </si>
  <si>
    <t>R  03-19-36-4-042</t>
  </si>
  <si>
    <t>5410 189TH ST E</t>
  </si>
  <si>
    <t>R  04-18-10-7-022</t>
  </si>
  <si>
    <t>21805 103RD AVE CT E</t>
  </si>
  <si>
    <t>BEHM SITE - SOUND OFFICE</t>
  </si>
  <si>
    <t>R  04-18-15-1-029</t>
  </si>
  <si>
    <t>11718 230TH ST E</t>
  </si>
  <si>
    <t>THRIFT TANK   &amp; WELL SITE</t>
  </si>
  <si>
    <t>R  04-18-19-5-053</t>
  </si>
  <si>
    <t>24311 68TH AVE E</t>
  </si>
  <si>
    <t>INDIAN SPRINGS WELLS - 2A &amp; 6</t>
  </si>
  <si>
    <t>R  04-18-19-5-056</t>
  </si>
  <si>
    <t>24010 70TH AVE E</t>
  </si>
  <si>
    <t xml:space="preserve">INDIAN SPRINGS WELL     #1 </t>
  </si>
  <si>
    <t>R  04-18-19-8-037</t>
  </si>
  <si>
    <t>6815 254TH ST E</t>
  </si>
  <si>
    <t>INDIAN SPRINGS WELLS - 4 &amp; 5</t>
  </si>
  <si>
    <t>R  04-18-30-2-026</t>
  </si>
  <si>
    <t>5415 258TH ST CT E</t>
  </si>
  <si>
    <t>PARKLANE WELL SITE</t>
  </si>
  <si>
    <t>R 04-19-31-3-042</t>
  </si>
  <si>
    <t>R 04-19-33-4-015</t>
  </si>
  <si>
    <t>19129 97TH AVE CT E</t>
  </si>
  <si>
    <t>SILVER CREEK TANK SITE</t>
  </si>
  <si>
    <t>R  249200-030-1</t>
  </si>
  <si>
    <t>21408 34TH AVE E</t>
  </si>
  <si>
    <t>BETHEL RIDGE WELL SITE</t>
  </si>
  <si>
    <t>R  250556-015-0</t>
  </si>
  <si>
    <t>20712 16TH AVE CT E</t>
  </si>
  <si>
    <t>BEVERLY PARK WELL SITE</t>
  </si>
  <si>
    <t>R  300014-078-2</t>
  </si>
  <si>
    <t>4504 76TH AVE CT NW</t>
  </si>
  <si>
    <t>MADRONA WELL SITE</t>
  </si>
  <si>
    <t>R  388700-004-0</t>
  </si>
  <si>
    <t>7813 185TH ST CT E</t>
  </si>
  <si>
    <t>185TH ST WELL SITE</t>
  </si>
  <si>
    <t>R 400260-003-0</t>
  </si>
  <si>
    <t>4699 PT FOSDICK DR NW</t>
  </si>
  <si>
    <t>GATEWAY WELL SITE</t>
  </si>
  <si>
    <t>R  401500-063-6</t>
  </si>
  <si>
    <t>5909 206TH ST CT E</t>
  </si>
  <si>
    <t>BARNA WELL SITE</t>
  </si>
  <si>
    <t>R  471802-001-1</t>
  </si>
  <si>
    <t>25206 67TH AVE E</t>
  </si>
  <si>
    <t>INDIAN SPRINGS STANDPIPE</t>
  </si>
  <si>
    <t>R  516550-066-0</t>
  </si>
  <si>
    <t>24501 38TH AVE CT E</t>
  </si>
  <si>
    <t>LAURADEL WELL SITE</t>
  </si>
  <si>
    <t>R  602023-006-0</t>
  </si>
  <si>
    <t>24015 84TH AVE E</t>
  </si>
  <si>
    <t>CHATEAU WOODS WELL SITE</t>
  </si>
  <si>
    <t>R  602057-047-0</t>
  </si>
  <si>
    <t>13202  226TH ST E</t>
  </si>
  <si>
    <t>COUNTRY PARK #1  WELL SITE</t>
  </si>
  <si>
    <t>R  602058-012-1</t>
  </si>
  <si>
    <t>20813 74TH AVE CT E</t>
  </si>
  <si>
    <t>SPIRITWOOD DIV. 2 WELL SITE</t>
  </si>
  <si>
    <t>R  602172-103-0</t>
  </si>
  <si>
    <t>22801 126TH  AVE E</t>
  </si>
  <si>
    <t>COUNTRY PARK #2  WELL SITE</t>
  </si>
  <si>
    <t>R  612800-067-0</t>
  </si>
  <si>
    <t>20607 53RD AVE CT E</t>
  </si>
  <si>
    <t>MORRY GLENN  WELL SITE</t>
  </si>
  <si>
    <t xml:space="preserve">R  627602-017-0 </t>
  </si>
  <si>
    <t>NELSON RIDGE WELL SITE &amp; EASE.</t>
  </si>
  <si>
    <t>R  675525-150-0</t>
  </si>
  <si>
    <t>5617 257TH ST E</t>
  </si>
  <si>
    <t>R  687900-037-0</t>
  </si>
  <si>
    <t>7217 35TH ST NW</t>
  </si>
  <si>
    <t>PINECREST WELL SITE</t>
  </si>
  <si>
    <t>R  709300-077-0</t>
  </si>
  <si>
    <t>3721 255TH ST E</t>
  </si>
  <si>
    <t>QUIET VILLAGE #1 WELL SITE</t>
  </si>
  <si>
    <t>R  709302-110-0</t>
  </si>
  <si>
    <t>25504 30TH AVE E</t>
  </si>
  <si>
    <t>QUIET VILLAGE #2 WELL SITE</t>
  </si>
  <si>
    <t>R  714525-018-1</t>
  </si>
  <si>
    <t>4102 206TH ST CT E</t>
  </si>
  <si>
    <t>REBEKAH GLENN  EASEMENT</t>
  </si>
  <si>
    <t>R  721500-039-0</t>
  </si>
  <si>
    <t>35628 86TH AVE S</t>
  </si>
  <si>
    <t>RIVER VIEW WELL SITE</t>
  </si>
  <si>
    <t>R  724020-012-0</t>
  </si>
  <si>
    <t>4905 255TH ST CT E</t>
  </si>
  <si>
    <t>ROCKY WOODS WELL SITE</t>
  </si>
  <si>
    <t>R  727600-026-0</t>
  </si>
  <si>
    <t>6715 87TH ST NW</t>
  </si>
  <si>
    <t>ROSDALE   TRACT "A" WELL SITE</t>
  </si>
  <si>
    <t>R  757402-013-0</t>
  </si>
  <si>
    <t>17209 WALLER RD. E</t>
  </si>
  <si>
    <t>SHERWOOD RANCHETTE WELL SITE</t>
  </si>
  <si>
    <t>R  774200-019-5</t>
  </si>
  <si>
    <t>29215 47TH AVE E</t>
  </si>
  <si>
    <t>SOUTHCREEK #2 WELL SITE</t>
  </si>
  <si>
    <t>R  774200-036-6</t>
  </si>
  <si>
    <t>30017 SOUTHCREEK RD E</t>
  </si>
  <si>
    <t>SOUTHCREEK #1 WELL SITE</t>
  </si>
  <si>
    <t>R  781620-097-0</t>
  </si>
  <si>
    <t>22108 44TH AVE E</t>
  </si>
  <si>
    <t>SOUTHWOOD WELL #1</t>
  </si>
  <si>
    <t>R  781631-113-0</t>
  </si>
  <si>
    <t>22119 48TH AVE E</t>
  </si>
  <si>
    <t>SOUTHWOOD WELL #4</t>
  </si>
  <si>
    <t>R  781632-100-0</t>
  </si>
  <si>
    <t>22119 51ST AVE CT E</t>
  </si>
  <si>
    <t>SOUTHWOOD TANK SITE</t>
  </si>
  <si>
    <t>R  781633-147-0</t>
  </si>
  <si>
    <t>21711 46TH AVE E</t>
  </si>
  <si>
    <t>SOUTHWOOD TRACT "B" WELL SITE</t>
  </si>
  <si>
    <t>R  781650-021-0</t>
  </si>
  <si>
    <t>17624 32ND AVE  E</t>
  </si>
  <si>
    <t>SPANAWAY RANCHETTE WELL SITE</t>
  </si>
  <si>
    <t>R  886709-087-1</t>
  </si>
  <si>
    <t>3923 77TH AVE CT NW</t>
  </si>
  <si>
    <t>SWANSON (WILDWOOD) WELL SITE</t>
  </si>
  <si>
    <t>R  897700-027-0</t>
  </si>
  <si>
    <t>20010 78TH AVE CT E</t>
  </si>
  <si>
    <t>TANNENBAUM WELL SITE</t>
  </si>
  <si>
    <t>R  976020-104-0</t>
  </si>
  <si>
    <t>4701 BIRCHTREE LN NW</t>
  </si>
  <si>
    <t>WOLLOCHET HEIGHTS WELL SITE</t>
  </si>
  <si>
    <t>Total</t>
  </si>
  <si>
    <t>OFFICE</t>
  </si>
  <si>
    <t>PROPERTY TAX INCREASE 2013</t>
  </si>
  <si>
    <t>PA-6</t>
  </si>
  <si>
    <t>AMORTIZED TWO YEARS</t>
  </si>
  <si>
    <t>PA-7</t>
  </si>
  <si>
    <t>PROPERTY</t>
  </si>
  <si>
    <t>TAX INCREASE</t>
  </si>
  <si>
    <t>RATE CASE</t>
  </si>
  <si>
    <t>COSTS</t>
  </si>
  <si>
    <t>DEFERRED TAX</t>
  </si>
  <si>
    <t>DEPT. OF HEALTH OPERATING PERMIT FEE INCREASE</t>
  </si>
  <si>
    <t>2012 FEES</t>
  </si>
  <si>
    <t>2013 FEES</t>
  </si>
  <si>
    <t>PA-8</t>
  </si>
  <si>
    <t>PA-2, PA-3</t>
  </si>
  <si>
    <t>REQUIRED UCMR3 WATER TESTING FOR 2013</t>
  </si>
  <si>
    <t xml:space="preserve">     Burke, Anita</t>
  </si>
  <si>
    <t xml:space="preserve">     Asila, Raymond</t>
  </si>
  <si>
    <t xml:space="preserve">     Tabacco, Michael </t>
  </si>
  <si>
    <t xml:space="preserve">     Tatum, Paul</t>
  </si>
  <si>
    <t>ASSET/(BENEFIT)</t>
  </si>
  <si>
    <t>Thirteen-Point Average Rate Base</t>
  </si>
  <si>
    <t>(a)</t>
  </si>
  <si>
    <t>(b)</t>
  </si>
  <si>
    <t>(c)</t>
  </si>
  <si>
    <t>(d)</t>
  </si>
  <si>
    <t>(e)</t>
  </si>
  <si>
    <t>Line No.</t>
  </si>
  <si>
    <t>Description</t>
  </si>
  <si>
    <t>Results Utility Plant in Service</t>
  </si>
  <si>
    <t>Results Acquisition</t>
  </si>
  <si>
    <t>Results Contribution in Aid of Construction</t>
  </si>
  <si>
    <t>Net Rate Base</t>
  </si>
  <si>
    <t>Thirteen-Point Average</t>
  </si>
  <si>
    <t>Adjustments</t>
  </si>
  <si>
    <t xml:space="preserve">                 -  </t>
  </si>
  <si>
    <t>ACTUAL COST</t>
  </si>
  <si>
    <t>SCH-1</t>
  </si>
  <si>
    <t>ASILA, RAYMOND 7/1/14</t>
  </si>
  <si>
    <t>BURKE, ANITA 4/1/13</t>
  </si>
  <si>
    <t>INKS, DANIELLE 08/01/11</t>
  </si>
  <si>
    <t>TABACCO, MICHAEL 11/1/13</t>
  </si>
  <si>
    <t>TATUM, PAUL 11/1/13</t>
  </si>
  <si>
    <t>SCH-1, RA-1</t>
  </si>
  <si>
    <t>PA-1, PA-5</t>
  </si>
  <si>
    <t>COBANK - FLUORIDE/SCADA</t>
  </si>
  <si>
    <t>CHRYSLER 2014 JEEP</t>
  </si>
  <si>
    <t>FORD MOTOR CREDIT</t>
  </si>
  <si>
    <t>COBANK - MANG. TREATMENT</t>
  </si>
  <si>
    <t xml:space="preserve">     Hatkoff, Jennifer</t>
  </si>
  <si>
    <t xml:space="preserve">     Hudson, Stephanie</t>
  </si>
  <si>
    <t xml:space="preserve">     Gaines, Austyn</t>
  </si>
  <si>
    <t xml:space="preserve">     Neal, Ryan</t>
  </si>
  <si>
    <t xml:space="preserve">     Shelton, Candi</t>
  </si>
  <si>
    <t xml:space="preserve">     Blackman, Alexa</t>
  </si>
  <si>
    <t xml:space="preserve">     Scott, Dakota </t>
  </si>
  <si>
    <t>2015 SALARY INCREASE</t>
  </si>
  <si>
    <t>HATKOFF, JENNIFER 5/1/15</t>
  </si>
  <si>
    <t>HUDSON, STEPHANIE 8/1/15</t>
  </si>
  <si>
    <t>PROCTOR, KENNETH 6/1/15</t>
  </si>
  <si>
    <t>SHELTON, CANDI 6/1/15</t>
  </si>
  <si>
    <t>NEAL, RYAN 8/1/15</t>
  </si>
  <si>
    <t>TAX DUE 2016</t>
  </si>
  <si>
    <t>2016 TAXABLE VALUE</t>
  </si>
  <si>
    <t>R  360020-096-0</t>
  </si>
  <si>
    <t>5101 239TH ST E</t>
  </si>
  <si>
    <t>EASTWOOD PK WELL SITE</t>
  </si>
  <si>
    <t xml:space="preserve"> 12/31/16</t>
  </si>
  <si>
    <t>COBANK - BACKHOE &amp; EXCAVATOR</t>
  </si>
  <si>
    <t>2016 GROSS PAYROLL TOTALS</t>
  </si>
  <si>
    <t xml:space="preserve">     Blagrove, Sherese</t>
  </si>
  <si>
    <t xml:space="preserve">     James, Rovella</t>
  </si>
  <si>
    <t xml:space="preserve">     Marshall, Ethan</t>
  </si>
  <si>
    <t xml:space="preserve">     Proctor, Kenneth</t>
  </si>
  <si>
    <t xml:space="preserve">     Spraggin, Stephanie</t>
  </si>
  <si>
    <t xml:space="preserve">     Anderson, Mathew</t>
  </si>
  <si>
    <t xml:space="preserve">     Atoigue, Angel</t>
  </si>
  <si>
    <t xml:space="preserve">     Hinsch, Ryan</t>
  </si>
  <si>
    <t xml:space="preserve">     Shoemaker, Zachariah</t>
  </si>
  <si>
    <t>TOTALS 2016</t>
  </si>
  <si>
    <t>2016 RATES</t>
  </si>
  <si>
    <t>2017 RATES</t>
  </si>
  <si>
    <t>2016 HOURS</t>
  </si>
  <si>
    <t>For period ending December 31, 2016</t>
  </si>
  <si>
    <t>DENTAL PLAN INCREASE EFFECTIVE 07/01/16</t>
  </si>
  <si>
    <t>MEDICAL PLAN INCREASE EFFECTIVE 07/01/16</t>
  </si>
  <si>
    <t>SHOEMAKER, ZACHARIAH</t>
  </si>
  <si>
    <t>SPRAGGIN, STEPHANIE</t>
  </si>
  <si>
    <t>TAX DUE 2017</t>
  </si>
  <si>
    <t xml:space="preserve">EASTWOOD PK </t>
  </si>
  <si>
    <t>P 2002538650</t>
  </si>
  <si>
    <t>RENTAL INCOME</t>
  </si>
  <si>
    <t>DEDUCT PAULA</t>
  </si>
  <si>
    <t>RATE CASE COSTS 2017</t>
  </si>
  <si>
    <t>ACCOUNTING FEES</t>
  </si>
  <si>
    <t xml:space="preserve">ATTORNEY FEES </t>
  </si>
  <si>
    <t>PRINTING FEES RATE NOTICE</t>
  </si>
  <si>
    <t>MAILING FEES RATE NOTICE</t>
  </si>
  <si>
    <t>AMORTIZED THREE YEARS</t>
  </si>
  <si>
    <t>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</si>
</sst>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_)"/>
    <numFmt numFmtId="167" formatCode="0.000%"/>
    <numFmt numFmtId="168" formatCode="0.0"/>
    <numFmt numFmtId="169" formatCode="&quot;$&quot;#,##0"/>
    <numFmt numFmtId="170" formatCode="&quot;$&quot;#,##0.00"/>
    <numFmt numFmtId="171" formatCode="[$-409]mmmm\-yy;@"/>
  </numFmts>
  <fonts count="49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Helv"/>
    </font>
    <font>
      <u/>
      <sz val="12"/>
      <name val="Helv"/>
    </font>
    <font>
      <u val="singleAccounting"/>
      <sz val="12"/>
      <name val="Helv"/>
    </font>
    <font>
      <b/>
      <sz val="12"/>
      <name val="Helv"/>
    </font>
    <font>
      <sz val="12"/>
      <name val="Helv"/>
    </font>
    <font>
      <i/>
      <u/>
      <sz val="12"/>
      <name val="Helv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Helv"/>
    </font>
    <font>
      <u/>
      <sz val="16"/>
      <name val="Helv"/>
    </font>
    <font>
      <sz val="12"/>
      <color indexed="10"/>
      <name val="Helv"/>
    </font>
    <font>
      <sz val="12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Helv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rgb="FFFF0000"/>
      <name val="Helv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8" applyNumberFormat="0" applyAlignment="0" applyProtection="0"/>
    <xf numFmtId="0" fontId="33" fillId="9" borderId="29" applyNumberFormat="0" applyAlignment="0" applyProtection="0"/>
    <xf numFmtId="0" fontId="34" fillId="9" borderId="28" applyNumberFormat="0" applyAlignment="0" applyProtection="0"/>
    <xf numFmtId="0" fontId="35" fillId="0" borderId="30" applyNumberFormat="0" applyFill="0" applyAlignment="0" applyProtection="0"/>
    <xf numFmtId="0" fontId="36" fillId="10" borderId="3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3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0" borderId="0"/>
    <xf numFmtId="9" fontId="42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43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44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5" fillId="0" borderId="0"/>
    <xf numFmtId="0" fontId="43" fillId="0" borderId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4" fillId="0" borderId="0"/>
    <xf numFmtId="44" fontId="2" fillId="0" borderId="0" applyFont="0" applyFill="0" applyBorder="0" applyAlignment="0" applyProtection="0"/>
    <xf numFmtId="38" fontId="45" fillId="0" borderId="0" applyNumberFormat="0" applyFont="0" applyFill="0" applyBorder="0">
      <alignment horizontal="left" indent="4"/>
      <protection locked="0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34">
      <alignment horizontal="center"/>
    </xf>
    <xf numFmtId="3" fontId="46" fillId="0" borderId="0" applyFont="0" applyFill="0" applyBorder="0" applyAlignment="0" applyProtection="0"/>
    <xf numFmtId="0" fontId="46" fillId="37" borderId="0" applyNumberFormat="0" applyFont="0" applyBorder="0" applyAlignment="0" applyProtection="0"/>
    <xf numFmtId="165" fontId="15" fillId="36" borderId="0" applyFont="0" applyFill="0" applyBorder="0" applyAlignment="0" applyProtection="0">
      <alignment wrapText="1"/>
    </xf>
    <xf numFmtId="0" fontId="2" fillId="38" borderId="0" applyNumberFormat="0" applyFont="0" applyFill="0" applyBorder="0" applyAlignment="0" applyProtection="0"/>
    <xf numFmtId="0" fontId="1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5" fillId="0" borderId="0"/>
    <xf numFmtId="0" fontId="7" fillId="0" borderId="0"/>
    <xf numFmtId="0" fontId="1" fillId="0" borderId="0"/>
    <xf numFmtId="0" fontId="1" fillId="11" borderId="32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 applyProtection="1">
      <alignment horizontal="left"/>
    </xf>
    <xf numFmtId="0" fontId="3" fillId="0" borderId="0" xfId="0" applyFont="1"/>
    <xf numFmtId="0" fontId="4" fillId="0" borderId="0" xfId="0" applyFont="1" applyAlignment="1" applyProtection="1">
      <alignment horizontal="left"/>
    </xf>
    <xf numFmtId="0" fontId="3" fillId="0" borderId="0" xfId="0" applyFont="1" applyProtection="1"/>
    <xf numFmtId="5" fontId="0" fillId="0" borderId="0" xfId="0" applyNumberFormat="1" applyProtection="1"/>
    <xf numFmtId="37" fontId="0" fillId="0" borderId="0" xfId="0" applyNumberFormat="1" applyProtection="1"/>
    <xf numFmtId="37" fontId="4" fillId="0" borderId="0" xfId="0" applyNumberFormat="1" applyFont="1" applyProtection="1"/>
    <xf numFmtId="0" fontId="4" fillId="0" borderId="0" xfId="0" applyFont="1"/>
    <xf numFmtId="165" fontId="0" fillId="0" borderId="0" xfId="1" applyNumberFormat="1" applyFont="1" applyProtection="1"/>
    <xf numFmtId="5" fontId="4" fillId="0" borderId="0" xfId="0" applyNumberFormat="1" applyFont="1" applyProtection="1"/>
    <xf numFmtId="0" fontId="3" fillId="0" borderId="0" xfId="0" applyFont="1" applyAlignment="1" applyProtection="1">
      <alignment horizontal="left"/>
    </xf>
    <xf numFmtId="165" fontId="0" fillId="0" borderId="0" xfId="1" applyNumberFormat="1" applyFont="1"/>
    <xf numFmtId="37" fontId="3" fillId="0" borderId="0" xfId="0" applyNumberFormat="1" applyFont="1" applyAlignment="1" applyProtection="1">
      <alignment horizontal="right"/>
    </xf>
    <xf numFmtId="0" fontId="3" fillId="0" borderId="0" xfId="0" applyFont="1" applyAlignment="1">
      <alignment horizontal="right"/>
    </xf>
    <xf numFmtId="165" fontId="3" fillId="0" borderId="0" xfId="1" applyNumberFormat="1" applyFont="1" applyAlignment="1" applyProtection="1">
      <alignment horizontal="right"/>
    </xf>
    <xf numFmtId="10" fontId="0" fillId="0" borderId="0" xfId="0" applyNumberFormat="1"/>
    <xf numFmtId="0" fontId="0" fillId="0" borderId="0" xfId="0" quotePrefix="1" applyAlignment="1">
      <alignment horizontal="center"/>
    </xf>
    <xf numFmtId="166" fontId="0" fillId="0" borderId="0" xfId="0" applyNumberFormat="1" applyProtection="1"/>
    <xf numFmtId="0" fontId="6" fillId="0" borderId="0" xfId="0" applyFont="1" applyAlignment="1" applyProtection="1">
      <alignment horizontal="left"/>
    </xf>
    <xf numFmtId="10" fontId="0" fillId="0" borderId="0" xfId="0" applyNumberFormat="1" applyProtection="1"/>
    <xf numFmtId="0" fontId="0" fillId="0" borderId="1" xfId="0" applyBorder="1"/>
    <xf numFmtId="0" fontId="6" fillId="0" borderId="0" xfId="0" applyFont="1"/>
    <xf numFmtId="37" fontId="0" fillId="0" borderId="1" xfId="0" applyNumberFormat="1" applyBorder="1" applyProtection="1"/>
    <xf numFmtId="10" fontId="0" fillId="0" borderId="1" xfId="0" applyNumberFormat="1" applyBorder="1" applyProtection="1"/>
    <xf numFmtId="37" fontId="0" fillId="0" borderId="2" xfId="0" applyNumberFormat="1" applyBorder="1" applyProtection="1"/>
    <xf numFmtId="0" fontId="0" fillId="0" borderId="0" xfId="0" applyFill="1" applyAlignment="1" applyProtection="1">
      <alignment horizontal="left"/>
    </xf>
    <xf numFmtId="10" fontId="6" fillId="0" borderId="0" xfId="0" applyNumberFormat="1" applyFont="1" applyProtection="1"/>
    <xf numFmtId="0" fontId="0" fillId="0" borderId="0" xfId="0" applyAlignment="1">
      <alignment horizontal="center"/>
    </xf>
    <xf numFmtId="2" fontId="0" fillId="0" borderId="0" xfId="0" applyNumberFormat="1"/>
    <xf numFmtId="165" fontId="3" fillId="0" borderId="0" xfId="2" applyNumberFormat="1" applyFont="1"/>
    <xf numFmtId="165" fontId="0" fillId="0" borderId="0" xfId="1" applyNumberFormat="1" applyFont="1" applyAlignment="1" applyProtection="1">
      <alignment horizontal="left"/>
    </xf>
    <xf numFmtId="10" fontId="0" fillId="0" borderId="0" xfId="0" applyNumberFormat="1" applyAlignment="1" applyProtection="1">
      <alignment horizontal="right"/>
    </xf>
    <xf numFmtId="5" fontId="0" fillId="0" borderId="0" xfId="2" applyNumberFormat="1" applyFont="1" applyProtection="1"/>
    <xf numFmtId="37" fontId="7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/>
    <xf numFmtId="165" fontId="0" fillId="0" borderId="0" xfId="1" applyNumberFormat="1" applyFont="1" applyAlignment="1" applyProtection="1"/>
    <xf numFmtId="5" fontId="5" fillId="0" borderId="0" xfId="1" applyNumberFormat="1" applyFont="1" applyBorder="1" applyProtection="1"/>
    <xf numFmtId="0" fontId="8" fillId="0" borderId="0" xfId="0" applyFont="1"/>
    <xf numFmtId="0" fontId="0" fillId="2" borderId="0" xfId="0" applyFill="1"/>
    <xf numFmtId="0" fontId="0" fillId="2" borderId="0" xfId="0" applyFill="1" applyAlignment="1" applyProtection="1">
      <alignment horizontal="left"/>
    </xf>
    <xf numFmtId="10" fontId="0" fillId="2" borderId="0" xfId="0" applyNumberFormat="1" applyFill="1" applyProtection="1"/>
    <xf numFmtId="0" fontId="3" fillId="2" borderId="0" xfId="0" applyFont="1" applyFill="1"/>
    <xf numFmtId="37" fontId="0" fillId="0" borderId="0" xfId="0" applyNumberFormat="1" applyFill="1" applyProtection="1"/>
    <xf numFmtId="37" fontId="7" fillId="0" borderId="0" xfId="0" applyNumberFormat="1" applyFont="1" applyFill="1" applyProtection="1"/>
    <xf numFmtId="37" fontId="4" fillId="0" borderId="0" xfId="0" applyNumberFormat="1" applyFont="1" applyFill="1" applyProtection="1"/>
    <xf numFmtId="167" fontId="0" fillId="0" borderId="0" xfId="0" applyNumberFormat="1" applyProtection="1"/>
    <xf numFmtId="0" fontId="9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/>
    <xf numFmtId="0" fontId="11" fillId="0" borderId="0" xfId="0" applyFont="1"/>
    <xf numFmtId="43" fontId="0" fillId="0" borderId="0" xfId="1" applyFont="1"/>
    <xf numFmtId="43" fontId="0" fillId="0" borderId="0" xfId="0" applyNumberFormat="1"/>
    <xf numFmtId="43" fontId="0" fillId="0" borderId="0" xfId="1" applyFont="1" applyFill="1" applyBorder="1"/>
    <xf numFmtId="43" fontId="11" fillId="0" borderId="3" xfId="1" applyFont="1" applyBorder="1"/>
    <xf numFmtId="0" fontId="0" fillId="0" borderId="0" xfId="0" applyProtection="1"/>
    <xf numFmtId="164" fontId="0" fillId="0" borderId="6" xfId="1" applyNumberFormat="1" applyFont="1" applyBorder="1"/>
    <xf numFmtId="0" fontId="12" fillId="3" borderId="0" xfId="0" applyFont="1" applyFill="1" applyAlignment="1" applyProtection="1">
      <alignment horizontal="left"/>
    </xf>
    <xf numFmtId="37" fontId="12" fillId="3" borderId="0" xfId="0" applyNumberFormat="1" applyFont="1" applyFill="1" applyProtection="1"/>
    <xf numFmtId="37" fontId="12" fillId="0" borderId="0" xfId="0" applyNumberFormat="1" applyFont="1" applyProtection="1"/>
    <xf numFmtId="0" fontId="12" fillId="0" borderId="0" xfId="0" applyFont="1"/>
    <xf numFmtId="167" fontId="0" fillId="0" borderId="0" xfId="0" applyNumberFormat="1"/>
    <xf numFmtId="37" fontId="6" fillId="0" borderId="0" xfId="0" applyNumberFormat="1" applyFon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5" fontId="0" fillId="0" borderId="0" xfId="0" applyNumberFormat="1" applyAlignment="1" applyProtection="1">
      <alignment horizontal="left"/>
    </xf>
    <xf numFmtId="10" fontId="12" fillId="3" borderId="0" xfId="0" applyNumberFormat="1" applyFont="1" applyFill="1" applyProtection="1"/>
    <xf numFmtId="0" fontId="0" fillId="0" borderId="0" xfId="0" applyFill="1"/>
    <xf numFmtId="0" fontId="6" fillId="0" borderId="0" xfId="0" applyFont="1" applyAlignment="1" applyProtection="1">
      <alignment horizontal="center"/>
    </xf>
    <xf numFmtId="0" fontId="12" fillId="3" borderId="0" xfId="0" applyFont="1" applyFill="1"/>
    <xf numFmtId="0" fontId="0" fillId="0" borderId="0" xfId="0" applyFont="1"/>
    <xf numFmtId="37" fontId="0" fillId="3" borderId="0" xfId="0" applyNumberFormat="1" applyFill="1" applyProtection="1"/>
    <xf numFmtId="37" fontId="13" fillId="3" borderId="0" xfId="0" applyNumberFormat="1" applyFont="1" applyFill="1" applyProtection="1"/>
    <xf numFmtId="37" fontId="12" fillId="0" borderId="7" xfId="0" applyNumberFormat="1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14" fillId="0" borderId="0" xfId="0" applyFont="1" applyFill="1" applyAlignment="1" applyProtection="1">
      <alignment horizontal="left"/>
    </xf>
    <xf numFmtId="37" fontId="12" fillId="0" borderId="0" xfId="0" applyNumberFormat="1" applyFont="1"/>
    <xf numFmtId="0" fontId="0" fillId="0" borderId="8" xfId="0" applyBorder="1" applyAlignment="1" applyProtection="1">
      <alignment horizontal="left"/>
    </xf>
    <xf numFmtId="0" fontId="0" fillId="0" borderId="8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0" xfId="0" applyFont="1" applyBorder="1"/>
    <xf numFmtId="0" fontId="0" fillId="0" borderId="10" xfId="0" applyBorder="1" applyAlignment="1" applyProtection="1">
      <alignment horizontal="left"/>
    </xf>
    <xf numFmtId="0" fontId="7" fillId="0" borderId="10" xfId="0" applyFont="1" applyBorder="1"/>
    <xf numFmtId="0" fontId="3" fillId="0" borderId="9" xfId="0" applyFont="1" applyBorder="1" applyProtection="1"/>
    <xf numFmtId="37" fontId="0" fillId="0" borderId="10" xfId="0" applyNumberFormat="1" applyBorder="1" applyProtection="1"/>
    <xf numFmtId="37" fontId="4" fillId="0" borderId="10" xfId="0" applyNumberFormat="1" applyFont="1" applyBorder="1" applyProtection="1"/>
    <xf numFmtId="165" fontId="7" fillId="0" borderId="10" xfId="1" applyNumberFormat="1" applyFont="1" applyBorder="1"/>
    <xf numFmtId="0" fontId="0" fillId="3" borderId="10" xfId="0" applyFill="1" applyBorder="1" applyAlignment="1" applyProtection="1">
      <alignment horizontal="left"/>
    </xf>
    <xf numFmtId="0" fontId="3" fillId="0" borderId="0" xfId="0" applyFont="1" applyBorder="1"/>
    <xf numFmtId="0" fontId="0" fillId="0" borderId="0" xfId="0" applyBorder="1" applyAlignment="1" applyProtection="1">
      <alignment horizontal="left"/>
    </xf>
    <xf numFmtId="0" fontId="0" fillId="0" borderId="0" xfId="0" applyBorder="1"/>
    <xf numFmtId="0" fontId="3" fillId="0" borderId="11" xfId="0" applyFont="1" applyBorder="1" applyProtection="1"/>
    <xf numFmtId="0" fontId="0" fillId="0" borderId="12" xfId="0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39" fontId="0" fillId="0" borderId="0" xfId="1" applyNumberFormat="1" applyFont="1" applyBorder="1"/>
    <xf numFmtId="39" fontId="3" fillId="0" borderId="0" xfId="1" applyNumberFormat="1" applyFont="1" applyBorder="1"/>
    <xf numFmtId="39" fontId="0" fillId="0" borderId="12" xfId="1" applyNumberFormat="1" applyFont="1" applyBorder="1"/>
    <xf numFmtId="39" fontId="3" fillId="0" borderId="12" xfId="1" applyNumberFormat="1" applyFont="1" applyBorder="1"/>
    <xf numFmtId="39" fontId="0" fillId="0" borderId="13" xfId="1" applyNumberFormat="1" applyFont="1" applyBorder="1"/>
    <xf numFmtId="39" fontId="3" fillId="0" borderId="13" xfId="1" applyNumberFormat="1" applyFont="1" applyBorder="1"/>
    <xf numFmtId="39" fontId="0" fillId="0" borderId="8" xfId="1" applyNumberFormat="1" applyFont="1" applyBorder="1"/>
    <xf numFmtId="39" fontId="3" fillId="0" borderId="8" xfId="1" applyNumberFormat="1" applyFont="1" applyBorder="1"/>
    <xf numFmtId="39" fontId="0" fillId="0" borderId="10" xfId="1" applyNumberFormat="1" applyFont="1" applyBorder="1"/>
    <xf numFmtId="39" fontId="3" fillId="0" borderId="10" xfId="1" applyNumberFormat="1" applyFont="1" applyBorder="1"/>
    <xf numFmtId="39" fontId="3" fillId="0" borderId="10" xfId="1" applyNumberFormat="1" applyFont="1" applyBorder="1" applyAlignment="1" applyProtection="1">
      <alignment horizontal="left"/>
    </xf>
    <xf numFmtId="165" fontId="12" fillId="0" borderId="0" xfId="1" applyNumberFormat="1" applyFont="1"/>
    <xf numFmtId="37" fontId="0" fillId="0" borderId="0" xfId="0" applyNumberFormat="1"/>
    <xf numFmtId="0" fontId="0" fillId="0" borderId="14" xfId="0" applyBorder="1"/>
    <xf numFmtId="165" fontId="0" fillId="0" borderId="14" xfId="1" applyNumberFormat="1" applyFont="1" applyBorder="1"/>
    <xf numFmtId="0" fontId="0" fillId="0" borderId="15" xfId="0" applyBorder="1"/>
    <xf numFmtId="165" fontId="0" fillId="0" borderId="15" xfId="1" applyNumberFormat="1" applyFont="1" applyBorder="1"/>
    <xf numFmtId="37" fontId="0" fillId="0" borderId="10" xfId="1" applyNumberFormat="1" applyFont="1" applyBorder="1" applyProtection="1"/>
    <xf numFmtId="37" fontId="0" fillId="0" borderId="0" xfId="1" applyNumberFormat="1" applyFont="1" applyBorder="1"/>
    <xf numFmtId="37" fontId="0" fillId="0" borderId="8" xfId="1" applyNumberFormat="1" applyFont="1" applyBorder="1"/>
    <xf numFmtId="37" fontId="0" fillId="0" borderId="10" xfId="1" applyNumberFormat="1" applyFont="1" applyBorder="1"/>
    <xf numFmtId="37" fontId="4" fillId="0" borderId="10" xfId="1" applyNumberFormat="1" applyFont="1" applyBorder="1"/>
    <xf numFmtId="37" fontId="4" fillId="0" borderId="10" xfId="1" applyNumberFormat="1" applyFont="1" applyBorder="1" applyProtection="1"/>
    <xf numFmtId="37" fontId="3" fillId="0" borderId="10" xfId="1" applyNumberFormat="1" applyFont="1" applyBorder="1" applyAlignment="1" applyProtection="1">
      <alignment horizontal="right"/>
    </xf>
    <xf numFmtId="37" fontId="0" fillId="0" borderId="12" xfId="1" applyNumberFormat="1" applyFont="1" applyBorder="1" applyAlignment="1" applyProtection="1">
      <alignment horizontal="right"/>
    </xf>
    <xf numFmtId="37" fontId="3" fillId="0" borderId="0" xfId="1" applyNumberFormat="1" applyFont="1" applyBorder="1"/>
    <xf numFmtId="37" fontId="7" fillId="0" borderId="8" xfId="1" applyNumberFormat="1" applyFont="1" applyBorder="1"/>
    <xf numFmtId="37" fontId="7" fillId="0" borderId="10" xfId="1" applyNumberFormat="1" applyFont="1" applyBorder="1"/>
    <xf numFmtId="37" fontId="3" fillId="0" borderId="10" xfId="1" applyNumberFormat="1" applyFont="1" applyBorder="1"/>
    <xf numFmtId="37" fontId="3" fillId="0" borderId="10" xfId="1" applyNumberFormat="1" applyFont="1" applyBorder="1" applyAlignment="1">
      <alignment horizontal="right"/>
    </xf>
    <xf numFmtId="37" fontId="0" fillId="0" borderId="16" xfId="1" applyNumberFormat="1" applyFont="1" applyBorder="1" applyAlignment="1" applyProtection="1">
      <alignment horizontal="left"/>
    </xf>
    <xf numFmtId="37" fontId="0" fillId="0" borderId="17" xfId="1" applyNumberFormat="1" applyFont="1" applyBorder="1" applyAlignment="1" applyProtection="1">
      <alignment horizontal="left"/>
    </xf>
    <xf numFmtId="37" fontId="4" fillId="0" borderId="18" xfId="1" applyNumberFormat="1" applyFont="1" applyBorder="1" applyAlignment="1" applyProtection="1">
      <alignment horizontal="left"/>
    </xf>
    <xf numFmtId="165" fontId="3" fillId="0" borderId="10" xfId="1" applyNumberFormat="1" applyFont="1" applyBorder="1"/>
    <xf numFmtId="1" fontId="0" fillId="0" borderId="10" xfId="1" applyNumberFormat="1" applyFont="1" applyBorder="1" applyProtection="1"/>
    <xf numFmtId="37" fontId="0" fillId="0" borderId="0" xfId="0" applyNumberFormat="1" applyAlignment="1" applyProtection="1">
      <alignment horizontal="right"/>
    </xf>
    <xf numFmtId="0" fontId="3" fillId="0" borderId="0" xfId="0" applyNumberFormat="1" applyFont="1"/>
    <xf numFmtId="37" fontId="3" fillId="0" borderId="0" xfId="0" applyNumberFormat="1" applyFont="1"/>
    <xf numFmtId="39" fontId="3" fillId="0" borderId="0" xfId="0" applyNumberFormat="1" applyFont="1" applyAlignment="1" applyProtection="1">
      <alignment horizontal="left"/>
    </xf>
    <xf numFmtId="0" fontId="0" fillId="0" borderId="19" xfId="0" applyBorder="1" applyAlignment="1">
      <alignment horizontal="center"/>
    </xf>
    <xf numFmtId="0" fontId="0" fillId="0" borderId="4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" fontId="0" fillId="0" borderId="16" xfId="1" applyNumberFormat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43" fontId="0" fillId="0" borderId="18" xfId="1" applyFont="1" applyBorder="1" applyAlignment="1">
      <alignment horizontal="center"/>
    </xf>
    <xf numFmtId="0" fontId="0" fillId="0" borderId="5" xfId="0" applyBorder="1"/>
    <xf numFmtId="165" fontId="3" fillId="0" borderId="0" xfId="1" applyNumberFormat="1" applyFont="1" applyBorder="1"/>
    <xf numFmtId="165" fontId="0" fillId="0" borderId="12" xfId="1" applyNumberFormat="1" applyFont="1" applyBorder="1" applyAlignment="1" applyProtection="1">
      <alignment horizontal="left"/>
    </xf>
    <xf numFmtId="165" fontId="4" fillId="0" borderId="8" xfId="1" applyNumberFormat="1" applyFont="1" applyBorder="1" applyAlignment="1" applyProtection="1">
      <alignment horizontal="left"/>
    </xf>
    <xf numFmtId="165" fontId="3" fillId="0" borderId="8" xfId="1" applyNumberFormat="1" applyFont="1" applyBorder="1"/>
    <xf numFmtId="165" fontId="0" fillId="0" borderId="10" xfId="1" applyNumberFormat="1" applyFont="1" applyBorder="1" applyProtection="1"/>
    <xf numFmtId="165" fontId="4" fillId="0" borderId="10" xfId="1" applyNumberFormat="1" applyFont="1" applyBorder="1" applyProtection="1"/>
    <xf numFmtId="165" fontId="0" fillId="0" borderId="10" xfId="1" applyNumberFormat="1" applyFont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13" xfId="0" quotePrefix="1" applyBorder="1" applyAlignment="1">
      <alignment horizontal="left"/>
    </xf>
    <xf numFmtId="37" fontId="4" fillId="0" borderId="8" xfId="1" applyNumberFormat="1" applyFont="1" applyBorder="1" applyAlignment="1" applyProtection="1">
      <alignment horizontal="left"/>
    </xf>
    <xf numFmtId="2" fontId="0" fillId="0" borderId="0" xfId="0" applyNumberFormat="1" applyBorder="1"/>
    <xf numFmtId="165" fontId="0" fillId="0" borderId="3" xfId="0" applyNumberFormat="1" applyBorder="1"/>
    <xf numFmtId="165" fontId="0" fillId="0" borderId="13" xfId="1" applyNumberFormat="1" applyFont="1" applyBorder="1"/>
    <xf numFmtId="37" fontId="0" fillId="0" borderId="13" xfId="1" applyNumberFormat="1" applyFont="1" applyBorder="1" applyAlignment="1">
      <alignment horizontal="left" wrapText="1"/>
    </xf>
    <xf numFmtId="165" fontId="4" fillId="0" borderId="0" xfId="1" applyNumberFormat="1" applyFont="1" applyProtection="1"/>
    <xf numFmtId="165" fontId="12" fillId="3" borderId="0" xfId="1" applyNumberFormat="1" applyFont="1" applyFill="1" applyProtection="1"/>
    <xf numFmtId="165" fontId="0" fillId="0" borderId="0" xfId="1" applyNumberFormat="1" applyFont="1" applyFill="1" applyProtection="1"/>
    <xf numFmtId="165" fontId="12" fillId="3" borderId="0" xfId="1" applyNumberFormat="1" applyFont="1" applyFill="1"/>
    <xf numFmtId="165" fontId="0" fillId="0" borderId="0" xfId="1" applyNumberFormat="1" applyFont="1" applyAlignment="1" applyProtection="1">
      <alignment horizontal="center"/>
    </xf>
    <xf numFmtId="165" fontId="14" fillId="0" borderId="0" xfId="1" applyNumberFormat="1" applyFont="1" applyFill="1" applyProtection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Border="1"/>
    <xf numFmtId="37" fontId="0" fillId="0" borderId="12" xfId="1" quotePrefix="1" applyNumberFormat="1" applyFont="1" applyBorder="1" applyAlignment="1" applyProtection="1">
      <alignment horizontal="left" wrapText="1"/>
    </xf>
    <xf numFmtId="0" fontId="0" fillId="0" borderId="23" xfId="0" applyFill="1" applyBorder="1" applyAlignment="1" applyProtection="1">
      <alignment horizontal="left"/>
    </xf>
    <xf numFmtId="37" fontId="0" fillId="0" borderId="0" xfId="0" applyNumberFormat="1" applyFont="1" applyProtection="1"/>
    <xf numFmtId="37" fontId="0" fillId="0" borderId="13" xfId="1" applyNumberFormat="1" applyFont="1" applyBorder="1" applyAlignment="1" applyProtection="1">
      <alignment horizontal="center" wrapText="1"/>
    </xf>
    <xf numFmtId="39" fontId="7" fillId="0" borderId="10" xfId="1" applyNumberFormat="1" applyFont="1" applyBorder="1"/>
    <xf numFmtId="37" fontId="7" fillId="0" borderId="10" xfId="1" applyNumberFormat="1" applyFont="1" applyBorder="1" applyProtection="1"/>
    <xf numFmtId="5" fontId="3" fillId="0" borderId="0" xfId="0" applyNumberFormat="1" applyFont="1" applyProtection="1"/>
    <xf numFmtId="37" fontId="3" fillId="0" borderId="0" xfId="0" applyNumberFormat="1" applyFont="1" applyProtection="1"/>
    <xf numFmtId="10" fontId="0" fillId="0" borderId="0" xfId="3" applyNumberFormat="1" applyFont="1"/>
    <xf numFmtId="1" fontId="0" fillId="0" borderId="4" xfId="1" applyNumberFormat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2" fillId="0" borderId="0" xfId="0" applyFont="1" applyFill="1" applyBorder="1"/>
    <xf numFmtId="168" fontId="0" fillId="0" borderId="0" xfId="0" applyNumberFormat="1"/>
    <xf numFmtId="43" fontId="0" fillId="0" borderId="4" xfId="1" applyFont="1" applyBorder="1"/>
    <xf numFmtId="165" fontId="7" fillId="0" borderId="0" xfId="1" applyNumberFormat="1" applyFont="1" applyProtection="1"/>
    <xf numFmtId="10" fontId="0" fillId="0" borderId="0" xfId="0" applyNumberFormat="1" applyFont="1" applyProtection="1"/>
    <xf numFmtId="43" fontId="6" fillId="0" borderId="3" xfId="1" applyFont="1" applyBorder="1"/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69" fontId="20" fillId="0" borderId="6" xfId="0" applyNumberFormat="1" applyFont="1" applyBorder="1" applyAlignment="1">
      <alignment horizontal="center" wrapText="1"/>
    </xf>
    <xf numFmtId="170" fontId="20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6" fontId="16" fillId="0" borderId="6" xfId="0" applyNumberFormat="1" applyFont="1" applyBorder="1" applyAlignment="1">
      <alignment horizontal="center"/>
    </xf>
    <xf numFmtId="170" fontId="16" fillId="4" borderId="6" xfId="0" applyNumberFormat="1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6" fontId="16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6" fontId="0" fillId="0" borderId="6" xfId="0" applyNumberFormat="1" applyBorder="1" applyAlignment="1">
      <alignment horizontal="center"/>
    </xf>
    <xf numFmtId="170" fontId="0" fillId="4" borderId="6" xfId="0" applyNumberFormat="1" applyFill="1" applyBorder="1" applyAlignment="1">
      <alignment horizontal="center" wrapText="1"/>
    </xf>
    <xf numFmtId="170" fontId="2" fillId="4" borderId="6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quotePrefix="1" applyFont="1" applyBorder="1" applyAlignment="1">
      <alignment horizontal="center" wrapText="1"/>
    </xf>
    <xf numFmtId="6" fontId="2" fillId="0" borderId="6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169" fontId="2" fillId="0" borderId="6" xfId="0" applyNumberFormat="1" applyFont="1" applyFill="1" applyBorder="1" applyAlignment="1">
      <alignment horizontal="center" wrapText="1"/>
    </xf>
    <xf numFmtId="170" fontId="2" fillId="0" borderId="6" xfId="0" applyNumberFormat="1" applyFont="1" applyFill="1" applyBorder="1" applyAlignment="1">
      <alignment horizontal="center" wrapText="1"/>
    </xf>
    <xf numFmtId="9" fontId="11" fillId="0" borderId="6" xfId="3" applyFont="1" applyFill="1" applyBorder="1" applyAlignment="1">
      <alignment horizontal="center" wrapText="1"/>
    </xf>
    <xf numFmtId="0" fontId="24" fillId="0" borderId="0" xfId="0" applyFont="1"/>
    <xf numFmtId="170" fontId="6" fillId="0" borderId="3" xfId="0" applyNumberFormat="1" applyFont="1" applyBorder="1"/>
    <xf numFmtId="43" fontId="0" fillId="0" borderId="24" xfId="1" applyFont="1" applyBorder="1"/>
    <xf numFmtId="43" fontId="0" fillId="0" borderId="3" xfId="1" applyFont="1" applyBorder="1"/>
    <xf numFmtId="43" fontId="6" fillId="0" borderId="0" xfId="1" applyFont="1"/>
    <xf numFmtId="14" fontId="0" fillId="0" borderId="13" xfId="0" applyNumberFormat="1" applyBorder="1"/>
    <xf numFmtId="3" fontId="0" fillId="0" borderId="0" xfId="0" applyNumberFormat="1"/>
    <xf numFmtId="171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43" fontId="11" fillId="0" borderId="0" xfId="1" applyFont="1" applyBorder="1"/>
    <xf numFmtId="10" fontId="0" fillId="0" borderId="0" xfId="3" applyNumberFormat="1" applyFont="1" applyAlignment="1" applyProtection="1">
      <alignment horizontal="right"/>
    </xf>
    <xf numFmtId="37" fontId="4" fillId="0" borderId="0" xfId="0" applyNumberFormat="1" applyFont="1" applyBorder="1" applyProtection="1"/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6" fontId="17" fillId="0" borderId="6" xfId="0" applyNumberFormat="1" applyFont="1" applyBorder="1" applyAlignment="1">
      <alignment horizontal="center"/>
    </xf>
    <xf numFmtId="170" fontId="17" fillId="4" borderId="6" xfId="0" applyNumberFormat="1" applyFont="1" applyFill="1" applyBorder="1" applyAlignment="1">
      <alignment horizontal="center" wrapText="1"/>
    </xf>
    <xf numFmtId="0" fontId="48" fillId="0" borderId="0" xfId="0" applyFont="1"/>
    <xf numFmtId="0" fontId="21" fillId="0" borderId="6" xfId="0" applyFont="1" applyBorder="1" applyAlignment="1">
      <alignment horizontal="center"/>
    </xf>
    <xf numFmtId="0" fontId="0" fillId="0" borderId="12" xfId="0" applyBorder="1" applyAlignment="1" applyProtection="1">
      <alignment horizontal="left" vertical="top"/>
    </xf>
    <xf numFmtId="43" fontId="0" fillId="0" borderId="0" xfId="1" applyFont="1" applyBorder="1"/>
  </cellXfs>
  <cellStyles count="95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5"/>
    <cellStyle name="Comma 3" xfId="70"/>
    <cellStyle name="Comma 4" xfId="85"/>
    <cellStyle name="Comma 5" xfId="94"/>
    <cellStyle name="Comma 6" xfId="49"/>
    <cellStyle name="Currency" xfId="2" builtinId="4"/>
    <cellStyle name="Currency 2" xfId="53"/>
    <cellStyle name="Currency 2 2" xfId="60"/>
    <cellStyle name="Currency 2 3" xfId="67"/>
    <cellStyle name="Currency 3" xfId="55"/>
    <cellStyle name="Currency 4" xfId="56"/>
    <cellStyle name="Currency 5" xfId="72"/>
    <cellStyle name="Currency 6" xfId="86"/>
    <cellStyle name="Currency 7" xfId="91"/>
    <cellStyle name="Currency 8" xfId="50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82"/>
    <cellStyle name="Normal 11" xfId="83"/>
    <cellStyle name="Normal 12" xfId="88"/>
    <cellStyle name="Normal 13" xfId="89"/>
    <cellStyle name="Normal 14" xfId="92"/>
    <cellStyle name="Normal 15" xfId="46"/>
    <cellStyle name="Normal 2" xfId="48"/>
    <cellStyle name="Normal 2 2" xfId="59"/>
    <cellStyle name="Normal 2 7" xfId="87"/>
    <cellStyle name="Normal 3" xfId="51"/>
    <cellStyle name="Normal 3 2" xfId="63"/>
    <cellStyle name="Normal 4" xfId="52"/>
    <cellStyle name="Normal 5" xfId="58"/>
    <cellStyle name="Normal 5 2" xfId="62"/>
    <cellStyle name="Normal 6" xfId="65"/>
    <cellStyle name="Normal 7" xfId="68"/>
    <cellStyle name="Normal 8" xfId="71"/>
    <cellStyle name="Normal 9" xfId="4"/>
    <cellStyle name="Note 2" xfId="90"/>
    <cellStyle name="Output" xfId="15" builtinId="21" customBuiltin="1"/>
    <cellStyle name="Percent" xfId="3" builtinId="5"/>
    <cellStyle name="Percent 2" xfId="54"/>
    <cellStyle name="Percent 2 2" xfId="64"/>
    <cellStyle name="Percent 3" xfId="57"/>
    <cellStyle name="Percent 3 2" xfId="61"/>
    <cellStyle name="Percent 4" xfId="66"/>
    <cellStyle name="Percent 5" xfId="69"/>
    <cellStyle name="Percent 6" xfId="84"/>
    <cellStyle name="Percent 7" xfId="93"/>
    <cellStyle name="Percent 8" xfId="47"/>
    <cellStyle name="PS_Comma" xfId="73"/>
    <cellStyle name="PSChar" xfId="74"/>
    <cellStyle name="PSDate" xfId="75"/>
    <cellStyle name="PSDec" xfId="76"/>
    <cellStyle name="PSHeading" xfId="77"/>
    <cellStyle name="PSInt" xfId="78"/>
    <cellStyle name="PSSpacer" xfId="79"/>
    <cellStyle name="Title" xfId="6" builtinId="15" customBuiltin="1"/>
    <cellStyle name="Total" xfId="21" builtinId="25" customBuiltin="1"/>
    <cellStyle name="Warning Text" xfId="19" builtinId="11" customBuiltin="1"/>
    <cellStyle name="WM_STANDARD" xfId="80"/>
    <cellStyle name="WMI_Standard" xfId="8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2" transitionEvaluation="1" codeName="Sheet1"/>
  <dimension ref="A1:M290"/>
  <sheetViews>
    <sheetView showGridLines="0" tabSelected="1" topLeftCell="A58" zoomScale="75" zoomScaleNormal="75" workbookViewId="0">
      <pane xSplit="2" ySplit="4" topLeftCell="C62" activePane="bottomRight" state="frozen"/>
      <selection activeCell="A58" sqref="A58"/>
      <selection pane="topRight" activeCell="C58" sqref="C58"/>
      <selection pane="bottomLeft" activeCell="A62" sqref="A62"/>
      <selection pane="bottomRight" activeCell="F107" sqref="F107"/>
    </sheetView>
  </sheetViews>
  <sheetFormatPr defaultColWidth="15.21875" defaultRowHeight="15.75" x14ac:dyDescent="0.25"/>
  <cols>
    <col min="1" max="1" width="3.77734375" customWidth="1"/>
    <col min="2" max="2" width="30.77734375" customWidth="1"/>
    <col min="3" max="3" width="15.77734375" customWidth="1"/>
    <col min="4" max="4" width="12.77734375" customWidth="1"/>
    <col min="5" max="5" width="10.109375" customWidth="1"/>
    <col min="6" max="7" width="11.77734375" customWidth="1"/>
    <col min="8" max="8" width="16.44140625" customWidth="1"/>
    <col min="9" max="9" width="15.21875" customWidth="1"/>
    <col min="13" max="13" width="18.109375" bestFit="1" customWidth="1"/>
  </cols>
  <sheetData>
    <row r="1" spans="1:11" x14ac:dyDescent="0.25">
      <c r="B1" s="1" t="s">
        <v>0</v>
      </c>
      <c r="G1" s="1" t="s">
        <v>1</v>
      </c>
      <c r="H1" s="2"/>
    </row>
    <row r="2" spans="1:11" x14ac:dyDescent="0.25">
      <c r="H2" s="2"/>
    </row>
    <row r="3" spans="1:11" x14ac:dyDescent="0.25">
      <c r="H3" s="2"/>
    </row>
    <row r="4" spans="1:11" x14ac:dyDescent="0.25">
      <c r="H4" s="2"/>
    </row>
    <row r="5" spans="1:11" x14ac:dyDescent="0.25">
      <c r="C5" s="1" t="s">
        <v>2</v>
      </c>
      <c r="H5" s="2"/>
      <c r="I5" s="1" t="s">
        <v>3</v>
      </c>
      <c r="J5" s="1" t="s">
        <v>3</v>
      </c>
      <c r="K5" s="1" t="s">
        <v>3</v>
      </c>
    </row>
    <row r="6" spans="1:11" x14ac:dyDescent="0.25">
      <c r="C6" s="1" t="s">
        <v>4</v>
      </c>
      <c r="D6" s="1" t="s">
        <v>5</v>
      </c>
      <c r="E6" s="1"/>
      <c r="F6" s="1" t="s">
        <v>6</v>
      </c>
      <c r="G6" s="1" t="s">
        <v>3</v>
      </c>
      <c r="H6" s="2"/>
      <c r="I6" s="1" t="s">
        <v>7</v>
      </c>
      <c r="J6" s="1" t="s">
        <v>8</v>
      </c>
      <c r="K6" s="1" t="s">
        <v>9</v>
      </c>
    </row>
    <row r="7" spans="1:11" x14ac:dyDescent="0.25">
      <c r="C7" s="3" t="s">
        <v>503</v>
      </c>
      <c r="D7" s="3" t="s">
        <v>10</v>
      </c>
      <c r="E7" s="3"/>
      <c r="F7" s="3" t="s">
        <v>11</v>
      </c>
      <c r="G7" s="3" t="s">
        <v>12</v>
      </c>
      <c r="H7" s="2"/>
      <c r="I7" s="3" t="s">
        <v>13</v>
      </c>
      <c r="J7" s="3" t="s">
        <v>13</v>
      </c>
      <c r="K7" s="3" t="s">
        <v>13</v>
      </c>
    </row>
    <row r="8" spans="1:11" x14ac:dyDescent="0.25">
      <c r="A8" s="4">
        <v>1</v>
      </c>
      <c r="B8" s="1" t="s">
        <v>14</v>
      </c>
      <c r="H8" s="2"/>
    </row>
    <row r="9" spans="1:11" x14ac:dyDescent="0.25">
      <c r="A9" s="4">
        <v>2</v>
      </c>
      <c r="B9" s="1" t="s">
        <v>15</v>
      </c>
      <c r="C9" s="5">
        <v>17953.400000000001</v>
      </c>
      <c r="D9" s="5"/>
      <c r="E9" s="5"/>
      <c r="F9" s="5">
        <f>C9+D9</f>
        <v>17953.400000000001</v>
      </c>
      <c r="H9" s="2"/>
      <c r="I9" s="5">
        <f t="shared" ref="I9:I13" si="0">F9+G9</f>
        <v>17953.400000000001</v>
      </c>
      <c r="J9" s="5"/>
      <c r="K9" s="5">
        <f t="shared" ref="K9:K13" si="1">I9+J9</f>
        <v>17953.400000000001</v>
      </c>
    </row>
    <row r="10" spans="1:11" x14ac:dyDescent="0.25">
      <c r="A10" s="4">
        <v>3</v>
      </c>
      <c r="B10" s="1" t="s">
        <v>16</v>
      </c>
      <c r="C10" s="6">
        <v>5894146.8399999999</v>
      </c>
      <c r="D10" s="6"/>
      <c r="E10" s="6"/>
      <c r="F10" s="6">
        <f>C10+D10</f>
        <v>5894146.8399999999</v>
      </c>
      <c r="H10" s="2"/>
      <c r="I10" s="6">
        <f t="shared" si="0"/>
        <v>5894146.8399999999</v>
      </c>
      <c r="J10" s="6"/>
      <c r="K10" s="6">
        <f t="shared" si="1"/>
        <v>5894146.8399999999</v>
      </c>
    </row>
    <row r="11" spans="1:11" x14ac:dyDescent="0.25">
      <c r="A11" s="4">
        <v>4</v>
      </c>
      <c r="B11" s="1" t="s">
        <v>17</v>
      </c>
      <c r="C11" s="6">
        <v>297682.89</v>
      </c>
      <c r="D11" s="6"/>
      <c r="E11" s="6"/>
      <c r="F11" s="6">
        <f>C11+D11</f>
        <v>297682.89</v>
      </c>
      <c r="H11" s="2"/>
      <c r="I11" s="6">
        <f t="shared" si="0"/>
        <v>297682.89</v>
      </c>
      <c r="J11" s="6"/>
      <c r="K11" s="6">
        <f t="shared" si="1"/>
        <v>297682.89</v>
      </c>
    </row>
    <row r="12" spans="1:11" s="36" customFormat="1" x14ac:dyDescent="0.25">
      <c r="A12" s="4">
        <v>5</v>
      </c>
      <c r="B12" s="35" t="s">
        <v>18</v>
      </c>
      <c r="C12" s="7">
        <v>116012.65</v>
      </c>
      <c r="D12" s="7"/>
      <c r="E12" s="7"/>
      <c r="F12" s="7">
        <f>C12+D12</f>
        <v>116012.65</v>
      </c>
      <c r="I12" s="7">
        <f t="shared" si="0"/>
        <v>116012.65</v>
      </c>
      <c r="J12" s="7"/>
      <c r="K12" s="7">
        <f>I12+J12</f>
        <v>116012.65</v>
      </c>
    </row>
    <row r="13" spans="1:11" x14ac:dyDescent="0.25">
      <c r="A13" s="4">
        <v>6</v>
      </c>
      <c r="B13" s="1" t="s">
        <v>19</v>
      </c>
      <c r="C13" s="5">
        <f>SUM(C9:C12)</f>
        <v>6325795.7800000003</v>
      </c>
      <c r="D13" s="5">
        <f>SUM(D9:D12)</f>
        <v>0</v>
      </c>
      <c r="E13" s="5"/>
      <c r="F13" s="5">
        <f>SUM(F9:F12)</f>
        <v>6325795.7800000003</v>
      </c>
      <c r="G13" s="5">
        <f>SUM(G9:G12)</f>
        <v>0</v>
      </c>
      <c r="H13" s="2"/>
      <c r="I13" s="5">
        <f t="shared" si="0"/>
        <v>6325795.7800000003</v>
      </c>
      <c r="J13" s="5">
        <f>SUM(J9:J12)</f>
        <v>0</v>
      </c>
      <c r="K13" s="5">
        <f t="shared" si="1"/>
        <v>6325795.7800000003</v>
      </c>
    </row>
    <row r="14" spans="1:11" x14ac:dyDescent="0.25">
      <c r="A14" s="4">
        <v>7</v>
      </c>
      <c r="H14" s="2"/>
      <c r="I14" s="5"/>
      <c r="K14" s="6"/>
    </row>
    <row r="15" spans="1:11" x14ac:dyDescent="0.25">
      <c r="A15" s="4">
        <v>8</v>
      </c>
      <c r="B15" s="1" t="s">
        <v>20</v>
      </c>
      <c r="H15" s="2"/>
      <c r="I15" s="5"/>
      <c r="K15" s="6"/>
    </row>
    <row r="16" spans="1:11" x14ac:dyDescent="0.25">
      <c r="A16" s="4">
        <v>9</v>
      </c>
      <c r="B16" s="1" t="s">
        <v>21</v>
      </c>
      <c r="C16" s="5">
        <f>1697436.5-C17-153</f>
        <v>1176557.5</v>
      </c>
      <c r="D16" s="5"/>
      <c r="E16" s="5"/>
      <c r="F16" s="5">
        <f t="shared" ref="F16:F35" si="2">C16+D16</f>
        <v>1176557.5</v>
      </c>
      <c r="G16" s="5"/>
      <c r="H16" s="2"/>
      <c r="I16" s="5">
        <f t="shared" ref="I16:I35" si="3">F16+G16</f>
        <v>1176557.5</v>
      </c>
      <c r="J16" s="5"/>
      <c r="K16" s="5">
        <f t="shared" ref="K16:K38" si="4">I16+J16</f>
        <v>1176557.5</v>
      </c>
    </row>
    <row r="17" spans="1:11" x14ac:dyDescent="0.25">
      <c r="A17" s="4">
        <v>10</v>
      </c>
      <c r="B17" s="1" t="s">
        <v>22</v>
      </c>
      <c r="C17" s="6">
        <f>+'PA-1 SALARY2016'!B140</f>
        <v>520726</v>
      </c>
      <c r="D17" s="6"/>
      <c r="E17" s="6"/>
      <c r="F17" s="6">
        <f t="shared" si="2"/>
        <v>520726</v>
      </c>
      <c r="G17" s="6"/>
      <c r="H17" s="2"/>
      <c r="I17" s="6">
        <f t="shared" si="3"/>
        <v>520726</v>
      </c>
      <c r="J17" s="6"/>
      <c r="K17" s="6">
        <f t="shared" si="4"/>
        <v>520726</v>
      </c>
    </row>
    <row r="18" spans="1:11" x14ac:dyDescent="0.25">
      <c r="A18" s="4">
        <v>11</v>
      </c>
      <c r="B18" s="1" t="s">
        <v>23</v>
      </c>
      <c r="C18" s="6">
        <f>502059.29+1920.05</f>
        <v>503979.33999999997</v>
      </c>
      <c r="D18" s="6"/>
      <c r="E18" s="6"/>
      <c r="F18" s="6">
        <f t="shared" si="2"/>
        <v>503979.33999999997</v>
      </c>
      <c r="G18" s="6"/>
      <c r="H18" s="2"/>
      <c r="I18" s="6">
        <f t="shared" si="3"/>
        <v>503979.33999999997</v>
      </c>
      <c r="J18" s="6"/>
      <c r="K18" s="6">
        <f t="shared" si="4"/>
        <v>503979.33999999997</v>
      </c>
    </row>
    <row r="19" spans="1:11" x14ac:dyDescent="0.25">
      <c r="A19" s="4">
        <v>12</v>
      </c>
      <c r="B19" s="1" t="s">
        <v>24</v>
      </c>
      <c r="C19" s="6">
        <v>527779.26</v>
      </c>
      <c r="D19" s="6"/>
      <c r="E19" s="6"/>
      <c r="F19" s="6">
        <f t="shared" si="2"/>
        <v>527779.26</v>
      </c>
      <c r="G19" s="6"/>
      <c r="H19" s="2"/>
      <c r="I19" s="6">
        <f t="shared" si="3"/>
        <v>527779.26</v>
      </c>
      <c r="J19" s="6"/>
      <c r="K19" s="6">
        <f t="shared" si="4"/>
        <v>527779.26</v>
      </c>
    </row>
    <row r="20" spans="1:11" x14ac:dyDescent="0.25">
      <c r="A20" s="4">
        <v>13</v>
      </c>
      <c r="B20" s="1" t="s">
        <v>63</v>
      </c>
      <c r="C20" s="6">
        <v>143712.51</v>
      </c>
      <c r="D20" s="6"/>
      <c r="E20" s="6"/>
      <c r="F20" s="6">
        <f t="shared" si="2"/>
        <v>143712.51</v>
      </c>
      <c r="G20" s="6"/>
      <c r="H20" s="2"/>
      <c r="I20" s="6">
        <f t="shared" si="3"/>
        <v>143712.51</v>
      </c>
      <c r="J20" s="6"/>
      <c r="K20" s="6">
        <f t="shared" si="4"/>
        <v>143712.51</v>
      </c>
    </row>
    <row r="21" spans="1:11" x14ac:dyDescent="0.25">
      <c r="A21" s="4">
        <v>14</v>
      </c>
      <c r="B21" s="1" t="s">
        <v>26</v>
      </c>
      <c r="C21" s="6">
        <v>676736.71</v>
      </c>
      <c r="D21" s="6"/>
      <c r="E21" s="6"/>
      <c r="F21" s="6">
        <f t="shared" si="2"/>
        <v>676736.71</v>
      </c>
      <c r="G21" s="6"/>
      <c r="H21" s="2"/>
      <c r="I21" s="6">
        <f t="shared" si="3"/>
        <v>676736.71</v>
      </c>
      <c r="J21" s="6"/>
      <c r="K21" s="6">
        <f t="shared" si="4"/>
        <v>676736.71</v>
      </c>
    </row>
    <row r="22" spans="1:11" x14ac:dyDescent="0.25">
      <c r="A22" s="4">
        <v>15</v>
      </c>
      <c r="B22" s="1" t="s">
        <v>27</v>
      </c>
      <c r="C22" s="6">
        <v>86061.27</v>
      </c>
      <c r="D22" s="6"/>
      <c r="E22" s="6"/>
      <c r="F22" s="6">
        <f t="shared" si="2"/>
        <v>86061.27</v>
      </c>
      <c r="G22" s="6"/>
      <c r="H22" s="2"/>
      <c r="I22" s="6">
        <f t="shared" si="3"/>
        <v>86061.27</v>
      </c>
      <c r="J22" s="6"/>
      <c r="K22" s="6">
        <f t="shared" si="4"/>
        <v>86061.27</v>
      </c>
    </row>
    <row r="23" spans="1:11" x14ac:dyDescent="0.25">
      <c r="A23" s="4">
        <v>16</v>
      </c>
      <c r="B23" s="1" t="s">
        <v>28</v>
      </c>
      <c r="C23" s="6">
        <v>92712.54</v>
      </c>
      <c r="D23" s="6"/>
      <c r="E23" s="6"/>
      <c r="F23" s="6">
        <f t="shared" si="2"/>
        <v>92712.54</v>
      </c>
      <c r="G23" s="6"/>
      <c r="H23" s="2"/>
      <c r="I23" s="6">
        <f t="shared" si="3"/>
        <v>92712.54</v>
      </c>
      <c r="J23" s="6"/>
      <c r="K23" s="6">
        <f t="shared" si="4"/>
        <v>92712.54</v>
      </c>
    </row>
    <row r="24" spans="1:11" x14ac:dyDescent="0.25">
      <c r="A24" s="4">
        <v>17</v>
      </c>
      <c r="B24" s="1" t="s">
        <v>29</v>
      </c>
      <c r="C24" s="6">
        <v>15465</v>
      </c>
      <c r="D24" s="6"/>
      <c r="E24" s="6"/>
      <c r="F24" s="6">
        <f t="shared" si="2"/>
        <v>15465</v>
      </c>
      <c r="G24" s="6"/>
      <c r="H24" s="2"/>
      <c r="I24" s="6">
        <f t="shared" si="3"/>
        <v>15465</v>
      </c>
      <c r="J24" s="6"/>
      <c r="K24" s="6">
        <f t="shared" si="4"/>
        <v>15465</v>
      </c>
    </row>
    <row r="25" spans="1:11" x14ac:dyDescent="0.25">
      <c r="A25" s="4">
        <v>18</v>
      </c>
      <c r="B25" s="1" t="s">
        <v>30</v>
      </c>
      <c r="C25" s="6">
        <v>28183.040000000001</v>
      </c>
      <c r="D25" s="6"/>
      <c r="E25" s="6"/>
      <c r="F25" s="6">
        <f t="shared" si="2"/>
        <v>28183.040000000001</v>
      </c>
      <c r="G25" s="6"/>
      <c r="H25" s="2"/>
      <c r="I25" s="6">
        <f t="shared" si="3"/>
        <v>28183.040000000001</v>
      </c>
      <c r="J25" s="6"/>
      <c r="K25" s="6">
        <f t="shared" si="4"/>
        <v>28183.040000000001</v>
      </c>
    </row>
    <row r="26" spans="1:11" x14ac:dyDescent="0.25">
      <c r="A26" s="4">
        <v>19</v>
      </c>
      <c r="B26" s="1" t="s">
        <v>222</v>
      </c>
      <c r="C26" s="6">
        <v>-154032</v>
      </c>
      <c r="D26" s="6"/>
      <c r="E26" s="6"/>
      <c r="F26" s="6">
        <f t="shared" si="2"/>
        <v>-154032</v>
      </c>
      <c r="G26" s="6"/>
      <c r="H26" s="2"/>
      <c r="I26" s="6">
        <f t="shared" si="3"/>
        <v>-154032</v>
      </c>
      <c r="J26" s="6"/>
      <c r="K26" s="6">
        <f t="shared" si="4"/>
        <v>-154032</v>
      </c>
    </row>
    <row r="27" spans="1:11" x14ac:dyDescent="0.25">
      <c r="A27" s="4">
        <v>20</v>
      </c>
      <c r="B27" s="1" t="s">
        <v>32</v>
      </c>
      <c r="C27" s="6">
        <v>4620.51</v>
      </c>
      <c r="D27" s="6"/>
      <c r="E27" s="6"/>
      <c r="F27" s="6">
        <f t="shared" si="2"/>
        <v>4620.51</v>
      </c>
      <c r="G27" s="6"/>
      <c r="H27" s="2"/>
      <c r="I27" s="6">
        <f t="shared" si="3"/>
        <v>4620.51</v>
      </c>
      <c r="J27" s="6"/>
      <c r="K27" s="6">
        <f t="shared" si="4"/>
        <v>4620.51</v>
      </c>
    </row>
    <row r="28" spans="1:11" x14ac:dyDescent="0.25">
      <c r="A28" s="4">
        <v>21</v>
      </c>
      <c r="B28" s="1" t="s">
        <v>33</v>
      </c>
      <c r="C28" s="6">
        <v>135602.75</v>
      </c>
      <c r="D28" s="6"/>
      <c r="E28" s="6"/>
      <c r="F28" s="6">
        <f t="shared" si="2"/>
        <v>135602.75</v>
      </c>
      <c r="G28" s="6"/>
      <c r="H28" s="2"/>
      <c r="I28" s="6">
        <f t="shared" si="3"/>
        <v>135602.75</v>
      </c>
      <c r="J28" s="6"/>
      <c r="K28" s="6">
        <f t="shared" si="4"/>
        <v>135602.75</v>
      </c>
    </row>
    <row r="29" spans="1:11" x14ac:dyDescent="0.25">
      <c r="A29" s="4">
        <v>22</v>
      </c>
      <c r="B29" s="1" t="s">
        <v>34</v>
      </c>
      <c r="C29" s="6">
        <v>16505.169999999998</v>
      </c>
      <c r="D29" s="6"/>
      <c r="E29" s="6"/>
      <c r="F29" s="6">
        <f t="shared" si="2"/>
        <v>16505.169999999998</v>
      </c>
      <c r="G29" s="6"/>
      <c r="H29" s="2"/>
      <c r="I29" s="6">
        <f t="shared" si="3"/>
        <v>16505.169999999998</v>
      </c>
      <c r="J29" s="6"/>
      <c r="K29" s="6">
        <f t="shared" si="4"/>
        <v>16505.169999999998</v>
      </c>
    </row>
    <row r="30" spans="1:11" x14ac:dyDescent="0.25">
      <c r="A30" s="4">
        <v>23</v>
      </c>
      <c r="B30" s="1" t="s">
        <v>35</v>
      </c>
      <c r="C30" s="6">
        <v>64190.91</v>
      </c>
      <c r="D30" s="6"/>
      <c r="E30" s="6"/>
      <c r="F30" s="6">
        <f t="shared" si="2"/>
        <v>64190.91</v>
      </c>
      <c r="G30" s="6"/>
      <c r="H30" s="2"/>
      <c r="I30" s="6">
        <f t="shared" si="3"/>
        <v>64190.91</v>
      </c>
      <c r="J30" s="6"/>
      <c r="K30" s="6">
        <f t="shared" si="4"/>
        <v>64190.91</v>
      </c>
    </row>
    <row r="31" spans="1:11" x14ac:dyDescent="0.25">
      <c r="A31" s="4">
        <v>24</v>
      </c>
      <c r="B31" s="1" t="s">
        <v>36</v>
      </c>
      <c r="C31" s="6">
        <v>12666.12</v>
      </c>
      <c r="D31" s="6"/>
      <c r="E31" s="6"/>
      <c r="F31" s="6">
        <f t="shared" si="2"/>
        <v>12666.12</v>
      </c>
      <c r="G31" s="6"/>
      <c r="H31" s="2"/>
      <c r="I31" s="6">
        <f t="shared" si="3"/>
        <v>12666.12</v>
      </c>
      <c r="J31" s="6"/>
      <c r="K31" s="6">
        <f t="shared" si="4"/>
        <v>12666.12</v>
      </c>
    </row>
    <row r="32" spans="1:11" x14ac:dyDescent="0.25">
      <c r="A32" s="4">
        <v>25</v>
      </c>
      <c r="B32" s="1" t="s">
        <v>37</v>
      </c>
      <c r="C32" s="6">
        <f>67986.7-39454</f>
        <v>28532.699999999997</v>
      </c>
      <c r="D32" s="6"/>
      <c r="E32" s="6"/>
      <c r="F32" s="6">
        <f t="shared" si="2"/>
        <v>28532.699999999997</v>
      </c>
      <c r="G32" s="6"/>
      <c r="H32" s="2"/>
      <c r="I32" s="6">
        <f t="shared" si="3"/>
        <v>28532.699999999997</v>
      </c>
      <c r="J32" s="6"/>
      <c r="K32" s="6">
        <f t="shared" si="4"/>
        <v>28532.699999999997</v>
      </c>
    </row>
    <row r="33" spans="1:11" x14ac:dyDescent="0.25">
      <c r="A33" s="4">
        <v>26</v>
      </c>
      <c r="B33" s="1" t="s">
        <v>38</v>
      </c>
      <c r="C33" s="6">
        <v>545806</v>
      </c>
      <c r="D33" s="6"/>
      <c r="E33" s="6"/>
      <c r="F33" s="6">
        <f t="shared" si="2"/>
        <v>545806</v>
      </c>
      <c r="G33" s="6"/>
      <c r="H33" s="2"/>
      <c r="I33" s="6">
        <f t="shared" si="3"/>
        <v>545806</v>
      </c>
      <c r="J33" s="6"/>
      <c r="K33" s="6">
        <f t="shared" si="4"/>
        <v>545806</v>
      </c>
    </row>
    <row r="34" spans="1:11" x14ac:dyDescent="0.25">
      <c r="A34" s="4">
        <v>27</v>
      </c>
      <c r="B34" s="1" t="s">
        <v>39</v>
      </c>
      <c r="C34" s="6">
        <v>18981.95</v>
      </c>
      <c r="D34" s="6"/>
      <c r="E34" s="6"/>
      <c r="F34" s="6">
        <f t="shared" si="2"/>
        <v>18981.95</v>
      </c>
      <c r="G34" s="6"/>
      <c r="H34" s="2"/>
      <c r="I34" s="6">
        <f t="shared" si="3"/>
        <v>18981.95</v>
      </c>
      <c r="J34" s="6"/>
      <c r="K34" s="6">
        <f t="shared" si="4"/>
        <v>18981.95</v>
      </c>
    </row>
    <row r="35" spans="1:11" x14ac:dyDescent="0.25">
      <c r="A35" s="4">
        <v>28</v>
      </c>
      <c r="B35" s="1" t="s">
        <v>40</v>
      </c>
      <c r="C35" s="6">
        <v>827997.62</v>
      </c>
      <c r="D35" s="6"/>
      <c r="E35" s="6"/>
      <c r="F35" s="6">
        <f t="shared" si="2"/>
        <v>827997.62</v>
      </c>
      <c r="G35" s="6"/>
      <c r="H35" s="2"/>
      <c r="I35" s="6">
        <f t="shared" si="3"/>
        <v>827997.62</v>
      </c>
      <c r="J35" s="6"/>
      <c r="K35" s="6">
        <f t="shared" si="4"/>
        <v>827997.62</v>
      </c>
    </row>
    <row r="36" spans="1:11" x14ac:dyDescent="0.25">
      <c r="A36" s="4">
        <v>29</v>
      </c>
      <c r="C36" s="6"/>
      <c r="D36" s="6"/>
      <c r="E36" s="6"/>
      <c r="F36" s="6"/>
      <c r="G36" s="6"/>
      <c r="H36" s="2"/>
      <c r="I36" s="6"/>
      <c r="J36" s="6"/>
      <c r="K36" s="6">
        <f t="shared" si="4"/>
        <v>0</v>
      </c>
    </row>
    <row r="37" spans="1:11" x14ac:dyDescent="0.25">
      <c r="A37" s="4">
        <v>30</v>
      </c>
      <c r="C37" s="7">
        <v>0</v>
      </c>
      <c r="D37" s="7">
        <v>0</v>
      </c>
      <c r="E37" s="7"/>
      <c r="F37" s="7">
        <v>0</v>
      </c>
      <c r="G37" s="7">
        <v>0</v>
      </c>
      <c r="H37" s="2"/>
      <c r="I37" s="7">
        <v>0</v>
      </c>
      <c r="J37" s="7">
        <v>0</v>
      </c>
      <c r="K37" s="7">
        <f t="shared" si="4"/>
        <v>0</v>
      </c>
    </row>
    <row r="38" spans="1:11" x14ac:dyDescent="0.25">
      <c r="A38" s="4">
        <v>31</v>
      </c>
      <c r="B38" s="1" t="s">
        <v>41</v>
      </c>
      <c r="C38" s="5">
        <f>SUM(C16:C37)</f>
        <v>5272784.9000000004</v>
      </c>
      <c r="D38" s="5">
        <f>SUM(D16:D37)</f>
        <v>0</v>
      </c>
      <c r="E38" s="5"/>
      <c r="F38" s="5">
        <f>SUM(F16:F37)</f>
        <v>5272784.9000000004</v>
      </c>
      <c r="G38" s="5">
        <f>SUM(G16:G37)</f>
        <v>0</v>
      </c>
      <c r="H38" s="2"/>
      <c r="I38" s="5">
        <f>F38+G38</f>
        <v>5272784.9000000004</v>
      </c>
      <c r="J38" s="5">
        <f>SUM(J16:J37)</f>
        <v>0</v>
      </c>
      <c r="K38" s="5">
        <f t="shared" si="4"/>
        <v>5272784.9000000004</v>
      </c>
    </row>
    <row r="39" spans="1:11" x14ac:dyDescent="0.25">
      <c r="A39" s="4">
        <v>32</v>
      </c>
      <c r="H39" s="2"/>
      <c r="I39" s="5"/>
      <c r="K39" s="6"/>
    </row>
    <row r="40" spans="1:11" x14ac:dyDescent="0.25">
      <c r="A40" s="4">
        <v>33</v>
      </c>
      <c r="B40" s="1" t="s">
        <v>42</v>
      </c>
      <c r="C40" s="5">
        <f>+C13-C38</f>
        <v>1053010.8799999999</v>
      </c>
      <c r="D40" s="5">
        <f>D13-D38</f>
        <v>0</v>
      </c>
      <c r="E40" s="5"/>
      <c r="F40" s="5">
        <f>F13-F38</f>
        <v>1053010.8799999999</v>
      </c>
      <c r="G40" s="5">
        <f>G13-G38</f>
        <v>0</v>
      </c>
      <c r="H40" s="2"/>
      <c r="I40" s="5">
        <f>I13-I38</f>
        <v>1053010.8799999999</v>
      </c>
      <c r="J40" s="5">
        <f>J13-J38</f>
        <v>0</v>
      </c>
      <c r="K40" s="5">
        <f>K13-K38</f>
        <v>1053010.8799999999</v>
      </c>
    </row>
    <row r="41" spans="1:11" x14ac:dyDescent="0.25">
      <c r="A41" s="4">
        <v>34</v>
      </c>
      <c r="B41" s="1" t="s">
        <v>43</v>
      </c>
      <c r="C41" s="7">
        <f>465644-19815</f>
        <v>445829</v>
      </c>
      <c r="D41" s="7">
        <f>+(D40-D44)*0.34</f>
        <v>0</v>
      </c>
      <c r="E41" s="7"/>
      <c r="F41" s="7">
        <f>C41+D41</f>
        <v>445829</v>
      </c>
      <c r="G41" s="7">
        <f>+(G40-G44)*0.34</f>
        <v>0</v>
      </c>
      <c r="H41" s="7"/>
      <c r="I41" s="10">
        <f>F41+G41</f>
        <v>445829</v>
      </c>
      <c r="J41" s="7">
        <f>+(J40-J44)*0.34</f>
        <v>0</v>
      </c>
      <c r="K41" s="7">
        <f>+(K40-K44)*0.34</f>
        <v>327445.11919999996</v>
      </c>
    </row>
    <row r="42" spans="1:11" x14ac:dyDescent="0.25">
      <c r="A42" s="4">
        <v>35</v>
      </c>
      <c r="B42" s="1" t="s">
        <v>44</v>
      </c>
      <c r="C42" s="5">
        <f>+C40-C41</f>
        <v>607181.87999999989</v>
      </c>
      <c r="D42" s="5">
        <f>D40-D41</f>
        <v>0</v>
      </c>
      <c r="E42" s="5"/>
      <c r="F42" s="34">
        <f>C42+D42</f>
        <v>607181.87999999989</v>
      </c>
      <c r="G42" s="5">
        <f>G40-G41</f>
        <v>0</v>
      </c>
      <c r="H42" s="2"/>
      <c r="I42" s="5">
        <f>F42+G42</f>
        <v>607181.87999999989</v>
      </c>
      <c r="J42" s="5">
        <f>J40-J41</f>
        <v>0</v>
      </c>
      <c r="K42" s="5">
        <f>I42+J42</f>
        <v>607181.87999999989</v>
      </c>
    </row>
    <row r="43" spans="1:11" x14ac:dyDescent="0.25">
      <c r="A43" s="4">
        <v>36</v>
      </c>
      <c r="B43" s="1"/>
      <c r="C43" s="5"/>
      <c r="D43" s="5"/>
      <c r="E43" s="5"/>
      <c r="F43" s="5"/>
      <c r="G43" s="5"/>
      <c r="H43" s="2"/>
      <c r="I43" s="5"/>
      <c r="J43" s="5"/>
      <c r="K43" s="5"/>
    </row>
    <row r="44" spans="1:11" x14ac:dyDescent="0.25">
      <c r="A44" s="4">
        <v>37</v>
      </c>
      <c r="B44" s="37" t="s">
        <v>93</v>
      </c>
      <c r="C44" s="7">
        <f>138249-48312</f>
        <v>89937</v>
      </c>
      <c r="D44" s="7">
        <v>0</v>
      </c>
      <c r="E44" s="7"/>
      <c r="F44" s="7">
        <f>C44+D44</f>
        <v>89937</v>
      </c>
      <c r="G44" s="7">
        <v>0</v>
      </c>
      <c r="H44" s="2"/>
      <c r="I44" s="7">
        <f>F44+G44</f>
        <v>89937</v>
      </c>
      <c r="J44" s="7">
        <v>0</v>
      </c>
      <c r="K44" s="6">
        <f>I44+J44</f>
        <v>89937</v>
      </c>
    </row>
    <row r="45" spans="1:11" s="12" customFormat="1" x14ac:dyDescent="0.25">
      <c r="A45" s="4">
        <v>38</v>
      </c>
      <c r="B45" s="37" t="s">
        <v>92</v>
      </c>
      <c r="C45" s="5">
        <f>+C42-C44</f>
        <v>517244.87999999989</v>
      </c>
      <c r="D45" s="5">
        <f>+D42-D44</f>
        <v>0</v>
      </c>
      <c r="E45" s="5"/>
      <c r="F45" s="6">
        <f>C45+D45</f>
        <v>517244.87999999989</v>
      </c>
      <c r="G45" s="5">
        <f>+G42-G44</f>
        <v>0</v>
      </c>
      <c r="H45" s="2"/>
      <c r="I45" s="6">
        <f>F45+G45</f>
        <v>517244.87999999989</v>
      </c>
      <c r="J45" s="5">
        <f>+J42-J44</f>
        <v>0</v>
      </c>
      <c r="K45" s="5">
        <f>+K42-K44</f>
        <v>517244.87999999989</v>
      </c>
    </row>
    <row r="46" spans="1:11" x14ac:dyDescent="0.25">
      <c r="A46" s="4">
        <v>39</v>
      </c>
      <c r="C46" s="5"/>
      <c r="H46" s="2"/>
      <c r="I46" s="5"/>
      <c r="K46" s="6"/>
    </row>
    <row r="47" spans="1:11" x14ac:dyDescent="0.25">
      <c r="A47" s="4">
        <v>40</v>
      </c>
      <c r="B47" s="1" t="s">
        <v>45</v>
      </c>
      <c r="H47" s="2"/>
      <c r="I47" s="5"/>
      <c r="K47" s="6"/>
    </row>
    <row r="48" spans="1:11" x14ac:dyDescent="0.25">
      <c r="A48" s="4">
        <v>41</v>
      </c>
      <c r="B48" s="1" t="s">
        <v>46</v>
      </c>
      <c r="C48" s="5">
        <v>47211425</v>
      </c>
      <c r="D48" s="5"/>
      <c r="E48" s="5"/>
      <c r="F48" s="5">
        <f>C48+D48</f>
        <v>47211425</v>
      </c>
      <c r="G48" s="5"/>
      <c r="H48" s="2"/>
      <c r="I48" s="5">
        <f>F48+G48</f>
        <v>47211425</v>
      </c>
      <c r="J48" s="5">
        <v>0</v>
      </c>
      <c r="K48" s="5">
        <f>I48+J48</f>
        <v>47211425</v>
      </c>
    </row>
    <row r="49" spans="1:13" x14ac:dyDescent="0.25">
      <c r="A49" s="4">
        <v>42</v>
      </c>
      <c r="B49" s="1" t="s">
        <v>47</v>
      </c>
      <c r="C49" s="6">
        <v>-15862876</v>
      </c>
      <c r="D49" s="6"/>
      <c r="E49" s="6"/>
      <c r="F49" s="6">
        <f>C49+D49</f>
        <v>-15862876</v>
      </c>
      <c r="G49" s="6">
        <v>0</v>
      </c>
      <c r="H49" s="2"/>
      <c r="I49" s="6">
        <f>F49+G49</f>
        <v>-15862876</v>
      </c>
      <c r="J49" s="6">
        <v>0</v>
      </c>
      <c r="K49" s="6">
        <f>I49+J49</f>
        <v>-15862876</v>
      </c>
    </row>
    <row r="50" spans="1:13" x14ac:dyDescent="0.25">
      <c r="A50" s="4">
        <v>43</v>
      </c>
      <c r="B50" s="1" t="s">
        <v>48</v>
      </c>
      <c r="C50" s="7">
        <v>-20267792</v>
      </c>
      <c r="D50" s="7"/>
      <c r="E50" s="7"/>
      <c r="F50" s="7">
        <f>C50+D50</f>
        <v>-20267792</v>
      </c>
      <c r="G50" s="7">
        <v>0</v>
      </c>
      <c r="H50" s="2"/>
      <c r="I50" s="7">
        <f>F50+G50</f>
        <v>-20267792</v>
      </c>
      <c r="J50" s="7">
        <v>0</v>
      </c>
      <c r="K50" s="7">
        <f>I50+J50</f>
        <v>-20267792</v>
      </c>
    </row>
    <row r="51" spans="1:13" x14ac:dyDescent="0.25">
      <c r="A51" s="4">
        <v>44</v>
      </c>
      <c r="B51" s="1" t="s">
        <v>49</v>
      </c>
      <c r="C51" s="5">
        <f>C48+C49+C50</f>
        <v>11080757</v>
      </c>
      <c r="D51" s="5">
        <f>D48+D49+D50</f>
        <v>0</v>
      </c>
      <c r="E51" s="5"/>
      <c r="F51" s="5">
        <f>F48+F49+F50</f>
        <v>11080757</v>
      </c>
      <c r="G51" s="5">
        <f>G48+G49+G50</f>
        <v>0</v>
      </c>
      <c r="H51" s="2"/>
      <c r="I51" s="5">
        <f>I48+I49+I50</f>
        <v>11080757</v>
      </c>
      <c r="J51" s="5">
        <f>J48+J49+J50</f>
        <v>0</v>
      </c>
      <c r="K51" s="5">
        <f>I51+J51</f>
        <v>11080757</v>
      </c>
    </row>
    <row r="52" spans="1:13" x14ac:dyDescent="0.25">
      <c r="A52" s="4">
        <v>45</v>
      </c>
      <c r="H52" s="2"/>
      <c r="I52" s="5"/>
      <c r="K52" s="6"/>
    </row>
    <row r="53" spans="1:13" x14ac:dyDescent="0.25">
      <c r="A53" s="4">
        <v>46</v>
      </c>
      <c r="B53" s="41" t="s">
        <v>50</v>
      </c>
      <c r="C53" s="42">
        <f>C42/C51</f>
        <v>5.4796064925889079E-2</v>
      </c>
      <c r="D53" s="42"/>
      <c r="E53" s="42"/>
      <c r="F53" s="42">
        <f>F42/F51</f>
        <v>5.4796064925889079E-2</v>
      </c>
      <c r="G53" s="40"/>
      <c r="H53" s="42"/>
      <c r="I53" s="42">
        <f>I42/I51</f>
        <v>5.4796064925889079E-2</v>
      </c>
      <c r="J53" s="42"/>
      <c r="K53" s="42">
        <f>K42/K51</f>
        <v>5.4796064925889079E-2</v>
      </c>
    </row>
    <row r="54" spans="1:13" x14ac:dyDescent="0.25">
      <c r="A54" s="1" t="s">
        <v>51</v>
      </c>
      <c r="H54" s="2"/>
    </row>
    <row r="55" spans="1:13" x14ac:dyDescent="0.25">
      <c r="B55" s="1" t="s">
        <v>0</v>
      </c>
      <c r="H55" s="2"/>
      <c r="I55" s="1" t="s">
        <v>1</v>
      </c>
    </row>
    <row r="56" spans="1:13" x14ac:dyDescent="0.25">
      <c r="H56" s="2"/>
    </row>
    <row r="57" spans="1:13" x14ac:dyDescent="0.25">
      <c r="H57" s="2"/>
    </row>
    <row r="58" spans="1:13" x14ac:dyDescent="0.25">
      <c r="H58" s="2"/>
    </row>
    <row r="59" spans="1:13" x14ac:dyDescent="0.25">
      <c r="C59" s="1" t="s">
        <v>2</v>
      </c>
      <c r="H59" s="2"/>
      <c r="I59" s="1" t="s">
        <v>3</v>
      </c>
      <c r="J59" s="1" t="s">
        <v>3</v>
      </c>
      <c r="K59" s="1" t="s">
        <v>3</v>
      </c>
    </row>
    <row r="60" spans="1:13" x14ac:dyDescent="0.25">
      <c r="C60" s="1" t="s">
        <v>4</v>
      </c>
      <c r="D60" s="1" t="s">
        <v>5</v>
      </c>
      <c r="E60" s="1"/>
      <c r="F60" s="1" t="s">
        <v>6</v>
      </c>
      <c r="G60" s="1" t="s">
        <v>3</v>
      </c>
      <c r="H60" s="2"/>
      <c r="I60" s="1" t="s">
        <v>7</v>
      </c>
      <c r="J60" s="1" t="s">
        <v>8</v>
      </c>
      <c r="K60" s="1" t="s">
        <v>9</v>
      </c>
    </row>
    <row r="61" spans="1:13" x14ac:dyDescent="0.25">
      <c r="C61" s="3" t="str">
        <f>C7</f>
        <v xml:space="preserve"> 12/31/16</v>
      </c>
      <c r="D61" s="3" t="s">
        <v>10</v>
      </c>
      <c r="E61" s="3"/>
      <c r="F61" s="3" t="s">
        <v>11</v>
      </c>
      <c r="G61" s="3" t="s">
        <v>52</v>
      </c>
      <c r="H61" s="2"/>
      <c r="I61" s="3" t="s">
        <v>13</v>
      </c>
      <c r="J61" s="3" t="s">
        <v>13</v>
      </c>
      <c r="K61" s="3" t="s">
        <v>13</v>
      </c>
    </row>
    <row r="62" spans="1:13" x14ac:dyDescent="0.25">
      <c r="A62" s="4">
        <v>1</v>
      </c>
      <c r="B62" s="1" t="s">
        <v>14</v>
      </c>
      <c r="H62" s="2"/>
    </row>
    <row r="63" spans="1:13" x14ac:dyDescent="0.25">
      <c r="A63" s="4">
        <v>2</v>
      </c>
      <c r="B63" s="1" t="s">
        <v>15</v>
      </c>
      <c r="C63" s="5">
        <f>+C9</f>
        <v>17953.400000000001</v>
      </c>
      <c r="D63" s="5">
        <f>+RESTATE!C9</f>
        <v>0</v>
      </c>
      <c r="E63" s="177"/>
      <c r="F63" s="5">
        <f>C63+D63</f>
        <v>17953.400000000001</v>
      </c>
      <c r="G63" s="5">
        <f>+PROFORMA!D9</f>
        <v>0</v>
      </c>
      <c r="H63" s="2"/>
      <c r="I63" s="5">
        <f>F63+G63</f>
        <v>17953.400000000001</v>
      </c>
      <c r="J63" s="5">
        <f>+RETURN!C46</f>
        <v>0</v>
      </c>
      <c r="K63" s="5">
        <f t="shared" ref="K63:K68" si="5">I63+J63</f>
        <v>17953.400000000001</v>
      </c>
      <c r="L63" s="16">
        <f>+J63/C63</f>
        <v>0</v>
      </c>
    </row>
    <row r="64" spans="1:13" x14ac:dyDescent="0.25">
      <c r="A64" s="4">
        <v>3</v>
      </c>
      <c r="B64" s="1" t="s">
        <v>16</v>
      </c>
      <c r="C64" s="6">
        <f>+C10</f>
        <v>5894146.8399999999</v>
      </c>
      <c r="D64" s="5">
        <v>0</v>
      </c>
      <c r="E64" s="177"/>
      <c r="F64" s="6">
        <f>C64+D64</f>
        <v>5894146.8399999999</v>
      </c>
      <c r="G64" s="6">
        <f>+PROFORMA!D10</f>
        <v>0</v>
      </c>
      <c r="H64" s="2"/>
      <c r="I64" s="6">
        <f>F64+G64</f>
        <v>5894146.8399999999</v>
      </c>
      <c r="J64" s="6">
        <f>+RETURN!C47</f>
        <v>430632.23435408535</v>
      </c>
      <c r="K64" s="6">
        <f t="shared" si="5"/>
        <v>6324779.0743540851</v>
      </c>
      <c r="L64" s="16">
        <f>+J64/C64</f>
        <v>7.3060995262562101E-2</v>
      </c>
      <c r="M64" s="111">
        <f>+K63+K64</f>
        <v>6342732.4743540855</v>
      </c>
    </row>
    <row r="65" spans="1:13" x14ac:dyDescent="0.25">
      <c r="A65" s="4">
        <v>4</v>
      </c>
      <c r="B65" s="1" t="s">
        <v>17</v>
      </c>
      <c r="C65" s="6">
        <f>+C11</f>
        <v>297682.89</v>
      </c>
      <c r="D65" s="6"/>
      <c r="E65" s="177"/>
      <c r="F65" s="6">
        <f>C65+D65</f>
        <v>297682.89</v>
      </c>
      <c r="G65" s="6"/>
      <c r="H65" s="2"/>
      <c r="I65" s="6">
        <f>F65+G65</f>
        <v>297682.89</v>
      </c>
      <c r="J65" s="6"/>
      <c r="K65" s="6">
        <f t="shared" si="5"/>
        <v>297682.89</v>
      </c>
      <c r="M65" s="179">
        <f>SUM(J63:J64)/(+I63+I64)</f>
        <v>7.2839129391027602E-2</v>
      </c>
    </row>
    <row r="66" spans="1:13" x14ac:dyDescent="0.25">
      <c r="A66" s="4">
        <v>5</v>
      </c>
      <c r="B66" s="1" t="s">
        <v>18</v>
      </c>
      <c r="C66" s="173">
        <f>+C12</f>
        <v>116012.65</v>
      </c>
      <c r="D66" s="173"/>
      <c r="E66" s="177"/>
      <c r="F66" s="173">
        <f>C66+D66</f>
        <v>116012.65</v>
      </c>
      <c r="H66" s="39"/>
      <c r="I66" s="173">
        <f>F66+G67</f>
        <v>116012.65</v>
      </c>
      <c r="J66" s="7"/>
      <c r="K66" s="173">
        <f>I66+J66</f>
        <v>116012.65</v>
      </c>
    </row>
    <row r="67" spans="1:13" x14ac:dyDescent="0.25">
      <c r="A67" s="4">
        <v>6</v>
      </c>
      <c r="B67" s="1" t="s">
        <v>227</v>
      </c>
      <c r="C67" s="226">
        <v>0</v>
      </c>
      <c r="D67" s="7">
        <f>+RESTATE!D14</f>
        <v>68400</v>
      </c>
      <c r="E67" s="178"/>
      <c r="F67" s="7">
        <f>C67+D67</f>
        <v>68400</v>
      </c>
      <c r="G67" s="7">
        <v>0</v>
      </c>
      <c r="H67" s="39"/>
      <c r="I67" s="7">
        <f>F67+G68</f>
        <v>68400</v>
      </c>
      <c r="J67" s="7">
        <v>0</v>
      </c>
      <c r="K67" s="7">
        <f>I67+J67</f>
        <v>68400</v>
      </c>
    </row>
    <row r="68" spans="1:13" x14ac:dyDescent="0.25">
      <c r="A68" s="4">
        <v>7</v>
      </c>
      <c r="B68" s="1" t="s">
        <v>19</v>
      </c>
      <c r="C68" s="5">
        <f>SUM(C63:C67)</f>
        <v>6325795.7800000003</v>
      </c>
      <c r="D68" s="5">
        <f>SUM(D63:D67)</f>
        <v>68400</v>
      </c>
      <c r="E68" s="5"/>
      <c r="F68" s="5">
        <f>SUM(F63:F67)</f>
        <v>6394195.7800000003</v>
      </c>
      <c r="G68" s="5">
        <f>SUM(G63:G67)</f>
        <v>0</v>
      </c>
      <c r="H68" s="2"/>
      <c r="I68" s="5">
        <f>SUM(I63:I67)</f>
        <v>6394195.7800000003</v>
      </c>
      <c r="J68" s="5">
        <f>SUM(J63:J66)</f>
        <v>430632.23435408535</v>
      </c>
      <c r="K68" s="5">
        <f t="shared" si="5"/>
        <v>6824828.0143540855</v>
      </c>
      <c r="L68" s="16">
        <f>+J68/C68</f>
        <v>6.8075582793171566E-2</v>
      </c>
    </row>
    <row r="69" spans="1:13" x14ac:dyDescent="0.25">
      <c r="A69" s="4">
        <v>8</v>
      </c>
      <c r="H69" s="2"/>
      <c r="K69" s="6"/>
    </row>
    <row r="70" spans="1:13" x14ac:dyDescent="0.25">
      <c r="A70" s="4">
        <v>9</v>
      </c>
      <c r="B70" s="1" t="s">
        <v>20</v>
      </c>
      <c r="H70" s="2"/>
      <c r="K70" s="6"/>
    </row>
    <row r="71" spans="1:13" x14ac:dyDescent="0.25">
      <c r="A71" s="4">
        <v>10</v>
      </c>
      <c r="B71" s="1" t="s">
        <v>21</v>
      </c>
      <c r="C71" s="9">
        <f t="shared" ref="C71:C90" si="6">+C16</f>
        <v>1176557.5</v>
      </c>
      <c r="D71" s="5"/>
      <c r="E71" s="5"/>
      <c r="F71" s="5">
        <f t="shared" ref="F71:F90" si="7">C71+D71</f>
        <v>1176557.5</v>
      </c>
      <c r="G71" s="5">
        <f>+PROFORMA!C17</f>
        <v>162323.80100000001</v>
      </c>
      <c r="H71" s="135" t="s">
        <v>182</v>
      </c>
      <c r="I71" s="5">
        <f t="shared" ref="I71:I90" si="8">F71+G71</f>
        <v>1338881.301</v>
      </c>
      <c r="J71" s="5"/>
      <c r="K71" s="5">
        <f t="shared" ref="K71:K90" si="9">I71+J71</f>
        <v>1338881.301</v>
      </c>
    </row>
    <row r="72" spans="1:13" x14ac:dyDescent="0.25">
      <c r="A72" s="4">
        <v>11</v>
      </c>
      <c r="B72" s="1" t="s">
        <v>22</v>
      </c>
      <c r="C72" s="9">
        <f t="shared" si="6"/>
        <v>520726</v>
      </c>
      <c r="D72" s="5">
        <f>+RESTATE!E19</f>
        <v>-14765</v>
      </c>
      <c r="E72" s="5"/>
      <c r="F72" s="6">
        <f t="shared" si="7"/>
        <v>505961</v>
      </c>
      <c r="G72" s="6">
        <f>+PROFORMA!C18</f>
        <v>16357.915999999999</v>
      </c>
      <c r="H72" s="135" t="s">
        <v>182</v>
      </c>
      <c r="I72" s="6">
        <f t="shared" si="8"/>
        <v>522318.91600000003</v>
      </c>
      <c r="J72" s="6"/>
      <c r="K72" s="6">
        <f t="shared" si="9"/>
        <v>522318.91600000003</v>
      </c>
    </row>
    <row r="73" spans="1:13" x14ac:dyDescent="0.25">
      <c r="A73" s="4">
        <v>12</v>
      </c>
      <c r="B73" s="1" t="s">
        <v>23</v>
      </c>
      <c r="C73" s="9">
        <f t="shared" si="6"/>
        <v>503979.33999999997</v>
      </c>
      <c r="D73" s="6"/>
      <c r="E73" s="6"/>
      <c r="F73" s="6">
        <f t="shared" si="7"/>
        <v>503979.33999999997</v>
      </c>
      <c r="G73" s="111">
        <f>+PROFORMA!D19+PROFORMA!E19</f>
        <v>10469.670000000002</v>
      </c>
      <c r="H73" s="2" t="s">
        <v>450</v>
      </c>
      <c r="I73" s="6">
        <f t="shared" si="8"/>
        <v>514449.00999999995</v>
      </c>
      <c r="J73" s="6"/>
      <c r="K73" s="6">
        <f t="shared" si="9"/>
        <v>514449.00999999995</v>
      </c>
    </row>
    <row r="74" spans="1:13" x14ac:dyDescent="0.25">
      <c r="A74" s="4">
        <v>13</v>
      </c>
      <c r="B74" s="1" t="s">
        <v>24</v>
      </c>
      <c r="C74" s="9">
        <f t="shared" si="6"/>
        <v>527779.26</v>
      </c>
      <c r="D74" s="6"/>
      <c r="E74" s="6"/>
      <c r="F74" s="6">
        <f t="shared" si="7"/>
        <v>527779.26</v>
      </c>
      <c r="G74" s="44"/>
      <c r="H74" s="2"/>
      <c r="I74" s="6">
        <f t="shared" si="8"/>
        <v>527779.26</v>
      </c>
      <c r="J74" s="6"/>
      <c r="K74" s="6">
        <f t="shared" si="9"/>
        <v>527779.26</v>
      </c>
    </row>
    <row r="75" spans="1:13" x14ac:dyDescent="0.25">
      <c r="A75" s="4">
        <v>14</v>
      </c>
      <c r="B75" s="1" t="s">
        <v>25</v>
      </c>
      <c r="C75" s="9">
        <f t="shared" si="6"/>
        <v>143712.51</v>
      </c>
      <c r="D75" s="6"/>
      <c r="E75" s="6"/>
      <c r="F75" s="6">
        <f t="shared" si="7"/>
        <v>143712.51</v>
      </c>
      <c r="G75" s="6"/>
      <c r="H75" s="2"/>
      <c r="I75" s="6">
        <f t="shared" si="8"/>
        <v>143712.51</v>
      </c>
      <c r="J75" s="6"/>
      <c r="K75" s="6">
        <f t="shared" si="9"/>
        <v>143712.51</v>
      </c>
    </row>
    <row r="76" spans="1:13" x14ac:dyDescent="0.25">
      <c r="A76" s="4">
        <v>15</v>
      </c>
      <c r="B76" s="1" t="s">
        <v>26</v>
      </c>
      <c r="C76" s="9">
        <f t="shared" si="6"/>
        <v>676736.71</v>
      </c>
      <c r="D76" s="6"/>
      <c r="E76" s="6"/>
      <c r="F76" s="6">
        <f t="shared" si="7"/>
        <v>676736.71</v>
      </c>
      <c r="G76" s="54"/>
      <c r="H76" s="2"/>
      <c r="I76" s="6">
        <f t="shared" si="8"/>
        <v>676736.71</v>
      </c>
      <c r="J76" s="6"/>
      <c r="K76" s="6">
        <f t="shared" si="9"/>
        <v>676736.71</v>
      </c>
    </row>
    <row r="77" spans="1:13" x14ac:dyDescent="0.25">
      <c r="A77" s="4">
        <v>16</v>
      </c>
      <c r="B77" s="1" t="s">
        <v>27</v>
      </c>
      <c r="C77" s="9">
        <f t="shared" si="6"/>
        <v>86061.27</v>
      </c>
      <c r="D77" s="6"/>
      <c r="E77" s="6"/>
      <c r="F77" s="6">
        <f t="shared" si="7"/>
        <v>86061.27</v>
      </c>
      <c r="G77" s="6"/>
      <c r="H77" s="2"/>
      <c r="I77" s="6">
        <f t="shared" si="8"/>
        <v>86061.27</v>
      </c>
      <c r="J77" s="6"/>
      <c r="K77" s="6">
        <f t="shared" si="9"/>
        <v>86061.27</v>
      </c>
    </row>
    <row r="78" spans="1:13" x14ac:dyDescent="0.25">
      <c r="A78" s="4">
        <v>17</v>
      </c>
      <c r="B78" s="1" t="s">
        <v>28</v>
      </c>
      <c r="C78" s="9">
        <f t="shared" si="6"/>
        <v>92712.54</v>
      </c>
      <c r="D78" s="6"/>
      <c r="E78" s="6"/>
      <c r="F78" s="6">
        <f t="shared" si="7"/>
        <v>92712.54</v>
      </c>
      <c r="G78" s="6"/>
      <c r="H78" s="2"/>
      <c r="I78" s="6">
        <f t="shared" si="8"/>
        <v>92712.54</v>
      </c>
      <c r="J78" s="6"/>
      <c r="K78" s="6">
        <f t="shared" si="9"/>
        <v>92712.54</v>
      </c>
    </row>
    <row r="79" spans="1:13" x14ac:dyDescent="0.25">
      <c r="A79" s="4">
        <v>18</v>
      </c>
      <c r="B79" s="1" t="s">
        <v>29</v>
      </c>
      <c r="C79" s="9">
        <f t="shared" si="6"/>
        <v>15465</v>
      </c>
      <c r="D79" s="6"/>
      <c r="E79" s="6"/>
      <c r="F79" s="6">
        <f t="shared" si="7"/>
        <v>15465</v>
      </c>
      <c r="G79" s="44"/>
      <c r="H79" s="2"/>
      <c r="I79" s="6">
        <f t="shared" si="8"/>
        <v>15465</v>
      </c>
      <c r="J79" s="6"/>
      <c r="K79" s="6">
        <f t="shared" si="9"/>
        <v>15465</v>
      </c>
    </row>
    <row r="80" spans="1:13" x14ac:dyDescent="0.25">
      <c r="A80" s="4">
        <v>19</v>
      </c>
      <c r="B80" s="1" t="s">
        <v>30</v>
      </c>
      <c r="C80" s="9">
        <f t="shared" si="6"/>
        <v>28183.040000000001</v>
      </c>
      <c r="D80" s="6"/>
      <c r="E80" s="6"/>
      <c r="F80" s="6">
        <f t="shared" si="7"/>
        <v>28183.040000000001</v>
      </c>
      <c r="G80" s="6"/>
      <c r="H80" s="2"/>
      <c r="I80" s="6">
        <f t="shared" si="8"/>
        <v>28183.040000000001</v>
      </c>
      <c r="J80" s="6"/>
      <c r="K80" s="6">
        <f t="shared" si="9"/>
        <v>28183.040000000001</v>
      </c>
    </row>
    <row r="81" spans="1:11" x14ac:dyDescent="0.25">
      <c r="A81" s="4">
        <v>20</v>
      </c>
      <c r="B81" s="1" t="s">
        <v>31</v>
      </c>
      <c r="C81" s="9">
        <f t="shared" si="6"/>
        <v>-154032</v>
      </c>
      <c r="D81" s="6"/>
      <c r="E81" s="6"/>
      <c r="F81" s="6">
        <f t="shared" si="7"/>
        <v>-154032</v>
      </c>
      <c r="G81" s="6"/>
      <c r="H81" s="2"/>
      <c r="I81" s="6">
        <f t="shared" si="8"/>
        <v>-154032</v>
      </c>
      <c r="J81" s="6"/>
      <c r="K81" s="6">
        <f t="shared" si="9"/>
        <v>-154032</v>
      </c>
    </row>
    <row r="82" spans="1:11" x14ac:dyDescent="0.25">
      <c r="A82" s="4">
        <v>21</v>
      </c>
      <c r="B82" s="1" t="s">
        <v>32</v>
      </c>
      <c r="C82" s="9">
        <f t="shared" si="6"/>
        <v>4620.51</v>
      </c>
      <c r="D82" s="6"/>
      <c r="E82" s="6"/>
      <c r="F82" s="6">
        <f t="shared" si="7"/>
        <v>4620.51</v>
      </c>
      <c r="G82" s="6"/>
      <c r="H82" s="2"/>
      <c r="I82" s="6">
        <f t="shared" si="8"/>
        <v>4620.51</v>
      </c>
      <c r="J82" s="6"/>
      <c r="K82" s="6">
        <f t="shared" si="9"/>
        <v>4620.51</v>
      </c>
    </row>
    <row r="83" spans="1:11" x14ac:dyDescent="0.25">
      <c r="A83" s="4">
        <v>22</v>
      </c>
      <c r="B83" s="1" t="s">
        <v>33</v>
      </c>
      <c r="C83" s="9">
        <f t="shared" si="6"/>
        <v>135602.75</v>
      </c>
      <c r="D83" s="6"/>
      <c r="E83" s="6"/>
      <c r="F83" s="6">
        <f t="shared" si="7"/>
        <v>135602.75</v>
      </c>
      <c r="G83" s="6"/>
      <c r="H83" s="2"/>
      <c r="I83" s="6">
        <f t="shared" si="8"/>
        <v>135602.75</v>
      </c>
      <c r="J83" s="6"/>
      <c r="K83" s="6">
        <f t="shared" si="9"/>
        <v>135602.75</v>
      </c>
    </row>
    <row r="84" spans="1:11" x14ac:dyDescent="0.25">
      <c r="A84" s="4">
        <v>23</v>
      </c>
      <c r="B84" s="1" t="s">
        <v>34</v>
      </c>
      <c r="C84" s="9">
        <f t="shared" si="6"/>
        <v>16505.169999999998</v>
      </c>
      <c r="D84" s="6"/>
      <c r="E84" s="6"/>
      <c r="F84" s="6">
        <f t="shared" si="7"/>
        <v>16505.169999999998</v>
      </c>
      <c r="G84" s="111"/>
      <c r="H84" s="2"/>
      <c r="I84" s="6">
        <f t="shared" si="8"/>
        <v>16505.169999999998</v>
      </c>
      <c r="J84" s="6"/>
      <c r="K84" s="6">
        <f t="shared" si="9"/>
        <v>16505.169999999998</v>
      </c>
    </row>
    <row r="85" spans="1:11" x14ac:dyDescent="0.25">
      <c r="A85" s="4">
        <v>24</v>
      </c>
      <c r="B85" s="1" t="s">
        <v>35</v>
      </c>
      <c r="C85" s="9">
        <f t="shared" si="6"/>
        <v>64190.91</v>
      </c>
      <c r="D85" s="6"/>
      <c r="E85" s="6"/>
      <c r="F85" s="6">
        <f t="shared" si="7"/>
        <v>64190.91</v>
      </c>
      <c r="G85" s="111"/>
      <c r="H85" s="2"/>
      <c r="I85" s="6">
        <f t="shared" si="8"/>
        <v>64190.91</v>
      </c>
      <c r="J85" s="6"/>
      <c r="K85" s="6">
        <f t="shared" si="9"/>
        <v>64190.91</v>
      </c>
    </row>
    <row r="86" spans="1:11" x14ac:dyDescent="0.25">
      <c r="A86" s="4">
        <v>25</v>
      </c>
      <c r="B86" s="1" t="s">
        <v>36</v>
      </c>
      <c r="C86" s="9">
        <f t="shared" si="6"/>
        <v>12666.12</v>
      </c>
      <c r="D86" s="6">
        <f>+RESTATE!D33</f>
        <v>232.55999999999997</v>
      </c>
      <c r="E86" s="177"/>
      <c r="F86" s="6">
        <f t="shared" si="7"/>
        <v>12898.68</v>
      </c>
      <c r="G86" s="6"/>
      <c r="H86" s="2"/>
      <c r="I86" s="6">
        <f t="shared" si="8"/>
        <v>12898.68</v>
      </c>
      <c r="J86" s="6">
        <f>+J68*0.002</f>
        <v>861.26446870817074</v>
      </c>
      <c r="K86" s="6">
        <f t="shared" si="9"/>
        <v>13759.94446870817</v>
      </c>
    </row>
    <row r="87" spans="1:11" x14ac:dyDescent="0.25">
      <c r="A87" s="4">
        <v>26</v>
      </c>
      <c r="B87" s="1" t="s">
        <v>37</v>
      </c>
      <c r="C87" s="9">
        <f t="shared" si="6"/>
        <v>28532.699999999997</v>
      </c>
      <c r="D87" s="6"/>
      <c r="E87" s="6"/>
      <c r="F87" s="6">
        <f t="shared" si="7"/>
        <v>28532.699999999997</v>
      </c>
      <c r="G87" s="6"/>
      <c r="H87" s="2"/>
      <c r="I87" s="6">
        <f t="shared" si="8"/>
        <v>28532.699999999997</v>
      </c>
      <c r="J87" s="6"/>
      <c r="K87" s="6">
        <f t="shared" si="9"/>
        <v>28532.699999999997</v>
      </c>
    </row>
    <row r="88" spans="1:11" x14ac:dyDescent="0.25">
      <c r="A88" s="4">
        <v>27</v>
      </c>
      <c r="B88" s="1" t="s">
        <v>175</v>
      </c>
      <c r="C88" s="9">
        <f t="shared" si="6"/>
        <v>545806</v>
      </c>
      <c r="D88" s="6"/>
      <c r="E88" s="6"/>
      <c r="F88" s="6">
        <f t="shared" si="7"/>
        <v>545806</v>
      </c>
      <c r="G88" s="6"/>
      <c r="H88" s="2"/>
      <c r="I88" s="6">
        <f>F88+G88</f>
        <v>545806</v>
      </c>
      <c r="J88" s="6"/>
      <c r="K88" s="6">
        <f>I88+J88</f>
        <v>545806</v>
      </c>
    </row>
    <row r="89" spans="1:11" x14ac:dyDescent="0.25">
      <c r="A89" s="4">
        <v>28</v>
      </c>
      <c r="B89" s="1" t="s">
        <v>39</v>
      </c>
      <c r="C89" s="9">
        <f t="shared" si="6"/>
        <v>18981.95</v>
      </c>
      <c r="D89" s="6"/>
      <c r="E89" s="6"/>
      <c r="F89" s="6">
        <f t="shared" si="7"/>
        <v>18981.95</v>
      </c>
      <c r="G89" s="6"/>
      <c r="H89" s="2"/>
      <c r="I89" s="6">
        <f t="shared" si="8"/>
        <v>18981.95</v>
      </c>
      <c r="J89" s="6">
        <f>+J68*0.0065</f>
        <v>2799.1095233015544</v>
      </c>
      <c r="K89" s="6">
        <f t="shared" si="9"/>
        <v>21781.059523301556</v>
      </c>
    </row>
    <row r="90" spans="1:11" x14ac:dyDescent="0.25">
      <c r="A90" s="4">
        <v>29</v>
      </c>
      <c r="B90" s="1" t="s">
        <v>40</v>
      </c>
      <c r="C90" s="9">
        <f t="shared" si="6"/>
        <v>827997.62</v>
      </c>
      <c r="D90" s="6">
        <f>+RESTATE!D38+RESTATE!E38</f>
        <v>1284.1460000000002</v>
      </c>
      <c r="E90" s="178"/>
      <c r="F90" s="6">
        <f t="shared" si="7"/>
        <v>829281.76599999995</v>
      </c>
      <c r="G90" s="6">
        <f>+PROFORMA!C36+'PA-5 PROPERTY TAX INCREASE'!I75</f>
        <v>30208.532434619505</v>
      </c>
      <c r="H90" s="135" t="s">
        <v>480</v>
      </c>
      <c r="I90" s="6">
        <f t="shared" si="8"/>
        <v>859490.29843461944</v>
      </c>
      <c r="J90" s="6">
        <f>+J68*0.05029</f>
        <v>21656.495065666953</v>
      </c>
      <c r="K90" s="6">
        <f t="shared" si="9"/>
        <v>881146.79350028641</v>
      </c>
    </row>
    <row r="91" spans="1:11" x14ac:dyDescent="0.25">
      <c r="A91" s="4">
        <v>30</v>
      </c>
      <c r="C91" s="5"/>
      <c r="D91" s="6"/>
      <c r="E91" s="6"/>
      <c r="F91" s="6"/>
      <c r="G91" s="6"/>
      <c r="H91" s="2"/>
      <c r="I91" s="6"/>
      <c r="J91" s="6"/>
      <c r="K91" s="6"/>
    </row>
    <row r="92" spans="1:11" x14ac:dyDescent="0.25">
      <c r="A92" s="4">
        <v>31</v>
      </c>
      <c r="B92" s="1" t="s">
        <v>53</v>
      </c>
      <c r="C92" s="7">
        <v>0</v>
      </c>
      <c r="D92" s="7">
        <v>0</v>
      </c>
      <c r="E92" s="178"/>
      <c r="F92" s="7">
        <f>C92+D92</f>
        <v>0</v>
      </c>
      <c r="G92" s="46">
        <f>+'PA-6 RATE CASE COSTS'!H16</f>
        <v>8979.1400000000012</v>
      </c>
      <c r="H92" s="2"/>
      <c r="I92" s="7">
        <f>F92+G92</f>
        <v>8979.1400000000012</v>
      </c>
      <c r="J92" s="7">
        <v>0</v>
      </c>
      <c r="K92" s="7">
        <f>I92+J92</f>
        <v>8979.1400000000012</v>
      </c>
    </row>
    <row r="93" spans="1:11" x14ac:dyDescent="0.25">
      <c r="A93" s="4">
        <v>32</v>
      </c>
      <c r="B93" s="1" t="s">
        <v>41</v>
      </c>
      <c r="C93" s="5">
        <f>+C38</f>
        <v>5272784.9000000004</v>
      </c>
      <c r="D93" s="5">
        <f>SUM(D71:D92)</f>
        <v>-13248.294</v>
      </c>
      <c r="E93" s="5"/>
      <c r="F93" s="5">
        <f>SUM(F71:F92)</f>
        <v>5259536.6059999997</v>
      </c>
      <c r="G93" s="5">
        <f>SUM(G71:G92)</f>
        <v>228339.05943461953</v>
      </c>
      <c r="H93" s="2"/>
      <c r="I93" s="5">
        <f>SUM(I71:I92)</f>
        <v>5487875.6654346194</v>
      </c>
      <c r="J93" s="5">
        <f>SUM(J71:J92)</f>
        <v>25316.869057676678</v>
      </c>
      <c r="K93" s="5">
        <f>I93+J93</f>
        <v>5513192.5344922962</v>
      </c>
    </row>
    <row r="94" spans="1:11" x14ac:dyDescent="0.25">
      <c r="A94" s="4">
        <v>33</v>
      </c>
      <c r="C94" s="5"/>
      <c r="H94" s="2"/>
      <c r="K94" s="6"/>
    </row>
    <row r="95" spans="1:11" x14ac:dyDescent="0.25">
      <c r="A95" s="4">
        <v>34</v>
      </c>
      <c r="B95" s="1" t="s">
        <v>42</v>
      </c>
      <c r="C95" s="5">
        <f>+C40</f>
        <v>1053010.8799999999</v>
      </c>
      <c r="D95" s="5">
        <f>D68-D93</f>
        <v>81648.293999999994</v>
      </c>
      <c r="E95" s="5"/>
      <c r="F95" s="5">
        <f>C95+D95</f>
        <v>1134659.1739999999</v>
      </c>
      <c r="G95" s="5">
        <f>G68-G93</f>
        <v>-228339.05943461953</v>
      </c>
      <c r="H95" s="2"/>
      <c r="I95" s="5">
        <f>F95+G95</f>
        <v>906320.11456538038</v>
      </c>
      <c r="J95" s="5">
        <f>J68-J93</f>
        <v>405315.36529640865</v>
      </c>
      <c r="K95" s="6">
        <f>I95+J95</f>
        <v>1311635.4798617889</v>
      </c>
    </row>
    <row r="96" spans="1:11" x14ac:dyDescent="0.25">
      <c r="A96" s="4">
        <v>35</v>
      </c>
      <c r="B96" s="1" t="s">
        <v>97</v>
      </c>
      <c r="C96" s="10">
        <f>+C41</f>
        <v>445829</v>
      </c>
      <c r="D96" s="7">
        <f>+(D95-D99)*0.34</f>
        <v>27760.419959999999</v>
      </c>
      <c r="E96" s="7"/>
      <c r="F96" s="7">
        <f>+C96+D96</f>
        <v>473589.41995999997</v>
      </c>
      <c r="G96" s="7">
        <f>+(G95-G99)*0.34</f>
        <v>-77635.280207770644</v>
      </c>
      <c r="H96" s="2"/>
      <c r="I96" s="10">
        <f>F96+G96</f>
        <v>395954.13975222933</v>
      </c>
      <c r="J96" s="7">
        <f>+(J95-J99)*0.34</f>
        <v>137807.22420077896</v>
      </c>
      <c r="K96" s="7">
        <f>+I96+J96</f>
        <v>533761.36395300832</v>
      </c>
    </row>
    <row r="97" spans="1:11" x14ac:dyDescent="0.25">
      <c r="A97" s="4">
        <v>36</v>
      </c>
      <c r="B97" s="1" t="s">
        <v>44</v>
      </c>
      <c r="C97" s="5">
        <f>+C95-C96</f>
        <v>607181.87999999989</v>
      </c>
      <c r="D97" s="5">
        <f>D95-D96</f>
        <v>53887.874039999995</v>
      </c>
      <c r="E97" s="5"/>
      <c r="F97" s="5">
        <f>F95-F96</f>
        <v>661069.75403999991</v>
      </c>
      <c r="G97" s="5">
        <f>G95-G96</f>
        <v>-150703.77922684888</v>
      </c>
      <c r="H97" s="2"/>
      <c r="I97" s="5">
        <f>F97+G97</f>
        <v>510365.97481315106</v>
      </c>
      <c r="J97" s="5">
        <f>J95-J96</f>
        <v>267508.14109562966</v>
      </c>
      <c r="K97" s="5">
        <f>I97+J97</f>
        <v>777874.11590878072</v>
      </c>
    </row>
    <row r="98" spans="1:11" x14ac:dyDescent="0.25">
      <c r="A98" s="4">
        <v>37</v>
      </c>
      <c r="B98" s="1"/>
      <c r="C98" s="5"/>
      <c r="D98" s="5">
        <f>+D43</f>
        <v>0</v>
      </c>
      <c r="E98" s="5"/>
      <c r="F98" s="5"/>
      <c r="G98" s="5"/>
      <c r="H98" s="2"/>
      <c r="I98" s="5"/>
      <c r="J98" s="5"/>
      <c r="K98" s="5"/>
    </row>
    <row r="99" spans="1:11" x14ac:dyDescent="0.25">
      <c r="A99" s="4">
        <v>38</v>
      </c>
      <c r="B99" s="31" t="s">
        <v>93</v>
      </c>
      <c r="C99" s="10">
        <f>+C44</f>
        <v>89937</v>
      </c>
      <c r="D99" s="7">
        <v>0</v>
      </c>
      <c r="E99" s="7"/>
      <c r="F99" s="7">
        <f>+C99+D99</f>
        <v>89937</v>
      </c>
      <c r="G99" s="7">
        <v>0</v>
      </c>
      <c r="H99" s="2"/>
      <c r="I99" s="7">
        <f>+F99+G99</f>
        <v>89937</v>
      </c>
      <c r="J99" s="7">
        <v>0</v>
      </c>
      <c r="K99" s="7">
        <f>+I99+J99</f>
        <v>89937</v>
      </c>
    </row>
    <row r="100" spans="1:11" x14ac:dyDescent="0.25">
      <c r="A100" s="4">
        <v>39</v>
      </c>
      <c r="B100" s="31" t="s">
        <v>92</v>
      </c>
      <c r="C100" s="5">
        <f>+C97-C99</f>
        <v>517244.87999999989</v>
      </c>
      <c r="D100" s="33">
        <f>+D97-D99</f>
        <v>53887.874039999995</v>
      </c>
      <c r="E100" s="33"/>
      <c r="F100" s="33">
        <f>+C100+D100</f>
        <v>571132.75403999991</v>
      </c>
      <c r="G100" s="33">
        <f>+G97-G99</f>
        <v>-150703.77922684888</v>
      </c>
      <c r="H100" s="30"/>
      <c r="I100" s="173">
        <f>+F100+G100</f>
        <v>420428.97481315106</v>
      </c>
      <c r="J100" s="33">
        <f>+J97-J99</f>
        <v>267508.14109562966</v>
      </c>
      <c r="K100" s="33">
        <f>+I100+J100</f>
        <v>687937.11590878072</v>
      </c>
    </row>
    <row r="101" spans="1:11" x14ac:dyDescent="0.25">
      <c r="A101" s="4">
        <v>40</v>
      </c>
      <c r="C101" s="5"/>
      <c r="H101" s="2"/>
      <c r="K101" s="6"/>
    </row>
    <row r="102" spans="1:11" x14ac:dyDescent="0.25">
      <c r="A102" s="4">
        <v>41</v>
      </c>
      <c r="B102" s="1" t="s">
        <v>45</v>
      </c>
      <c r="C102" s="5"/>
      <c r="H102" s="2"/>
      <c r="K102" s="6"/>
    </row>
    <row r="103" spans="1:11" x14ac:dyDescent="0.25">
      <c r="A103" s="4">
        <v>42</v>
      </c>
      <c r="B103" s="1" t="s">
        <v>46</v>
      </c>
      <c r="C103" s="5">
        <f>+C48</f>
        <v>47211425</v>
      </c>
      <c r="D103" s="5">
        <f>+'13-PT AVERAGE'!C26+RESTATE!C47</f>
        <v>-744100.84615384787</v>
      </c>
      <c r="E103" s="137" t="s">
        <v>479</v>
      </c>
      <c r="F103" s="5">
        <f>C103+D103</f>
        <v>46467324.153846152</v>
      </c>
      <c r="G103" s="5">
        <f>+PROFORMA!F46</f>
        <v>0</v>
      </c>
      <c r="H103" s="136"/>
      <c r="I103" s="5">
        <f>F103+G103</f>
        <v>46467324.153846152</v>
      </c>
      <c r="J103" s="5">
        <v>0</v>
      </c>
      <c r="K103" s="5">
        <f>I103+J103</f>
        <v>46467324.153846152</v>
      </c>
    </row>
    <row r="104" spans="1:11" x14ac:dyDescent="0.25">
      <c r="A104" s="4">
        <v>43</v>
      </c>
      <c r="B104" s="1" t="s">
        <v>47</v>
      </c>
      <c r="C104" s="9">
        <f>+C49</f>
        <v>-15862876</v>
      </c>
      <c r="D104" s="6">
        <f>+RESTATE!F52</f>
        <v>0</v>
      </c>
      <c r="E104" s="137"/>
      <c r="F104" s="6">
        <f>C104-D104</f>
        <v>-15862876</v>
      </c>
      <c r="G104" s="6"/>
      <c r="H104" s="2"/>
      <c r="I104" s="6">
        <f>F104+G104</f>
        <v>-15862876</v>
      </c>
      <c r="J104" s="6"/>
      <c r="K104" s="6">
        <f>I104+J104</f>
        <v>-15862876</v>
      </c>
    </row>
    <row r="105" spans="1:11" ht="18" x14ac:dyDescent="0.4">
      <c r="A105" s="4">
        <v>44</v>
      </c>
      <c r="B105" s="1" t="s">
        <v>48</v>
      </c>
      <c r="C105" s="38">
        <f>+C50</f>
        <v>-20267792</v>
      </c>
      <c r="D105" s="7">
        <f>+'13-PT AVERAGE'!E26</f>
        <v>-218310.76923076808</v>
      </c>
      <c r="E105" s="137" t="s">
        <v>473</v>
      </c>
      <c r="F105" s="7">
        <f>C105+D105</f>
        <v>-20486102.769230768</v>
      </c>
      <c r="G105" s="7"/>
      <c r="H105" s="2"/>
      <c r="I105" s="7">
        <f>F105+G105</f>
        <v>-20486102.769230768</v>
      </c>
      <c r="J105" s="7">
        <v>0</v>
      </c>
      <c r="K105" s="7">
        <f>I105+J105</f>
        <v>-20486102.769230768</v>
      </c>
    </row>
    <row r="106" spans="1:11" ht="18" x14ac:dyDescent="0.4">
      <c r="A106" s="4">
        <v>45</v>
      </c>
      <c r="B106" s="1"/>
      <c r="C106" s="38"/>
      <c r="D106" s="7"/>
      <c r="E106" s="7"/>
      <c r="F106" s="7"/>
      <c r="G106" s="7"/>
      <c r="H106" s="2"/>
      <c r="I106" s="7"/>
      <c r="J106" s="7"/>
      <c r="K106" s="7"/>
    </row>
    <row r="107" spans="1:11" ht="18" x14ac:dyDescent="0.4">
      <c r="A107" s="4">
        <v>46</v>
      </c>
      <c r="B107" s="1" t="s">
        <v>100</v>
      </c>
      <c r="C107" s="38"/>
      <c r="D107" s="7"/>
      <c r="E107" s="7"/>
      <c r="F107" s="7"/>
      <c r="G107" s="7"/>
      <c r="H107" s="2"/>
      <c r="I107" s="7"/>
      <c r="J107" s="7"/>
      <c r="K107" s="7"/>
    </row>
    <row r="108" spans="1:11" x14ac:dyDescent="0.25">
      <c r="A108" s="4">
        <v>47</v>
      </c>
      <c r="B108" s="1" t="s">
        <v>49</v>
      </c>
      <c r="C108" s="5">
        <f>C103+C104+C105</f>
        <v>11080757</v>
      </c>
      <c r="D108" s="5" t="s">
        <v>187</v>
      </c>
      <c r="E108" s="5"/>
      <c r="F108" s="5">
        <f>F103+F104+F105</f>
        <v>10118345.384615384</v>
      </c>
      <c r="G108" s="5">
        <f>G103+G104+G105</f>
        <v>0</v>
      </c>
      <c r="H108" s="136"/>
      <c r="I108" s="34">
        <f>F108+G108</f>
        <v>10118345.384615384</v>
      </c>
      <c r="J108" s="5">
        <f>J103+J104+J105</f>
        <v>0</v>
      </c>
      <c r="K108" s="5">
        <f>I108+J108</f>
        <v>10118345.384615384</v>
      </c>
    </row>
    <row r="109" spans="1:11" x14ac:dyDescent="0.25">
      <c r="A109" s="4">
        <v>48</v>
      </c>
      <c r="H109" s="2"/>
      <c r="K109" s="6"/>
    </row>
    <row r="110" spans="1:11" x14ac:dyDescent="0.25">
      <c r="A110" s="4">
        <v>49</v>
      </c>
      <c r="B110" s="41" t="s">
        <v>50</v>
      </c>
      <c r="C110" s="42">
        <f>C97/C108</f>
        <v>5.4796064925889079E-2</v>
      </c>
      <c r="D110" s="42"/>
      <c r="E110" s="42"/>
      <c r="F110" s="42">
        <f>F97/F108</f>
        <v>6.5333780268573852E-2</v>
      </c>
      <c r="G110" s="40"/>
      <c r="H110" s="43"/>
      <c r="I110" s="42">
        <f>I97/I108</f>
        <v>5.0439667298681656E-2</v>
      </c>
      <c r="J110" s="42"/>
      <c r="K110" s="42">
        <f>K97/K108</f>
        <v>7.6877600668930818E-2</v>
      </c>
    </row>
    <row r="111" spans="1:11" x14ac:dyDescent="0.25">
      <c r="A111" s="1" t="s">
        <v>51</v>
      </c>
      <c r="H111" s="2"/>
    </row>
    <row r="112" spans="1:11" x14ac:dyDescent="0.25">
      <c r="B112" s="1"/>
      <c r="H112" s="2"/>
    </row>
    <row r="113" spans="1:10" x14ac:dyDescent="0.25">
      <c r="H113" s="2"/>
    </row>
    <row r="114" spans="1:10" x14ac:dyDescent="0.25">
      <c r="H114" s="2"/>
    </row>
    <row r="115" spans="1:10" x14ac:dyDescent="0.25">
      <c r="H115" s="2"/>
    </row>
    <row r="116" spans="1:10" x14ac:dyDescent="0.25">
      <c r="C116" s="1"/>
      <c r="D116" s="1"/>
      <c r="E116" s="1"/>
      <c r="F116" s="1"/>
      <c r="H116" s="2"/>
      <c r="J116" s="1"/>
    </row>
    <row r="117" spans="1:10" x14ac:dyDescent="0.25">
      <c r="D117" s="1"/>
      <c r="E117" s="1"/>
      <c r="F117" s="1"/>
      <c r="H117" s="2"/>
      <c r="J117" s="1"/>
    </row>
    <row r="118" spans="1:10" x14ac:dyDescent="0.25">
      <c r="C118" s="3"/>
      <c r="D118" s="3"/>
      <c r="E118" s="3"/>
      <c r="F118" s="3"/>
      <c r="H118" s="2"/>
      <c r="J118" s="3"/>
    </row>
    <row r="119" spans="1:10" x14ac:dyDescent="0.25">
      <c r="A119" s="4"/>
      <c r="B119" s="1"/>
      <c r="H119" s="2"/>
    </row>
    <row r="120" spans="1:10" x14ac:dyDescent="0.25">
      <c r="A120" s="4"/>
      <c r="B120" s="1"/>
      <c r="C120" s="6"/>
      <c r="D120" s="6"/>
      <c r="E120" s="6"/>
      <c r="F120" s="6"/>
      <c r="H120" s="2"/>
      <c r="J120" s="6"/>
    </row>
    <row r="121" spans="1:10" x14ac:dyDescent="0.25">
      <c r="A121" s="4"/>
      <c r="B121" s="1"/>
      <c r="C121" s="6"/>
      <c r="D121" s="6"/>
      <c r="E121" s="6"/>
      <c r="F121" s="6"/>
      <c r="H121" s="2"/>
      <c r="J121" s="6"/>
    </row>
    <row r="122" spans="1:10" x14ac:dyDescent="0.25">
      <c r="A122" s="4"/>
      <c r="B122" s="1"/>
      <c r="C122" s="6"/>
      <c r="D122" s="6"/>
      <c r="E122" s="6"/>
      <c r="F122" s="6"/>
      <c r="H122" s="2"/>
      <c r="J122" s="6"/>
    </row>
    <row r="123" spans="1:10" x14ac:dyDescent="0.25">
      <c r="A123" s="4"/>
      <c r="B123" s="1"/>
      <c r="C123" s="7"/>
      <c r="D123" s="7"/>
      <c r="E123" s="7"/>
      <c r="F123" s="7"/>
      <c r="H123" s="2"/>
      <c r="J123" s="6"/>
    </row>
    <row r="124" spans="1:10" x14ac:dyDescent="0.25">
      <c r="A124" s="4"/>
      <c r="B124" s="1"/>
      <c r="C124" s="6"/>
      <c r="D124" s="6"/>
      <c r="E124" s="6"/>
      <c r="F124" s="6"/>
      <c r="H124" s="2"/>
      <c r="J124" s="6"/>
    </row>
    <row r="125" spans="1:10" x14ac:dyDescent="0.25">
      <c r="A125" s="4"/>
      <c r="C125" s="6"/>
      <c r="D125" s="6"/>
      <c r="E125" s="6"/>
      <c r="F125" s="6"/>
      <c r="H125" s="2"/>
      <c r="J125" s="6"/>
    </row>
    <row r="126" spans="1:10" x14ac:dyDescent="0.25">
      <c r="A126" s="4"/>
      <c r="B126" s="1"/>
      <c r="C126" s="6"/>
      <c r="D126" s="6"/>
      <c r="E126" s="6"/>
      <c r="F126" s="6"/>
      <c r="H126" s="2"/>
      <c r="J126" s="6"/>
    </row>
    <row r="127" spans="1:10" x14ac:dyDescent="0.25">
      <c r="A127" s="4"/>
      <c r="B127" s="1"/>
      <c r="C127" s="6"/>
      <c r="D127" s="6"/>
      <c r="E127" s="6"/>
      <c r="F127" s="6"/>
      <c r="H127" s="2"/>
      <c r="J127" s="6"/>
    </row>
    <row r="128" spans="1:10" x14ac:dyDescent="0.25">
      <c r="A128" s="4"/>
      <c r="B128" s="1"/>
      <c r="C128" s="6"/>
      <c r="D128" s="6"/>
      <c r="E128" s="6"/>
      <c r="F128" s="6"/>
      <c r="H128" s="2"/>
      <c r="J128" s="6"/>
    </row>
    <row r="129" spans="1:10" x14ac:dyDescent="0.25">
      <c r="A129" s="4"/>
      <c r="B129" s="1"/>
      <c r="C129" s="6"/>
      <c r="D129" s="6"/>
      <c r="E129" s="6"/>
      <c r="F129" s="6"/>
      <c r="H129" s="2"/>
      <c r="J129" s="6"/>
    </row>
    <row r="130" spans="1:10" x14ac:dyDescent="0.25">
      <c r="A130" s="4"/>
      <c r="B130" s="1"/>
      <c r="C130" s="6"/>
      <c r="D130" s="6"/>
      <c r="E130" s="6"/>
      <c r="F130" s="6"/>
      <c r="H130" s="2"/>
      <c r="J130" s="6"/>
    </row>
    <row r="131" spans="1:10" x14ac:dyDescent="0.25">
      <c r="A131" s="4"/>
      <c r="B131" s="1"/>
      <c r="C131" s="6"/>
      <c r="D131" s="6"/>
      <c r="E131" s="6"/>
      <c r="F131" s="6"/>
      <c r="H131" s="2"/>
      <c r="J131" s="6"/>
    </row>
    <row r="132" spans="1:10" x14ac:dyDescent="0.25">
      <c r="A132" s="4"/>
      <c r="B132" s="1"/>
      <c r="C132" s="6"/>
      <c r="D132" s="6"/>
      <c r="E132" s="6"/>
      <c r="F132" s="6"/>
      <c r="H132" s="2"/>
      <c r="J132" s="6"/>
    </row>
    <row r="133" spans="1:10" x14ac:dyDescent="0.25">
      <c r="A133" s="4"/>
      <c r="B133" s="1"/>
      <c r="C133" s="6"/>
      <c r="D133" s="6"/>
      <c r="E133" s="6"/>
      <c r="F133" s="6"/>
      <c r="H133" s="2"/>
      <c r="J133" s="6"/>
    </row>
    <row r="134" spans="1:10" x14ac:dyDescent="0.25">
      <c r="A134" s="4"/>
      <c r="B134" s="1"/>
      <c r="C134" s="6"/>
      <c r="D134" s="6"/>
      <c r="E134" s="6"/>
      <c r="F134" s="6"/>
      <c r="H134" s="2"/>
      <c r="J134" s="6"/>
    </row>
    <row r="135" spans="1:10" x14ac:dyDescent="0.25">
      <c r="A135" s="4"/>
      <c r="B135" s="1"/>
      <c r="C135" s="6"/>
      <c r="D135" s="6"/>
      <c r="E135" s="6"/>
      <c r="F135" s="6"/>
      <c r="H135" s="2"/>
      <c r="J135" s="6"/>
    </row>
    <row r="136" spans="1:10" x14ac:dyDescent="0.25">
      <c r="A136" s="4"/>
      <c r="B136" s="1"/>
      <c r="C136" s="6"/>
      <c r="D136" s="6"/>
      <c r="E136" s="6"/>
      <c r="F136" s="6"/>
      <c r="H136" s="2"/>
      <c r="J136" s="6"/>
    </row>
    <row r="137" spans="1:10" x14ac:dyDescent="0.25">
      <c r="A137" s="4"/>
      <c r="B137" s="1"/>
      <c r="C137" s="6"/>
      <c r="D137" s="6"/>
      <c r="E137" s="6"/>
      <c r="F137" s="6"/>
      <c r="H137" s="2"/>
      <c r="J137" s="6"/>
    </row>
    <row r="138" spans="1:10" x14ac:dyDescent="0.25">
      <c r="A138" s="4"/>
      <c r="B138" s="1"/>
      <c r="C138" s="6"/>
      <c r="D138" s="6"/>
      <c r="E138" s="6"/>
      <c r="F138" s="6"/>
      <c r="H138" s="2"/>
      <c r="J138" s="6"/>
    </row>
    <row r="139" spans="1:10" x14ac:dyDescent="0.25">
      <c r="A139" s="4"/>
      <c r="B139" s="1"/>
      <c r="C139" s="6"/>
      <c r="D139" s="6"/>
      <c r="E139" s="6"/>
      <c r="F139" s="6"/>
      <c r="H139" s="2"/>
      <c r="J139" s="6"/>
    </row>
    <row r="140" spans="1:10" x14ac:dyDescent="0.25">
      <c r="A140" s="4"/>
      <c r="B140" s="1"/>
      <c r="C140" s="6"/>
      <c r="D140" s="6"/>
      <c r="E140" s="6"/>
      <c r="F140" s="6"/>
      <c r="H140" s="2"/>
      <c r="J140" s="6"/>
    </row>
    <row r="141" spans="1:10" x14ac:dyDescent="0.25">
      <c r="A141" s="4"/>
      <c r="B141" s="1"/>
      <c r="C141" s="6"/>
      <c r="D141" s="6"/>
      <c r="E141" s="6"/>
      <c r="F141" s="6"/>
      <c r="H141" s="2"/>
      <c r="J141" s="6"/>
    </row>
    <row r="142" spans="1:10" x14ac:dyDescent="0.25">
      <c r="A142" s="4"/>
      <c r="B142" s="1"/>
      <c r="C142" s="6"/>
      <c r="D142" s="6"/>
      <c r="E142" s="6"/>
      <c r="F142" s="6"/>
      <c r="H142" s="2"/>
      <c r="J142" s="6"/>
    </row>
    <row r="143" spans="1:10" x14ac:dyDescent="0.25">
      <c r="A143" s="4"/>
      <c r="B143" s="1"/>
      <c r="C143" s="6"/>
      <c r="D143" s="6"/>
      <c r="E143" s="6"/>
      <c r="F143" s="6"/>
      <c r="H143" s="2"/>
      <c r="J143" s="6"/>
    </row>
    <row r="144" spans="1:10" x14ac:dyDescent="0.25">
      <c r="A144" s="4"/>
      <c r="B144" s="1"/>
      <c r="C144" s="6"/>
      <c r="D144" s="6"/>
      <c r="E144" s="6"/>
      <c r="F144" s="6"/>
      <c r="H144" s="2"/>
      <c r="J144" s="6"/>
    </row>
    <row r="145" spans="1:10" x14ac:dyDescent="0.25">
      <c r="A145" s="4"/>
      <c r="B145" s="1"/>
      <c r="C145" s="6"/>
      <c r="D145" s="6"/>
      <c r="E145" s="6"/>
      <c r="F145" s="6"/>
      <c r="H145" s="2"/>
      <c r="J145" s="6"/>
    </row>
    <row r="146" spans="1:10" x14ac:dyDescent="0.25">
      <c r="A146" s="4"/>
      <c r="B146" s="1"/>
      <c r="C146" s="6"/>
      <c r="D146" s="6"/>
      <c r="E146" s="6"/>
      <c r="F146" s="6"/>
      <c r="H146" s="2"/>
      <c r="J146" s="6"/>
    </row>
    <row r="147" spans="1:10" x14ac:dyDescent="0.25">
      <c r="A147" s="4"/>
      <c r="B147" s="1"/>
      <c r="C147" s="6"/>
      <c r="D147" s="6"/>
      <c r="E147" s="6"/>
      <c r="F147" s="6"/>
      <c r="H147" s="2"/>
      <c r="J147" s="6"/>
    </row>
    <row r="148" spans="1:10" x14ac:dyDescent="0.25">
      <c r="A148" s="4"/>
      <c r="C148" s="6"/>
      <c r="D148" s="6"/>
      <c r="E148" s="6"/>
      <c r="F148" s="6"/>
      <c r="H148" s="2"/>
      <c r="J148" s="6"/>
    </row>
    <row r="149" spans="1:10" x14ac:dyDescent="0.25">
      <c r="A149" s="4"/>
      <c r="B149" s="1"/>
      <c r="C149" s="6"/>
      <c r="D149" s="6"/>
      <c r="E149" s="6"/>
      <c r="F149" s="6"/>
      <c r="H149" s="2"/>
      <c r="J149" s="6"/>
    </row>
    <row r="150" spans="1:10" x14ac:dyDescent="0.25">
      <c r="A150" s="4"/>
      <c r="C150" s="6"/>
      <c r="D150" s="6"/>
      <c r="E150" s="6"/>
      <c r="F150" s="6"/>
      <c r="H150" s="2"/>
      <c r="J150" s="6"/>
    </row>
    <row r="151" spans="1:10" x14ac:dyDescent="0.25">
      <c r="A151" s="4"/>
      <c r="B151" s="1"/>
      <c r="C151" s="6"/>
      <c r="D151" s="6"/>
      <c r="E151" s="6"/>
      <c r="F151" s="6"/>
      <c r="H151" s="2"/>
      <c r="J151" s="6"/>
    </row>
    <row r="152" spans="1:10" x14ac:dyDescent="0.25">
      <c r="A152" s="4"/>
      <c r="B152" s="1"/>
      <c r="C152" s="7"/>
      <c r="D152" s="7"/>
      <c r="E152" s="7"/>
      <c r="F152" s="7"/>
      <c r="H152" s="2"/>
      <c r="J152" s="6"/>
    </row>
    <row r="153" spans="1:10" x14ac:dyDescent="0.25">
      <c r="A153" s="4"/>
      <c r="B153" s="1"/>
      <c r="C153" s="6"/>
      <c r="D153" s="6"/>
      <c r="E153" s="6"/>
      <c r="F153" s="6"/>
      <c r="H153" s="2"/>
      <c r="J153" s="6"/>
    </row>
    <row r="154" spans="1:10" x14ac:dyDescent="0.25">
      <c r="A154" s="4"/>
      <c r="C154" s="6"/>
      <c r="D154" s="6"/>
      <c r="E154" s="6"/>
      <c r="F154" s="6"/>
      <c r="H154" s="2"/>
      <c r="I154" s="6"/>
      <c r="J154" s="6"/>
    </row>
    <row r="155" spans="1:10" x14ac:dyDescent="0.25">
      <c r="A155" s="4"/>
      <c r="B155" s="1"/>
      <c r="C155" s="6"/>
      <c r="D155" s="6"/>
      <c r="E155" s="6"/>
      <c r="F155" s="6"/>
      <c r="H155" s="2"/>
      <c r="I155" s="6"/>
      <c r="J155" s="6"/>
    </row>
    <row r="156" spans="1:10" x14ac:dyDescent="0.25">
      <c r="A156" s="4"/>
      <c r="B156" s="1"/>
      <c r="C156" s="6"/>
      <c r="D156" s="6"/>
      <c r="E156" s="6"/>
      <c r="F156" s="6"/>
      <c r="H156" s="2"/>
      <c r="I156" s="6"/>
      <c r="J156" s="6"/>
    </row>
    <row r="157" spans="1:10" x14ac:dyDescent="0.25">
      <c r="A157" s="4"/>
      <c r="B157" s="1"/>
      <c r="C157" s="6"/>
      <c r="D157" s="6"/>
      <c r="E157" s="6"/>
      <c r="F157" s="6"/>
      <c r="H157" s="2"/>
      <c r="I157" s="6"/>
      <c r="J157" s="6"/>
    </row>
    <row r="158" spans="1:10" x14ac:dyDescent="0.25">
      <c r="A158" s="4"/>
      <c r="B158" s="1"/>
      <c r="C158" s="6"/>
      <c r="D158" s="6"/>
      <c r="E158" s="6"/>
      <c r="F158" s="6"/>
      <c r="H158" s="2"/>
      <c r="I158" s="6"/>
      <c r="J158" s="6"/>
    </row>
    <row r="159" spans="1:10" x14ac:dyDescent="0.25">
      <c r="A159" s="4"/>
      <c r="B159" s="1"/>
      <c r="C159" s="6"/>
      <c r="D159" s="6"/>
      <c r="E159" s="6"/>
      <c r="F159" s="6"/>
      <c r="H159" s="2"/>
      <c r="I159" s="6"/>
      <c r="J159" s="6"/>
    </row>
    <row r="160" spans="1:10" x14ac:dyDescent="0.25">
      <c r="A160" s="4"/>
      <c r="H160" s="2"/>
      <c r="J160" s="6"/>
    </row>
    <row r="161" spans="1:10" x14ac:dyDescent="0.25">
      <c r="A161" s="4"/>
      <c r="B161" s="26"/>
      <c r="H161" s="2"/>
      <c r="J161" s="6"/>
    </row>
    <row r="162" spans="1:10" x14ac:dyDescent="0.25">
      <c r="A162" s="1"/>
      <c r="H162" s="2"/>
    </row>
    <row r="163" spans="1:10" x14ac:dyDescent="0.25">
      <c r="B163" s="1"/>
      <c r="H163" s="2"/>
    </row>
    <row r="164" spans="1:10" x14ac:dyDescent="0.25">
      <c r="H164" s="2"/>
    </row>
    <row r="165" spans="1:10" x14ac:dyDescent="0.25">
      <c r="H165" s="2"/>
    </row>
    <row r="166" spans="1:10" x14ac:dyDescent="0.25">
      <c r="H166" s="2"/>
    </row>
    <row r="167" spans="1:10" x14ac:dyDescent="0.25">
      <c r="C167" s="1"/>
      <c r="D167" s="1"/>
      <c r="E167" s="1"/>
      <c r="F167" s="1"/>
      <c r="H167" s="2"/>
      <c r="I167" s="1"/>
    </row>
    <row r="168" spans="1:10" x14ac:dyDescent="0.25">
      <c r="C168" s="1"/>
      <c r="D168" s="1"/>
      <c r="E168" s="1"/>
      <c r="F168" s="1"/>
      <c r="H168" s="2"/>
      <c r="I168" s="1"/>
    </row>
    <row r="169" spans="1:10" x14ac:dyDescent="0.25">
      <c r="C169" s="3"/>
      <c r="D169" s="3"/>
      <c r="E169" s="3"/>
      <c r="F169" s="3"/>
      <c r="H169" s="2"/>
      <c r="I169" s="3"/>
    </row>
    <row r="170" spans="1:10" x14ac:dyDescent="0.25">
      <c r="B170" s="1"/>
      <c r="H170" s="2"/>
    </row>
    <row r="171" spans="1:10" x14ac:dyDescent="0.25">
      <c r="B171" s="1"/>
      <c r="C171" s="5"/>
      <c r="D171" s="5"/>
      <c r="E171" s="5"/>
      <c r="F171" s="5"/>
      <c r="H171" s="2"/>
      <c r="I171" s="5"/>
    </row>
    <row r="172" spans="1:10" x14ac:dyDescent="0.25">
      <c r="B172" s="1"/>
      <c r="C172" s="6"/>
      <c r="H172" s="2"/>
      <c r="I172" s="6"/>
    </row>
    <row r="173" spans="1:10" x14ac:dyDescent="0.25">
      <c r="B173" s="1"/>
      <c r="C173" s="6"/>
      <c r="H173" s="2"/>
      <c r="I173" s="6"/>
    </row>
    <row r="174" spans="1:10" x14ac:dyDescent="0.25">
      <c r="B174" s="1"/>
      <c r="C174" s="7"/>
      <c r="D174" s="8"/>
      <c r="E174" s="8"/>
      <c r="F174" s="8"/>
      <c r="H174" s="2"/>
      <c r="I174" s="7"/>
    </row>
    <row r="175" spans="1:10" x14ac:dyDescent="0.25">
      <c r="B175" s="1"/>
      <c r="C175" s="5"/>
      <c r="D175" s="5"/>
      <c r="E175" s="5"/>
      <c r="F175" s="5"/>
      <c r="H175" s="2"/>
      <c r="I175" s="5"/>
    </row>
    <row r="176" spans="1:10" x14ac:dyDescent="0.25">
      <c r="C176" s="6"/>
      <c r="H176" s="2"/>
      <c r="I176" s="6"/>
    </row>
    <row r="177" spans="2:9" x14ac:dyDescent="0.25">
      <c r="B177" s="1"/>
      <c r="C177" s="6"/>
      <c r="H177" s="2"/>
      <c r="I177" s="6"/>
    </row>
    <row r="178" spans="2:9" x14ac:dyDescent="0.25">
      <c r="B178" s="1"/>
      <c r="C178" s="9"/>
      <c r="D178" s="12"/>
      <c r="E178" s="12"/>
      <c r="F178" s="12"/>
      <c r="G178" s="12"/>
      <c r="H178" s="2"/>
      <c r="I178" s="6"/>
    </row>
    <row r="179" spans="2:9" x14ac:dyDescent="0.25">
      <c r="B179" s="1"/>
      <c r="C179" s="9"/>
      <c r="D179" s="9"/>
      <c r="E179" s="9"/>
      <c r="F179" s="9"/>
      <c r="G179" s="12"/>
      <c r="H179" s="2"/>
      <c r="I179" s="6"/>
    </row>
    <row r="180" spans="2:9" x14ac:dyDescent="0.25">
      <c r="B180" s="1"/>
      <c r="C180" s="9"/>
      <c r="D180" s="9"/>
      <c r="E180" s="9"/>
      <c r="F180" s="12"/>
      <c r="G180" s="12"/>
      <c r="H180" s="2"/>
      <c r="I180" s="6"/>
    </row>
    <row r="181" spans="2:9" x14ac:dyDescent="0.25">
      <c r="B181" s="1"/>
      <c r="C181" s="9"/>
      <c r="D181" s="9"/>
      <c r="E181" s="9"/>
      <c r="F181" s="12"/>
      <c r="G181" s="12"/>
      <c r="H181" s="2"/>
      <c r="I181" s="6"/>
    </row>
    <row r="182" spans="2:9" x14ac:dyDescent="0.25">
      <c r="B182" s="1"/>
      <c r="C182" s="9"/>
      <c r="D182" s="9"/>
      <c r="E182" s="9"/>
      <c r="F182" s="12"/>
      <c r="G182" s="12"/>
      <c r="H182" s="2"/>
      <c r="I182" s="6"/>
    </row>
    <row r="183" spans="2:9" x14ac:dyDescent="0.25">
      <c r="B183" s="1"/>
      <c r="C183" s="9"/>
      <c r="D183" s="9"/>
      <c r="E183" s="9"/>
      <c r="F183" s="12"/>
      <c r="G183" s="12"/>
      <c r="H183" s="2"/>
      <c r="I183" s="6"/>
    </row>
    <row r="184" spans="2:9" x14ac:dyDescent="0.25">
      <c r="B184" s="1"/>
      <c r="C184" s="9"/>
      <c r="D184" s="9"/>
      <c r="E184" s="9"/>
      <c r="F184" s="12"/>
      <c r="G184" s="12"/>
      <c r="H184" s="2"/>
      <c r="I184" s="6"/>
    </row>
    <row r="185" spans="2:9" x14ac:dyDescent="0.25">
      <c r="B185" s="1"/>
      <c r="C185" s="9"/>
      <c r="D185" s="9"/>
      <c r="E185" s="9"/>
      <c r="F185" s="12"/>
      <c r="G185" s="12"/>
      <c r="H185" s="2"/>
      <c r="I185" s="6"/>
    </row>
    <row r="186" spans="2:9" x14ac:dyDescent="0.25">
      <c r="B186" s="1"/>
      <c r="C186" s="9"/>
      <c r="D186" s="9"/>
      <c r="E186" s="9"/>
      <c r="F186" s="12"/>
      <c r="G186" s="12"/>
      <c r="H186" s="2"/>
      <c r="I186" s="6"/>
    </row>
    <row r="187" spans="2:9" x14ac:dyDescent="0.25">
      <c r="B187" s="1"/>
      <c r="C187" s="9"/>
      <c r="D187" s="9"/>
      <c r="E187" s="9"/>
      <c r="F187" s="12"/>
      <c r="G187" s="12"/>
      <c r="H187" s="2"/>
      <c r="I187" s="6"/>
    </row>
    <row r="188" spans="2:9" x14ac:dyDescent="0.25">
      <c r="B188" s="1"/>
      <c r="C188" s="9"/>
      <c r="D188" s="9"/>
      <c r="E188" s="9"/>
      <c r="F188" s="12"/>
      <c r="G188" s="12"/>
      <c r="H188" s="2"/>
      <c r="I188" s="6"/>
    </row>
    <row r="189" spans="2:9" x14ac:dyDescent="0.25">
      <c r="B189" s="1"/>
      <c r="C189" s="9"/>
      <c r="D189" s="9"/>
      <c r="E189" s="9"/>
      <c r="F189" s="12"/>
      <c r="G189" s="12"/>
      <c r="H189" s="2"/>
      <c r="I189" s="6"/>
    </row>
    <row r="190" spans="2:9" x14ac:dyDescent="0.25">
      <c r="B190" s="1"/>
      <c r="C190" s="9"/>
      <c r="D190" s="9"/>
      <c r="E190" s="9"/>
      <c r="F190" s="12"/>
      <c r="G190" s="12"/>
      <c r="H190" s="2"/>
      <c r="I190" s="6"/>
    </row>
    <row r="191" spans="2:9" x14ac:dyDescent="0.25">
      <c r="B191" s="1"/>
      <c r="C191" s="9"/>
      <c r="D191" s="9"/>
      <c r="E191" s="9"/>
      <c r="F191" s="12"/>
      <c r="G191" s="12"/>
      <c r="H191" s="2"/>
      <c r="I191" s="6"/>
    </row>
    <row r="192" spans="2:9" x14ac:dyDescent="0.25">
      <c r="B192" s="1"/>
      <c r="C192" s="9"/>
      <c r="D192" s="9"/>
      <c r="E192" s="9"/>
      <c r="F192" s="12"/>
      <c r="G192" s="12"/>
      <c r="H192" s="2"/>
      <c r="I192" s="6"/>
    </row>
    <row r="193" spans="2:9" x14ac:dyDescent="0.25">
      <c r="B193" s="1"/>
      <c r="C193" s="9"/>
      <c r="D193" s="9"/>
      <c r="E193" s="9"/>
      <c r="F193" s="12"/>
      <c r="G193" s="12"/>
      <c r="H193" s="2"/>
      <c r="I193" s="6"/>
    </row>
    <row r="194" spans="2:9" x14ac:dyDescent="0.25">
      <c r="B194" s="1"/>
      <c r="C194" s="9"/>
      <c r="D194" s="9"/>
      <c r="E194" s="9"/>
      <c r="F194" s="12"/>
      <c r="G194" s="12"/>
      <c r="H194" s="2"/>
      <c r="I194" s="6"/>
    </row>
    <row r="195" spans="2:9" x14ac:dyDescent="0.25">
      <c r="B195" s="1"/>
      <c r="C195" s="9"/>
      <c r="D195" s="9"/>
      <c r="E195" s="9"/>
      <c r="F195" s="12"/>
      <c r="G195" s="12"/>
      <c r="H195" s="2"/>
      <c r="I195" s="6"/>
    </row>
    <row r="196" spans="2:9" x14ac:dyDescent="0.25">
      <c r="B196" s="1"/>
      <c r="C196" s="9"/>
      <c r="D196" s="9"/>
      <c r="E196" s="9"/>
      <c r="F196" s="12"/>
      <c r="G196" s="12"/>
      <c r="H196" s="2"/>
      <c r="I196" s="6"/>
    </row>
    <row r="197" spans="2:9" x14ac:dyDescent="0.25">
      <c r="B197" s="1"/>
      <c r="C197" s="9"/>
      <c r="D197" s="9"/>
      <c r="E197" s="9"/>
      <c r="F197" s="12"/>
      <c r="G197" s="12"/>
      <c r="H197" s="2"/>
      <c r="I197" s="6"/>
    </row>
    <row r="198" spans="2:9" x14ac:dyDescent="0.25">
      <c r="B198" s="1"/>
      <c r="C198" s="9"/>
      <c r="D198" s="9"/>
      <c r="E198" s="9"/>
      <c r="F198" s="12"/>
      <c r="G198" s="12"/>
      <c r="H198" s="2"/>
      <c r="I198" s="6"/>
    </row>
    <row r="199" spans="2:9" x14ac:dyDescent="0.25">
      <c r="C199" s="9"/>
      <c r="D199" s="9"/>
      <c r="E199" s="9"/>
      <c r="F199" s="12"/>
      <c r="G199" s="12"/>
      <c r="H199" s="2"/>
      <c r="I199" s="6"/>
    </row>
    <row r="200" spans="2:9" x14ac:dyDescent="0.25">
      <c r="B200" s="1"/>
      <c r="C200" s="9"/>
      <c r="D200" s="9"/>
      <c r="E200" s="9"/>
      <c r="F200" s="9"/>
      <c r="G200" s="12"/>
      <c r="H200" s="2"/>
      <c r="I200" s="6"/>
    </row>
    <row r="201" spans="2:9" x14ac:dyDescent="0.25">
      <c r="C201" s="9"/>
      <c r="D201" s="9"/>
      <c r="E201" s="9"/>
      <c r="F201" s="12"/>
      <c r="G201" s="12"/>
      <c r="H201" s="2"/>
      <c r="I201" s="6"/>
    </row>
    <row r="202" spans="2:9" x14ac:dyDescent="0.25">
      <c r="B202" s="1"/>
      <c r="C202" s="5"/>
      <c r="D202" s="5"/>
      <c r="E202" s="5"/>
      <c r="F202" s="5"/>
      <c r="H202" s="2"/>
      <c r="I202" s="5"/>
    </row>
    <row r="203" spans="2:9" x14ac:dyDescent="0.25">
      <c r="B203" s="1"/>
      <c r="C203" s="7"/>
      <c r="D203" s="7"/>
      <c r="E203" s="7"/>
      <c r="F203" s="7"/>
      <c r="H203" s="2"/>
      <c r="I203" s="7"/>
    </row>
    <row r="204" spans="2:9" x14ac:dyDescent="0.25">
      <c r="B204" s="1"/>
      <c r="C204" s="5"/>
      <c r="D204" s="5"/>
      <c r="E204" s="5"/>
      <c r="F204" s="5"/>
      <c r="H204" s="2"/>
      <c r="I204" s="5"/>
    </row>
    <row r="205" spans="2:9" x14ac:dyDescent="0.25">
      <c r="C205" s="6"/>
      <c r="D205" s="6"/>
      <c r="E205" s="6"/>
      <c r="H205" s="2"/>
      <c r="I205" s="6"/>
    </row>
    <row r="206" spans="2:9" x14ac:dyDescent="0.25">
      <c r="B206" s="1"/>
      <c r="C206" s="15"/>
      <c r="D206" s="13"/>
      <c r="E206" s="13"/>
      <c r="F206" s="14"/>
      <c r="H206" s="2"/>
      <c r="I206" s="6"/>
    </row>
    <row r="207" spans="2:9" x14ac:dyDescent="0.25">
      <c r="B207" s="1"/>
      <c r="C207" s="6"/>
      <c r="D207" s="6"/>
      <c r="E207" s="6"/>
      <c r="F207" s="5"/>
      <c r="G207" s="11"/>
      <c r="H207" s="2"/>
      <c r="I207" s="5"/>
    </row>
    <row r="208" spans="2:9" x14ac:dyDescent="0.25">
      <c r="B208" s="1"/>
      <c r="C208" s="6"/>
      <c r="D208" s="6"/>
      <c r="E208" s="6"/>
      <c r="F208" s="5"/>
      <c r="G208" s="11"/>
      <c r="H208" s="2"/>
      <c r="I208" s="5"/>
    </row>
    <row r="209" spans="2:9" x14ac:dyDescent="0.25">
      <c r="B209" s="1"/>
      <c r="C209" s="7"/>
      <c r="D209" s="7"/>
      <c r="E209" s="7"/>
      <c r="F209" s="5"/>
      <c r="G209" s="11"/>
      <c r="H209" s="2"/>
      <c r="I209" s="5"/>
    </row>
    <row r="210" spans="2:9" x14ac:dyDescent="0.25">
      <c r="B210" s="1"/>
      <c r="C210" s="6"/>
      <c r="D210" s="6"/>
      <c r="E210" s="6"/>
      <c r="F210" s="5"/>
      <c r="G210" s="2"/>
      <c r="H210" s="2"/>
      <c r="I210" s="5"/>
    </row>
    <row r="211" spans="2:9" x14ac:dyDescent="0.25">
      <c r="H211" s="2"/>
    </row>
    <row r="212" spans="2:9" x14ac:dyDescent="0.25">
      <c r="B212" s="26"/>
      <c r="H212" s="2"/>
    </row>
    <row r="213" spans="2:9" x14ac:dyDescent="0.25">
      <c r="H213" s="2"/>
    </row>
    <row r="214" spans="2:9" x14ac:dyDescent="0.25">
      <c r="H214" s="2"/>
    </row>
    <row r="215" spans="2:9" x14ac:dyDescent="0.25">
      <c r="H215" s="2"/>
    </row>
    <row r="216" spans="2:9" x14ac:dyDescent="0.25">
      <c r="H216" s="2"/>
    </row>
    <row r="217" spans="2:9" x14ac:dyDescent="0.25">
      <c r="H217" s="2"/>
    </row>
    <row r="218" spans="2:9" x14ac:dyDescent="0.25">
      <c r="H218" s="2"/>
    </row>
    <row r="219" spans="2:9" x14ac:dyDescent="0.25">
      <c r="H219" s="2"/>
    </row>
    <row r="220" spans="2:9" x14ac:dyDescent="0.25">
      <c r="H220" s="2"/>
    </row>
    <row r="221" spans="2:9" x14ac:dyDescent="0.25">
      <c r="H221" s="2"/>
    </row>
    <row r="222" spans="2:9" x14ac:dyDescent="0.25">
      <c r="H222" s="2"/>
    </row>
    <row r="223" spans="2:9" x14ac:dyDescent="0.25">
      <c r="H223" s="2"/>
    </row>
    <row r="224" spans="2:9" x14ac:dyDescent="0.25">
      <c r="H224" s="2"/>
    </row>
    <row r="225" spans="8:8" x14ac:dyDescent="0.25">
      <c r="H225" s="2"/>
    </row>
    <row r="226" spans="8:8" x14ac:dyDescent="0.25">
      <c r="H226" s="2"/>
    </row>
    <row r="227" spans="8:8" x14ac:dyDescent="0.25">
      <c r="H227" s="2"/>
    </row>
    <row r="228" spans="8:8" x14ac:dyDescent="0.25">
      <c r="H228" s="2"/>
    </row>
    <row r="229" spans="8:8" x14ac:dyDescent="0.25">
      <c r="H229" s="2"/>
    </row>
    <row r="230" spans="8:8" x14ac:dyDescent="0.25">
      <c r="H230" s="2"/>
    </row>
    <row r="231" spans="8:8" x14ac:dyDescent="0.25">
      <c r="H231" s="2"/>
    </row>
    <row r="232" spans="8:8" x14ac:dyDescent="0.25">
      <c r="H232" s="2"/>
    </row>
    <row r="233" spans="8:8" x14ac:dyDescent="0.25">
      <c r="H233" s="2"/>
    </row>
    <row r="234" spans="8:8" x14ac:dyDescent="0.25">
      <c r="H234" s="2"/>
    </row>
    <row r="235" spans="8:8" x14ac:dyDescent="0.25">
      <c r="H235" s="2"/>
    </row>
    <row r="236" spans="8:8" x14ac:dyDescent="0.25">
      <c r="H236" s="2"/>
    </row>
    <row r="237" spans="8:8" x14ac:dyDescent="0.25">
      <c r="H237" s="2"/>
    </row>
    <row r="238" spans="8:8" x14ac:dyDescent="0.25">
      <c r="H238" s="2"/>
    </row>
    <row r="239" spans="8:8" x14ac:dyDescent="0.25">
      <c r="H239" s="2"/>
    </row>
    <row r="240" spans="8:8" x14ac:dyDescent="0.25">
      <c r="H240" s="2"/>
    </row>
    <row r="241" spans="8:8" x14ac:dyDescent="0.25">
      <c r="H241" s="2"/>
    </row>
    <row r="242" spans="8:8" x14ac:dyDescent="0.25">
      <c r="H242" s="2"/>
    </row>
    <row r="243" spans="8:8" x14ac:dyDescent="0.25">
      <c r="H243" s="2"/>
    </row>
    <row r="244" spans="8:8" x14ac:dyDescent="0.25">
      <c r="H244" s="2"/>
    </row>
    <row r="245" spans="8:8" x14ac:dyDescent="0.25">
      <c r="H245" s="2"/>
    </row>
    <row r="246" spans="8:8" x14ac:dyDescent="0.25">
      <c r="H246" s="2"/>
    </row>
    <row r="247" spans="8:8" x14ac:dyDescent="0.25">
      <c r="H247" s="2"/>
    </row>
    <row r="248" spans="8:8" x14ac:dyDescent="0.25">
      <c r="H248" s="2"/>
    </row>
    <row r="249" spans="8:8" x14ac:dyDescent="0.25">
      <c r="H249" s="2"/>
    </row>
    <row r="250" spans="8:8" x14ac:dyDescent="0.25">
      <c r="H250" s="2"/>
    </row>
    <row r="251" spans="8:8" x14ac:dyDescent="0.25">
      <c r="H251" s="2"/>
    </row>
    <row r="252" spans="8:8" x14ac:dyDescent="0.25">
      <c r="H252" s="2"/>
    </row>
    <row r="253" spans="8:8" x14ac:dyDescent="0.25">
      <c r="H253" s="2"/>
    </row>
    <row r="254" spans="8:8" x14ac:dyDescent="0.25">
      <c r="H254" s="2"/>
    </row>
    <row r="255" spans="8:8" x14ac:dyDescent="0.25">
      <c r="H255" s="2"/>
    </row>
    <row r="256" spans="8:8" x14ac:dyDescent="0.25">
      <c r="H256" s="2"/>
    </row>
    <row r="257" spans="8:8" x14ac:dyDescent="0.25">
      <c r="H257" s="2"/>
    </row>
    <row r="258" spans="8:8" x14ac:dyDescent="0.25">
      <c r="H258" s="2"/>
    </row>
    <row r="259" spans="8:8" x14ac:dyDescent="0.25">
      <c r="H259" s="2"/>
    </row>
    <row r="260" spans="8:8" x14ac:dyDescent="0.25">
      <c r="H260" s="2"/>
    </row>
    <row r="261" spans="8:8" x14ac:dyDescent="0.25">
      <c r="H261" s="2"/>
    </row>
    <row r="262" spans="8:8" x14ac:dyDescent="0.25">
      <c r="H262" s="2"/>
    </row>
    <row r="263" spans="8:8" x14ac:dyDescent="0.25">
      <c r="H263" s="2"/>
    </row>
    <row r="264" spans="8:8" x14ac:dyDescent="0.25">
      <c r="H264" s="2"/>
    </row>
    <row r="265" spans="8:8" x14ac:dyDescent="0.25">
      <c r="H265" s="2"/>
    </row>
    <row r="266" spans="8:8" x14ac:dyDescent="0.25">
      <c r="H266" s="2"/>
    </row>
    <row r="267" spans="8:8" x14ac:dyDescent="0.25">
      <c r="H267" s="2"/>
    </row>
    <row r="268" spans="8:8" x14ac:dyDescent="0.25">
      <c r="H268" s="2"/>
    </row>
    <row r="269" spans="8:8" x14ac:dyDescent="0.25">
      <c r="H269" s="2"/>
    </row>
    <row r="270" spans="8:8" x14ac:dyDescent="0.25">
      <c r="H270" s="2"/>
    </row>
    <row r="271" spans="8:8" x14ac:dyDescent="0.25">
      <c r="H271" s="2"/>
    </row>
    <row r="272" spans="8:8" x14ac:dyDescent="0.25">
      <c r="H272" s="2"/>
    </row>
    <row r="273" spans="8:8" x14ac:dyDescent="0.25">
      <c r="H273" s="2"/>
    </row>
    <row r="274" spans="8:8" x14ac:dyDescent="0.25">
      <c r="H274" s="2"/>
    </row>
    <row r="275" spans="8:8" x14ac:dyDescent="0.25">
      <c r="H275" s="2"/>
    </row>
    <row r="276" spans="8:8" x14ac:dyDescent="0.25">
      <c r="H276" s="2"/>
    </row>
    <row r="277" spans="8:8" x14ac:dyDescent="0.25">
      <c r="H277" s="2"/>
    </row>
    <row r="278" spans="8:8" x14ac:dyDescent="0.25">
      <c r="H278" s="2"/>
    </row>
    <row r="279" spans="8:8" x14ac:dyDescent="0.25">
      <c r="H279" s="2"/>
    </row>
    <row r="280" spans="8:8" x14ac:dyDescent="0.25">
      <c r="H280" s="2"/>
    </row>
    <row r="281" spans="8:8" x14ac:dyDescent="0.25">
      <c r="H281" s="2"/>
    </row>
    <row r="282" spans="8:8" x14ac:dyDescent="0.25">
      <c r="H282" s="2"/>
    </row>
    <row r="283" spans="8:8" x14ac:dyDescent="0.25">
      <c r="H283" s="2"/>
    </row>
    <row r="284" spans="8:8" x14ac:dyDescent="0.25">
      <c r="H284" s="2"/>
    </row>
    <row r="285" spans="8:8" x14ac:dyDescent="0.25">
      <c r="H285" s="2"/>
    </row>
    <row r="286" spans="8:8" x14ac:dyDescent="0.25">
      <c r="H286" s="2"/>
    </row>
    <row r="287" spans="8:8" x14ac:dyDescent="0.25">
      <c r="H287" s="2"/>
    </row>
    <row r="288" spans="8:8" x14ac:dyDescent="0.25">
      <c r="H288" s="2"/>
    </row>
    <row r="289" spans="8:8" x14ac:dyDescent="0.25">
      <c r="H289" s="2"/>
    </row>
    <row r="290" spans="8:8" x14ac:dyDescent="0.25">
      <c r="H290" s="2"/>
    </row>
  </sheetData>
  <phoneticPr fontId="0" type="noConversion"/>
  <pageMargins left="0.5" right="0.5" top="0.5" bottom="0.55000000000000004" header="0.5" footer="0.5"/>
  <pageSetup scale="64" fitToHeight="0" orientation="landscape" r:id="rId1"/>
  <headerFooter alignWithMargins="0"/>
  <ignoredErrors>
    <ignoredError sqref="K9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1"/>
  <sheetViews>
    <sheetView zoomScaleNormal="100" workbookViewId="0">
      <selection activeCell="I35" sqref="I35"/>
    </sheetView>
  </sheetViews>
  <sheetFormatPr defaultRowHeight="15.75" x14ac:dyDescent="0.25"/>
  <cols>
    <col min="5" max="6" width="8.88671875" style="53"/>
  </cols>
  <sheetData/>
  <pageMargins left="0.7" right="0.7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6"/>
  <sheetViews>
    <sheetView topLeftCell="A4" workbookViewId="0">
      <pane xSplit="2" ySplit="2" topLeftCell="C57" activePane="bottomRight" state="frozen"/>
      <selection activeCell="A4" sqref="A4"/>
      <selection pane="topRight" activeCell="C4" sqref="C4"/>
      <selection pane="bottomLeft" activeCell="A6" sqref="A6"/>
      <selection pane="bottomRight" activeCell="I85" sqref="I85"/>
    </sheetView>
  </sheetViews>
  <sheetFormatPr defaultRowHeight="15.75" x14ac:dyDescent="0.25"/>
  <cols>
    <col min="1" max="1" width="4.88671875" bestFit="1" customWidth="1"/>
    <col min="2" max="2" width="16" bestFit="1" customWidth="1"/>
    <col min="5" max="5" width="28" bestFit="1" customWidth="1"/>
    <col min="7" max="7" width="33.33203125" bestFit="1" customWidth="1"/>
    <col min="9" max="9" width="11.21875" bestFit="1" customWidth="1"/>
  </cols>
  <sheetData>
    <row r="1" spans="2:10" x14ac:dyDescent="0.25">
      <c r="B1" s="22" t="s">
        <v>174</v>
      </c>
    </row>
    <row r="2" spans="2:10" x14ac:dyDescent="0.25">
      <c r="B2" t="s">
        <v>102</v>
      </c>
      <c r="E2" s="53"/>
      <c r="F2" s="53"/>
      <c r="G2" s="53"/>
    </row>
    <row r="3" spans="2:10" x14ac:dyDescent="0.25">
      <c r="B3" t="s">
        <v>437</v>
      </c>
    </row>
    <row r="5" spans="2:10" ht="34.5" x14ac:dyDescent="0.25">
      <c r="B5" s="189" t="s">
        <v>243</v>
      </c>
      <c r="C5" s="189" t="s">
        <v>244</v>
      </c>
      <c r="D5" s="189" t="s">
        <v>245</v>
      </c>
      <c r="E5" s="189" t="s">
        <v>246</v>
      </c>
      <c r="F5" s="190" t="s">
        <v>247</v>
      </c>
      <c r="G5" s="189" t="s">
        <v>248</v>
      </c>
      <c r="H5" s="191" t="s">
        <v>499</v>
      </c>
      <c r="I5" s="192" t="s">
        <v>524</v>
      </c>
      <c r="J5" s="192" t="s">
        <v>498</v>
      </c>
    </row>
    <row r="6" spans="2:10" x14ac:dyDescent="0.25">
      <c r="B6" s="193" t="s">
        <v>249</v>
      </c>
      <c r="C6" s="193" t="s">
        <v>250</v>
      </c>
      <c r="D6" s="193" t="s">
        <v>251</v>
      </c>
      <c r="E6" s="193" t="s">
        <v>252</v>
      </c>
      <c r="F6" s="194">
        <v>575</v>
      </c>
      <c r="G6" s="193" t="s">
        <v>253</v>
      </c>
      <c r="H6" s="195">
        <v>1590520</v>
      </c>
      <c r="I6" s="196">
        <v>23911.5</v>
      </c>
      <c r="J6" s="196">
        <v>13935.09</v>
      </c>
    </row>
    <row r="7" spans="2:10" x14ac:dyDescent="0.25">
      <c r="B7" s="197" t="s">
        <v>254</v>
      </c>
      <c r="C7" s="197" t="s">
        <v>250</v>
      </c>
      <c r="D7" s="197" t="s">
        <v>251</v>
      </c>
      <c r="E7" s="197" t="s">
        <v>255</v>
      </c>
      <c r="F7" s="198">
        <v>575</v>
      </c>
      <c r="G7" s="197" t="s">
        <v>253</v>
      </c>
      <c r="H7" s="199">
        <v>7175011</v>
      </c>
      <c r="I7" s="196">
        <v>109661.2</v>
      </c>
      <c r="J7" s="196">
        <v>121510.15</v>
      </c>
    </row>
    <row r="8" spans="2:10" x14ac:dyDescent="0.25">
      <c r="B8" s="193" t="s">
        <v>256</v>
      </c>
      <c r="C8" s="193" t="s">
        <v>250</v>
      </c>
      <c r="D8" s="193" t="s">
        <v>251</v>
      </c>
      <c r="E8" s="193" t="s">
        <v>257</v>
      </c>
      <c r="F8" s="194">
        <v>575</v>
      </c>
      <c r="G8" s="193" t="s">
        <v>253</v>
      </c>
      <c r="H8" s="195">
        <v>170500</v>
      </c>
      <c r="I8" s="196">
        <v>2605.88</v>
      </c>
      <c r="J8" s="196">
        <v>3394.86</v>
      </c>
    </row>
    <row r="9" spans="2:10" x14ac:dyDescent="0.25">
      <c r="B9" s="193" t="s">
        <v>258</v>
      </c>
      <c r="C9" s="193" t="s">
        <v>250</v>
      </c>
      <c r="D9" s="193" t="s">
        <v>251</v>
      </c>
      <c r="E9" s="193" t="s">
        <v>259</v>
      </c>
      <c r="F9" s="194">
        <v>480</v>
      </c>
      <c r="G9" s="193" t="s">
        <v>253</v>
      </c>
      <c r="H9" s="195">
        <v>712913</v>
      </c>
      <c r="I9" s="196">
        <v>7370.11</v>
      </c>
      <c r="J9" s="196">
        <v>7324.78</v>
      </c>
    </row>
    <row r="10" spans="2:10" x14ac:dyDescent="0.25">
      <c r="B10" s="193" t="s">
        <v>260</v>
      </c>
      <c r="C10" s="193" t="s">
        <v>250</v>
      </c>
      <c r="D10" s="193" t="s">
        <v>251</v>
      </c>
      <c r="E10" s="193" t="s">
        <v>261</v>
      </c>
      <c r="F10" s="194">
        <v>590</v>
      </c>
      <c r="G10" s="193" t="s">
        <v>253</v>
      </c>
      <c r="H10" s="195">
        <v>2789324</v>
      </c>
      <c r="I10" s="196">
        <v>49092.55</v>
      </c>
      <c r="J10" s="196">
        <v>46378.55</v>
      </c>
    </row>
    <row r="11" spans="2:10" s="231" customFormat="1" x14ac:dyDescent="0.25">
      <c r="B11" s="227" t="s">
        <v>526</v>
      </c>
      <c r="C11" s="227" t="s">
        <v>250</v>
      </c>
      <c r="D11" s="227" t="s">
        <v>251</v>
      </c>
      <c r="E11" s="227" t="s">
        <v>525</v>
      </c>
      <c r="F11" s="228">
        <v>575</v>
      </c>
      <c r="G11" s="193" t="s">
        <v>253</v>
      </c>
      <c r="H11" s="229">
        <v>11918</v>
      </c>
      <c r="I11" s="230">
        <v>179.17</v>
      </c>
      <c r="J11" s="230">
        <v>190.17</v>
      </c>
    </row>
    <row r="12" spans="2:10" x14ac:dyDescent="0.25">
      <c r="B12" s="200" t="s">
        <v>262</v>
      </c>
      <c r="C12" s="200" t="s">
        <v>250</v>
      </c>
      <c r="D12" s="200" t="s">
        <v>251</v>
      </c>
      <c r="E12" s="200" t="s">
        <v>263</v>
      </c>
      <c r="F12" s="201">
        <v>472</v>
      </c>
      <c r="G12" s="200" t="s">
        <v>264</v>
      </c>
      <c r="H12" s="202">
        <v>53400</v>
      </c>
      <c r="I12" s="203">
        <v>614.72</v>
      </c>
      <c r="J12" s="203">
        <v>573.45000000000005</v>
      </c>
    </row>
    <row r="13" spans="2:10" x14ac:dyDescent="0.25">
      <c r="B13" s="200" t="s">
        <v>265</v>
      </c>
      <c r="C13" s="200" t="s">
        <v>250</v>
      </c>
      <c r="D13" s="200" t="s">
        <v>251</v>
      </c>
      <c r="E13" s="200" t="s">
        <v>266</v>
      </c>
      <c r="F13" s="201">
        <v>472</v>
      </c>
      <c r="G13" s="200" t="s">
        <v>267</v>
      </c>
      <c r="H13" s="202">
        <v>15800</v>
      </c>
      <c r="I13" s="204">
        <v>303.64999999999998</v>
      </c>
      <c r="J13" s="204">
        <v>283.92</v>
      </c>
    </row>
    <row r="14" spans="2:10" x14ac:dyDescent="0.25">
      <c r="B14" s="200" t="s">
        <v>268</v>
      </c>
      <c r="C14" s="200" t="s">
        <v>250</v>
      </c>
      <c r="D14" s="200" t="s">
        <v>251</v>
      </c>
      <c r="E14" s="205" t="s">
        <v>269</v>
      </c>
      <c r="F14" s="201">
        <v>472</v>
      </c>
      <c r="G14" s="200" t="s">
        <v>270</v>
      </c>
      <c r="H14" s="202">
        <v>73600</v>
      </c>
      <c r="I14" s="204">
        <v>836</v>
      </c>
      <c r="J14" s="204">
        <v>781.19</v>
      </c>
    </row>
    <row r="15" spans="2:10" x14ac:dyDescent="0.25">
      <c r="B15" s="200" t="s">
        <v>271</v>
      </c>
      <c r="C15" s="200" t="s">
        <v>250</v>
      </c>
      <c r="D15" s="200" t="s">
        <v>251</v>
      </c>
      <c r="E15" s="205" t="s">
        <v>272</v>
      </c>
      <c r="F15" s="201">
        <v>472</v>
      </c>
      <c r="G15" s="200" t="s">
        <v>273</v>
      </c>
      <c r="H15" s="202">
        <v>14600</v>
      </c>
      <c r="I15" s="204">
        <v>189.91</v>
      </c>
      <c r="J15" s="204">
        <v>176.73</v>
      </c>
    </row>
    <row r="16" spans="2:10" x14ac:dyDescent="0.25">
      <c r="B16" s="200" t="s">
        <v>274</v>
      </c>
      <c r="C16" s="200" t="s">
        <v>250</v>
      </c>
      <c r="D16" s="200" t="s">
        <v>251</v>
      </c>
      <c r="E16" s="205" t="s">
        <v>275</v>
      </c>
      <c r="F16" s="201">
        <v>472</v>
      </c>
      <c r="G16" s="200" t="s">
        <v>276</v>
      </c>
      <c r="H16" s="202">
        <v>11400</v>
      </c>
      <c r="I16" s="204">
        <v>132.38</v>
      </c>
      <c r="J16" s="204">
        <v>137.57</v>
      </c>
    </row>
    <row r="17" spans="2:10" x14ac:dyDescent="0.25">
      <c r="B17" s="200" t="s">
        <v>277</v>
      </c>
      <c r="C17" s="200" t="s">
        <v>250</v>
      </c>
      <c r="D17" s="200" t="s">
        <v>251</v>
      </c>
      <c r="E17" s="200" t="s">
        <v>278</v>
      </c>
      <c r="F17" s="201">
        <v>472</v>
      </c>
      <c r="G17" s="200" t="s">
        <v>279</v>
      </c>
      <c r="H17" s="202">
        <v>10100</v>
      </c>
      <c r="I17" s="204">
        <v>140.41999999999999</v>
      </c>
      <c r="J17" s="204">
        <v>127.79</v>
      </c>
    </row>
    <row r="18" spans="2:10" x14ac:dyDescent="0.25">
      <c r="B18" s="200" t="s">
        <v>280</v>
      </c>
      <c r="C18" s="200" t="s">
        <v>250</v>
      </c>
      <c r="D18" s="200" t="s">
        <v>251</v>
      </c>
      <c r="E18" s="200" t="s">
        <v>281</v>
      </c>
      <c r="F18" s="201">
        <v>472</v>
      </c>
      <c r="G18" s="200" t="s">
        <v>282</v>
      </c>
      <c r="H18" s="202">
        <v>60900</v>
      </c>
      <c r="I18" s="204">
        <v>696.89</v>
      </c>
      <c r="J18" s="204">
        <v>640.75</v>
      </c>
    </row>
    <row r="19" spans="2:10" x14ac:dyDescent="0.25">
      <c r="B19" s="200" t="s">
        <v>283</v>
      </c>
      <c r="C19" s="200" t="s">
        <v>250</v>
      </c>
      <c r="D19" s="200" t="s">
        <v>251</v>
      </c>
      <c r="E19" s="200" t="s">
        <v>284</v>
      </c>
      <c r="F19" s="201">
        <v>472</v>
      </c>
      <c r="G19" s="200" t="s">
        <v>285</v>
      </c>
      <c r="H19" s="202">
        <v>5400</v>
      </c>
      <c r="I19" s="204">
        <v>66.099999999999994</v>
      </c>
      <c r="J19" s="204">
        <v>61.1</v>
      </c>
    </row>
    <row r="20" spans="2:10" x14ac:dyDescent="0.25">
      <c r="B20" s="200" t="s">
        <v>286</v>
      </c>
      <c r="C20" s="200" t="s">
        <v>250</v>
      </c>
      <c r="D20" s="200" t="s">
        <v>251</v>
      </c>
      <c r="E20" s="200" t="s">
        <v>287</v>
      </c>
      <c r="F20" s="206" t="s">
        <v>288</v>
      </c>
      <c r="G20" s="200" t="s">
        <v>289</v>
      </c>
      <c r="H20" s="202">
        <v>228800</v>
      </c>
      <c r="I20" s="204">
        <v>2249.11</v>
      </c>
      <c r="J20" s="204">
        <v>2823.08</v>
      </c>
    </row>
    <row r="21" spans="2:10" x14ac:dyDescent="0.25">
      <c r="B21" s="200" t="s">
        <v>290</v>
      </c>
      <c r="C21" s="200" t="s">
        <v>250</v>
      </c>
      <c r="D21" s="200" t="s">
        <v>251</v>
      </c>
      <c r="E21" s="205" t="s">
        <v>291</v>
      </c>
      <c r="F21" s="201">
        <v>472</v>
      </c>
      <c r="G21" s="200" t="s">
        <v>292</v>
      </c>
      <c r="H21" s="202">
        <v>114500</v>
      </c>
      <c r="I21" s="204">
        <v>1284.21</v>
      </c>
      <c r="J21" s="204">
        <v>1171.31</v>
      </c>
    </row>
    <row r="22" spans="2:10" x14ac:dyDescent="0.25">
      <c r="B22" s="200" t="s">
        <v>293</v>
      </c>
      <c r="C22" s="200" t="s">
        <v>250</v>
      </c>
      <c r="D22" s="200" t="s">
        <v>251</v>
      </c>
      <c r="E22" s="205" t="s">
        <v>294</v>
      </c>
      <c r="F22" s="201">
        <v>605</v>
      </c>
      <c r="G22" s="200" t="s">
        <v>295</v>
      </c>
      <c r="H22" s="202">
        <v>5700</v>
      </c>
      <c r="I22" s="204">
        <v>112.06</v>
      </c>
      <c r="J22" s="204">
        <v>101.47</v>
      </c>
    </row>
    <row r="23" spans="2:10" x14ac:dyDescent="0.25">
      <c r="B23" s="200" t="s">
        <v>296</v>
      </c>
      <c r="C23" s="200" t="s">
        <v>250</v>
      </c>
      <c r="D23" s="200" t="s">
        <v>251</v>
      </c>
      <c r="E23" s="205" t="s">
        <v>297</v>
      </c>
      <c r="F23" s="201">
        <v>590</v>
      </c>
      <c r="G23" s="200" t="s">
        <v>298</v>
      </c>
      <c r="H23" s="202">
        <v>675800</v>
      </c>
      <c r="I23" s="204">
        <v>9815.41</v>
      </c>
      <c r="J23" s="204">
        <v>10026.91</v>
      </c>
    </row>
    <row r="24" spans="2:10" x14ac:dyDescent="0.25">
      <c r="B24" s="200" t="s">
        <v>299</v>
      </c>
      <c r="C24" s="200" t="s">
        <v>250</v>
      </c>
      <c r="D24" s="200" t="s">
        <v>251</v>
      </c>
      <c r="E24" s="200" t="s">
        <v>300</v>
      </c>
      <c r="F24" s="201">
        <v>575</v>
      </c>
      <c r="G24" s="200" t="s">
        <v>301</v>
      </c>
      <c r="H24" s="202">
        <v>6400</v>
      </c>
      <c r="I24" s="204">
        <v>126</v>
      </c>
      <c r="J24" s="204">
        <v>144.9</v>
      </c>
    </row>
    <row r="25" spans="2:10" x14ac:dyDescent="0.25">
      <c r="B25" s="200" t="s">
        <v>302</v>
      </c>
      <c r="C25" s="200" t="s">
        <v>250</v>
      </c>
      <c r="D25" s="200" t="s">
        <v>251</v>
      </c>
      <c r="E25" s="200" t="s">
        <v>303</v>
      </c>
      <c r="F25" s="201">
        <v>605</v>
      </c>
      <c r="G25" s="200" t="s">
        <v>304</v>
      </c>
      <c r="H25" s="202">
        <v>4900</v>
      </c>
      <c r="I25" s="204">
        <v>201.3</v>
      </c>
      <c r="J25" s="204">
        <v>180.86</v>
      </c>
    </row>
    <row r="26" spans="2:10" x14ac:dyDescent="0.25">
      <c r="B26" s="200" t="s">
        <v>305</v>
      </c>
      <c r="C26" s="200" t="s">
        <v>250</v>
      </c>
      <c r="D26" s="200" t="s">
        <v>251</v>
      </c>
      <c r="E26" s="200" t="s">
        <v>306</v>
      </c>
      <c r="F26" s="201">
        <v>575</v>
      </c>
      <c r="G26" s="200" t="s">
        <v>307</v>
      </c>
      <c r="H26" s="202">
        <v>6200</v>
      </c>
      <c r="I26" s="204">
        <v>223.78</v>
      </c>
      <c r="J26" s="204">
        <v>201.23</v>
      </c>
    </row>
    <row r="27" spans="2:10" x14ac:dyDescent="0.25">
      <c r="B27" s="200" t="s">
        <v>308</v>
      </c>
      <c r="C27" s="200" t="s">
        <v>250</v>
      </c>
      <c r="D27" s="200" t="s">
        <v>251</v>
      </c>
      <c r="E27" s="200" t="s">
        <v>309</v>
      </c>
      <c r="F27" s="201">
        <v>575</v>
      </c>
      <c r="G27" s="200" t="s">
        <v>310</v>
      </c>
      <c r="H27" s="202">
        <v>7200</v>
      </c>
      <c r="I27" s="204">
        <v>138.02000000000001</v>
      </c>
      <c r="J27" s="204">
        <v>120.96</v>
      </c>
    </row>
    <row r="28" spans="2:10" x14ac:dyDescent="0.25">
      <c r="B28" s="200" t="s">
        <v>311</v>
      </c>
      <c r="C28" s="200" t="s">
        <v>250</v>
      </c>
      <c r="D28" s="200" t="s">
        <v>251</v>
      </c>
      <c r="E28" s="205" t="s">
        <v>312</v>
      </c>
      <c r="F28" s="201">
        <v>590</v>
      </c>
      <c r="G28" s="200" t="s">
        <v>313</v>
      </c>
      <c r="H28" s="202">
        <v>6300</v>
      </c>
      <c r="I28" s="204">
        <v>220.85</v>
      </c>
      <c r="J28" s="204">
        <v>225.45</v>
      </c>
    </row>
    <row r="29" spans="2:10" x14ac:dyDescent="0.25">
      <c r="B29" s="205" t="s">
        <v>314</v>
      </c>
      <c r="C29" s="205" t="s">
        <v>250</v>
      </c>
      <c r="D29" s="205" t="s">
        <v>251</v>
      </c>
      <c r="E29" s="205" t="s">
        <v>315</v>
      </c>
      <c r="F29" s="201">
        <v>590</v>
      </c>
      <c r="G29" s="205" t="s">
        <v>436</v>
      </c>
      <c r="H29" s="207">
        <v>3383500</v>
      </c>
      <c r="I29" s="204">
        <v>52197.04</v>
      </c>
      <c r="J29" s="204">
        <v>42711.35</v>
      </c>
    </row>
    <row r="30" spans="2:10" x14ac:dyDescent="0.25">
      <c r="B30" s="200" t="s">
        <v>316</v>
      </c>
      <c r="C30" s="200" t="s">
        <v>250</v>
      </c>
      <c r="D30" s="200" t="s">
        <v>251</v>
      </c>
      <c r="E30" s="200" t="s">
        <v>317</v>
      </c>
      <c r="F30" s="201">
        <v>575</v>
      </c>
      <c r="G30" s="200" t="s">
        <v>318</v>
      </c>
      <c r="H30" s="202">
        <v>822800</v>
      </c>
      <c r="I30" s="204">
        <v>12854.7</v>
      </c>
      <c r="J30" s="204">
        <v>13390.77</v>
      </c>
    </row>
    <row r="31" spans="2:10" x14ac:dyDescent="0.25">
      <c r="B31" s="200" t="s">
        <v>319</v>
      </c>
      <c r="C31" s="200" t="s">
        <v>250</v>
      </c>
      <c r="D31" s="200" t="s">
        <v>251</v>
      </c>
      <c r="E31" s="200" t="s">
        <v>320</v>
      </c>
      <c r="F31" s="201">
        <v>575</v>
      </c>
      <c r="G31" s="200" t="s">
        <v>321</v>
      </c>
      <c r="H31" s="202">
        <v>317900</v>
      </c>
      <c r="I31" s="204">
        <v>4942.04</v>
      </c>
      <c r="J31" s="204">
        <v>5224.8900000000003</v>
      </c>
    </row>
    <row r="32" spans="2:10" x14ac:dyDescent="0.25">
      <c r="B32" s="200" t="s">
        <v>322</v>
      </c>
      <c r="C32" s="200" t="s">
        <v>250</v>
      </c>
      <c r="D32" s="200" t="s">
        <v>251</v>
      </c>
      <c r="E32" s="200" t="s">
        <v>323</v>
      </c>
      <c r="F32" s="201">
        <v>575</v>
      </c>
      <c r="G32" s="200" t="s">
        <v>324</v>
      </c>
      <c r="H32" s="202">
        <v>48700</v>
      </c>
      <c r="I32" s="204">
        <v>739.11</v>
      </c>
      <c r="J32" s="204">
        <v>1111.19</v>
      </c>
    </row>
    <row r="33" spans="2:10" x14ac:dyDescent="0.25">
      <c r="B33" s="200" t="s">
        <v>325</v>
      </c>
      <c r="C33" s="200" t="s">
        <v>250</v>
      </c>
      <c r="D33" s="200" t="s">
        <v>251</v>
      </c>
      <c r="E33" s="200" t="s">
        <v>326</v>
      </c>
      <c r="F33" s="201">
        <v>575</v>
      </c>
      <c r="G33" s="200" t="s">
        <v>327</v>
      </c>
      <c r="H33" s="202">
        <v>4100</v>
      </c>
      <c r="I33" s="204">
        <v>68.59</v>
      </c>
      <c r="J33" s="204">
        <v>58.04</v>
      </c>
    </row>
    <row r="34" spans="2:10" x14ac:dyDescent="0.25">
      <c r="B34" s="200" t="s">
        <v>328</v>
      </c>
      <c r="C34" s="200" t="s">
        <v>250</v>
      </c>
      <c r="D34" s="200" t="s">
        <v>251</v>
      </c>
      <c r="E34" s="200" t="s">
        <v>329</v>
      </c>
      <c r="F34" s="201">
        <v>575</v>
      </c>
      <c r="G34" s="200" t="s">
        <v>330</v>
      </c>
      <c r="H34" s="202">
        <v>5800</v>
      </c>
      <c r="I34" s="204">
        <v>217.77</v>
      </c>
      <c r="J34" s="204">
        <v>250.7</v>
      </c>
    </row>
    <row r="35" spans="2:10" x14ac:dyDescent="0.25">
      <c r="B35" s="200" t="s">
        <v>331</v>
      </c>
      <c r="C35" s="200" t="s">
        <v>250</v>
      </c>
      <c r="D35" s="200" t="s">
        <v>251</v>
      </c>
      <c r="E35" s="205" t="s">
        <v>332</v>
      </c>
      <c r="F35" s="201">
        <v>575</v>
      </c>
      <c r="G35" s="200" t="s">
        <v>333</v>
      </c>
      <c r="H35" s="202">
        <v>4000</v>
      </c>
      <c r="I35" s="204">
        <v>67.099999999999994</v>
      </c>
      <c r="J35" s="204">
        <v>74</v>
      </c>
    </row>
    <row r="36" spans="2:10" x14ac:dyDescent="0.25">
      <c r="B36" s="205" t="s">
        <v>334</v>
      </c>
      <c r="C36" s="205" t="s">
        <v>250</v>
      </c>
      <c r="D36" s="205" t="s">
        <v>251</v>
      </c>
      <c r="E36" s="205" t="s">
        <v>315</v>
      </c>
      <c r="F36" s="201">
        <v>575</v>
      </c>
      <c r="G36" s="205" t="s">
        <v>436</v>
      </c>
      <c r="H36" s="207">
        <v>1004100</v>
      </c>
      <c r="I36" s="204">
        <v>19012.27</v>
      </c>
      <c r="J36" s="204">
        <v>17614.25</v>
      </c>
    </row>
    <row r="37" spans="2:10" x14ac:dyDescent="0.25">
      <c r="B37" s="205" t="s">
        <v>335</v>
      </c>
      <c r="C37" s="205" t="s">
        <v>250</v>
      </c>
      <c r="D37" s="205" t="s">
        <v>251</v>
      </c>
      <c r="E37" s="205" t="s">
        <v>336</v>
      </c>
      <c r="F37" s="201">
        <v>220</v>
      </c>
      <c r="G37" s="205" t="s">
        <v>337</v>
      </c>
      <c r="H37" s="207">
        <v>376400</v>
      </c>
      <c r="I37" s="204">
        <v>5561.44</v>
      </c>
      <c r="J37" s="204">
        <v>10388.67</v>
      </c>
    </row>
    <row r="38" spans="2:10" x14ac:dyDescent="0.25">
      <c r="B38" s="200" t="s">
        <v>338</v>
      </c>
      <c r="C38" s="200" t="s">
        <v>250</v>
      </c>
      <c r="D38" s="200" t="s">
        <v>251</v>
      </c>
      <c r="E38" s="200" t="s">
        <v>339</v>
      </c>
      <c r="F38" s="201">
        <v>590</v>
      </c>
      <c r="G38" s="200" t="s">
        <v>340</v>
      </c>
      <c r="H38" s="202">
        <v>6200</v>
      </c>
      <c r="I38" s="204">
        <v>118.63</v>
      </c>
      <c r="J38" s="204">
        <v>142.69</v>
      </c>
    </row>
    <row r="39" spans="2:10" x14ac:dyDescent="0.25">
      <c r="B39" s="200" t="s">
        <v>341</v>
      </c>
      <c r="C39" s="200" t="s">
        <v>250</v>
      </c>
      <c r="D39" s="200" t="s">
        <v>251</v>
      </c>
      <c r="E39" s="200" t="s">
        <v>342</v>
      </c>
      <c r="F39" s="201">
        <v>590</v>
      </c>
      <c r="G39" s="200" t="s">
        <v>343</v>
      </c>
      <c r="H39" s="202">
        <v>9300</v>
      </c>
      <c r="I39" s="204">
        <v>215.17</v>
      </c>
      <c r="J39" s="204">
        <v>223.78</v>
      </c>
    </row>
    <row r="40" spans="2:10" x14ac:dyDescent="0.25">
      <c r="B40" s="200" t="s">
        <v>344</v>
      </c>
      <c r="C40" s="200" t="s">
        <v>250</v>
      </c>
      <c r="D40" s="200" t="s">
        <v>251</v>
      </c>
      <c r="E40" s="205" t="s">
        <v>345</v>
      </c>
      <c r="F40" s="201">
        <v>472</v>
      </c>
      <c r="G40" s="200" t="s">
        <v>346</v>
      </c>
      <c r="H40" s="202">
        <v>4200</v>
      </c>
      <c r="I40" s="204">
        <v>75.78</v>
      </c>
      <c r="J40" s="204">
        <v>75.56</v>
      </c>
    </row>
    <row r="41" spans="2:10" x14ac:dyDescent="0.25">
      <c r="B41" s="209" t="s">
        <v>500</v>
      </c>
      <c r="C41" s="200" t="s">
        <v>250</v>
      </c>
      <c r="D41" s="200" t="s">
        <v>251</v>
      </c>
      <c r="E41" s="205" t="s">
        <v>501</v>
      </c>
      <c r="F41" s="201">
        <v>575</v>
      </c>
      <c r="G41" s="200" t="s">
        <v>502</v>
      </c>
      <c r="H41" s="202">
        <v>24800</v>
      </c>
      <c r="I41" s="204">
        <v>402.61</v>
      </c>
      <c r="J41" s="204">
        <v>170.44</v>
      </c>
    </row>
    <row r="42" spans="2:10" x14ac:dyDescent="0.25">
      <c r="B42" s="200" t="s">
        <v>347</v>
      </c>
      <c r="C42" s="200" t="s">
        <v>250</v>
      </c>
      <c r="D42" s="200" t="s">
        <v>251</v>
      </c>
      <c r="E42" s="200" t="s">
        <v>348</v>
      </c>
      <c r="F42" s="201">
        <v>575</v>
      </c>
      <c r="G42" s="200" t="s">
        <v>349</v>
      </c>
      <c r="H42" s="202">
        <v>6900</v>
      </c>
      <c r="I42" s="204">
        <v>236.02</v>
      </c>
      <c r="J42" s="204">
        <v>276.23</v>
      </c>
    </row>
    <row r="43" spans="2:10" x14ac:dyDescent="0.25">
      <c r="B43" s="232" t="s">
        <v>350</v>
      </c>
      <c r="C43" s="200" t="s">
        <v>250</v>
      </c>
      <c r="D43" s="200"/>
      <c r="E43" s="205" t="s">
        <v>351</v>
      </c>
      <c r="F43" s="206" t="s">
        <v>288</v>
      </c>
      <c r="G43" s="200" t="s">
        <v>352</v>
      </c>
      <c r="H43" s="202">
        <v>45300</v>
      </c>
      <c r="I43" s="204">
        <v>450.73</v>
      </c>
      <c r="J43" s="204">
        <v>436.35</v>
      </c>
    </row>
    <row r="44" spans="2:10" x14ac:dyDescent="0.25">
      <c r="B44" s="200" t="s">
        <v>353</v>
      </c>
      <c r="C44" s="200" t="s">
        <v>250</v>
      </c>
      <c r="D44" s="200" t="s">
        <v>251</v>
      </c>
      <c r="E44" s="205" t="s">
        <v>354</v>
      </c>
      <c r="F44" s="201">
        <v>575</v>
      </c>
      <c r="G44" s="200" t="s">
        <v>355</v>
      </c>
      <c r="H44" s="202">
        <v>7200</v>
      </c>
      <c r="I44" s="204">
        <v>139.82</v>
      </c>
      <c r="J44" s="204">
        <v>149.69</v>
      </c>
    </row>
    <row r="45" spans="2:10" x14ac:dyDescent="0.25">
      <c r="B45" s="200" t="s">
        <v>356</v>
      </c>
      <c r="C45" s="200" t="s">
        <v>250</v>
      </c>
      <c r="D45" s="200" t="s">
        <v>251</v>
      </c>
      <c r="E45" s="200" t="s">
        <v>357</v>
      </c>
      <c r="F45" s="201">
        <v>575</v>
      </c>
      <c r="G45" s="200" t="s">
        <v>358</v>
      </c>
      <c r="H45" s="202">
        <v>7200</v>
      </c>
      <c r="I45" s="204">
        <v>238.81</v>
      </c>
      <c r="J45" s="204">
        <v>250.7</v>
      </c>
    </row>
    <row r="46" spans="2:10" x14ac:dyDescent="0.25">
      <c r="B46" s="200" t="s">
        <v>359</v>
      </c>
      <c r="C46" s="200" t="s">
        <v>250</v>
      </c>
      <c r="D46" s="200" t="s">
        <v>251</v>
      </c>
      <c r="E46" s="200" t="s">
        <v>360</v>
      </c>
      <c r="F46" s="201">
        <v>575</v>
      </c>
      <c r="G46" s="200" t="s">
        <v>361</v>
      </c>
      <c r="H46" s="202">
        <v>5100</v>
      </c>
      <c r="I46" s="204">
        <v>84.91</v>
      </c>
      <c r="J46" s="204">
        <v>101.13</v>
      </c>
    </row>
    <row r="47" spans="2:10" x14ac:dyDescent="0.25">
      <c r="B47" s="200" t="s">
        <v>362</v>
      </c>
      <c r="C47" s="200" t="s">
        <v>250</v>
      </c>
      <c r="D47" s="200" t="s">
        <v>251</v>
      </c>
      <c r="E47" s="200" t="s">
        <v>363</v>
      </c>
      <c r="F47" s="201">
        <v>575</v>
      </c>
      <c r="G47" s="200" t="s">
        <v>364</v>
      </c>
      <c r="H47" s="202">
        <v>24700</v>
      </c>
      <c r="I47" s="204">
        <v>502.19</v>
      </c>
      <c r="J47" s="204">
        <v>469.6</v>
      </c>
    </row>
    <row r="48" spans="2:10" x14ac:dyDescent="0.25">
      <c r="B48" s="200" t="s">
        <v>365</v>
      </c>
      <c r="C48" s="200" t="s">
        <v>250</v>
      </c>
      <c r="D48" s="200" t="s">
        <v>251</v>
      </c>
      <c r="E48" s="200" t="s">
        <v>366</v>
      </c>
      <c r="F48" s="201">
        <v>575</v>
      </c>
      <c r="G48" s="200" t="s">
        <v>367</v>
      </c>
      <c r="H48" s="202">
        <v>3000</v>
      </c>
      <c r="I48" s="204">
        <v>175.68</v>
      </c>
      <c r="J48" s="204">
        <v>159.75</v>
      </c>
    </row>
    <row r="49" spans="2:10" x14ac:dyDescent="0.25">
      <c r="B49" s="200" t="s">
        <v>368</v>
      </c>
      <c r="C49" s="200" t="s">
        <v>250</v>
      </c>
      <c r="D49" s="200" t="s">
        <v>251</v>
      </c>
      <c r="E49" s="200" t="s">
        <v>369</v>
      </c>
      <c r="F49" s="201">
        <v>575</v>
      </c>
      <c r="G49" s="200" t="s">
        <v>370</v>
      </c>
      <c r="H49" s="202">
        <v>4800</v>
      </c>
      <c r="I49" s="204">
        <v>80.319999999999993</v>
      </c>
      <c r="J49" s="204">
        <v>86.76</v>
      </c>
    </row>
    <row r="50" spans="2:10" x14ac:dyDescent="0.25">
      <c r="B50" s="200" t="s">
        <v>371</v>
      </c>
      <c r="C50" s="200" t="s">
        <v>250</v>
      </c>
      <c r="D50" s="200" t="s">
        <v>251</v>
      </c>
      <c r="E50" s="200" t="s">
        <v>372</v>
      </c>
      <c r="F50" s="201">
        <v>575</v>
      </c>
      <c r="G50" s="200" t="s">
        <v>373</v>
      </c>
      <c r="H50" s="202">
        <v>4200</v>
      </c>
      <c r="I50" s="204">
        <v>70.099999999999994</v>
      </c>
      <c r="J50" s="204">
        <v>61.24</v>
      </c>
    </row>
    <row r="51" spans="2:10" x14ac:dyDescent="0.25">
      <c r="B51" s="200" t="s">
        <v>374</v>
      </c>
      <c r="C51" s="200" t="s">
        <v>250</v>
      </c>
      <c r="D51" s="200" t="s">
        <v>251</v>
      </c>
      <c r="E51" s="200" t="s">
        <v>375</v>
      </c>
      <c r="F51" s="201">
        <v>590</v>
      </c>
      <c r="G51" s="200" t="s">
        <v>376</v>
      </c>
      <c r="H51" s="202">
        <v>21200</v>
      </c>
      <c r="I51" s="204">
        <v>557.53</v>
      </c>
      <c r="J51" s="204">
        <v>537.25</v>
      </c>
    </row>
    <row r="52" spans="2:10" x14ac:dyDescent="0.25">
      <c r="B52" s="200" t="s">
        <v>377</v>
      </c>
      <c r="C52" s="200" t="s">
        <v>250</v>
      </c>
      <c r="D52" s="200" t="s">
        <v>251</v>
      </c>
      <c r="E52" s="205" t="s">
        <v>312</v>
      </c>
      <c r="F52" s="201">
        <v>590</v>
      </c>
      <c r="G52" s="200" t="s">
        <v>378</v>
      </c>
      <c r="H52" s="202">
        <v>6700</v>
      </c>
      <c r="I52" s="204">
        <v>102.97</v>
      </c>
      <c r="J52" s="204">
        <v>118.3</v>
      </c>
    </row>
    <row r="53" spans="2:10" x14ac:dyDescent="0.25">
      <c r="B53" s="200" t="s">
        <v>379</v>
      </c>
      <c r="C53" s="200" t="s">
        <v>250</v>
      </c>
      <c r="D53" s="200" t="s">
        <v>251</v>
      </c>
      <c r="E53" s="205" t="s">
        <v>380</v>
      </c>
      <c r="F53" s="201">
        <v>575</v>
      </c>
      <c r="G53" s="200" t="s">
        <v>333</v>
      </c>
      <c r="H53" s="202">
        <v>2000</v>
      </c>
      <c r="I53" s="204">
        <v>37.020000000000003</v>
      </c>
      <c r="J53" s="204">
        <v>34.11</v>
      </c>
    </row>
    <row r="54" spans="2:10" x14ac:dyDescent="0.25">
      <c r="B54" s="200" t="s">
        <v>381</v>
      </c>
      <c r="C54" s="200" t="s">
        <v>250</v>
      </c>
      <c r="D54" s="200" t="s">
        <v>251</v>
      </c>
      <c r="E54" s="200" t="s">
        <v>382</v>
      </c>
      <c r="F54" s="201">
        <v>472</v>
      </c>
      <c r="G54" s="200" t="s">
        <v>383</v>
      </c>
      <c r="H54" s="202">
        <v>12600</v>
      </c>
      <c r="I54" s="204">
        <v>268.58999999999997</v>
      </c>
      <c r="J54" s="204">
        <v>250.28</v>
      </c>
    </row>
    <row r="55" spans="2:10" x14ac:dyDescent="0.25">
      <c r="B55" s="200" t="s">
        <v>384</v>
      </c>
      <c r="C55" s="200" t="s">
        <v>250</v>
      </c>
      <c r="D55" s="200" t="s">
        <v>251</v>
      </c>
      <c r="E55" s="200" t="s">
        <v>385</v>
      </c>
      <c r="F55" s="201">
        <v>590</v>
      </c>
      <c r="G55" s="200" t="s">
        <v>386</v>
      </c>
      <c r="H55" s="202">
        <v>8100</v>
      </c>
      <c r="I55" s="204">
        <v>146</v>
      </c>
      <c r="J55" s="204">
        <v>145.81</v>
      </c>
    </row>
    <row r="56" spans="2:10" x14ac:dyDescent="0.25">
      <c r="B56" s="200" t="s">
        <v>387</v>
      </c>
      <c r="C56" s="200" t="s">
        <v>250</v>
      </c>
      <c r="D56" s="200" t="s">
        <v>251</v>
      </c>
      <c r="E56" s="200" t="s">
        <v>388</v>
      </c>
      <c r="F56" s="201">
        <v>590</v>
      </c>
      <c r="G56" s="200" t="s">
        <v>389</v>
      </c>
      <c r="H56" s="202">
        <v>8800</v>
      </c>
      <c r="I56" s="204">
        <v>256.68</v>
      </c>
      <c r="J56" s="204">
        <v>238.81</v>
      </c>
    </row>
    <row r="57" spans="2:10" x14ac:dyDescent="0.25">
      <c r="B57" s="200" t="s">
        <v>390</v>
      </c>
      <c r="C57" s="200" t="s">
        <v>250</v>
      </c>
      <c r="D57" s="200" t="s">
        <v>251</v>
      </c>
      <c r="E57" s="200" t="s">
        <v>391</v>
      </c>
      <c r="F57" s="201">
        <v>590</v>
      </c>
      <c r="G57" s="200" t="s">
        <v>392</v>
      </c>
      <c r="H57" s="202">
        <v>2100</v>
      </c>
      <c r="I57" s="204">
        <v>37.049999999999997</v>
      </c>
      <c r="J57" s="204">
        <v>35.1</v>
      </c>
    </row>
    <row r="58" spans="2:10" x14ac:dyDescent="0.25">
      <c r="B58" s="200" t="s">
        <v>393</v>
      </c>
      <c r="C58" s="200" t="s">
        <v>250</v>
      </c>
      <c r="D58" s="200" t="s">
        <v>251</v>
      </c>
      <c r="E58" s="200" t="s">
        <v>394</v>
      </c>
      <c r="F58" s="201">
        <v>155</v>
      </c>
      <c r="G58" s="200" t="s">
        <v>395</v>
      </c>
      <c r="H58" s="202">
        <v>2200</v>
      </c>
      <c r="I58" s="204">
        <v>36.22</v>
      </c>
      <c r="J58" s="204">
        <v>29.44</v>
      </c>
    </row>
    <row r="59" spans="2:10" x14ac:dyDescent="0.25">
      <c r="B59" s="200" t="s">
        <v>396</v>
      </c>
      <c r="C59" s="200" t="s">
        <v>250</v>
      </c>
      <c r="D59" s="200" t="s">
        <v>251</v>
      </c>
      <c r="E59" s="200" t="s">
        <v>397</v>
      </c>
      <c r="F59" s="201">
        <v>575</v>
      </c>
      <c r="G59" s="200" t="s">
        <v>398</v>
      </c>
      <c r="H59" s="202">
        <v>4500</v>
      </c>
      <c r="I59" s="204">
        <v>198.22</v>
      </c>
      <c r="J59" s="204">
        <v>202.82</v>
      </c>
    </row>
    <row r="60" spans="2:10" x14ac:dyDescent="0.25">
      <c r="B60" s="200" t="s">
        <v>399</v>
      </c>
      <c r="C60" s="200" t="s">
        <v>250</v>
      </c>
      <c r="D60" s="200" t="s">
        <v>251</v>
      </c>
      <c r="E60" s="205" t="s">
        <v>400</v>
      </c>
      <c r="F60" s="201">
        <v>472</v>
      </c>
      <c r="G60" s="200" t="s">
        <v>401</v>
      </c>
      <c r="H60" s="202">
        <v>25100</v>
      </c>
      <c r="I60" s="204">
        <v>405.52</v>
      </c>
      <c r="J60" s="204">
        <v>381.42</v>
      </c>
    </row>
    <row r="61" spans="2:10" x14ac:dyDescent="0.25">
      <c r="B61" s="200" t="s">
        <v>402</v>
      </c>
      <c r="C61" s="200" t="s">
        <v>250</v>
      </c>
      <c r="D61" s="200" t="s">
        <v>251</v>
      </c>
      <c r="E61" s="200" t="s">
        <v>403</v>
      </c>
      <c r="F61" s="201">
        <v>590</v>
      </c>
      <c r="G61" s="200" t="s">
        <v>404</v>
      </c>
      <c r="H61" s="202">
        <v>11700</v>
      </c>
      <c r="I61" s="204">
        <v>197.44</v>
      </c>
      <c r="J61" s="204">
        <v>185.78</v>
      </c>
    </row>
    <row r="62" spans="2:10" x14ac:dyDescent="0.25">
      <c r="B62" s="208" t="s">
        <v>405</v>
      </c>
      <c r="C62" s="200" t="s">
        <v>250</v>
      </c>
      <c r="D62" s="200" t="s">
        <v>251</v>
      </c>
      <c r="E62" s="200" t="s">
        <v>406</v>
      </c>
      <c r="F62" s="201">
        <v>575</v>
      </c>
      <c r="G62" s="200" t="s">
        <v>407</v>
      </c>
      <c r="H62" s="202">
        <v>9000</v>
      </c>
      <c r="I62" s="204">
        <v>165.09</v>
      </c>
      <c r="J62" s="204">
        <v>148.1</v>
      </c>
    </row>
    <row r="63" spans="2:10" x14ac:dyDescent="0.25">
      <c r="B63" s="200" t="s">
        <v>408</v>
      </c>
      <c r="C63" s="200" t="s">
        <v>250</v>
      </c>
      <c r="D63" s="200" t="s">
        <v>251</v>
      </c>
      <c r="E63" s="200" t="s">
        <v>409</v>
      </c>
      <c r="F63" s="201">
        <v>575</v>
      </c>
      <c r="G63" s="200" t="s">
        <v>410</v>
      </c>
      <c r="H63" s="202">
        <v>7500</v>
      </c>
      <c r="I63" s="204">
        <v>142.53</v>
      </c>
      <c r="J63" s="204">
        <v>127.34</v>
      </c>
    </row>
    <row r="64" spans="2:10" x14ac:dyDescent="0.25">
      <c r="B64" s="200" t="s">
        <v>411</v>
      </c>
      <c r="C64" s="200" t="s">
        <v>250</v>
      </c>
      <c r="D64" s="200" t="s">
        <v>251</v>
      </c>
      <c r="E64" s="205" t="s">
        <v>412</v>
      </c>
      <c r="F64" s="201">
        <v>590</v>
      </c>
      <c r="G64" s="200" t="s">
        <v>413</v>
      </c>
      <c r="H64" s="202">
        <v>5900</v>
      </c>
      <c r="I64" s="204">
        <v>91.51</v>
      </c>
      <c r="J64" s="204">
        <v>96.01</v>
      </c>
    </row>
    <row r="65" spans="2:10" x14ac:dyDescent="0.25">
      <c r="B65" s="200" t="s">
        <v>414</v>
      </c>
      <c r="C65" s="200" t="s">
        <v>250</v>
      </c>
      <c r="D65" s="200" t="s">
        <v>251</v>
      </c>
      <c r="E65" s="200" t="s">
        <v>415</v>
      </c>
      <c r="F65" s="201">
        <v>590</v>
      </c>
      <c r="G65" s="200" t="s">
        <v>416</v>
      </c>
      <c r="H65" s="202">
        <v>7100</v>
      </c>
      <c r="I65" s="204">
        <v>131.53</v>
      </c>
      <c r="J65" s="204">
        <v>150.13</v>
      </c>
    </row>
    <row r="66" spans="2:10" x14ac:dyDescent="0.25">
      <c r="B66" s="200" t="s">
        <v>417</v>
      </c>
      <c r="C66" s="200" t="s">
        <v>250</v>
      </c>
      <c r="D66" s="200" t="s">
        <v>251</v>
      </c>
      <c r="E66" s="200" t="s">
        <v>418</v>
      </c>
      <c r="F66" s="201">
        <v>590</v>
      </c>
      <c r="G66" s="200" t="s">
        <v>419</v>
      </c>
      <c r="H66" s="202">
        <v>98400</v>
      </c>
      <c r="I66" s="204">
        <v>1540.66</v>
      </c>
      <c r="J66" s="204">
        <v>75.84</v>
      </c>
    </row>
    <row r="67" spans="2:10" x14ac:dyDescent="0.25">
      <c r="B67" s="200" t="s">
        <v>420</v>
      </c>
      <c r="C67" s="208" t="s">
        <v>250</v>
      </c>
      <c r="D67" s="200" t="s">
        <v>251</v>
      </c>
      <c r="E67" s="208" t="s">
        <v>421</v>
      </c>
      <c r="F67" s="201">
        <v>590</v>
      </c>
      <c r="G67" s="200" t="s">
        <v>422</v>
      </c>
      <c r="H67" s="202">
        <v>7000</v>
      </c>
      <c r="I67" s="204">
        <v>130.09</v>
      </c>
      <c r="J67" s="204">
        <v>138.22999999999999</v>
      </c>
    </row>
    <row r="68" spans="2:10" x14ac:dyDescent="0.25">
      <c r="B68" s="200" t="s">
        <v>423</v>
      </c>
      <c r="C68" s="200" t="s">
        <v>250</v>
      </c>
      <c r="D68" s="200" t="s">
        <v>251</v>
      </c>
      <c r="E68" s="200" t="s">
        <v>424</v>
      </c>
      <c r="F68" s="201">
        <v>590</v>
      </c>
      <c r="G68" s="200" t="s">
        <v>425</v>
      </c>
      <c r="H68" s="202">
        <v>7500</v>
      </c>
      <c r="I68" s="204">
        <v>137.25</v>
      </c>
      <c r="J68" s="204">
        <v>156.07</v>
      </c>
    </row>
    <row r="69" spans="2:10" x14ac:dyDescent="0.25">
      <c r="B69" s="200" t="s">
        <v>426</v>
      </c>
      <c r="C69" s="200" t="s">
        <v>250</v>
      </c>
      <c r="D69" s="200" t="s">
        <v>251</v>
      </c>
      <c r="E69" s="205" t="s">
        <v>427</v>
      </c>
      <c r="F69" s="201">
        <v>472</v>
      </c>
      <c r="G69" s="200" t="s">
        <v>428</v>
      </c>
      <c r="H69" s="202">
        <v>7200</v>
      </c>
      <c r="I69" s="204">
        <v>85.82</v>
      </c>
      <c r="J69" s="204">
        <v>78.5</v>
      </c>
    </row>
    <row r="70" spans="2:10" x14ac:dyDescent="0.25">
      <c r="B70" s="200" t="s">
        <v>429</v>
      </c>
      <c r="C70" s="200" t="s">
        <v>250</v>
      </c>
      <c r="D70" s="200" t="s">
        <v>251</v>
      </c>
      <c r="E70" s="205" t="s">
        <v>430</v>
      </c>
      <c r="F70" s="201">
        <v>575</v>
      </c>
      <c r="G70" s="200" t="s">
        <v>431</v>
      </c>
      <c r="H70" s="202">
        <v>11700</v>
      </c>
      <c r="I70" s="204">
        <v>309.39</v>
      </c>
      <c r="J70" s="204">
        <v>309.74</v>
      </c>
    </row>
    <row r="71" spans="2:10" x14ac:dyDescent="0.25">
      <c r="B71" s="209" t="s">
        <v>432</v>
      </c>
      <c r="C71" s="200" t="s">
        <v>250</v>
      </c>
      <c r="D71" s="200" t="s">
        <v>251</v>
      </c>
      <c r="E71" s="205" t="s">
        <v>433</v>
      </c>
      <c r="F71" s="201">
        <v>472</v>
      </c>
      <c r="G71" s="200" t="s">
        <v>434</v>
      </c>
      <c r="H71" s="202">
        <v>13600</v>
      </c>
      <c r="I71" s="204">
        <v>279.55</v>
      </c>
      <c r="J71" s="204">
        <v>260.72000000000003</v>
      </c>
    </row>
    <row r="72" spans="2:10" x14ac:dyDescent="0.25">
      <c r="B72" s="200"/>
      <c r="C72" s="200"/>
      <c r="D72" s="200"/>
      <c r="E72" s="200"/>
      <c r="F72" s="210"/>
      <c r="G72" s="200"/>
      <c r="H72" s="211">
        <f>SUM(H6:H71)</f>
        <v>20151286</v>
      </c>
      <c r="I72" s="212">
        <f>SUM(I6:I71)</f>
        <v>313878.71000000008</v>
      </c>
      <c r="J72" s="212">
        <f>SUM(J6:J71)</f>
        <v>307639.85000000003</v>
      </c>
    </row>
    <row r="73" spans="2:10" x14ac:dyDescent="0.25">
      <c r="B73" s="200"/>
      <c r="C73" s="200"/>
      <c r="D73" s="200"/>
      <c r="E73" s="200"/>
      <c r="F73" s="210"/>
      <c r="G73" s="200"/>
      <c r="H73" s="211" t="s">
        <v>435</v>
      </c>
      <c r="I73" s="213">
        <f>+SUM(I72-J72)/J72</f>
        <v>2.0279752444294988E-2</v>
      </c>
      <c r="J73" s="213"/>
    </row>
    <row r="75" spans="2:10" ht="16.5" thickBot="1" x14ac:dyDescent="0.3">
      <c r="H75" s="214" t="s">
        <v>91</v>
      </c>
      <c r="I75" s="215">
        <f>+I72-J72</f>
        <v>6238.8600000000442</v>
      </c>
    </row>
    <row r="76" spans="2:10" ht="16.5" thickTop="1" x14ac:dyDescent="0.25"/>
  </sheetData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A40" sqref="A40"/>
    </sheetView>
  </sheetViews>
  <sheetFormatPr defaultRowHeight="15.75" x14ac:dyDescent="0.25"/>
  <cols>
    <col min="7" max="7" width="10" style="53" bestFit="1" customWidth="1"/>
    <col min="8" max="8" width="11.44140625" style="53" bestFit="1" customWidth="1"/>
  </cols>
  <sheetData>
    <row r="1" spans="2:8" x14ac:dyDescent="0.25">
      <c r="B1" s="22" t="s">
        <v>438</v>
      </c>
    </row>
    <row r="2" spans="2:8" x14ac:dyDescent="0.25">
      <c r="B2" t="s">
        <v>102</v>
      </c>
    </row>
    <row r="3" spans="2:8" x14ac:dyDescent="0.25">
      <c r="B3" t="s">
        <v>529</v>
      </c>
    </row>
    <row r="4" spans="2:8" x14ac:dyDescent="0.25">
      <c r="B4" s="155"/>
    </row>
    <row r="5" spans="2:8" x14ac:dyDescent="0.25">
      <c r="B5" s="155">
        <v>2017</v>
      </c>
      <c r="C5" t="s">
        <v>531</v>
      </c>
      <c r="G5" s="53">
        <v>15000</v>
      </c>
    </row>
    <row r="6" spans="2:8" x14ac:dyDescent="0.25">
      <c r="C6" t="s">
        <v>533</v>
      </c>
      <c r="G6" s="53">
        <f>18087*0.46</f>
        <v>8320.02</v>
      </c>
    </row>
    <row r="7" spans="2:8" x14ac:dyDescent="0.25">
      <c r="C7" t="s">
        <v>532</v>
      </c>
      <c r="G7" s="53">
        <f>18087*0.2</f>
        <v>3617.4</v>
      </c>
    </row>
    <row r="8" spans="2:8" x14ac:dyDescent="0.25">
      <c r="C8" t="s">
        <v>530</v>
      </c>
    </row>
    <row r="12" spans="2:8" x14ac:dyDescent="0.25">
      <c r="G12" s="216">
        <f>SUM(G5:G11)</f>
        <v>26937.420000000002</v>
      </c>
    </row>
    <row r="13" spans="2:8" x14ac:dyDescent="0.25">
      <c r="H13" s="234"/>
    </row>
    <row r="14" spans="2:8" x14ac:dyDescent="0.25">
      <c r="E14" t="s">
        <v>534</v>
      </c>
      <c r="H14" s="53">
        <f>+G12/3</f>
        <v>8979.1400000000012</v>
      </c>
    </row>
    <row r="16" spans="2:8" ht="16.5" thickBot="1" x14ac:dyDescent="0.3">
      <c r="E16" s="22" t="s">
        <v>242</v>
      </c>
      <c r="F16" s="22"/>
      <c r="G16" s="218"/>
      <c r="H16" s="188">
        <f>SUM(H7:H14)</f>
        <v>8979.1400000000012</v>
      </c>
    </row>
    <row r="17" ht="16.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E6" sqref="E6:E7"/>
    </sheetView>
  </sheetViews>
  <sheetFormatPr defaultRowHeight="15.75" x14ac:dyDescent="0.25"/>
  <cols>
    <col min="5" max="5" width="10" style="53" bestFit="1" customWidth="1"/>
  </cols>
  <sheetData>
    <row r="1" spans="2:5" x14ac:dyDescent="0.25">
      <c r="B1" s="22" t="s">
        <v>440</v>
      </c>
    </row>
    <row r="2" spans="2:5" x14ac:dyDescent="0.25">
      <c r="B2" t="s">
        <v>102</v>
      </c>
    </row>
    <row r="4" spans="2:5" x14ac:dyDescent="0.25">
      <c r="B4" t="s">
        <v>446</v>
      </c>
    </row>
    <row r="6" spans="2:5" x14ac:dyDescent="0.25">
      <c r="C6" t="s">
        <v>447</v>
      </c>
    </row>
    <row r="7" spans="2:5" x14ac:dyDescent="0.25">
      <c r="C7" t="s">
        <v>448</v>
      </c>
    </row>
    <row r="9" spans="2:5" ht="16.5" thickBot="1" x14ac:dyDescent="0.3">
      <c r="C9" t="s">
        <v>91</v>
      </c>
      <c r="E9" s="217">
        <f>+E7-E6</f>
        <v>0</v>
      </c>
    </row>
    <row r="10" spans="2:5" ht="16.5" thickTop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F7" sqref="F7"/>
    </sheetView>
  </sheetViews>
  <sheetFormatPr defaultRowHeight="15.75" x14ac:dyDescent="0.25"/>
  <cols>
    <col min="6" max="6" width="10.33203125" style="53" bestFit="1" customWidth="1"/>
  </cols>
  <sheetData>
    <row r="1" spans="2:6" x14ac:dyDescent="0.25">
      <c r="B1" t="s">
        <v>449</v>
      </c>
    </row>
    <row r="2" spans="2:6" x14ac:dyDescent="0.25">
      <c r="B2" t="s">
        <v>102</v>
      </c>
    </row>
    <row r="4" spans="2:6" x14ac:dyDescent="0.25">
      <c r="B4" t="s">
        <v>451</v>
      </c>
    </row>
    <row r="7" spans="2:6" x14ac:dyDescent="0.25">
      <c r="C7" t="s">
        <v>472</v>
      </c>
    </row>
    <row r="8" spans="2:6" ht="16.5" thickBot="1" x14ac:dyDescent="0.3">
      <c r="C8" s="22" t="s">
        <v>439</v>
      </c>
      <c r="D8" s="22"/>
      <c r="E8" s="22"/>
      <c r="F8" s="188">
        <f>+F7/2</f>
        <v>0</v>
      </c>
    </row>
    <row r="9" spans="2:6" ht="16.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2" sqref="D12"/>
    </sheetView>
  </sheetViews>
  <sheetFormatPr defaultRowHeight="15.75" x14ac:dyDescent="0.25"/>
  <cols>
    <col min="1" max="1" width="4.21875" customWidth="1"/>
    <col min="2" max="2" width="39.6640625" customWidth="1"/>
    <col min="4" max="4" width="11.6640625" style="12" bestFit="1" customWidth="1"/>
  </cols>
  <sheetData>
    <row r="1" spans="1:4" x14ac:dyDescent="0.25">
      <c r="A1" s="93" t="s">
        <v>0</v>
      </c>
    </row>
    <row r="5" spans="1:4" x14ac:dyDescent="0.25">
      <c r="A5" s="4"/>
      <c r="B5" s="8" t="s">
        <v>169</v>
      </c>
    </row>
    <row r="6" spans="1:4" x14ac:dyDescent="0.25">
      <c r="A6" s="4">
        <v>51</v>
      </c>
      <c r="B6" s="1" t="s">
        <v>42</v>
      </c>
      <c r="D6" s="12">
        <f>+RATES!C40</f>
        <v>1053010.8799999999</v>
      </c>
    </row>
    <row r="7" spans="1:4" x14ac:dyDescent="0.25">
      <c r="A7" s="4">
        <v>52</v>
      </c>
      <c r="B7" s="1" t="s">
        <v>168</v>
      </c>
    </row>
    <row r="8" spans="1:4" x14ac:dyDescent="0.25">
      <c r="A8" s="4">
        <v>53</v>
      </c>
      <c r="B8" s="31" t="s">
        <v>170</v>
      </c>
    </row>
    <row r="9" spans="1:4" x14ac:dyDescent="0.25">
      <c r="A9" s="4">
        <v>54</v>
      </c>
      <c r="B9" s="31" t="s">
        <v>171</v>
      </c>
      <c r="D9" s="12">
        <f>-RATES!K99</f>
        <v>-89937</v>
      </c>
    </row>
    <row r="10" spans="1:4" x14ac:dyDescent="0.25">
      <c r="A10" s="4">
        <v>55</v>
      </c>
      <c r="B10" t="s">
        <v>172</v>
      </c>
      <c r="D10" s="12">
        <f>+D6+D9</f>
        <v>963073.87999999989</v>
      </c>
    </row>
    <row r="11" spans="1:4" ht="16.5" thickBot="1" x14ac:dyDescent="0.3">
      <c r="A11" s="4">
        <v>56</v>
      </c>
      <c r="B11" s="112"/>
      <c r="C11" s="112"/>
      <c r="D11" s="113"/>
    </row>
    <row r="12" spans="1:4" ht="25.15" customHeight="1" thickTop="1" thickBot="1" x14ac:dyDescent="0.3">
      <c r="A12" s="4">
        <v>57</v>
      </c>
      <c r="B12" t="s">
        <v>173</v>
      </c>
      <c r="D12" s="12">
        <f>+RATES!C96</f>
        <v>445829</v>
      </c>
    </row>
    <row r="13" spans="1:4" ht="16.5" thickTop="1" x14ac:dyDescent="0.25">
      <c r="B13" s="114"/>
      <c r="C13" s="114"/>
      <c r="D13" s="115"/>
    </row>
  </sheetData>
  <phoneticPr fontId="0" type="noConversion"/>
  <pageMargins left="0.75" right="0.75" top="1" bottom="1" header="0.5" footer="0.5"/>
  <pageSetup orientation="landscape" horizontalDpi="409" verticalDpi="40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6"/>
  <sheetViews>
    <sheetView view="pageBreakPreview" topLeftCell="A7" zoomScale="70" zoomScaleNormal="75" zoomScaleSheetLayoutView="70" workbookViewId="0">
      <selection activeCell="D6" sqref="D6"/>
    </sheetView>
  </sheetViews>
  <sheetFormatPr defaultColWidth="8.77734375" defaultRowHeight="15.75" x14ac:dyDescent="0.25"/>
  <cols>
    <col min="1" max="1" width="3.6640625" style="84" customWidth="1"/>
    <col min="2" max="2" width="36.109375" style="83" customWidth="1"/>
    <col min="3" max="4" width="15.6640625" style="119" customWidth="1"/>
    <col min="5" max="5" width="20.5546875" style="119" bestFit="1" customWidth="1"/>
    <col min="6" max="6" width="15.6640625" style="119" customWidth="1"/>
    <col min="7" max="8" width="15.6640625" style="107" customWidth="1"/>
    <col min="9" max="9" width="15.6640625" style="119" customWidth="1"/>
    <col min="10" max="16384" width="8.77734375" style="83"/>
  </cols>
  <sheetData>
    <row r="1" spans="1:9" s="94" customFormat="1" x14ac:dyDescent="0.25">
      <c r="A1" s="92"/>
      <c r="B1" s="93" t="s">
        <v>0</v>
      </c>
      <c r="C1" s="117"/>
      <c r="D1" s="117"/>
      <c r="E1" s="124"/>
      <c r="F1" s="117"/>
      <c r="G1" s="99"/>
      <c r="H1" s="100"/>
      <c r="I1" s="117"/>
    </row>
    <row r="2" spans="1:9" s="94" customFormat="1" x14ac:dyDescent="0.25">
      <c r="A2" s="92"/>
      <c r="B2" s="94" t="s">
        <v>178</v>
      </c>
      <c r="C2" s="117"/>
      <c r="D2" s="117"/>
      <c r="E2" s="124"/>
      <c r="F2" s="117"/>
      <c r="G2" s="99"/>
      <c r="H2" s="100"/>
      <c r="I2" s="117"/>
    </row>
    <row r="3" spans="1:9" s="94" customFormat="1" x14ac:dyDescent="0.25">
      <c r="A3" s="92"/>
      <c r="C3" s="117"/>
      <c r="D3" s="117"/>
      <c r="E3" s="124"/>
      <c r="F3" s="117"/>
      <c r="G3" s="99"/>
      <c r="H3" s="100"/>
      <c r="I3" s="117"/>
    </row>
    <row r="4" spans="1:9" s="94" customFormat="1" x14ac:dyDescent="0.25">
      <c r="A4" s="92"/>
      <c r="C4" s="117"/>
      <c r="D4" s="117"/>
      <c r="E4" s="124"/>
      <c r="F4" s="117"/>
      <c r="G4" s="99"/>
      <c r="H4" s="100"/>
      <c r="I4" s="117"/>
    </row>
    <row r="5" spans="1:9" s="94" customFormat="1" x14ac:dyDescent="0.25">
      <c r="A5" s="92"/>
      <c r="C5" s="96" t="s">
        <v>445</v>
      </c>
      <c r="D5" s="233" t="s">
        <v>535</v>
      </c>
      <c r="E5" s="171" t="s">
        <v>528</v>
      </c>
      <c r="F5" s="123"/>
      <c r="G5" s="101"/>
      <c r="H5" s="102"/>
      <c r="I5" s="129" t="s">
        <v>55</v>
      </c>
    </row>
    <row r="6" spans="1:9" s="94" customFormat="1" x14ac:dyDescent="0.25">
      <c r="A6" s="92"/>
      <c r="C6" s="219" t="s">
        <v>456</v>
      </c>
      <c r="D6" s="233" t="s">
        <v>527</v>
      </c>
      <c r="E6" s="161" t="s">
        <v>158</v>
      </c>
      <c r="F6" s="174"/>
      <c r="G6" s="103"/>
      <c r="H6" s="104"/>
      <c r="I6" s="130" t="s">
        <v>60</v>
      </c>
    </row>
    <row r="7" spans="1:9" s="94" customFormat="1" x14ac:dyDescent="0.25">
      <c r="A7" s="92"/>
      <c r="C7" s="157" t="s">
        <v>61</v>
      </c>
      <c r="D7" s="157" t="s">
        <v>96</v>
      </c>
      <c r="E7" s="157" t="s">
        <v>101</v>
      </c>
      <c r="F7" s="157" t="s">
        <v>177</v>
      </c>
      <c r="G7" s="105"/>
      <c r="H7" s="106"/>
      <c r="I7" s="131" t="s">
        <v>52</v>
      </c>
    </row>
    <row r="8" spans="1:9" s="80" customFormat="1" x14ac:dyDescent="0.25">
      <c r="A8" s="81">
        <v>1</v>
      </c>
      <c r="B8" s="79" t="s">
        <v>14</v>
      </c>
      <c r="C8" s="118"/>
      <c r="D8" s="118"/>
      <c r="E8" s="125"/>
      <c r="F8" s="118"/>
      <c r="G8" s="105"/>
      <c r="H8" s="106"/>
      <c r="I8" s="118"/>
    </row>
    <row r="9" spans="1:9" x14ac:dyDescent="0.25">
      <c r="A9" s="84">
        <v>2</v>
      </c>
      <c r="B9" s="85" t="s">
        <v>15</v>
      </c>
      <c r="C9" s="116"/>
      <c r="E9" s="126"/>
      <c r="F9" s="116"/>
      <c r="H9" s="108"/>
      <c r="I9" s="116">
        <f t="shared" ref="I9:I13" si="0">SUM(C9:H9)</f>
        <v>0</v>
      </c>
    </row>
    <row r="10" spans="1:9" x14ac:dyDescent="0.25">
      <c r="A10" s="84">
        <v>3</v>
      </c>
      <c r="B10" s="85" t="s">
        <v>16</v>
      </c>
      <c r="E10" s="126"/>
      <c r="H10" s="108"/>
      <c r="I10" s="116">
        <f t="shared" si="0"/>
        <v>0</v>
      </c>
    </row>
    <row r="11" spans="1:9" x14ac:dyDescent="0.25">
      <c r="A11" s="81">
        <v>4</v>
      </c>
      <c r="B11" s="85" t="s">
        <v>94</v>
      </c>
      <c r="E11" s="126"/>
      <c r="H11" s="108"/>
      <c r="I11" s="116">
        <f t="shared" si="0"/>
        <v>0</v>
      </c>
    </row>
    <row r="12" spans="1:9" x14ac:dyDescent="0.25">
      <c r="A12" s="84">
        <v>5</v>
      </c>
      <c r="B12" s="85" t="s">
        <v>17</v>
      </c>
      <c r="E12" s="126"/>
      <c r="H12" s="108"/>
      <c r="I12" s="116">
        <f t="shared" si="0"/>
        <v>0</v>
      </c>
    </row>
    <row r="13" spans="1:9" x14ac:dyDescent="0.25">
      <c r="A13" s="84">
        <v>6</v>
      </c>
      <c r="B13" s="85" t="s">
        <v>18</v>
      </c>
      <c r="C13" s="126"/>
      <c r="D13" s="126"/>
      <c r="E13" s="126"/>
      <c r="F13" s="126"/>
      <c r="G13" s="175"/>
      <c r="H13" s="108"/>
      <c r="I13" s="176">
        <f t="shared" si="0"/>
        <v>0</v>
      </c>
    </row>
    <row r="14" spans="1:9" x14ac:dyDescent="0.25">
      <c r="A14" s="81">
        <v>7</v>
      </c>
      <c r="B14" s="1" t="s">
        <v>227</v>
      </c>
      <c r="C14" s="126"/>
      <c r="D14" s="120">
        <v>68400</v>
      </c>
      <c r="E14" s="126"/>
      <c r="F14" s="120"/>
      <c r="G14" s="175"/>
      <c r="H14" s="108"/>
      <c r="I14" s="176"/>
    </row>
    <row r="15" spans="1:9" x14ac:dyDescent="0.25">
      <c r="A15" s="84">
        <v>8</v>
      </c>
      <c r="B15" s="85" t="s">
        <v>19</v>
      </c>
      <c r="C15" s="116">
        <f>SUM(C9:C14)</f>
        <v>0</v>
      </c>
      <c r="D15" s="116">
        <f t="shared" ref="D15:F15" si="1">SUM(D9:D14)</f>
        <v>68400</v>
      </c>
      <c r="E15" s="116">
        <f t="shared" si="1"/>
        <v>0</v>
      </c>
      <c r="F15" s="116">
        <f t="shared" si="1"/>
        <v>0</v>
      </c>
      <c r="H15" s="108"/>
      <c r="I15" s="116">
        <f>SUM(C15:H15)</f>
        <v>68400</v>
      </c>
    </row>
    <row r="16" spans="1:9" x14ac:dyDescent="0.25">
      <c r="A16" s="84">
        <v>9</v>
      </c>
      <c r="E16" s="126"/>
      <c r="H16" s="108"/>
      <c r="I16" s="116"/>
    </row>
    <row r="17" spans="1:9" x14ac:dyDescent="0.25">
      <c r="A17" s="81">
        <v>10</v>
      </c>
      <c r="B17" s="85" t="s">
        <v>179</v>
      </c>
      <c r="E17" s="126"/>
      <c r="H17" s="108"/>
      <c r="I17" s="116"/>
    </row>
    <row r="18" spans="1:9" x14ac:dyDescent="0.25">
      <c r="A18" s="84">
        <v>11</v>
      </c>
      <c r="B18" s="85" t="s">
        <v>21</v>
      </c>
      <c r="E18" s="126"/>
      <c r="H18" s="108"/>
      <c r="I18" s="116">
        <f t="shared" ref="I18:I39" si="2">SUM(C18:F18)</f>
        <v>0</v>
      </c>
    </row>
    <row r="19" spans="1:9" x14ac:dyDescent="0.25">
      <c r="A19" s="84">
        <v>12</v>
      </c>
      <c r="B19" s="85" t="s">
        <v>22</v>
      </c>
      <c r="C19" s="116"/>
      <c r="E19" s="126">
        <f>-'PA-1 SALARY2016'!B61</f>
        <v>-14765</v>
      </c>
      <c r="F19" s="116"/>
      <c r="H19" s="108"/>
      <c r="I19" s="116">
        <f t="shared" si="2"/>
        <v>-14765</v>
      </c>
    </row>
    <row r="20" spans="1:9" x14ac:dyDescent="0.25">
      <c r="A20" s="81">
        <v>13</v>
      </c>
      <c r="B20" s="85" t="s">
        <v>23</v>
      </c>
      <c r="C20" s="116"/>
      <c r="E20" s="126"/>
      <c r="H20" s="108"/>
      <c r="I20" s="116">
        <f t="shared" si="2"/>
        <v>0</v>
      </c>
    </row>
    <row r="21" spans="1:9" x14ac:dyDescent="0.25">
      <c r="A21" s="84">
        <v>14</v>
      </c>
      <c r="B21" s="85" t="s">
        <v>24</v>
      </c>
      <c r="C21" s="116"/>
      <c r="E21" s="126"/>
      <c r="H21" s="108"/>
      <c r="I21" s="116">
        <f t="shared" si="2"/>
        <v>0</v>
      </c>
    </row>
    <row r="22" spans="1:9" x14ac:dyDescent="0.25">
      <c r="A22" s="84">
        <v>15</v>
      </c>
      <c r="B22" s="85" t="s">
        <v>25</v>
      </c>
      <c r="C22" s="116"/>
      <c r="E22" s="126"/>
      <c r="H22" s="108"/>
      <c r="I22" s="116">
        <f t="shared" si="2"/>
        <v>0</v>
      </c>
    </row>
    <row r="23" spans="1:9" x14ac:dyDescent="0.25">
      <c r="A23" s="81">
        <v>16</v>
      </c>
      <c r="B23" s="85" t="s">
        <v>26</v>
      </c>
      <c r="C23" s="116"/>
      <c r="E23" s="126"/>
      <c r="H23" s="108"/>
      <c r="I23" s="116">
        <f t="shared" si="2"/>
        <v>0</v>
      </c>
    </row>
    <row r="24" spans="1:9" x14ac:dyDescent="0.25">
      <c r="A24" s="84">
        <v>17</v>
      </c>
      <c r="B24" s="85" t="s">
        <v>27</v>
      </c>
      <c r="C24" s="116"/>
      <c r="E24" s="126"/>
      <c r="H24" s="108"/>
      <c r="I24" s="116">
        <f t="shared" si="2"/>
        <v>0</v>
      </c>
    </row>
    <row r="25" spans="1:9" x14ac:dyDescent="0.25">
      <c r="A25" s="84">
        <v>18</v>
      </c>
      <c r="B25" s="85" t="s">
        <v>28</v>
      </c>
      <c r="C25" s="116" t="s">
        <v>166</v>
      </c>
      <c r="E25" s="126"/>
      <c r="H25" s="108"/>
      <c r="I25" s="116">
        <f t="shared" si="2"/>
        <v>0</v>
      </c>
    </row>
    <row r="26" spans="1:9" x14ac:dyDescent="0.25">
      <c r="A26" s="81">
        <v>19</v>
      </c>
      <c r="B26" s="85" t="s">
        <v>29</v>
      </c>
      <c r="C26" s="116"/>
      <c r="E26" s="126"/>
      <c r="H26" s="108"/>
      <c r="I26" s="116">
        <f t="shared" si="2"/>
        <v>0</v>
      </c>
    </row>
    <row r="27" spans="1:9" x14ac:dyDescent="0.25">
      <c r="A27" s="84">
        <v>20</v>
      </c>
      <c r="B27" s="85" t="s">
        <v>30</v>
      </c>
      <c r="C27" s="116"/>
      <c r="E27" s="126"/>
      <c r="H27" s="108"/>
      <c r="I27" s="116">
        <f t="shared" si="2"/>
        <v>0</v>
      </c>
    </row>
    <row r="28" spans="1:9" x14ac:dyDescent="0.25">
      <c r="A28" s="84">
        <v>21</v>
      </c>
      <c r="B28" s="85" t="s">
        <v>31</v>
      </c>
      <c r="C28" s="116"/>
      <c r="E28" s="126"/>
      <c r="H28" s="108"/>
      <c r="I28" s="116">
        <f t="shared" si="2"/>
        <v>0</v>
      </c>
    </row>
    <row r="29" spans="1:9" x14ac:dyDescent="0.25">
      <c r="A29" s="81">
        <v>22</v>
      </c>
      <c r="B29" s="85" t="s">
        <v>32</v>
      </c>
      <c r="C29" s="116"/>
      <c r="E29" s="126"/>
      <c r="H29" s="108"/>
      <c r="I29" s="116">
        <f t="shared" si="2"/>
        <v>0</v>
      </c>
    </row>
    <row r="30" spans="1:9" x14ac:dyDescent="0.25">
      <c r="A30" s="84">
        <v>23</v>
      </c>
      <c r="B30" s="85" t="s">
        <v>33</v>
      </c>
      <c r="C30" s="116"/>
      <c r="E30" s="126"/>
      <c r="H30" s="108"/>
      <c r="I30" s="116">
        <f t="shared" si="2"/>
        <v>0</v>
      </c>
    </row>
    <row r="31" spans="1:9" x14ac:dyDescent="0.25">
      <c r="A31" s="84">
        <v>24</v>
      </c>
      <c r="B31" s="85" t="s">
        <v>34</v>
      </c>
      <c r="C31" s="116"/>
      <c r="E31" s="126"/>
      <c r="H31" s="108"/>
      <c r="I31" s="116">
        <f t="shared" si="2"/>
        <v>0</v>
      </c>
    </row>
    <row r="32" spans="1:9" x14ac:dyDescent="0.25">
      <c r="A32" s="81">
        <v>25</v>
      </c>
      <c r="B32" s="85" t="s">
        <v>35</v>
      </c>
      <c r="C32" s="116"/>
      <c r="E32" s="126"/>
      <c r="H32" s="108"/>
      <c r="I32" s="116">
        <f t="shared" si="2"/>
        <v>0</v>
      </c>
    </row>
    <row r="33" spans="1:9" x14ac:dyDescent="0.25">
      <c r="A33" s="84">
        <v>26</v>
      </c>
      <c r="B33" s="85" t="s">
        <v>36</v>
      </c>
      <c r="C33" s="116">
        <f>+C15*0.002</f>
        <v>0</v>
      </c>
      <c r="D33" s="119">
        <f>+D15*0.0034</f>
        <v>232.55999999999997</v>
      </c>
      <c r="E33" s="126"/>
      <c r="H33" s="108"/>
      <c r="I33" s="116">
        <f t="shared" si="2"/>
        <v>232.55999999999997</v>
      </c>
    </row>
    <row r="34" spans="1:9" x14ac:dyDescent="0.25">
      <c r="A34" s="84">
        <v>27</v>
      </c>
      <c r="B34" s="85" t="s">
        <v>37</v>
      </c>
      <c r="C34" s="116"/>
      <c r="E34" s="126"/>
      <c r="H34" s="108"/>
      <c r="I34" s="116">
        <f t="shared" si="2"/>
        <v>0</v>
      </c>
    </row>
    <row r="35" spans="1:9" x14ac:dyDescent="0.25">
      <c r="A35" s="81">
        <v>28</v>
      </c>
      <c r="B35" s="85" t="s">
        <v>38</v>
      </c>
      <c r="C35" s="116"/>
      <c r="E35" s="126"/>
      <c r="H35" s="108"/>
      <c r="I35" s="116">
        <f t="shared" si="2"/>
        <v>0</v>
      </c>
    </row>
    <row r="36" spans="1:9" x14ac:dyDescent="0.25">
      <c r="A36" s="84">
        <v>29</v>
      </c>
      <c r="B36" s="85" t="s">
        <v>39</v>
      </c>
      <c r="C36" s="116">
        <f>+C15*0.0065</f>
        <v>0</v>
      </c>
      <c r="E36" s="126"/>
      <c r="H36" s="108"/>
      <c r="I36" s="116">
        <f t="shared" si="2"/>
        <v>0</v>
      </c>
    </row>
    <row r="37" spans="1:9" x14ac:dyDescent="0.25">
      <c r="A37" s="84">
        <v>30</v>
      </c>
      <c r="B37" s="85" t="s">
        <v>99</v>
      </c>
      <c r="C37" s="116"/>
      <c r="E37" s="126"/>
      <c r="H37" s="108"/>
      <c r="I37" s="116">
        <f>SUM(C37:F37)</f>
        <v>0</v>
      </c>
    </row>
    <row r="38" spans="1:9" x14ac:dyDescent="0.25">
      <c r="A38" s="81">
        <v>31</v>
      </c>
      <c r="B38" s="85" t="s">
        <v>40</v>
      </c>
      <c r="C38" s="116">
        <f>C15*0.05029</f>
        <v>0</v>
      </c>
      <c r="D38" s="119">
        <f>+D15*0.05029</f>
        <v>3439.8360000000002</v>
      </c>
      <c r="E38" s="119">
        <f>+E19*0.146</f>
        <v>-2155.69</v>
      </c>
      <c r="F38" s="119">
        <f>+F15*0.05029</f>
        <v>0</v>
      </c>
      <c r="H38" s="108"/>
      <c r="I38" s="116">
        <f t="shared" si="2"/>
        <v>1284.1460000000002</v>
      </c>
    </row>
    <row r="39" spans="1:9" x14ac:dyDescent="0.25">
      <c r="A39" s="84">
        <v>32</v>
      </c>
      <c r="B39" s="85" t="s">
        <v>53</v>
      </c>
      <c r="C39" s="116"/>
      <c r="E39" s="126"/>
      <c r="H39" s="108"/>
      <c r="I39" s="116">
        <f t="shared" si="2"/>
        <v>0</v>
      </c>
    </row>
    <row r="40" spans="1:9" x14ac:dyDescent="0.25">
      <c r="A40" s="84">
        <v>33</v>
      </c>
      <c r="C40" s="116"/>
      <c r="E40" s="126"/>
      <c r="H40" s="108"/>
      <c r="I40" s="116"/>
    </row>
    <row r="41" spans="1:9" x14ac:dyDescent="0.25">
      <c r="A41" s="81">
        <v>34</v>
      </c>
      <c r="B41" s="85" t="s">
        <v>41</v>
      </c>
      <c r="C41" s="116">
        <f>SUM(C18:C40)</f>
        <v>0</v>
      </c>
      <c r="D41" s="116">
        <f>SUM(D18:D40)</f>
        <v>3672.3960000000002</v>
      </c>
      <c r="E41" s="116">
        <f>SUM(E18:E40)</f>
        <v>-16920.689999999999</v>
      </c>
      <c r="F41" s="116">
        <f>SUM(F18:F40)</f>
        <v>0</v>
      </c>
      <c r="H41" s="108"/>
      <c r="I41" s="116">
        <f>SUM(I18:I40)</f>
        <v>-13248.294</v>
      </c>
    </row>
    <row r="42" spans="1:9" x14ac:dyDescent="0.25">
      <c r="A42" s="84">
        <v>35</v>
      </c>
      <c r="C42" s="116"/>
      <c r="D42" s="116"/>
      <c r="E42" s="126"/>
      <c r="H42" s="108"/>
      <c r="I42" s="116"/>
    </row>
    <row r="43" spans="1:9" x14ac:dyDescent="0.25">
      <c r="A43" s="84">
        <v>36</v>
      </c>
      <c r="B43" s="85" t="s">
        <v>42</v>
      </c>
      <c r="C43" s="116">
        <f>C15-C41</f>
        <v>0</v>
      </c>
      <c r="D43" s="116">
        <f>D15-D41</f>
        <v>64727.603999999999</v>
      </c>
      <c r="E43" s="116">
        <f>E15+E41</f>
        <v>-16920.689999999999</v>
      </c>
      <c r="F43" s="116">
        <f>F15-F41</f>
        <v>0</v>
      </c>
      <c r="H43" s="108"/>
      <c r="I43" s="116">
        <f>I15-I41</f>
        <v>81648.293999999994</v>
      </c>
    </row>
    <row r="44" spans="1:9" x14ac:dyDescent="0.25">
      <c r="A44" s="81">
        <v>37</v>
      </c>
      <c r="B44" s="85" t="s">
        <v>43</v>
      </c>
      <c r="C44" s="121">
        <f>C43*0.34</f>
        <v>0</v>
      </c>
      <c r="D44" s="121">
        <f>D43*0.34</f>
        <v>22007.38536</v>
      </c>
      <c r="E44" s="121">
        <f>E43*0.34</f>
        <v>-5753.0346</v>
      </c>
      <c r="F44" s="121">
        <f>F43*0.34</f>
        <v>0</v>
      </c>
      <c r="H44" s="108"/>
      <c r="I44" s="121">
        <f>I43*0.34</f>
        <v>27760.419959999999</v>
      </c>
    </row>
    <row r="45" spans="1:9" x14ac:dyDescent="0.25">
      <c r="A45" s="84">
        <v>38</v>
      </c>
      <c r="B45" s="85" t="s">
        <v>44</v>
      </c>
      <c r="C45" s="116">
        <f>C43-C44</f>
        <v>0</v>
      </c>
      <c r="D45" s="116">
        <f>D43-D44</f>
        <v>42720.218639999999</v>
      </c>
      <c r="E45" s="116">
        <f>E43-E44</f>
        <v>-11167.6554</v>
      </c>
      <c r="F45" s="116">
        <f>F43-F44</f>
        <v>0</v>
      </c>
      <c r="H45" s="108"/>
      <c r="I45" s="116">
        <f>I43-I44</f>
        <v>53887.874039999995</v>
      </c>
    </row>
    <row r="46" spans="1:9" x14ac:dyDescent="0.25">
      <c r="A46" s="81">
        <v>39</v>
      </c>
      <c r="B46" s="85"/>
      <c r="C46" s="116"/>
      <c r="D46" s="116"/>
      <c r="E46" s="116"/>
      <c r="F46" s="116"/>
      <c r="H46" s="108"/>
      <c r="I46" s="116"/>
    </row>
    <row r="47" spans="1:9" x14ac:dyDescent="0.25">
      <c r="A47" s="84">
        <v>40</v>
      </c>
      <c r="B47" s="85" t="s">
        <v>176</v>
      </c>
      <c r="C47" s="116">
        <v>-715500</v>
      </c>
      <c r="D47" s="116"/>
      <c r="E47" s="116"/>
      <c r="F47" s="116">
        <v>0</v>
      </c>
      <c r="H47" s="108"/>
      <c r="I47" s="116"/>
    </row>
    <row r="48" spans="1:9" x14ac:dyDescent="0.25">
      <c r="A48" s="84">
        <v>41</v>
      </c>
      <c r="B48" s="85" t="s">
        <v>48</v>
      </c>
      <c r="C48" s="116"/>
      <c r="D48" s="116"/>
      <c r="E48" s="90"/>
      <c r="F48" s="83"/>
      <c r="H48" s="108"/>
      <c r="I48" s="116"/>
    </row>
    <row r="49" spans="1:9" x14ac:dyDescent="0.25">
      <c r="A49" s="81">
        <v>42</v>
      </c>
      <c r="C49" s="116"/>
      <c r="D49" s="116"/>
      <c r="E49" s="127"/>
      <c r="H49" s="108"/>
      <c r="I49" s="116"/>
    </row>
    <row r="50" spans="1:9" x14ac:dyDescent="0.25">
      <c r="A50" s="84">
        <v>43</v>
      </c>
      <c r="B50" s="85"/>
      <c r="C50" s="122"/>
      <c r="D50" s="122"/>
      <c r="E50" s="128"/>
      <c r="F50" s="128"/>
      <c r="I50" s="116"/>
    </row>
    <row r="51" spans="1:9" x14ac:dyDescent="0.25">
      <c r="A51" s="84">
        <v>44</v>
      </c>
      <c r="B51" s="85"/>
      <c r="C51" s="5"/>
      <c r="D51" s="5"/>
      <c r="E51" s="116"/>
      <c r="F51" s="116"/>
      <c r="G51" s="109"/>
      <c r="I51" s="116"/>
    </row>
    <row r="52" spans="1:9" x14ac:dyDescent="0.25">
      <c r="A52" s="81">
        <v>45</v>
      </c>
      <c r="B52" s="85"/>
      <c r="C52" s="6"/>
      <c r="D52" s="6"/>
      <c r="E52" s="116"/>
      <c r="F52" s="116"/>
      <c r="G52" s="109"/>
      <c r="I52" s="116"/>
    </row>
    <row r="53" spans="1:9" x14ac:dyDescent="0.25">
      <c r="A53" s="84">
        <v>46</v>
      </c>
      <c r="B53" s="85"/>
      <c r="C53" s="7"/>
      <c r="D53" s="7"/>
      <c r="E53" s="121"/>
      <c r="F53" s="116"/>
      <c r="G53" s="109"/>
      <c r="I53" s="116"/>
    </row>
    <row r="54" spans="1:9" x14ac:dyDescent="0.25">
      <c r="A54" s="84">
        <v>47</v>
      </c>
      <c r="B54" s="85"/>
      <c r="C54" s="116"/>
      <c r="D54" s="116"/>
      <c r="E54" s="116"/>
      <c r="F54" s="116"/>
      <c r="G54" s="108"/>
      <c r="I54" s="116"/>
    </row>
    <row r="55" spans="1:9" x14ac:dyDescent="0.25">
      <c r="A55" s="81">
        <v>48</v>
      </c>
      <c r="E55" s="127"/>
      <c r="H55" s="108"/>
    </row>
    <row r="56" spans="1:9" x14ac:dyDescent="0.25">
      <c r="A56" s="84">
        <v>49</v>
      </c>
      <c r="B56" s="91" t="s">
        <v>50</v>
      </c>
      <c r="E56" s="127"/>
      <c r="H56" s="108"/>
    </row>
  </sheetData>
  <phoneticPr fontId="0" type="noConversion"/>
  <pageMargins left="0.75" right="0.75" top="1" bottom="1" header="0.5" footer="0.5"/>
  <pageSetup scale="55" orientation="landscape" horizontalDpi="409" verticalDpi="40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B1" workbookViewId="0">
      <selection activeCell="E27" sqref="E27"/>
    </sheetView>
  </sheetViews>
  <sheetFormatPr defaultRowHeight="15.75" x14ac:dyDescent="0.25"/>
  <cols>
    <col min="1" max="1" width="7.44140625" bestFit="1" customWidth="1"/>
    <col min="2" max="2" width="19.109375" customWidth="1"/>
    <col min="3" max="3" width="15.33203125" customWidth="1"/>
    <col min="4" max="4" width="16.109375" bestFit="1" customWidth="1"/>
    <col min="5" max="5" width="18.5546875" customWidth="1"/>
    <col min="6" max="6" width="12.6640625" bestFit="1" customWidth="1"/>
  </cols>
  <sheetData>
    <row r="1" spans="1:6" x14ac:dyDescent="0.25">
      <c r="B1" t="s">
        <v>473</v>
      </c>
    </row>
    <row r="2" spans="1:6" x14ac:dyDescent="0.25">
      <c r="B2" t="s">
        <v>64</v>
      </c>
    </row>
    <row r="3" spans="1:6" x14ac:dyDescent="0.25">
      <c r="B3" t="s">
        <v>519</v>
      </c>
    </row>
    <row r="4" spans="1:6" x14ac:dyDescent="0.25">
      <c r="B4" t="s">
        <v>457</v>
      </c>
    </row>
    <row r="6" spans="1:6" x14ac:dyDescent="0.25">
      <c r="B6" t="s">
        <v>458</v>
      </c>
      <c r="C6" t="s">
        <v>459</v>
      </c>
      <c r="D6" t="s">
        <v>460</v>
      </c>
      <c r="E6" t="s">
        <v>461</v>
      </c>
      <c r="F6" t="s">
        <v>462</v>
      </c>
    </row>
    <row r="7" spans="1:6" ht="31.5" customHeight="1" x14ac:dyDescent="0.25">
      <c r="A7" t="s">
        <v>463</v>
      </c>
      <c r="B7" t="s">
        <v>464</v>
      </c>
      <c r="C7" s="222" t="s">
        <v>465</v>
      </c>
      <c r="D7" s="223" t="s">
        <v>466</v>
      </c>
      <c r="E7" s="222" t="s">
        <v>467</v>
      </c>
      <c r="F7" t="s">
        <v>468</v>
      </c>
    </row>
    <row r="9" spans="1:6" x14ac:dyDescent="0.25">
      <c r="A9">
        <v>1</v>
      </c>
      <c r="B9" s="221">
        <v>42347</v>
      </c>
      <c r="C9" s="220">
        <v>30777632</v>
      </c>
      <c r="D9" t="s">
        <v>471</v>
      </c>
      <c r="E9" s="220">
        <v>-20405197</v>
      </c>
      <c r="F9" s="220">
        <f>+C9+E9</f>
        <v>10372435</v>
      </c>
    </row>
    <row r="10" spans="1:6" x14ac:dyDescent="0.25">
      <c r="A10">
        <v>2</v>
      </c>
      <c r="B10" s="221">
        <v>42379</v>
      </c>
      <c r="C10" s="220">
        <v>30936441</v>
      </c>
      <c r="D10" t="s">
        <v>471</v>
      </c>
      <c r="E10" s="220">
        <v>-20424361</v>
      </c>
      <c r="F10" s="220">
        <f>+C10+E10</f>
        <v>10512080</v>
      </c>
    </row>
    <row r="11" spans="1:6" x14ac:dyDescent="0.25">
      <c r="A11">
        <v>3</v>
      </c>
      <c r="B11" s="221">
        <v>42410</v>
      </c>
      <c r="C11" s="220">
        <v>31013329</v>
      </c>
      <c r="D11" t="s">
        <v>471</v>
      </c>
      <c r="E11" s="220">
        <v>-20438425</v>
      </c>
      <c r="F11" s="220">
        <f t="shared" ref="F11:F24" si="0">+C11+E11</f>
        <v>10574904</v>
      </c>
    </row>
    <row r="12" spans="1:6" x14ac:dyDescent="0.25">
      <c r="A12">
        <v>4</v>
      </c>
      <c r="B12" s="221">
        <v>42439</v>
      </c>
      <c r="C12" s="220">
        <v>31020467</v>
      </c>
      <c r="D12" t="s">
        <v>471</v>
      </c>
      <c r="E12" s="220">
        <v>-20454611</v>
      </c>
      <c r="F12" s="220">
        <f t="shared" si="0"/>
        <v>10565856</v>
      </c>
    </row>
    <row r="13" spans="1:6" x14ac:dyDescent="0.25">
      <c r="A13">
        <v>5</v>
      </c>
      <c r="B13" s="221">
        <v>42470</v>
      </c>
      <c r="C13" s="220">
        <v>31265024</v>
      </c>
      <c r="D13" t="s">
        <v>471</v>
      </c>
      <c r="E13" s="220">
        <v>-20469773</v>
      </c>
      <c r="F13" s="220">
        <f t="shared" si="0"/>
        <v>10795251</v>
      </c>
    </row>
    <row r="14" spans="1:6" x14ac:dyDescent="0.25">
      <c r="A14">
        <v>6</v>
      </c>
      <c r="B14" s="221">
        <v>42500</v>
      </c>
      <c r="C14" s="220">
        <v>31275433</v>
      </c>
      <c r="D14" t="s">
        <v>471</v>
      </c>
      <c r="E14" s="220">
        <v>-20490871</v>
      </c>
      <c r="F14" s="220">
        <f t="shared" si="0"/>
        <v>10784562</v>
      </c>
    </row>
    <row r="15" spans="1:6" x14ac:dyDescent="0.25">
      <c r="A15">
        <v>7</v>
      </c>
      <c r="B15" s="221">
        <v>42531</v>
      </c>
      <c r="C15" s="220">
        <v>31138875</v>
      </c>
      <c r="D15" t="s">
        <v>471</v>
      </c>
      <c r="E15" s="220">
        <v>-20511617</v>
      </c>
      <c r="F15" s="220">
        <f t="shared" si="0"/>
        <v>10627258</v>
      </c>
    </row>
    <row r="16" spans="1:6" x14ac:dyDescent="0.25">
      <c r="A16">
        <v>8</v>
      </c>
      <c r="B16" s="221">
        <v>42561</v>
      </c>
      <c r="C16" s="220">
        <v>31475178</v>
      </c>
      <c r="D16" t="s">
        <v>471</v>
      </c>
      <c r="E16" s="220">
        <v>-20532867</v>
      </c>
      <c r="F16" s="220">
        <f t="shared" si="0"/>
        <v>10942311</v>
      </c>
    </row>
    <row r="17" spans="1:8" x14ac:dyDescent="0.25">
      <c r="A17">
        <v>9</v>
      </c>
      <c r="B17" s="221">
        <v>42592</v>
      </c>
      <c r="C17" s="220">
        <v>31571216</v>
      </c>
      <c r="D17" t="s">
        <v>471</v>
      </c>
      <c r="E17" s="220">
        <v>-20549746</v>
      </c>
      <c r="F17" s="220">
        <f t="shared" si="0"/>
        <v>11021470</v>
      </c>
    </row>
    <row r="18" spans="1:8" x14ac:dyDescent="0.25">
      <c r="A18">
        <v>10</v>
      </c>
      <c r="B18" s="221">
        <v>42623</v>
      </c>
      <c r="C18" s="220">
        <v>31292283</v>
      </c>
      <c r="D18" t="s">
        <v>471</v>
      </c>
      <c r="E18" s="220">
        <v>-20575448</v>
      </c>
      <c r="F18" s="220">
        <f t="shared" si="0"/>
        <v>10716835</v>
      </c>
    </row>
    <row r="19" spans="1:8" x14ac:dyDescent="0.25">
      <c r="A19">
        <v>11</v>
      </c>
      <c r="B19" s="221">
        <v>42653</v>
      </c>
      <c r="C19" s="220">
        <v>31838852</v>
      </c>
      <c r="D19" t="s">
        <v>471</v>
      </c>
      <c r="E19" s="220">
        <v>-20591031</v>
      </c>
      <c r="F19" s="220">
        <f t="shared" si="0"/>
        <v>11247821</v>
      </c>
    </row>
    <row r="20" spans="1:8" x14ac:dyDescent="0.25">
      <c r="A20">
        <v>12</v>
      </c>
      <c r="B20" s="221">
        <v>42684</v>
      </c>
      <c r="C20" s="220">
        <v>32206047</v>
      </c>
      <c r="D20" t="s">
        <v>471</v>
      </c>
      <c r="E20" s="220">
        <v>-20607597</v>
      </c>
      <c r="F20" s="220">
        <f t="shared" si="0"/>
        <v>11598450</v>
      </c>
    </row>
    <row r="21" spans="1:8" x14ac:dyDescent="0.25">
      <c r="A21">
        <v>13</v>
      </c>
      <c r="B21" s="221">
        <v>42714</v>
      </c>
      <c r="C21" s="220">
        <v>31348549</v>
      </c>
      <c r="D21" t="s">
        <v>471</v>
      </c>
      <c r="E21" s="220">
        <v>-20267792</v>
      </c>
      <c r="F21" s="220">
        <f t="shared" si="0"/>
        <v>11080757</v>
      </c>
    </row>
    <row r="22" spans="1:8" x14ac:dyDescent="0.25">
      <c r="A22">
        <v>14</v>
      </c>
      <c r="B22" t="s">
        <v>469</v>
      </c>
      <c r="C22" s="220">
        <f>SUM(C9:C21)/13</f>
        <v>31319948.153846152</v>
      </c>
      <c r="D22" t="s">
        <v>471</v>
      </c>
      <c r="E22" s="220">
        <f>SUM(E9:E21)/13</f>
        <v>-20486102.769230768</v>
      </c>
      <c r="F22" s="220">
        <f t="shared" si="0"/>
        <v>10833845.384615384</v>
      </c>
      <c r="H22" s="220"/>
    </row>
    <row r="23" spans="1:8" x14ac:dyDescent="0.25">
      <c r="A23">
        <v>15</v>
      </c>
    </row>
    <row r="24" spans="1:8" x14ac:dyDescent="0.25">
      <c r="A24">
        <v>16</v>
      </c>
      <c r="B24" s="221">
        <v>42714</v>
      </c>
      <c r="C24" s="220">
        <f>+C21</f>
        <v>31348549</v>
      </c>
      <c r="D24" t="s">
        <v>471</v>
      </c>
      <c r="E24" s="220">
        <f>+E21</f>
        <v>-20267792</v>
      </c>
      <c r="F24" s="220">
        <f t="shared" si="0"/>
        <v>11080757</v>
      </c>
    </row>
    <row r="25" spans="1:8" x14ac:dyDescent="0.25">
      <c r="A25">
        <v>17</v>
      </c>
    </row>
    <row r="26" spans="1:8" x14ac:dyDescent="0.25">
      <c r="A26">
        <v>18</v>
      </c>
      <c r="B26" t="s">
        <v>470</v>
      </c>
      <c r="C26" s="220">
        <f>+C22-C24</f>
        <v>-28600.846153847873</v>
      </c>
      <c r="D26" t="s">
        <v>471</v>
      </c>
      <c r="E26" s="220">
        <f>+E22-E24</f>
        <v>-218310.76923076808</v>
      </c>
      <c r="F26" s="220">
        <f>+F22-F24</f>
        <v>-246911.61538461596</v>
      </c>
      <c r="H26" s="2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1"/>
  <sheetViews>
    <sheetView topLeftCell="A4" zoomScale="75" workbookViewId="0">
      <selection activeCell="H5" sqref="H5:H6"/>
    </sheetView>
  </sheetViews>
  <sheetFormatPr defaultColWidth="8.77734375" defaultRowHeight="15.75" x14ac:dyDescent="0.25"/>
  <cols>
    <col min="1" max="1" width="3.33203125" style="82" customWidth="1"/>
    <col min="2" max="2" width="30.88671875" style="83" customWidth="1"/>
    <col min="3" max="4" width="14.33203125" style="83" customWidth="1"/>
    <col min="5" max="5" width="12.77734375" style="153" customWidth="1"/>
    <col min="6" max="7" width="12.77734375" style="83" customWidth="1"/>
    <col min="8" max="9" width="16.44140625" style="83" bestFit="1" customWidth="1"/>
    <col min="10" max="10" width="11.6640625" style="83" bestFit="1" customWidth="1"/>
    <col min="11" max="16384" width="8.77734375" style="83"/>
  </cols>
  <sheetData>
    <row r="1" spans="1:10" s="94" customFormat="1" x14ac:dyDescent="0.25">
      <c r="B1" s="93" t="s">
        <v>0</v>
      </c>
      <c r="E1" s="147"/>
      <c r="F1" s="92"/>
      <c r="G1" s="92"/>
      <c r="H1" s="92"/>
      <c r="I1" s="92"/>
    </row>
    <row r="2" spans="1:10" s="94" customFormat="1" x14ac:dyDescent="0.25">
      <c r="B2" s="94" t="s">
        <v>98</v>
      </c>
      <c r="E2" s="147"/>
      <c r="F2" s="92"/>
      <c r="G2" s="92"/>
      <c r="H2" s="92"/>
      <c r="I2" s="92"/>
    </row>
    <row r="3" spans="1:10" s="94" customFormat="1" x14ac:dyDescent="0.25">
      <c r="E3" s="147"/>
      <c r="F3" s="92"/>
      <c r="G3" s="92"/>
      <c r="H3" s="92"/>
      <c r="I3" s="92"/>
    </row>
    <row r="4" spans="1:10" s="94" customFormat="1" x14ac:dyDescent="0.25">
      <c r="E4" s="147"/>
      <c r="F4" s="92"/>
      <c r="G4" s="92"/>
      <c r="H4" s="92"/>
      <c r="I4" s="92"/>
    </row>
    <row r="5" spans="1:10" s="94" customFormat="1" x14ac:dyDescent="0.25">
      <c r="C5" s="96" t="s">
        <v>54</v>
      </c>
      <c r="D5" s="96" t="s">
        <v>240</v>
      </c>
      <c r="E5" s="148" t="s">
        <v>241</v>
      </c>
      <c r="F5" s="172" t="s">
        <v>441</v>
      </c>
      <c r="G5" s="172" t="s">
        <v>443</v>
      </c>
      <c r="H5" s="172"/>
      <c r="I5" s="172"/>
      <c r="J5" s="96" t="s">
        <v>55</v>
      </c>
    </row>
    <row r="6" spans="1:10" s="94" customFormat="1" x14ac:dyDescent="0.25">
      <c r="C6" s="156">
        <v>2012</v>
      </c>
      <c r="D6" s="98" t="s">
        <v>91</v>
      </c>
      <c r="E6" s="160" t="s">
        <v>91</v>
      </c>
      <c r="F6" s="94" t="s">
        <v>442</v>
      </c>
      <c r="G6" s="94" t="s">
        <v>444</v>
      </c>
      <c r="J6" s="98" t="s">
        <v>3</v>
      </c>
    </row>
    <row r="7" spans="1:10" s="94" customFormat="1" x14ac:dyDescent="0.25">
      <c r="C7" s="97" t="s">
        <v>182</v>
      </c>
      <c r="D7" s="97" t="s">
        <v>57</v>
      </c>
      <c r="E7" s="149" t="s">
        <v>58</v>
      </c>
      <c r="F7" s="97" t="s">
        <v>174</v>
      </c>
      <c r="G7" s="97" t="s">
        <v>438</v>
      </c>
      <c r="H7" s="97" t="s">
        <v>440</v>
      </c>
      <c r="I7" s="97" t="s">
        <v>440</v>
      </c>
      <c r="J7" s="97" t="s">
        <v>59</v>
      </c>
    </row>
    <row r="8" spans="1:10" s="80" customFormat="1" x14ac:dyDescent="0.25">
      <c r="A8" s="95">
        <v>1</v>
      </c>
      <c r="B8" s="79" t="s">
        <v>14</v>
      </c>
      <c r="E8" s="150"/>
      <c r="F8" s="81"/>
      <c r="G8" s="81"/>
      <c r="H8" s="81"/>
      <c r="I8" s="81"/>
    </row>
    <row r="9" spans="1:10" x14ac:dyDescent="0.25">
      <c r="A9" s="87">
        <v>2</v>
      </c>
      <c r="B9" s="85" t="s">
        <v>15</v>
      </c>
      <c r="C9" s="88"/>
      <c r="D9" s="88"/>
      <c r="E9" s="132"/>
      <c r="F9" s="132"/>
      <c r="G9" s="132"/>
      <c r="H9" s="132"/>
      <c r="I9" s="132"/>
      <c r="J9" s="88">
        <f t="shared" ref="J9:J14" si="0">SUM(C9:E9)</f>
        <v>0</v>
      </c>
    </row>
    <row r="10" spans="1:10" x14ac:dyDescent="0.25">
      <c r="A10" s="87">
        <v>3</v>
      </c>
      <c r="B10" s="85" t="s">
        <v>16</v>
      </c>
      <c r="C10" s="88"/>
      <c r="D10" s="88"/>
      <c r="E10" s="132"/>
      <c r="F10" s="132"/>
      <c r="G10" s="132"/>
      <c r="H10" s="132"/>
      <c r="I10" s="132"/>
      <c r="J10" s="88">
        <f t="shared" si="0"/>
        <v>0</v>
      </c>
    </row>
    <row r="11" spans="1:10" x14ac:dyDescent="0.25">
      <c r="A11" s="87">
        <v>4</v>
      </c>
      <c r="B11" s="85" t="s">
        <v>17</v>
      </c>
      <c r="C11" s="88"/>
      <c r="D11" s="88"/>
      <c r="E11" s="132"/>
      <c r="F11" s="132"/>
      <c r="G11" s="132"/>
      <c r="H11" s="132"/>
      <c r="I11" s="132"/>
      <c r="J11" s="88">
        <f t="shared" si="0"/>
        <v>0</v>
      </c>
    </row>
    <row r="12" spans="1:10" x14ac:dyDescent="0.25">
      <c r="A12" s="87">
        <v>5</v>
      </c>
      <c r="B12" s="85" t="s">
        <v>18</v>
      </c>
      <c r="C12" s="89"/>
      <c r="D12" s="89"/>
      <c r="E12" s="132"/>
      <c r="F12" s="132"/>
      <c r="G12" s="132"/>
      <c r="H12" s="132"/>
      <c r="I12" s="132"/>
      <c r="J12" s="88">
        <f t="shared" si="0"/>
        <v>0</v>
      </c>
    </row>
    <row r="13" spans="1:10" x14ac:dyDescent="0.25">
      <c r="A13" s="87"/>
      <c r="B13" s="85" t="s">
        <v>95</v>
      </c>
      <c r="C13" s="89"/>
      <c r="D13" s="89"/>
      <c r="E13" s="132"/>
      <c r="F13" s="132"/>
      <c r="G13" s="132"/>
      <c r="H13" s="132"/>
      <c r="I13" s="132"/>
      <c r="J13" s="88">
        <f t="shared" si="0"/>
        <v>0</v>
      </c>
    </row>
    <row r="14" spans="1:10" x14ac:dyDescent="0.25">
      <c r="A14" s="87">
        <v>6</v>
      </c>
      <c r="B14" s="85" t="s">
        <v>19</v>
      </c>
      <c r="C14" s="88">
        <f t="shared" ref="C14:I14" si="1">SUM(C9:C13)</f>
        <v>0</v>
      </c>
      <c r="D14" s="88">
        <f t="shared" si="1"/>
        <v>0</v>
      </c>
      <c r="E14" s="88">
        <f t="shared" si="1"/>
        <v>0</v>
      </c>
      <c r="F14" s="133">
        <f t="shared" si="1"/>
        <v>0</v>
      </c>
      <c r="G14" s="133">
        <f t="shared" si="1"/>
        <v>0</v>
      </c>
      <c r="H14" s="133">
        <f t="shared" si="1"/>
        <v>0</v>
      </c>
      <c r="I14" s="133">
        <f t="shared" si="1"/>
        <v>0</v>
      </c>
      <c r="J14" s="88">
        <f t="shared" si="0"/>
        <v>0</v>
      </c>
    </row>
    <row r="15" spans="1:10" x14ac:dyDescent="0.25">
      <c r="A15" s="87">
        <v>7</v>
      </c>
      <c r="C15" s="88"/>
      <c r="D15" s="88"/>
      <c r="E15" s="90"/>
      <c r="F15" s="90"/>
      <c r="G15" s="90"/>
      <c r="H15" s="90"/>
      <c r="I15" s="90"/>
      <c r="J15" s="88"/>
    </row>
    <row r="16" spans="1:10" x14ac:dyDescent="0.25">
      <c r="A16" s="87">
        <v>8</v>
      </c>
      <c r="B16" s="85" t="s">
        <v>20</v>
      </c>
      <c r="C16" s="88"/>
      <c r="D16" s="88"/>
      <c r="E16" s="90"/>
      <c r="F16" s="90"/>
      <c r="G16" s="90"/>
      <c r="H16" s="90"/>
      <c r="I16" s="90"/>
      <c r="J16" s="88"/>
    </row>
    <row r="17" spans="1:10" x14ac:dyDescent="0.25">
      <c r="A17" s="87">
        <v>9</v>
      </c>
      <c r="B17" s="85" t="s">
        <v>21</v>
      </c>
      <c r="C17" s="88">
        <f>+'PA-1 SALARY2016'!B201</f>
        <v>162323.80100000001</v>
      </c>
      <c r="D17" s="88"/>
      <c r="E17" s="90"/>
      <c r="F17" s="90"/>
      <c r="G17" s="90"/>
      <c r="H17" s="90"/>
      <c r="I17" s="90"/>
      <c r="J17" s="88">
        <f t="shared" ref="J17:J37" si="2">SUM(C17:I17)</f>
        <v>162323.80100000001</v>
      </c>
    </row>
    <row r="18" spans="1:10" x14ac:dyDescent="0.25">
      <c r="A18" s="87">
        <v>11</v>
      </c>
      <c r="B18" s="85" t="s">
        <v>22</v>
      </c>
      <c r="C18" s="88">
        <f>+'PA-1 SALARY2016'!B210</f>
        <v>16357.915999999999</v>
      </c>
      <c r="D18" s="88"/>
      <c r="E18" s="90"/>
      <c r="F18" s="90"/>
      <c r="G18" s="90"/>
      <c r="H18" s="90"/>
      <c r="I18" s="90"/>
      <c r="J18" s="88">
        <f t="shared" si="2"/>
        <v>16357.915999999999</v>
      </c>
    </row>
    <row r="19" spans="1:10" x14ac:dyDescent="0.25">
      <c r="A19" s="87">
        <v>11</v>
      </c>
      <c r="B19" s="85" t="s">
        <v>23</v>
      </c>
      <c r="C19" s="88"/>
      <c r="D19" s="88">
        <f>+'PA-2 MEDICAL INCREASE'!H53</f>
        <v>9076.090000000002</v>
      </c>
      <c r="E19" s="90">
        <f>+'PA-3 DENTAL INCREASE'!G53</f>
        <v>1393.5800000000006</v>
      </c>
      <c r="F19" s="90"/>
      <c r="G19" s="90"/>
      <c r="H19" s="90"/>
      <c r="I19" s="90"/>
      <c r="J19" s="88">
        <f t="shared" si="2"/>
        <v>10469.670000000002</v>
      </c>
    </row>
    <row r="20" spans="1:10" x14ac:dyDescent="0.25">
      <c r="A20" s="87">
        <v>12</v>
      </c>
      <c r="B20" s="85" t="s">
        <v>24</v>
      </c>
      <c r="C20" s="88"/>
      <c r="D20" s="88"/>
      <c r="E20" s="90"/>
      <c r="F20" s="90"/>
      <c r="G20" s="90"/>
      <c r="H20" s="90"/>
      <c r="I20" s="90"/>
      <c r="J20" s="88">
        <f t="shared" si="2"/>
        <v>0</v>
      </c>
    </row>
    <row r="21" spans="1:10" x14ac:dyDescent="0.25">
      <c r="A21" s="87">
        <v>13</v>
      </c>
      <c r="B21" s="85" t="s">
        <v>25</v>
      </c>
      <c r="C21" s="88"/>
      <c r="D21" s="88"/>
      <c r="E21" s="90"/>
      <c r="F21" s="90"/>
      <c r="G21" s="90"/>
      <c r="H21" s="90"/>
      <c r="I21" s="90">
        <f>+'PA-8 UCMR3 WATER TESTING'!F8</f>
        <v>0</v>
      </c>
      <c r="J21" s="88">
        <f t="shared" si="2"/>
        <v>0</v>
      </c>
    </row>
    <row r="22" spans="1:10" x14ac:dyDescent="0.25">
      <c r="A22" s="87">
        <v>14</v>
      </c>
      <c r="B22" s="85" t="s">
        <v>26</v>
      </c>
      <c r="C22" s="88"/>
      <c r="D22" s="88"/>
      <c r="E22" s="90"/>
      <c r="F22" s="90"/>
      <c r="G22" s="90"/>
      <c r="H22" s="90">
        <f>+'PA-7 DOH OP PERMIT FEE INCREASE'!E9</f>
        <v>0</v>
      </c>
      <c r="I22" s="90"/>
      <c r="J22" s="88">
        <f t="shared" si="2"/>
        <v>0</v>
      </c>
    </row>
    <row r="23" spans="1:10" x14ac:dyDescent="0.25">
      <c r="A23" s="87">
        <v>15</v>
      </c>
      <c r="B23" s="85" t="s">
        <v>27</v>
      </c>
      <c r="C23" s="88"/>
      <c r="D23" s="88"/>
      <c r="E23" s="90"/>
      <c r="F23" s="90"/>
      <c r="G23" s="90"/>
      <c r="H23" s="90"/>
      <c r="I23" s="90"/>
      <c r="J23" s="88">
        <f t="shared" si="2"/>
        <v>0</v>
      </c>
    </row>
    <row r="24" spans="1:10" x14ac:dyDescent="0.25">
      <c r="A24" s="87">
        <v>16</v>
      </c>
      <c r="B24" s="85" t="s">
        <v>28</v>
      </c>
      <c r="C24" s="88"/>
      <c r="D24" s="88"/>
      <c r="E24" s="90"/>
      <c r="F24" s="90"/>
      <c r="G24" s="90"/>
      <c r="H24" s="90"/>
      <c r="I24" s="90"/>
      <c r="J24" s="88">
        <f t="shared" si="2"/>
        <v>0</v>
      </c>
    </row>
    <row r="25" spans="1:10" x14ac:dyDescent="0.25">
      <c r="A25" s="87">
        <v>17</v>
      </c>
      <c r="B25" s="85" t="s">
        <v>29</v>
      </c>
      <c r="C25" s="88"/>
      <c r="D25" s="88"/>
      <c r="E25" s="90"/>
      <c r="F25" s="90"/>
      <c r="G25" s="90"/>
      <c r="H25" s="90"/>
      <c r="I25" s="90"/>
      <c r="J25" s="88">
        <f t="shared" si="2"/>
        <v>0</v>
      </c>
    </row>
    <row r="26" spans="1:10" x14ac:dyDescent="0.25">
      <c r="A26" s="87">
        <v>18</v>
      </c>
      <c r="B26" s="85" t="s">
        <v>30</v>
      </c>
      <c r="C26" s="88"/>
      <c r="D26" s="88"/>
      <c r="E26" s="90"/>
      <c r="F26" s="90"/>
      <c r="G26" s="90"/>
      <c r="H26" s="90"/>
      <c r="I26" s="90"/>
      <c r="J26" s="88">
        <f t="shared" si="2"/>
        <v>0</v>
      </c>
    </row>
    <row r="27" spans="1:10" x14ac:dyDescent="0.25">
      <c r="A27" s="87">
        <v>19</v>
      </c>
      <c r="B27" s="85" t="s">
        <v>31</v>
      </c>
      <c r="C27" s="88"/>
      <c r="D27" s="88"/>
      <c r="E27" s="90"/>
      <c r="F27" s="90"/>
      <c r="G27" s="90"/>
      <c r="H27" s="90"/>
      <c r="I27" s="90"/>
      <c r="J27" s="88">
        <f t="shared" si="2"/>
        <v>0</v>
      </c>
    </row>
    <row r="28" spans="1:10" x14ac:dyDescent="0.25">
      <c r="A28" s="87">
        <v>20</v>
      </c>
      <c r="B28" s="85" t="s">
        <v>32</v>
      </c>
      <c r="C28" s="88"/>
      <c r="D28" s="88"/>
      <c r="E28" s="90"/>
      <c r="F28" s="90"/>
      <c r="G28" s="90"/>
      <c r="H28" s="90"/>
      <c r="I28" s="90"/>
      <c r="J28" s="88">
        <f t="shared" si="2"/>
        <v>0</v>
      </c>
    </row>
    <row r="29" spans="1:10" x14ac:dyDescent="0.25">
      <c r="A29" s="87">
        <v>21</v>
      </c>
      <c r="B29" s="85" t="s">
        <v>33</v>
      </c>
      <c r="C29" s="88"/>
      <c r="D29" s="88"/>
      <c r="E29" s="90"/>
      <c r="F29" s="90"/>
      <c r="G29" s="90"/>
      <c r="H29" s="90"/>
      <c r="I29" s="90"/>
      <c r="J29" s="88">
        <f t="shared" si="2"/>
        <v>0</v>
      </c>
    </row>
    <row r="30" spans="1:10" x14ac:dyDescent="0.25">
      <c r="A30" s="87">
        <v>22</v>
      </c>
      <c r="B30" s="85" t="s">
        <v>34</v>
      </c>
      <c r="C30" s="88"/>
      <c r="D30" s="88"/>
      <c r="E30" s="90"/>
      <c r="F30" s="90"/>
      <c r="G30" s="90"/>
      <c r="H30" s="90"/>
      <c r="I30" s="90"/>
      <c r="J30" s="88">
        <f t="shared" si="2"/>
        <v>0</v>
      </c>
    </row>
    <row r="31" spans="1:10" x14ac:dyDescent="0.25">
      <c r="A31" s="87">
        <v>23</v>
      </c>
      <c r="B31" s="85" t="s">
        <v>35</v>
      </c>
      <c r="C31" s="88"/>
      <c r="D31" s="88"/>
      <c r="E31" s="90"/>
      <c r="F31" s="90"/>
      <c r="G31" s="90"/>
      <c r="H31" s="90"/>
      <c r="I31" s="90"/>
      <c r="J31" s="88">
        <f t="shared" si="2"/>
        <v>0</v>
      </c>
    </row>
    <row r="32" spans="1:10" x14ac:dyDescent="0.25">
      <c r="A32" s="87">
        <v>24</v>
      </c>
      <c r="B32" s="85" t="s">
        <v>36</v>
      </c>
      <c r="C32" s="88"/>
      <c r="D32" s="88"/>
      <c r="E32" s="90"/>
      <c r="F32" s="90"/>
      <c r="G32" s="90"/>
      <c r="H32" s="90"/>
      <c r="I32" s="90"/>
      <c r="J32" s="88">
        <f t="shared" si="2"/>
        <v>0</v>
      </c>
    </row>
    <row r="33" spans="1:10" x14ac:dyDescent="0.25">
      <c r="A33" s="87">
        <v>25</v>
      </c>
      <c r="B33" s="85" t="s">
        <v>37</v>
      </c>
      <c r="C33" s="88"/>
      <c r="D33" s="88"/>
      <c r="E33" s="90"/>
      <c r="F33" s="90"/>
      <c r="G33" s="90"/>
      <c r="H33" s="90"/>
      <c r="I33" s="90"/>
      <c r="J33" s="88">
        <f t="shared" si="2"/>
        <v>0</v>
      </c>
    </row>
    <row r="34" spans="1:10" x14ac:dyDescent="0.25">
      <c r="A34" s="87">
        <v>26</v>
      </c>
      <c r="B34" s="85" t="s">
        <v>38</v>
      </c>
      <c r="C34" s="88"/>
      <c r="D34" s="88"/>
      <c r="E34" s="90"/>
      <c r="F34" s="90"/>
      <c r="G34" s="90"/>
      <c r="H34" s="90"/>
      <c r="I34" s="90"/>
      <c r="J34" s="88">
        <f t="shared" si="2"/>
        <v>0</v>
      </c>
    </row>
    <row r="35" spans="1:10" x14ac:dyDescent="0.25">
      <c r="A35" s="87">
        <v>27</v>
      </c>
      <c r="B35" s="85" t="s">
        <v>39</v>
      </c>
      <c r="C35" s="88"/>
      <c r="D35" s="88"/>
      <c r="E35" s="90"/>
      <c r="F35" s="90"/>
      <c r="G35" s="90"/>
      <c r="H35" s="90"/>
      <c r="I35" s="90"/>
      <c r="J35" s="88">
        <f t="shared" si="2"/>
        <v>0</v>
      </c>
    </row>
    <row r="36" spans="1:10" x14ac:dyDescent="0.25">
      <c r="A36" s="87">
        <v>28</v>
      </c>
      <c r="B36" s="85" t="s">
        <v>40</v>
      </c>
      <c r="C36" s="88">
        <f>+'PA-1 SALARY2016'!AC231</f>
        <v>23969.672434619461</v>
      </c>
      <c r="D36" s="88"/>
      <c r="E36" s="90"/>
      <c r="F36" s="90">
        <f>+'PA-5 PROPERTY TAX INCREASE'!I75</f>
        <v>6238.8600000000442</v>
      </c>
      <c r="G36" s="90"/>
      <c r="H36" s="90"/>
      <c r="I36" s="90"/>
      <c r="J36" s="88">
        <f t="shared" si="2"/>
        <v>30208.532434619505</v>
      </c>
    </row>
    <row r="37" spans="1:10" x14ac:dyDescent="0.25">
      <c r="A37" s="87">
        <v>29</v>
      </c>
      <c r="B37" s="85" t="s">
        <v>53</v>
      </c>
      <c r="C37" s="88"/>
      <c r="D37" s="88"/>
      <c r="E37" s="90"/>
      <c r="F37" s="90"/>
      <c r="G37" s="90">
        <f>+'PA-6 RATE CASE COSTS'!H16</f>
        <v>8979.1400000000012</v>
      </c>
      <c r="H37" s="90"/>
      <c r="I37" s="90"/>
      <c r="J37" s="88">
        <f t="shared" si="2"/>
        <v>8979.1400000000012</v>
      </c>
    </row>
    <row r="38" spans="1:10" x14ac:dyDescent="0.25">
      <c r="A38" s="87">
        <v>30</v>
      </c>
      <c r="C38" s="88"/>
      <c r="D38" s="88"/>
      <c r="F38" s="86"/>
      <c r="G38" s="86"/>
      <c r="H38" s="86"/>
      <c r="I38" s="86"/>
      <c r="J38" s="88"/>
    </row>
    <row r="39" spans="1:10" x14ac:dyDescent="0.25">
      <c r="A39" s="87">
        <v>31</v>
      </c>
      <c r="B39" s="85" t="s">
        <v>41</v>
      </c>
      <c r="C39" s="88">
        <f>SUM(C17:C38)</f>
        <v>202651.38943461946</v>
      </c>
      <c r="D39" s="88">
        <f>SUM(D17:D38)</f>
        <v>9076.090000000002</v>
      </c>
      <c r="E39" s="88">
        <f>SUM(E17:E38)</f>
        <v>1393.5800000000006</v>
      </c>
      <c r="F39" s="88">
        <f>SUM(F17:F38)</f>
        <v>6238.8600000000442</v>
      </c>
      <c r="G39" s="88">
        <f t="shared" ref="G39:I39" si="3">SUM(G17:G38)</f>
        <v>8979.1400000000012</v>
      </c>
      <c r="H39" s="88">
        <f t="shared" si="3"/>
        <v>0</v>
      </c>
      <c r="I39" s="88">
        <f t="shared" si="3"/>
        <v>0</v>
      </c>
      <c r="J39" s="88">
        <f>SUM(C39:I39)</f>
        <v>228339.0594346195</v>
      </c>
    </row>
    <row r="40" spans="1:10" x14ac:dyDescent="0.25">
      <c r="A40" s="87">
        <v>32</v>
      </c>
      <c r="C40" s="88"/>
      <c r="D40" s="88"/>
      <c r="E40" s="151"/>
      <c r="F40" s="88"/>
      <c r="G40" s="88"/>
      <c r="H40" s="88"/>
      <c r="I40" s="88"/>
      <c r="J40" s="88"/>
    </row>
    <row r="41" spans="1:10" x14ac:dyDescent="0.25">
      <c r="A41" s="87">
        <v>33</v>
      </c>
      <c r="B41" s="85" t="s">
        <v>42</v>
      </c>
      <c r="C41" s="88">
        <f>C14-C39</f>
        <v>-202651.38943461946</v>
      </c>
      <c r="D41" s="88">
        <f>D14-D39</f>
        <v>-9076.090000000002</v>
      </c>
      <c r="E41" s="151">
        <f>E14-E39</f>
        <v>-1393.5800000000006</v>
      </c>
      <c r="F41" s="88">
        <f>F14-F39</f>
        <v>-6238.8600000000442</v>
      </c>
      <c r="G41" s="88">
        <f t="shared" ref="G41:H41" si="4">G14-G39</f>
        <v>-8979.1400000000012</v>
      </c>
      <c r="H41" s="88">
        <f t="shared" si="4"/>
        <v>0</v>
      </c>
      <c r="I41" s="88">
        <f t="shared" ref="I41" si="5">I14-I39</f>
        <v>0</v>
      </c>
      <c r="J41" s="88">
        <f>SUM(C41:I41)</f>
        <v>-228339.0594346195</v>
      </c>
    </row>
    <row r="42" spans="1:10" x14ac:dyDescent="0.25">
      <c r="A42" s="87">
        <v>34</v>
      </c>
      <c r="B42" s="85" t="s">
        <v>43</v>
      </c>
      <c r="C42" s="89">
        <f>C41*0.34</f>
        <v>-68901.47240777062</v>
      </c>
      <c r="D42" s="89">
        <f>D41*0.34</f>
        <v>-3085.8706000000011</v>
      </c>
      <c r="E42" s="152">
        <f>E41*0.34</f>
        <v>-473.81720000000024</v>
      </c>
      <c r="F42" s="89">
        <f>F41*0.34</f>
        <v>-2121.2124000000154</v>
      </c>
      <c r="G42" s="89">
        <f t="shared" ref="G42:I42" si="6">G41*0.34</f>
        <v>-3052.9076000000005</v>
      </c>
      <c r="H42" s="89">
        <f t="shared" si="6"/>
        <v>0</v>
      </c>
      <c r="I42" s="89">
        <f t="shared" si="6"/>
        <v>0</v>
      </c>
      <c r="J42" s="88">
        <f>SUM(C42:I42)</f>
        <v>-77635.280207770644</v>
      </c>
    </row>
    <row r="43" spans="1:10" x14ac:dyDescent="0.25">
      <c r="A43" s="87">
        <v>35</v>
      </c>
      <c r="B43" s="85" t="s">
        <v>44</v>
      </c>
      <c r="C43" s="88">
        <f>C41-C42</f>
        <v>-133749.91702684882</v>
      </c>
      <c r="D43" s="88">
        <f>D41-D42</f>
        <v>-5990.2194000000009</v>
      </c>
      <c r="E43" s="151">
        <f>E41-E42</f>
        <v>-919.76280000000042</v>
      </c>
      <c r="F43" s="88">
        <f>F41-F42</f>
        <v>-4117.6476000000293</v>
      </c>
      <c r="G43" s="88">
        <f t="shared" ref="G43:I43" si="7">G41-G42</f>
        <v>-5926.2324000000008</v>
      </c>
      <c r="H43" s="88">
        <f t="shared" si="7"/>
        <v>0</v>
      </c>
      <c r="I43" s="88">
        <f t="shared" si="7"/>
        <v>0</v>
      </c>
      <c r="J43" s="88">
        <f>SUM(C43:I43)</f>
        <v>-150703.77922684886</v>
      </c>
    </row>
    <row r="44" spans="1:10" x14ac:dyDescent="0.25">
      <c r="A44" s="87">
        <v>36</v>
      </c>
      <c r="C44" s="88"/>
      <c r="D44" s="88"/>
      <c r="E44" s="90"/>
      <c r="F44" s="86"/>
      <c r="G44" s="86"/>
      <c r="H44" s="86"/>
      <c r="I44" s="86"/>
      <c r="J44" s="88"/>
    </row>
    <row r="45" spans="1:10" x14ac:dyDescent="0.25">
      <c r="A45" s="87">
        <v>37</v>
      </c>
      <c r="B45" s="85" t="s">
        <v>45</v>
      </c>
      <c r="C45" s="88"/>
      <c r="D45" s="88"/>
      <c r="E45" s="90"/>
      <c r="F45" s="86"/>
      <c r="G45" s="86"/>
      <c r="H45" s="86"/>
      <c r="I45" s="86"/>
      <c r="J45" s="88"/>
    </row>
    <row r="46" spans="1:10" x14ac:dyDescent="0.25">
      <c r="A46" s="87">
        <v>38</v>
      </c>
      <c r="B46" s="85" t="s">
        <v>46</v>
      </c>
      <c r="C46" s="88">
        <f>+'PA-1 SALARY2016'!F196+'PA-1 SALARY2016'!F221</f>
        <v>0</v>
      </c>
      <c r="D46" s="88"/>
      <c r="E46" s="90">
        <v>0</v>
      </c>
      <c r="F46" s="86"/>
      <c r="G46" s="86"/>
      <c r="H46" s="86"/>
      <c r="I46" s="86"/>
      <c r="J46" s="88">
        <f>SUM(C46:E46)</f>
        <v>0</v>
      </c>
    </row>
    <row r="47" spans="1:10" x14ac:dyDescent="0.25">
      <c r="A47" s="87">
        <v>39</v>
      </c>
      <c r="B47" s="85" t="s">
        <v>47</v>
      </c>
      <c r="C47" s="88"/>
      <c r="D47" s="88"/>
      <c r="E47" s="90"/>
      <c r="F47" s="86"/>
      <c r="G47" s="86"/>
      <c r="H47" s="86"/>
      <c r="I47" s="86"/>
      <c r="J47" s="88"/>
    </row>
    <row r="48" spans="1:10" x14ac:dyDescent="0.25">
      <c r="A48" s="87">
        <v>40</v>
      </c>
      <c r="B48" s="85" t="s">
        <v>48</v>
      </c>
      <c r="C48" s="88"/>
      <c r="D48" s="88"/>
      <c r="E48" s="90"/>
      <c r="J48" s="88"/>
    </row>
    <row r="49" spans="1:10" x14ac:dyDescent="0.25">
      <c r="A49" s="87">
        <v>41</v>
      </c>
      <c r="B49" s="85" t="s">
        <v>49</v>
      </c>
      <c r="C49" s="88"/>
      <c r="D49" s="88"/>
      <c r="E49" s="90">
        <f>+E46/2</f>
        <v>0</v>
      </c>
      <c r="F49" s="86"/>
      <c r="G49" s="86"/>
      <c r="H49" s="86"/>
      <c r="I49" s="86"/>
      <c r="J49" s="88">
        <f>SUM(C49:E49)</f>
        <v>0</v>
      </c>
    </row>
    <row r="50" spans="1:10" x14ac:dyDescent="0.25">
      <c r="A50" s="87">
        <v>42</v>
      </c>
      <c r="E50" s="90"/>
      <c r="F50" s="86"/>
      <c r="G50" s="86"/>
      <c r="H50" s="86"/>
      <c r="I50" s="86"/>
      <c r="J50" s="88"/>
    </row>
    <row r="51" spans="1:10" x14ac:dyDescent="0.25">
      <c r="A51" s="87">
        <v>43</v>
      </c>
      <c r="B51" s="91" t="s">
        <v>50</v>
      </c>
      <c r="E51" s="132"/>
      <c r="F51" s="84"/>
      <c r="G51" s="84"/>
      <c r="H51" s="84"/>
      <c r="I51" s="84"/>
      <c r="J51" s="88"/>
    </row>
  </sheetData>
  <phoneticPr fontId="0" type="noConversion"/>
  <pageMargins left="0.75" right="0.75" top="1" bottom="1" header="0.5" footer="0.5"/>
  <pageSetup scale="62" orientation="landscape" horizontalDpi="409" verticalDpi="409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9"/>
  <sheetViews>
    <sheetView zoomScale="75" zoomScaleNormal="75" workbookViewId="0">
      <selection activeCell="B24" sqref="B24"/>
    </sheetView>
  </sheetViews>
  <sheetFormatPr defaultRowHeight="15.75" x14ac:dyDescent="0.25"/>
  <cols>
    <col min="1" max="1" width="40.109375" bestFit="1" customWidth="1"/>
    <col min="2" max="2" width="10.109375" bestFit="1" customWidth="1"/>
    <col min="4" max="4" width="28" bestFit="1" customWidth="1"/>
    <col min="5" max="5" width="11.21875" bestFit="1" customWidth="1"/>
  </cols>
  <sheetData>
    <row r="1" spans="1:13" x14ac:dyDescent="0.25">
      <c r="A1" s="1" t="s">
        <v>64</v>
      </c>
      <c r="E1" s="1" t="s">
        <v>1</v>
      </c>
    </row>
    <row r="2" spans="1:13" x14ac:dyDescent="0.25">
      <c r="E2" s="17">
        <v>2016</v>
      </c>
    </row>
    <row r="6" spans="1:13" x14ac:dyDescent="0.25">
      <c r="A6" s="1" t="s">
        <v>65</v>
      </c>
      <c r="B6" s="18">
        <v>1</v>
      </c>
      <c r="D6" s="19" t="s">
        <v>66</v>
      </c>
    </row>
    <row r="7" spans="1:13" x14ac:dyDescent="0.25">
      <c r="B7" s="18"/>
      <c r="D7" s="1"/>
      <c r="E7" s="9"/>
      <c r="F7" s="20"/>
      <c r="G7" s="20"/>
      <c r="H7" s="20"/>
      <c r="K7" s="155"/>
    </row>
    <row r="8" spans="1:13" x14ac:dyDescent="0.25">
      <c r="A8" s="1" t="s">
        <v>67</v>
      </c>
      <c r="B8" s="18">
        <v>2E-3</v>
      </c>
      <c r="D8" s="1"/>
      <c r="E8" s="9"/>
      <c r="F8" s="20"/>
      <c r="G8" s="20"/>
      <c r="H8" s="20"/>
      <c r="L8" s="29"/>
      <c r="M8" s="29"/>
    </row>
    <row r="9" spans="1:13" x14ac:dyDescent="0.25">
      <c r="A9" s="1" t="s">
        <v>68</v>
      </c>
      <c r="B9" s="18">
        <v>5.0290000000000001E-2</v>
      </c>
      <c r="D9" s="1"/>
      <c r="E9" s="9"/>
      <c r="F9" s="20"/>
      <c r="G9" s="20"/>
      <c r="H9" s="20"/>
      <c r="L9" s="29"/>
      <c r="M9" s="29"/>
    </row>
    <row r="10" spans="1:13" x14ac:dyDescent="0.25">
      <c r="A10" s="1" t="s">
        <v>69</v>
      </c>
      <c r="B10" s="18">
        <v>6.7000000000000002E-3</v>
      </c>
      <c r="D10" s="1"/>
      <c r="E10" s="12"/>
      <c r="F10" s="20"/>
      <c r="G10" s="20"/>
      <c r="H10" s="20"/>
      <c r="L10" s="29"/>
      <c r="M10" s="29"/>
    </row>
    <row r="11" spans="1:13" x14ac:dyDescent="0.25">
      <c r="B11" s="18">
        <f>B6-B8-B9-B10</f>
        <v>0.94101000000000001</v>
      </c>
      <c r="D11" s="1" t="s">
        <v>481</v>
      </c>
      <c r="E11" s="12">
        <v>800000</v>
      </c>
      <c r="F11" s="20">
        <f>E11/E28</f>
        <v>0.16769442386694119</v>
      </c>
      <c r="G11" s="20">
        <v>2.7699999999999999E-2</v>
      </c>
      <c r="H11" s="20">
        <f t="shared" ref="H11:H13" si="0">G11*F11</f>
        <v>4.6451355411142713E-3</v>
      </c>
      <c r="L11" s="29"/>
      <c r="M11" s="29"/>
    </row>
    <row r="12" spans="1:13" x14ac:dyDescent="0.25">
      <c r="B12" s="18"/>
      <c r="D12" s="1" t="s">
        <v>484</v>
      </c>
      <c r="E12" s="12">
        <v>667273</v>
      </c>
      <c r="F12" s="20">
        <f>E12/E28</f>
        <v>0.13987245162120682</v>
      </c>
      <c r="G12" s="20">
        <v>2.7699999999999999E-2</v>
      </c>
      <c r="H12" s="20">
        <f t="shared" si="0"/>
        <v>3.8744669099074285E-3</v>
      </c>
      <c r="L12" s="29"/>
      <c r="M12" s="29"/>
    </row>
    <row r="13" spans="1:13" x14ac:dyDescent="0.25">
      <c r="A13" s="1" t="s">
        <v>70</v>
      </c>
      <c r="B13" s="18">
        <f>B11*0.34</f>
        <v>0.31994340000000004</v>
      </c>
      <c r="D13" s="1" t="s">
        <v>201</v>
      </c>
      <c r="E13" s="12">
        <v>3040752</v>
      </c>
      <c r="F13" s="20">
        <f>E13/E28</f>
        <v>0.63739644345281143</v>
      </c>
      <c r="G13" s="20">
        <v>2.7699999999999999E-2</v>
      </c>
      <c r="H13" s="20">
        <f t="shared" si="0"/>
        <v>1.7655881483642877E-2</v>
      </c>
      <c r="L13" s="29"/>
      <c r="M13" s="29"/>
    </row>
    <row r="14" spans="1:13" x14ac:dyDescent="0.25">
      <c r="B14" s="18"/>
      <c r="D14" s="1" t="s">
        <v>504</v>
      </c>
      <c r="E14" s="12">
        <v>127995</v>
      </c>
      <c r="F14" s="20">
        <f>E14/E28</f>
        <v>2.6830059728561419E-2</v>
      </c>
      <c r="G14" s="20">
        <v>2.7699999999999999E-2</v>
      </c>
      <c r="H14" s="20">
        <f t="shared" ref="H14" si="1">G14*F14</f>
        <v>7.4319265448115129E-4</v>
      </c>
      <c r="L14" s="29"/>
      <c r="M14" s="29"/>
    </row>
    <row r="15" spans="1:13" x14ac:dyDescent="0.25">
      <c r="A15" s="1" t="s">
        <v>71</v>
      </c>
      <c r="B15" s="18">
        <f>B11-B13</f>
        <v>0.62106660000000002</v>
      </c>
      <c r="D15" s="1" t="s">
        <v>482</v>
      </c>
      <c r="E15" s="12">
        <v>9921</v>
      </c>
      <c r="F15" s="32">
        <f>E15/E28</f>
        <v>2.0796204739799043E-3</v>
      </c>
      <c r="G15" s="20">
        <v>5.6899999999999999E-2</v>
      </c>
      <c r="H15" s="20">
        <f>G15*F15</f>
        <v>1.1833040496945656E-4</v>
      </c>
      <c r="L15" s="29"/>
      <c r="M15" s="29"/>
    </row>
    <row r="16" spans="1:13" x14ac:dyDescent="0.25">
      <c r="D16" s="1" t="s">
        <v>483</v>
      </c>
      <c r="E16" s="12">
        <v>103979</v>
      </c>
      <c r="F16" s="32">
        <f>E16/E28</f>
        <v>2.1795873124075847E-2</v>
      </c>
      <c r="G16" s="20">
        <v>5.8400000000000001E-2</v>
      </c>
      <c r="H16" s="20">
        <f>G16*F16</f>
        <v>1.2728789904460295E-3</v>
      </c>
      <c r="L16" s="29"/>
      <c r="M16" s="29"/>
    </row>
    <row r="17" spans="1:13" x14ac:dyDescent="0.25">
      <c r="D17" s="1" t="s">
        <v>483</v>
      </c>
      <c r="E17" s="12">
        <v>20662</v>
      </c>
      <c r="F17" s="225">
        <f>E17/E28</f>
        <v>4.3311277324234237E-3</v>
      </c>
      <c r="G17" s="20">
        <v>4.99E-2</v>
      </c>
      <c r="H17" s="20">
        <f>G17*F17</f>
        <v>2.1612327384792885E-4</v>
      </c>
      <c r="L17" s="29"/>
      <c r="M17" s="29"/>
    </row>
    <row r="18" spans="1:13" x14ac:dyDescent="0.25">
      <c r="E18" s="12"/>
      <c r="F18" s="32"/>
      <c r="G18" s="20"/>
      <c r="H18" s="20"/>
      <c r="L18" s="29"/>
      <c r="M18" s="29"/>
    </row>
    <row r="19" spans="1:13" x14ac:dyDescent="0.25">
      <c r="E19" s="12"/>
      <c r="F19" s="32"/>
      <c r="G19" s="20"/>
      <c r="H19" s="20"/>
      <c r="L19" s="158"/>
      <c r="M19" s="158"/>
    </row>
    <row r="20" spans="1:13" x14ac:dyDescent="0.25">
      <c r="A20" s="1" t="s">
        <v>72</v>
      </c>
      <c r="B20" s="6">
        <f>+RATES!I108</f>
        <v>10118345.384615384</v>
      </c>
      <c r="L20" s="158"/>
      <c r="M20" s="158"/>
    </row>
    <row r="21" spans="1:13" x14ac:dyDescent="0.25">
      <c r="A21" s="1" t="s">
        <v>73</v>
      </c>
      <c r="L21" s="158"/>
      <c r="M21" s="158"/>
    </row>
    <row r="22" spans="1:13" x14ac:dyDescent="0.25">
      <c r="A22" s="1" t="s">
        <v>74</v>
      </c>
      <c r="B22" s="20">
        <f>+H35</f>
        <v>7.6871982808225936E-2</v>
      </c>
      <c r="E22" s="12"/>
      <c r="F22" s="32"/>
      <c r="G22" s="20"/>
      <c r="H22" s="20"/>
    </row>
    <row r="23" spans="1:13" x14ac:dyDescent="0.25">
      <c r="E23" s="12"/>
      <c r="F23" s="32"/>
      <c r="G23" s="20"/>
      <c r="H23" s="20"/>
    </row>
    <row r="24" spans="1:13" x14ac:dyDescent="0.25">
      <c r="A24" s="1" t="s">
        <v>75</v>
      </c>
      <c r="B24" s="6">
        <f>B22*B20</f>
        <v>777817.27245384606</v>
      </c>
    </row>
    <row r="26" spans="1:13" x14ac:dyDescent="0.25">
      <c r="A26" s="1" t="s">
        <v>76</v>
      </c>
      <c r="B26" s="6">
        <f>+RATES!I97</f>
        <v>510365.97481315106</v>
      </c>
    </row>
    <row r="28" spans="1:13" x14ac:dyDescent="0.25">
      <c r="A28" s="1" t="s">
        <v>78</v>
      </c>
      <c r="B28" s="6">
        <f>IF(+B24-B26&lt;=0,0)+IF(+B24-B26&gt;0,+B24-B26)</f>
        <v>267451.297640695</v>
      </c>
      <c r="E28" s="6">
        <f>SUM(E7:E27)</f>
        <v>4770582</v>
      </c>
      <c r="F28" s="16">
        <f>SUM(F7:F27)</f>
        <v>1</v>
      </c>
      <c r="H28" s="20">
        <f>SUM(H8:H27)</f>
        <v>2.8526009258409143E-2</v>
      </c>
    </row>
    <row r="29" spans="1:13" x14ac:dyDescent="0.25">
      <c r="D29" s="21"/>
      <c r="E29" s="21"/>
      <c r="F29" s="21"/>
      <c r="G29" s="21"/>
      <c r="H29" s="21"/>
    </row>
    <row r="30" spans="1:13" x14ac:dyDescent="0.25">
      <c r="A30" s="1" t="s">
        <v>71</v>
      </c>
      <c r="B30" s="18">
        <f>B15</f>
        <v>0.62106660000000002</v>
      </c>
    </row>
    <row r="31" spans="1:13" x14ac:dyDescent="0.25">
      <c r="D31" s="19" t="s">
        <v>77</v>
      </c>
      <c r="E31" s="6">
        <f>E28</f>
        <v>4770582</v>
      </c>
      <c r="F31" s="20">
        <f>E31/E35</f>
        <v>0.47147846991401532</v>
      </c>
      <c r="G31" s="20">
        <f>H28</f>
        <v>2.8526009258409143E-2</v>
      </c>
      <c r="H31" s="20">
        <f>F31*G31</f>
        <v>1.3449399197907778E-2</v>
      </c>
    </row>
    <row r="32" spans="1:13" x14ac:dyDescent="0.25">
      <c r="A32" s="1" t="s">
        <v>80</v>
      </c>
      <c r="B32" s="6">
        <f>B28/B30</f>
        <v>430632.23435408535</v>
      </c>
      <c r="D32" s="22"/>
      <c r="E32" s="6"/>
      <c r="F32" s="20"/>
      <c r="G32" s="20"/>
      <c r="H32" s="20"/>
    </row>
    <row r="33" spans="1:8" x14ac:dyDescent="0.25">
      <c r="D33" s="19" t="s">
        <v>79</v>
      </c>
      <c r="E33" s="6">
        <f>+E35-E31</f>
        <v>5347763.384615384</v>
      </c>
      <c r="F33" s="20">
        <f>E33/E35</f>
        <v>0.52852153008598468</v>
      </c>
      <c r="G33" s="20">
        <v>0.12</v>
      </c>
      <c r="H33" s="20">
        <f>F33*G33</f>
        <v>6.3422583610318162E-2</v>
      </c>
    </row>
    <row r="34" spans="1:8" x14ac:dyDescent="0.25">
      <c r="E34" s="6"/>
      <c r="F34" s="20"/>
      <c r="G34" s="20"/>
      <c r="H34" s="20"/>
    </row>
    <row r="35" spans="1:8" x14ac:dyDescent="0.25">
      <c r="E35" s="6">
        <f>+RATES!I108</f>
        <v>10118345.384615384</v>
      </c>
      <c r="F35" s="20"/>
      <c r="G35" s="20"/>
      <c r="H35" s="27">
        <f>H31+H33</f>
        <v>7.6871982808225936E-2</v>
      </c>
    </row>
    <row r="36" spans="1:8" x14ac:dyDescent="0.25">
      <c r="D36" s="21"/>
      <c r="E36" s="23"/>
      <c r="F36" s="24"/>
      <c r="G36" s="24"/>
      <c r="H36" s="24"/>
    </row>
    <row r="37" spans="1:8" x14ac:dyDescent="0.25">
      <c r="E37" s="6"/>
      <c r="F37" s="20"/>
      <c r="G37" s="20"/>
      <c r="H37" s="20"/>
    </row>
    <row r="38" spans="1:8" x14ac:dyDescent="0.25">
      <c r="D38" s="19" t="s">
        <v>77</v>
      </c>
      <c r="E38" s="6">
        <f>E31</f>
        <v>4770582</v>
      </c>
      <c r="F38" s="20">
        <v>0.5</v>
      </c>
      <c r="G38" s="20">
        <f>G31</f>
        <v>2.8526009258409143E-2</v>
      </c>
      <c r="H38" s="20">
        <f>F38*G38</f>
        <v>1.4263004629204571E-2</v>
      </c>
    </row>
    <row r="39" spans="1:8" x14ac:dyDescent="0.25">
      <c r="D39" s="22"/>
      <c r="E39" s="6"/>
      <c r="F39" s="20"/>
      <c r="G39" s="20"/>
      <c r="H39" s="20"/>
    </row>
    <row r="40" spans="1:8" x14ac:dyDescent="0.25">
      <c r="D40" s="19" t="s">
        <v>79</v>
      </c>
      <c r="E40" s="6">
        <f>E33</f>
        <v>5347763.384615384</v>
      </c>
      <c r="F40" s="20">
        <v>0.5</v>
      </c>
      <c r="G40" s="20">
        <v>0.12</v>
      </c>
      <c r="H40" s="20">
        <f>F40*G40</f>
        <v>0.06</v>
      </c>
    </row>
    <row r="41" spans="1:8" x14ac:dyDescent="0.25">
      <c r="E41" s="6"/>
      <c r="F41" s="20"/>
      <c r="G41" s="20"/>
      <c r="H41" s="20"/>
    </row>
    <row r="42" spans="1:8" x14ac:dyDescent="0.25">
      <c r="E42" s="6">
        <f>E38+E40</f>
        <v>10118345.384615384</v>
      </c>
      <c r="F42" s="20"/>
      <c r="G42" s="20"/>
      <c r="H42" s="27">
        <f>H38+H40</f>
        <v>7.4263004629204571E-2</v>
      </c>
    </row>
    <row r="43" spans="1:8" x14ac:dyDescent="0.25">
      <c r="F43" s="20"/>
    </row>
    <row r="44" spans="1:8" x14ac:dyDescent="0.25">
      <c r="A44" s="1" t="s">
        <v>80</v>
      </c>
      <c r="B44" s="6">
        <f>+B32</f>
        <v>430632.23435408535</v>
      </c>
      <c r="F44" s="20"/>
    </row>
    <row r="45" spans="1:8" x14ac:dyDescent="0.25">
      <c r="B45" s="6"/>
      <c r="F45" s="20"/>
    </row>
    <row r="46" spans="1:8" x14ac:dyDescent="0.25">
      <c r="A46" s="1" t="s">
        <v>81</v>
      </c>
      <c r="B46" s="6"/>
      <c r="C46" s="6">
        <v>0</v>
      </c>
      <c r="F46" s="20"/>
    </row>
    <row r="47" spans="1:8" x14ac:dyDescent="0.25">
      <c r="A47" s="1" t="s">
        <v>82</v>
      </c>
      <c r="B47" s="6"/>
      <c r="C47" s="25">
        <f>B44-C46</f>
        <v>430632.23435408535</v>
      </c>
      <c r="F47" s="20"/>
    </row>
    <row r="48" spans="1:8" x14ac:dyDescent="0.25">
      <c r="A48" s="1" t="s">
        <v>83</v>
      </c>
      <c r="B48" s="6"/>
      <c r="C48" s="6">
        <f>C46+C47</f>
        <v>430632.23435408535</v>
      </c>
      <c r="F48" s="20"/>
    </row>
    <row r="49" spans="1:6" x14ac:dyDescent="0.25">
      <c r="B49" s="6"/>
      <c r="C49" s="6"/>
      <c r="F49" s="20"/>
    </row>
    <row r="50" spans="1:6" x14ac:dyDescent="0.25">
      <c r="A50" s="1" t="s">
        <v>84</v>
      </c>
      <c r="B50" s="6"/>
      <c r="C50" s="6"/>
      <c r="F50" s="20"/>
    </row>
    <row r="51" spans="1:6" x14ac:dyDescent="0.25">
      <c r="A51" s="1" t="s">
        <v>85</v>
      </c>
      <c r="C51" s="6">
        <f>B44*0.002</f>
        <v>861.26446870817074</v>
      </c>
    </row>
    <row r="52" spans="1:6" x14ac:dyDescent="0.25">
      <c r="C52" s="6"/>
    </row>
    <row r="53" spans="1:6" x14ac:dyDescent="0.25">
      <c r="A53" s="1" t="s">
        <v>86</v>
      </c>
      <c r="C53" s="6">
        <f>B44*0.05029</f>
        <v>21656.495065666953</v>
      </c>
    </row>
    <row r="54" spans="1:6" x14ac:dyDescent="0.25">
      <c r="A54" s="1" t="s">
        <v>87</v>
      </c>
      <c r="C54" s="25">
        <f>B44*0.0065</f>
        <v>2799.1095233015544</v>
      </c>
    </row>
    <row r="55" spans="1:6" x14ac:dyDescent="0.25">
      <c r="C55" s="6">
        <f>C51+C53+C54</f>
        <v>25316.869057676678</v>
      </c>
    </row>
    <row r="56" spans="1:6" x14ac:dyDescent="0.25">
      <c r="B56" s="6"/>
      <c r="C56" s="6"/>
    </row>
    <row r="57" spans="1:6" x14ac:dyDescent="0.25">
      <c r="A57" s="1" t="s">
        <v>88</v>
      </c>
      <c r="B57" s="6"/>
      <c r="C57" s="6">
        <f>C48-C55</f>
        <v>405315.36529640865</v>
      </c>
    </row>
    <row r="58" spans="1:6" x14ac:dyDescent="0.25">
      <c r="A58" s="1" t="s">
        <v>70</v>
      </c>
      <c r="B58" s="6"/>
      <c r="C58" s="25">
        <f>C57*0.34</f>
        <v>137807.22420077896</v>
      </c>
    </row>
    <row r="59" spans="1:6" x14ac:dyDescent="0.25">
      <c r="A59" s="1" t="s">
        <v>89</v>
      </c>
      <c r="B59" s="6"/>
      <c r="C59" s="6">
        <f>C57-C58</f>
        <v>267508.14109562966</v>
      </c>
    </row>
  </sheetData>
  <phoneticPr fontId="0" type="noConversion"/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5"/>
  <sheetViews>
    <sheetView view="pageBreakPreview" zoomScale="89" zoomScaleNormal="100" zoomScaleSheetLayoutView="89" workbookViewId="0">
      <selection activeCell="F131" sqref="F131"/>
    </sheetView>
  </sheetViews>
  <sheetFormatPr defaultColWidth="12.6640625" defaultRowHeight="15.75" x14ac:dyDescent="0.25"/>
  <cols>
    <col min="1" max="1" width="25.77734375" customWidth="1"/>
    <col min="2" max="2" width="15.77734375" style="12" customWidth="1"/>
    <col min="3" max="3" width="2.77734375" customWidth="1"/>
    <col min="4" max="4" width="15.77734375" customWidth="1"/>
    <col min="5" max="5" width="2.77734375" customWidth="1"/>
    <col min="6" max="6" width="15.77734375" customWidth="1"/>
    <col min="7" max="7" width="2.77734375" customWidth="1"/>
    <col min="8" max="8" width="15.77734375" customWidth="1"/>
    <col min="9" max="9" width="2.77734375" customWidth="1"/>
    <col min="10" max="10" width="15.77734375" customWidth="1"/>
    <col min="11" max="11" width="2.77734375" customWidth="1"/>
    <col min="12" max="12" width="15.77734375" customWidth="1"/>
    <col min="13" max="13" width="2.77734375" customWidth="1"/>
    <col min="14" max="14" width="15.77734375" customWidth="1"/>
    <col min="15" max="15" width="2.77734375" customWidth="1"/>
    <col min="16" max="16" width="15.77734375" customWidth="1"/>
    <col min="17" max="17" width="2.77734375" customWidth="1"/>
    <col min="18" max="18" width="15.77734375" customWidth="1"/>
    <col min="19" max="19" width="2.77734375" customWidth="1"/>
    <col min="20" max="20" width="15.77734375" customWidth="1"/>
    <col min="21" max="21" width="2.77734375" customWidth="1"/>
    <col min="22" max="22" width="15.77734375" customWidth="1"/>
    <col min="23" max="23" width="2.77734375" customWidth="1"/>
    <col min="24" max="24" width="15.77734375" customWidth="1"/>
    <col min="25" max="25" width="2.77734375" customWidth="1"/>
    <col min="26" max="26" width="15.77734375" customWidth="1"/>
    <col min="27" max="27" width="2.77734375" customWidth="1"/>
    <col min="28" max="28" width="15.77734375" customWidth="1"/>
    <col min="31" max="31" width="13.5546875" bestFit="1" customWidth="1"/>
  </cols>
  <sheetData>
    <row r="1" spans="1:31" x14ac:dyDescent="0.25">
      <c r="A1" s="1" t="s">
        <v>110</v>
      </c>
      <c r="B1" s="9"/>
    </row>
    <row r="2" spans="1:31" x14ac:dyDescent="0.25">
      <c r="A2" s="1" t="s">
        <v>505</v>
      </c>
      <c r="B2" s="9"/>
    </row>
    <row r="3" spans="1:31" x14ac:dyDescent="0.25">
      <c r="A3" s="22" t="s">
        <v>182</v>
      </c>
      <c r="B3" s="9"/>
    </row>
    <row r="4" spans="1:31" x14ac:dyDescent="0.25">
      <c r="B4" s="9"/>
      <c r="H4" s="57">
        <v>2016</v>
      </c>
      <c r="J4" s="1" t="s">
        <v>207</v>
      </c>
    </row>
    <row r="5" spans="1:31" x14ac:dyDescent="0.25">
      <c r="B5" s="9"/>
    </row>
    <row r="6" spans="1:31" x14ac:dyDescent="0.25">
      <c r="B6" s="9"/>
    </row>
    <row r="7" spans="1:31" x14ac:dyDescent="0.25">
      <c r="A7" s="1" t="s">
        <v>112</v>
      </c>
      <c r="B7" s="31" t="s">
        <v>113</v>
      </c>
      <c r="D7" s="1" t="s">
        <v>114</v>
      </c>
      <c r="F7" s="1" t="s">
        <v>115</v>
      </c>
      <c r="H7" s="1" t="s">
        <v>116</v>
      </c>
      <c r="J7" s="1" t="s">
        <v>117</v>
      </c>
      <c r="L7" s="1" t="s">
        <v>117</v>
      </c>
      <c r="N7" s="1" t="s">
        <v>118</v>
      </c>
      <c r="P7" s="1" t="s">
        <v>118</v>
      </c>
      <c r="R7" s="1" t="s">
        <v>119</v>
      </c>
      <c r="T7" s="1" t="s">
        <v>119</v>
      </c>
      <c r="V7" s="1" t="s">
        <v>120</v>
      </c>
      <c r="X7" s="1" t="s">
        <v>121</v>
      </c>
      <c r="Z7" s="1" t="s">
        <v>122</v>
      </c>
      <c r="AB7" s="1" t="s">
        <v>123</v>
      </c>
    </row>
    <row r="8" spans="1:31" x14ac:dyDescent="0.25">
      <c r="B8" s="31" t="s">
        <v>124</v>
      </c>
      <c r="D8" s="1" t="s">
        <v>56</v>
      </c>
      <c r="F8" s="1" t="s">
        <v>125</v>
      </c>
      <c r="H8" s="1" t="s">
        <v>56</v>
      </c>
      <c r="J8" s="1" t="s">
        <v>126</v>
      </c>
      <c r="L8" s="1" t="s">
        <v>127</v>
      </c>
      <c r="N8" s="1" t="s">
        <v>126</v>
      </c>
      <c r="P8" s="1" t="s">
        <v>127</v>
      </c>
      <c r="R8" s="1" t="s">
        <v>126</v>
      </c>
      <c r="T8" s="1" t="s">
        <v>127</v>
      </c>
      <c r="V8" s="1" t="s">
        <v>56</v>
      </c>
      <c r="X8" s="1" t="s">
        <v>56</v>
      </c>
      <c r="Z8" s="1" t="s">
        <v>128</v>
      </c>
      <c r="AB8" s="1" t="s">
        <v>56</v>
      </c>
    </row>
    <row r="9" spans="1:31" x14ac:dyDescent="0.25">
      <c r="F9" s="58">
        <v>101</v>
      </c>
      <c r="G9" s="58"/>
      <c r="H9" s="58">
        <v>426</v>
      </c>
      <c r="I9" s="58"/>
      <c r="J9" s="58">
        <v>601.1</v>
      </c>
      <c r="K9" s="58"/>
      <c r="L9" s="58">
        <v>601.20000000000005</v>
      </c>
      <c r="M9" s="58"/>
      <c r="N9" s="58">
        <v>601.29999999999995</v>
      </c>
      <c r="O9" s="58"/>
      <c r="P9" s="58">
        <v>601.4</v>
      </c>
      <c r="Q9" s="58"/>
      <c r="R9" s="58">
        <v>601.5</v>
      </c>
      <c r="S9" s="58"/>
      <c r="T9" s="58">
        <v>601.6</v>
      </c>
      <c r="U9" s="58"/>
      <c r="V9" s="58">
        <v>601.70000000000005</v>
      </c>
      <c r="W9" s="58"/>
      <c r="X9" s="58">
        <v>601.79999999999995</v>
      </c>
      <c r="Y9" s="58"/>
      <c r="Z9" s="58">
        <v>604</v>
      </c>
      <c r="AA9" s="58"/>
      <c r="AB9" s="58">
        <v>650</v>
      </c>
    </row>
    <row r="10" spans="1:31" x14ac:dyDescent="0.25">
      <c r="A10" s="1" t="s">
        <v>129</v>
      </c>
      <c r="B10" s="9">
        <v>48095</v>
      </c>
      <c r="D10" s="6"/>
      <c r="E10" s="6" t="s">
        <v>130</v>
      </c>
      <c r="F10" s="6">
        <v>20436.599999999999</v>
      </c>
      <c r="G10" s="6"/>
      <c r="H10" s="6"/>
      <c r="I10" s="6"/>
      <c r="J10" s="6"/>
      <c r="K10" s="6"/>
      <c r="L10" s="6">
        <v>9435.35</v>
      </c>
      <c r="M10" s="6"/>
      <c r="N10" s="6"/>
      <c r="O10" s="6"/>
      <c r="P10" s="6">
        <v>19830.25</v>
      </c>
      <c r="Q10" s="6"/>
      <c r="R10" s="6"/>
      <c r="S10" s="6"/>
      <c r="T10" s="6">
        <v>10839.68</v>
      </c>
      <c r="U10" s="6"/>
      <c r="V10" s="6">
        <v>48276.11</v>
      </c>
      <c r="W10" s="6"/>
      <c r="X10" s="6">
        <v>33628.980000000003</v>
      </c>
      <c r="Y10" s="6"/>
      <c r="Z10" s="6">
        <v>21820.09</v>
      </c>
      <c r="AA10" s="6"/>
      <c r="AB10" s="6">
        <v>1765.4</v>
      </c>
      <c r="AC10" s="6"/>
      <c r="AD10" s="6">
        <f>SUM(F10:AB10)</f>
        <v>166032.46</v>
      </c>
    </row>
    <row r="11" spans="1:31" x14ac:dyDescent="0.25">
      <c r="A11" s="1" t="s">
        <v>490</v>
      </c>
      <c r="B11" s="9">
        <v>6289.5</v>
      </c>
      <c r="C11" s="6"/>
      <c r="D11" s="6"/>
      <c r="E11" s="6" t="s">
        <v>132</v>
      </c>
      <c r="F11" s="12">
        <v>20238</v>
      </c>
      <c r="G11" s="12"/>
      <c r="H11" s="12"/>
      <c r="I11" s="12"/>
      <c r="J11" s="12"/>
      <c r="K11" s="12"/>
      <c r="L11" s="12">
        <v>8514.31</v>
      </c>
      <c r="M11" s="12"/>
      <c r="N11" s="12"/>
      <c r="O11" s="12"/>
      <c r="P11" s="12">
        <v>22779.4</v>
      </c>
      <c r="Q11" s="12"/>
      <c r="R11" s="12"/>
      <c r="S11" s="12"/>
      <c r="T11" s="12">
        <v>9895.27</v>
      </c>
      <c r="U11" s="12"/>
      <c r="V11" s="12">
        <v>52495.51</v>
      </c>
      <c r="W11" s="12"/>
      <c r="X11" s="12">
        <v>40815.61</v>
      </c>
      <c r="Y11" s="12"/>
      <c r="Z11" s="12">
        <v>6586.45</v>
      </c>
      <c r="AA11" s="12"/>
      <c r="AB11" s="12">
        <v>1550</v>
      </c>
      <c r="AC11" s="6"/>
      <c r="AD11" s="6">
        <f t="shared" ref="AD11:AD20" si="0">SUM(F11:AB11)</f>
        <v>162874.54999999999</v>
      </c>
    </row>
    <row r="12" spans="1:31" x14ac:dyDescent="0.25">
      <c r="A12" s="1" t="s">
        <v>506</v>
      </c>
      <c r="B12" s="12">
        <v>2382.79</v>
      </c>
      <c r="C12" s="6"/>
      <c r="D12" s="6"/>
      <c r="E12" s="6" t="s">
        <v>133</v>
      </c>
      <c r="F12" s="6">
        <v>25356</v>
      </c>
      <c r="G12" s="6"/>
      <c r="H12" s="6"/>
      <c r="I12" s="6"/>
      <c r="J12" s="6"/>
      <c r="K12" s="6"/>
      <c r="L12" s="6">
        <v>9639.36</v>
      </c>
      <c r="M12" s="6"/>
      <c r="N12" s="6"/>
      <c r="O12" s="6"/>
      <c r="P12" s="6">
        <v>19514.55</v>
      </c>
      <c r="Q12" s="6"/>
      <c r="R12" s="6"/>
      <c r="S12" s="6"/>
      <c r="T12" s="6">
        <v>5017.8</v>
      </c>
      <c r="U12" s="6"/>
      <c r="V12" s="6">
        <v>54018.64</v>
      </c>
      <c r="W12" s="6"/>
      <c r="X12" s="6">
        <v>40238.71</v>
      </c>
      <c r="Y12" s="6"/>
      <c r="Z12" s="6">
        <v>9065.11</v>
      </c>
      <c r="AA12" s="6"/>
      <c r="AB12" s="6">
        <v>1794.9</v>
      </c>
      <c r="AC12" s="6"/>
      <c r="AD12" s="6">
        <f t="shared" si="0"/>
        <v>164645.06999999998</v>
      </c>
    </row>
    <row r="13" spans="1:31" x14ac:dyDescent="0.25">
      <c r="A13" s="1" t="s">
        <v>208</v>
      </c>
      <c r="B13" s="12">
        <v>52909.95</v>
      </c>
      <c r="C13" s="6"/>
      <c r="D13" s="6"/>
      <c r="E13" s="6" t="s">
        <v>135</v>
      </c>
      <c r="F13" s="6">
        <v>28969</v>
      </c>
      <c r="G13" s="6"/>
      <c r="H13" s="6"/>
      <c r="I13" s="6"/>
      <c r="J13" s="6"/>
      <c r="K13" s="6"/>
      <c r="L13" s="6">
        <v>16236</v>
      </c>
      <c r="M13" s="6"/>
      <c r="N13" s="6"/>
      <c r="O13" s="6"/>
      <c r="P13" s="6">
        <v>24276.18</v>
      </c>
      <c r="Q13" s="6"/>
      <c r="R13" s="6"/>
      <c r="S13" s="6"/>
      <c r="T13" s="6">
        <v>14057.57</v>
      </c>
      <c r="U13" s="6"/>
      <c r="V13" s="6">
        <v>85389.53</v>
      </c>
      <c r="W13" s="6"/>
      <c r="X13" s="6">
        <v>56824.34</v>
      </c>
      <c r="Y13" s="6"/>
      <c r="Z13" s="6">
        <v>10620.62</v>
      </c>
      <c r="AA13" s="6"/>
      <c r="AB13" s="6">
        <v>1592.75</v>
      </c>
      <c r="AC13" s="6"/>
      <c r="AD13" s="6">
        <f t="shared" si="0"/>
        <v>237965.99</v>
      </c>
    </row>
    <row r="14" spans="1:31" x14ac:dyDescent="0.25">
      <c r="A14" s="1" t="s">
        <v>452</v>
      </c>
      <c r="B14" s="12">
        <v>38532.69</v>
      </c>
      <c r="C14" s="6"/>
      <c r="D14" s="6"/>
      <c r="E14" s="6" t="s">
        <v>133</v>
      </c>
      <c r="F14" s="12">
        <v>20406.09</v>
      </c>
      <c r="G14" s="12"/>
      <c r="H14" s="12"/>
      <c r="I14" s="12"/>
      <c r="J14" s="12"/>
      <c r="K14" s="12"/>
      <c r="L14" s="12">
        <v>11819</v>
      </c>
      <c r="M14" s="12"/>
      <c r="N14" s="12"/>
      <c r="O14" s="12"/>
      <c r="P14" s="12">
        <v>15419.99</v>
      </c>
      <c r="Q14" s="12"/>
      <c r="R14" s="12"/>
      <c r="S14" s="12"/>
      <c r="T14" s="12">
        <v>6464.33</v>
      </c>
      <c r="U14" s="12"/>
      <c r="V14" s="12">
        <v>56664.480000000003</v>
      </c>
      <c r="W14" s="12"/>
      <c r="X14" s="12">
        <v>40474.26</v>
      </c>
      <c r="Y14" s="12"/>
      <c r="Z14" s="12">
        <v>6038.15</v>
      </c>
      <c r="AA14" s="12"/>
      <c r="AB14" s="12">
        <v>1550</v>
      </c>
      <c r="AC14" s="6"/>
      <c r="AD14" s="6">
        <f t="shared" si="0"/>
        <v>158836.30000000002</v>
      </c>
      <c r="AE14" s="12"/>
    </row>
    <row r="15" spans="1:31" x14ac:dyDescent="0.25">
      <c r="A15" s="1" t="s">
        <v>184</v>
      </c>
      <c r="B15" s="9">
        <v>44714.31</v>
      </c>
      <c r="C15" s="6"/>
      <c r="D15" s="6"/>
      <c r="E15" s="6" t="s">
        <v>130</v>
      </c>
      <c r="F15" s="6">
        <v>25163.75</v>
      </c>
      <c r="G15" s="6"/>
      <c r="H15" s="6"/>
      <c r="I15" s="6"/>
      <c r="J15" s="6"/>
      <c r="K15" s="6"/>
      <c r="L15" s="6">
        <v>9891</v>
      </c>
      <c r="M15" s="6"/>
      <c r="N15" s="6"/>
      <c r="O15" s="6"/>
      <c r="P15" s="6">
        <v>15750.26</v>
      </c>
      <c r="Q15" s="6"/>
      <c r="R15" s="6"/>
      <c r="S15" s="6"/>
      <c r="T15" s="6">
        <v>5711.55</v>
      </c>
      <c r="U15" s="6"/>
      <c r="V15" s="6">
        <v>54420.31</v>
      </c>
      <c r="W15" s="6"/>
      <c r="X15" s="6">
        <v>36874.31</v>
      </c>
      <c r="Y15" s="6"/>
      <c r="Z15" s="6">
        <v>10913.04</v>
      </c>
      <c r="AA15" s="6"/>
      <c r="AB15" s="6">
        <v>2049.35</v>
      </c>
      <c r="AC15" s="6"/>
      <c r="AD15" s="6">
        <f t="shared" si="0"/>
        <v>160773.57</v>
      </c>
    </row>
    <row r="16" spans="1:31" x14ac:dyDescent="0.25">
      <c r="A16" s="1" t="s">
        <v>134</v>
      </c>
      <c r="B16" s="9">
        <v>21430</v>
      </c>
      <c r="C16" s="6"/>
      <c r="D16" s="6"/>
      <c r="E16" s="6" t="s">
        <v>130</v>
      </c>
      <c r="F16" s="12">
        <v>25663.43</v>
      </c>
      <c r="G16" s="12"/>
      <c r="H16" s="12"/>
      <c r="I16" s="12"/>
      <c r="J16" s="12"/>
      <c r="K16" s="12"/>
      <c r="L16" s="12">
        <v>11462</v>
      </c>
      <c r="M16" s="12"/>
      <c r="N16" s="12"/>
      <c r="O16" s="12"/>
      <c r="P16" s="12">
        <v>15865.34</v>
      </c>
      <c r="Q16" s="12"/>
      <c r="R16" s="12"/>
      <c r="S16" s="12"/>
      <c r="T16" s="12">
        <v>5423.38</v>
      </c>
      <c r="U16" s="12"/>
      <c r="V16" s="12">
        <v>54022.54</v>
      </c>
      <c r="W16" s="12"/>
      <c r="X16" s="12">
        <v>36267.56</v>
      </c>
      <c r="Y16" s="12"/>
      <c r="Z16" s="12">
        <v>14566.87</v>
      </c>
      <c r="AA16" s="12"/>
      <c r="AB16" s="12">
        <v>1936.19</v>
      </c>
      <c r="AC16" s="6"/>
      <c r="AD16" s="6">
        <f t="shared" si="0"/>
        <v>165207.31</v>
      </c>
    </row>
    <row r="17" spans="1:31" x14ac:dyDescent="0.25">
      <c r="A17" s="1" t="s">
        <v>185</v>
      </c>
      <c r="B17" s="9">
        <v>40052.6</v>
      </c>
      <c r="C17" s="6"/>
      <c r="D17" s="6"/>
      <c r="E17" s="6" t="s">
        <v>135</v>
      </c>
      <c r="F17" s="6">
        <v>22322.63</v>
      </c>
      <c r="G17" s="6"/>
      <c r="H17" s="6"/>
      <c r="I17" s="6"/>
      <c r="J17" s="6"/>
      <c r="K17" s="6"/>
      <c r="L17" s="6">
        <v>11141.21</v>
      </c>
      <c r="M17" s="6"/>
      <c r="N17" s="6"/>
      <c r="O17" s="6"/>
      <c r="P17" s="6">
        <v>16265.12</v>
      </c>
      <c r="Q17" s="6"/>
      <c r="R17" s="6"/>
      <c r="S17" s="6"/>
      <c r="T17" s="6">
        <v>6657.64</v>
      </c>
      <c r="U17" s="6"/>
      <c r="V17" s="6">
        <v>55986.97</v>
      </c>
      <c r="W17" s="6"/>
      <c r="X17" s="6">
        <v>42307.59</v>
      </c>
      <c r="Y17" s="6"/>
      <c r="Z17" s="6">
        <v>7595.6</v>
      </c>
      <c r="AA17" s="6"/>
      <c r="AB17" s="6">
        <v>1586.2</v>
      </c>
      <c r="AC17" s="6"/>
      <c r="AD17" s="6">
        <f t="shared" si="0"/>
        <v>163862.96000000002</v>
      </c>
    </row>
    <row r="18" spans="1:31" x14ac:dyDescent="0.25">
      <c r="A18" s="1" t="s">
        <v>485</v>
      </c>
      <c r="B18" s="9">
        <v>33260</v>
      </c>
      <c r="C18" s="6"/>
      <c r="D18" s="6"/>
      <c r="E18" s="6" t="s">
        <v>139</v>
      </c>
      <c r="F18" s="6">
        <v>31594.63</v>
      </c>
      <c r="G18" s="6"/>
      <c r="H18" s="6"/>
      <c r="I18" s="6"/>
      <c r="J18" s="6"/>
      <c r="K18" s="6"/>
      <c r="L18" s="6">
        <v>16124.11</v>
      </c>
      <c r="M18" s="6"/>
      <c r="N18" s="6"/>
      <c r="O18" s="6"/>
      <c r="P18" s="6">
        <v>22273.68</v>
      </c>
      <c r="Q18" s="6"/>
      <c r="R18" s="6"/>
      <c r="S18" s="6"/>
      <c r="T18" s="6">
        <v>9240.35</v>
      </c>
      <c r="U18" s="6"/>
      <c r="V18" s="6">
        <v>86585.85</v>
      </c>
      <c r="W18" s="6"/>
      <c r="X18" s="6">
        <v>62448.4</v>
      </c>
      <c r="Y18" s="6"/>
      <c r="Z18" s="6">
        <v>12431.98</v>
      </c>
      <c r="AA18" s="6"/>
      <c r="AB18" s="6">
        <v>1634.75</v>
      </c>
      <c r="AC18" s="6"/>
      <c r="AD18" s="6">
        <f t="shared" si="0"/>
        <v>242333.75000000003</v>
      </c>
    </row>
    <row r="19" spans="1:31" x14ac:dyDescent="0.25">
      <c r="A19" s="1" t="s">
        <v>137</v>
      </c>
      <c r="B19" s="9">
        <v>45724.01</v>
      </c>
      <c r="C19" s="6"/>
      <c r="D19" s="6"/>
      <c r="E19" s="6" t="s">
        <v>140</v>
      </c>
      <c r="F19" s="6">
        <v>25435.13</v>
      </c>
      <c r="G19" s="6"/>
      <c r="H19" s="6"/>
      <c r="I19" s="6"/>
      <c r="J19" s="6"/>
      <c r="K19" s="6"/>
      <c r="L19" s="6">
        <v>8635.7999999999993</v>
      </c>
      <c r="M19" s="6"/>
      <c r="N19" s="6"/>
      <c r="O19" s="6"/>
      <c r="P19" s="6">
        <v>17671.91</v>
      </c>
      <c r="Q19" s="6"/>
      <c r="R19" s="6"/>
      <c r="S19" s="6"/>
      <c r="T19" s="6">
        <v>4909.5</v>
      </c>
      <c r="U19" s="6"/>
      <c r="V19" s="6">
        <v>55597.59</v>
      </c>
      <c r="W19" s="6"/>
      <c r="X19" s="6">
        <v>42486.74</v>
      </c>
      <c r="Y19" s="6"/>
      <c r="Z19" s="6">
        <v>5303.6</v>
      </c>
      <c r="AA19" s="6"/>
      <c r="AB19" s="6">
        <v>1561</v>
      </c>
      <c r="AC19" s="6"/>
      <c r="AD19" s="6">
        <f t="shared" si="0"/>
        <v>161601.26999999999</v>
      </c>
    </row>
    <row r="20" spans="1:31" x14ac:dyDescent="0.25">
      <c r="A20" s="1" t="s">
        <v>202</v>
      </c>
      <c r="B20" s="9">
        <v>61900</v>
      </c>
      <c r="D20" s="6"/>
      <c r="E20" s="6" t="s">
        <v>142</v>
      </c>
      <c r="F20" s="6">
        <v>24995</v>
      </c>
      <c r="G20" s="6"/>
      <c r="H20" s="6"/>
      <c r="I20" s="6"/>
      <c r="J20" s="6"/>
      <c r="K20" s="6"/>
      <c r="L20" s="6">
        <v>12840</v>
      </c>
      <c r="M20" s="6"/>
      <c r="N20" s="6"/>
      <c r="O20" s="6"/>
      <c r="P20" s="6">
        <v>16324.41</v>
      </c>
      <c r="Q20" s="6"/>
      <c r="R20" s="6"/>
      <c r="S20" s="6"/>
      <c r="T20" s="6">
        <v>3646.95</v>
      </c>
      <c r="U20" s="6"/>
      <c r="V20" s="6">
        <v>58040.68</v>
      </c>
      <c r="W20" s="6"/>
      <c r="X20" s="6">
        <v>39275.65</v>
      </c>
      <c r="Y20" s="6"/>
      <c r="Z20" s="6">
        <v>6907.86</v>
      </c>
      <c r="AA20" s="6"/>
      <c r="AB20" s="6">
        <v>1550</v>
      </c>
      <c r="AC20" s="6"/>
      <c r="AD20" s="6">
        <f t="shared" si="0"/>
        <v>163580.54999999999</v>
      </c>
    </row>
    <row r="21" spans="1:31" x14ac:dyDescent="0.25">
      <c r="A21" s="1" t="s">
        <v>486</v>
      </c>
      <c r="B21" s="9">
        <v>28926.14</v>
      </c>
      <c r="C21" s="6"/>
      <c r="D21" s="6"/>
      <c r="E21" s="6" t="s">
        <v>144</v>
      </c>
      <c r="F21" s="6">
        <v>23883.88</v>
      </c>
      <c r="G21" s="6"/>
      <c r="H21" s="6"/>
      <c r="I21" s="6"/>
      <c r="J21" s="6"/>
      <c r="K21" s="6"/>
      <c r="L21" s="6">
        <v>9321.5300000000007</v>
      </c>
      <c r="M21" s="6"/>
      <c r="N21" s="6"/>
      <c r="O21" s="6"/>
      <c r="P21" s="6">
        <v>16353.73</v>
      </c>
      <c r="Q21" s="6"/>
      <c r="R21" s="6"/>
      <c r="S21" s="6"/>
      <c r="T21" s="6">
        <v>3605.32</v>
      </c>
      <c r="U21" s="6"/>
      <c r="V21" s="6">
        <v>55515.97</v>
      </c>
      <c r="W21" s="6"/>
      <c r="X21" s="6">
        <v>41463.93</v>
      </c>
      <c r="Y21" s="6"/>
      <c r="Z21" s="6">
        <v>15157.13</v>
      </c>
      <c r="AA21" s="6"/>
      <c r="AB21" s="6">
        <v>1550</v>
      </c>
      <c r="AC21" s="6"/>
      <c r="AD21" s="6">
        <f>SUM(F21:AB21)</f>
        <v>166851.49</v>
      </c>
      <c r="AE21" s="111">
        <f>SUM(AD10:AD21)</f>
        <v>2114565.27</v>
      </c>
    </row>
    <row r="22" spans="1:31" x14ac:dyDescent="0.25">
      <c r="A22" s="1" t="s">
        <v>230</v>
      </c>
      <c r="B22" s="9">
        <v>44635.519999999997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11"/>
    </row>
    <row r="23" spans="1:31" x14ac:dyDescent="0.25">
      <c r="A23" s="1" t="s">
        <v>507</v>
      </c>
      <c r="B23" s="12">
        <v>2486.4299999999998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1" x14ac:dyDescent="0.25">
      <c r="A24" s="1" t="s">
        <v>209</v>
      </c>
      <c r="B24" s="9">
        <v>35930.129999999997</v>
      </c>
      <c r="C24" s="6"/>
      <c r="D24" s="134" t="s">
        <v>515</v>
      </c>
      <c r="E24" s="6"/>
      <c r="F24" s="6">
        <f>SUM(F10:F21)</f>
        <v>294464.14</v>
      </c>
      <c r="G24" s="6"/>
      <c r="H24" s="6"/>
      <c r="I24" s="6"/>
      <c r="J24" s="6"/>
      <c r="K24" s="6"/>
      <c r="L24" s="6">
        <f>SUM(L10:L21)</f>
        <v>135059.67000000001</v>
      </c>
      <c r="M24" s="6"/>
      <c r="N24" s="6"/>
      <c r="O24" s="6"/>
      <c r="P24" s="6">
        <f>SUM(P10:P21)</f>
        <v>222324.82</v>
      </c>
      <c r="Q24" s="6"/>
      <c r="R24" s="6"/>
      <c r="S24" s="6"/>
      <c r="T24" s="6">
        <f>SUM(T10:T21)</f>
        <v>85469.340000000011</v>
      </c>
      <c r="U24" s="6"/>
      <c r="V24" s="6">
        <f>SUM(V10:V21)</f>
        <v>717014.17999999993</v>
      </c>
      <c r="W24" s="6"/>
      <c r="X24" s="6">
        <f>SUM(X10:X21)</f>
        <v>513106.08</v>
      </c>
      <c r="Y24" s="6"/>
      <c r="Z24" s="6">
        <f>SUM(Z10:Z21)</f>
        <v>127006.50000000001</v>
      </c>
      <c r="AA24" s="6"/>
      <c r="AB24" s="6">
        <f>SUM(AB10:AB21)</f>
        <v>20120.54</v>
      </c>
      <c r="AC24" s="6"/>
      <c r="AD24" s="6">
        <f>SUM(F24:AC24)</f>
        <v>2114565.27</v>
      </c>
      <c r="AE24" s="111">
        <f>SUM(AD10:AD21)-AD24</f>
        <v>0</v>
      </c>
    </row>
    <row r="25" spans="1:31" x14ac:dyDescent="0.25">
      <c r="A25" s="1" t="s">
        <v>183</v>
      </c>
      <c r="B25" s="9">
        <v>45820</v>
      </c>
      <c r="C25" s="6"/>
      <c r="D25" s="13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11"/>
    </row>
    <row r="26" spans="1:31" x14ac:dyDescent="0.25">
      <c r="A26" s="1" t="s">
        <v>138</v>
      </c>
      <c r="B26" s="9">
        <v>70260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11">
        <f>+AD24-B69</f>
        <v>0.52999999979510903</v>
      </c>
    </row>
    <row r="27" spans="1:31" x14ac:dyDescent="0.25">
      <c r="A27" s="1" t="s">
        <v>509</v>
      </c>
      <c r="B27" s="12">
        <v>33723.96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11"/>
    </row>
    <row r="28" spans="1:31" x14ac:dyDescent="0.25">
      <c r="A28" s="1" t="s">
        <v>225</v>
      </c>
      <c r="B28" s="9">
        <v>35377.919999999998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1" x14ac:dyDescent="0.25">
      <c r="A29" s="1" t="s">
        <v>510</v>
      </c>
      <c r="B29" s="12">
        <v>13788.37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1" x14ac:dyDescent="0.25">
      <c r="A30" s="1" t="s">
        <v>231</v>
      </c>
      <c r="B30" s="12">
        <v>8306.1299999999992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1" x14ac:dyDescent="0.25">
      <c r="A32" t="s">
        <v>511</v>
      </c>
      <c r="B32" s="12">
        <v>6825</v>
      </c>
      <c r="C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25">
      <c r="A33" s="1" t="s">
        <v>453</v>
      </c>
      <c r="B33" s="12">
        <v>37116.53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25">
      <c r="A34" t="s">
        <v>512</v>
      </c>
      <c r="B34" s="12">
        <v>15900.52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25">
      <c r="A35" s="1" t="s">
        <v>210</v>
      </c>
      <c r="B35" s="12">
        <v>42797.7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x14ac:dyDescent="0.25">
      <c r="A36" s="1" t="s">
        <v>145</v>
      </c>
      <c r="B36" s="9">
        <v>94809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25">
      <c r="A37" s="1" t="s">
        <v>226</v>
      </c>
      <c r="B37" s="9">
        <v>41764.32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25">
      <c r="A38" s="1" t="s">
        <v>146</v>
      </c>
      <c r="B38" s="9">
        <v>894.56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25">
      <c r="A39" s="1" t="s">
        <v>147</v>
      </c>
      <c r="B39" s="9">
        <v>13948.6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25">
      <c r="A40" s="1" t="s">
        <v>487</v>
      </c>
      <c r="B40" s="9">
        <v>18317.5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25">
      <c r="A41" s="1" t="s">
        <v>513</v>
      </c>
      <c r="B41" s="12">
        <v>4415.6000000000004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25">
      <c r="A42" s="1" t="s">
        <v>232</v>
      </c>
      <c r="B42" s="9">
        <v>50579.3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x14ac:dyDescent="0.25">
      <c r="A43" s="1" t="s">
        <v>188</v>
      </c>
      <c r="B43" s="9">
        <v>60639.9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25">
      <c r="A44" s="1" t="s">
        <v>148</v>
      </c>
      <c r="B44" s="9">
        <v>75059.98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25">
      <c r="A45" s="1" t="s">
        <v>149</v>
      </c>
      <c r="B45" s="9">
        <v>76889.75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25">
      <c r="A46" s="1" t="s">
        <v>508</v>
      </c>
      <c r="B46" s="12">
        <v>31810.19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25">
      <c r="A47" s="1" t="s">
        <v>488</v>
      </c>
      <c r="B47" s="9">
        <v>46598.8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25">
      <c r="A48" s="1" t="s">
        <v>211</v>
      </c>
      <c r="B48" s="9">
        <v>54356.04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25">
      <c r="A49" s="1" t="s">
        <v>233</v>
      </c>
      <c r="B49" s="12">
        <v>1907.82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25">
      <c r="A50" s="1" t="s">
        <v>491</v>
      </c>
      <c r="B50" s="12">
        <v>3600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25">
      <c r="A51" s="1" t="s">
        <v>489</v>
      </c>
      <c r="B51" s="12">
        <v>41165.279999999999</v>
      </c>
    </row>
    <row r="52" spans="1:30" x14ac:dyDescent="0.25">
      <c r="A52" s="1" t="s">
        <v>514</v>
      </c>
      <c r="B52" s="12">
        <v>8631.86</v>
      </c>
    </row>
    <row r="53" spans="1:30" x14ac:dyDescent="0.25">
      <c r="A53" s="1" t="s">
        <v>454</v>
      </c>
      <c r="B53" s="9">
        <v>49565.7</v>
      </c>
    </row>
    <row r="54" spans="1:30" x14ac:dyDescent="0.25">
      <c r="A54" s="1" t="s">
        <v>455</v>
      </c>
      <c r="B54" s="12">
        <v>55611.34</v>
      </c>
    </row>
    <row r="55" spans="1:30" x14ac:dyDescent="0.25">
      <c r="A55" s="1" t="s">
        <v>234</v>
      </c>
      <c r="B55" s="9">
        <v>46088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x14ac:dyDescent="0.25">
      <c r="A56" s="1"/>
      <c r="B56" s="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x14ac:dyDescent="0.25">
      <c r="B57" s="9">
        <f>SUM(B10:B56)</f>
        <v>1593838.7400000002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x14ac:dyDescent="0.25">
      <c r="B58" s="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x14ac:dyDescent="0.25">
      <c r="A59" s="1" t="s">
        <v>131</v>
      </c>
      <c r="B59" s="9">
        <v>110036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x14ac:dyDescent="0.25">
      <c r="A60" s="1" t="s">
        <v>136</v>
      </c>
      <c r="B60" s="9">
        <v>105746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x14ac:dyDescent="0.25">
      <c r="A61" s="1" t="s">
        <v>141</v>
      </c>
      <c r="B61" s="9">
        <v>14765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x14ac:dyDescent="0.25">
      <c r="A62" s="1" t="s">
        <v>143</v>
      </c>
      <c r="B62" s="9">
        <v>34650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x14ac:dyDescent="0.25">
      <c r="A63" s="1" t="s">
        <v>151</v>
      </c>
      <c r="B63" s="186">
        <v>150485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x14ac:dyDescent="0.25">
      <c r="A64" s="1" t="s">
        <v>150</v>
      </c>
      <c r="B64" s="9">
        <v>105044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1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1" x14ac:dyDescent="0.25">
      <c r="B66" s="12">
        <f>SUM(B59:B65)</f>
        <v>520726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1" x14ac:dyDescent="0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6"/>
      <c r="AD67" s="6"/>
    </row>
    <row r="68" spans="1:31" ht="15.75" customHeight="1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1" s="62" customFormat="1" ht="19.5" x14ac:dyDescent="0.35">
      <c r="A69" s="59" t="s">
        <v>152</v>
      </c>
      <c r="B69" s="163">
        <f>B57+B66</f>
        <v>2114564.7400000002</v>
      </c>
      <c r="C69" s="60"/>
      <c r="D69" s="60">
        <f>SUM(D10:D67)</f>
        <v>0</v>
      </c>
      <c r="E69" s="60"/>
      <c r="F69" s="60">
        <f>+F24</f>
        <v>294464.14</v>
      </c>
      <c r="G69" s="60"/>
      <c r="H69" s="60">
        <f>SUM(H10:H67)</f>
        <v>0</v>
      </c>
      <c r="I69" s="60"/>
      <c r="J69" s="60">
        <f>SUM(J10:J67)</f>
        <v>0</v>
      </c>
      <c r="K69" s="60"/>
      <c r="L69" s="60">
        <f>+L24</f>
        <v>135059.67000000001</v>
      </c>
      <c r="M69" s="60"/>
      <c r="N69" s="60">
        <f>SUM(N10:N67)</f>
        <v>0</v>
      </c>
      <c r="O69" s="60"/>
      <c r="P69" s="60">
        <f>+P24</f>
        <v>222324.82</v>
      </c>
      <c r="Q69" s="60"/>
      <c r="R69" s="60">
        <f>SUM(R10:R67)</f>
        <v>0</v>
      </c>
      <c r="S69" s="60"/>
      <c r="T69" s="60">
        <f>+T24</f>
        <v>85469.340000000011</v>
      </c>
      <c r="U69" s="60"/>
      <c r="V69" s="60">
        <f>+V24</f>
        <v>717014.17999999993</v>
      </c>
      <c r="W69" s="60"/>
      <c r="X69" s="60">
        <f>+X24</f>
        <v>513106.08</v>
      </c>
      <c r="Y69" s="60"/>
      <c r="Z69" s="60">
        <f>+Z24</f>
        <v>127006.50000000001</v>
      </c>
      <c r="AA69" s="60"/>
      <c r="AB69" s="60">
        <f>+AB24</f>
        <v>20120.54</v>
      </c>
      <c r="AC69" s="61">
        <f>SUM(F69:AB69)-B69</f>
        <v>0.52999999979510903</v>
      </c>
      <c r="AD69" s="61"/>
    </row>
    <row r="70" spans="1:31" x14ac:dyDescent="0.25">
      <c r="C70" s="47"/>
      <c r="D70" s="47"/>
      <c r="E70" s="47"/>
      <c r="F70" s="47">
        <f>+F69/B69</f>
        <v>0.13925520199490321</v>
      </c>
      <c r="G70" s="47"/>
      <c r="H70" s="47">
        <f>H69/B69</f>
        <v>0</v>
      </c>
      <c r="I70" s="47"/>
      <c r="J70" s="47">
        <f>J69/B69</f>
        <v>0</v>
      </c>
      <c r="K70" s="47"/>
      <c r="L70" s="47">
        <f>+L69/B69</f>
        <v>6.38711444701381E-2</v>
      </c>
      <c r="M70" s="47"/>
      <c r="N70" s="47">
        <f>N69/B69</f>
        <v>0</v>
      </c>
      <c r="O70" s="47"/>
      <c r="P70" s="47">
        <f>+P69/B69</f>
        <v>0.1051397556170354</v>
      </c>
      <c r="Q70" s="47"/>
      <c r="R70" s="47">
        <f>R69/B69</f>
        <v>0</v>
      </c>
      <c r="S70" s="47"/>
      <c r="T70" s="47">
        <f>+T69/B69</f>
        <v>4.0419353630194367E-2</v>
      </c>
      <c r="U70" s="47"/>
      <c r="V70" s="47">
        <f>+V69/B69</f>
        <v>0.33908357896859659</v>
      </c>
      <c r="W70" s="47"/>
      <c r="X70" s="47">
        <f>+X69/B69</f>
        <v>0.24265328476062642</v>
      </c>
      <c r="Y70" s="47"/>
      <c r="Z70" s="47">
        <f>+Z69/B69</f>
        <v>6.0062715317952382E-2</v>
      </c>
      <c r="AA70" s="47"/>
      <c r="AB70" s="47">
        <f>+AB69/B69</f>
        <v>9.5152158831514413E-3</v>
      </c>
      <c r="AC70" s="6">
        <f>SUM(F70:AB70)-B71</f>
        <v>2.5064259800977595E-7</v>
      </c>
      <c r="AE70" s="63">
        <f>SUM(F70:AD70)</f>
        <v>1.000000501285196</v>
      </c>
    </row>
    <row r="71" spans="1:31" x14ac:dyDescent="0.25">
      <c r="B71" s="9">
        <f>B69/B69</f>
        <v>1</v>
      </c>
    </row>
    <row r="72" spans="1:31" x14ac:dyDescent="0.25">
      <c r="A72" s="1"/>
      <c r="D72" s="6"/>
      <c r="F72" s="6"/>
      <c r="J72" s="6"/>
      <c r="L72" s="6"/>
      <c r="N72" s="6"/>
      <c r="P72" s="6"/>
      <c r="R72" s="6"/>
      <c r="T72" s="6"/>
      <c r="V72" s="6"/>
      <c r="X72" s="6"/>
      <c r="Z72" s="6"/>
      <c r="AB72" s="6"/>
      <c r="AC72" s="6"/>
    </row>
    <row r="73" spans="1:31" x14ac:dyDescent="0.25">
      <c r="A73" s="1" t="s">
        <v>110</v>
      </c>
      <c r="B73" s="9"/>
      <c r="D73" s="6"/>
      <c r="F73" s="6"/>
      <c r="J73" s="64" t="s">
        <v>153</v>
      </c>
      <c r="L73" s="6"/>
      <c r="N73" s="6"/>
      <c r="P73" s="6"/>
      <c r="R73" s="6"/>
      <c r="T73" s="6"/>
      <c r="V73" s="6"/>
      <c r="X73" s="6"/>
      <c r="Z73" s="6"/>
      <c r="AB73" s="6"/>
      <c r="AC73" s="6"/>
    </row>
    <row r="74" spans="1:31" x14ac:dyDescent="0.25">
      <c r="B74" s="9"/>
      <c r="D74" s="6"/>
      <c r="F74" s="6"/>
      <c r="J74" s="6"/>
      <c r="L74" s="6"/>
      <c r="N74" s="6"/>
      <c r="P74" s="6"/>
      <c r="R74" s="6"/>
      <c r="T74" s="6"/>
      <c r="V74" s="6"/>
      <c r="X74" s="6"/>
      <c r="Z74" s="6"/>
      <c r="AB74" s="6"/>
      <c r="AC74" s="6"/>
    </row>
    <row r="75" spans="1:31" x14ac:dyDescent="0.25">
      <c r="B75" s="9"/>
      <c r="D75" s="65" t="s">
        <v>492</v>
      </c>
      <c r="F75" s="6"/>
      <c r="J75" s="6"/>
      <c r="L75" s="6"/>
      <c r="N75" s="6"/>
      <c r="P75" s="6"/>
      <c r="R75" s="6"/>
      <c r="T75" s="6"/>
      <c r="V75" s="6"/>
      <c r="X75" s="6"/>
      <c r="Z75" s="6"/>
      <c r="AB75" s="6"/>
      <c r="AC75" s="6"/>
    </row>
    <row r="76" spans="1:31" x14ac:dyDescent="0.25">
      <c r="B76" s="9"/>
      <c r="D76" s="6"/>
      <c r="F76" s="6"/>
      <c r="J76" s="6"/>
      <c r="L76" s="6"/>
      <c r="N76" s="6"/>
      <c r="P76" s="6"/>
      <c r="R76" s="6"/>
      <c r="T76" s="6"/>
      <c r="V76" s="6"/>
      <c r="X76" s="6"/>
      <c r="Z76" s="6"/>
      <c r="AB76" s="6"/>
      <c r="AC76" s="6"/>
    </row>
    <row r="77" spans="1:31" x14ac:dyDescent="0.25">
      <c r="B77" s="9"/>
      <c r="D77" s="6"/>
      <c r="F77" s="6"/>
      <c r="J77" s="6"/>
      <c r="L77" s="6"/>
      <c r="N77" s="6"/>
      <c r="P77" s="6"/>
      <c r="R77" s="6"/>
      <c r="T77" s="6"/>
      <c r="V77" s="6"/>
      <c r="X77" s="6"/>
      <c r="Z77" s="6"/>
      <c r="AB77" s="6"/>
      <c r="AC77" s="6"/>
    </row>
    <row r="78" spans="1:31" x14ac:dyDescent="0.25">
      <c r="B78" s="9"/>
      <c r="D78" s="65" t="s">
        <v>154</v>
      </c>
      <c r="F78" s="65" t="s">
        <v>155</v>
      </c>
      <c r="H78" s="1" t="s">
        <v>109</v>
      </c>
      <c r="J78" s="65" t="s">
        <v>156</v>
      </c>
      <c r="L78" s="65" t="s">
        <v>157</v>
      </c>
      <c r="R78" s="6"/>
      <c r="T78" s="6"/>
      <c r="V78" s="6"/>
      <c r="X78" s="6"/>
      <c r="Z78" s="6"/>
      <c r="AB78" s="6"/>
      <c r="AC78" s="6"/>
    </row>
    <row r="79" spans="1:31" x14ac:dyDescent="0.25">
      <c r="A79" s="1" t="s">
        <v>112</v>
      </c>
      <c r="B79" s="31" t="s">
        <v>113</v>
      </c>
      <c r="D79" s="65" t="s">
        <v>158</v>
      </c>
      <c r="F79" s="65" t="s">
        <v>108</v>
      </c>
      <c r="H79" s="1" t="s">
        <v>91</v>
      </c>
      <c r="J79" s="65" t="s">
        <v>159</v>
      </c>
      <c r="L79" s="65" t="s">
        <v>54</v>
      </c>
      <c r="R79" s="6"/>
      <c r="T79" s="6"/>
      <c r="V79" s="6"/>
      <c r="X79" s="6"/>
      <c r="Z79" s="6"/>
      <c r="AB79" s="6"/>
      <c r="AC79" s="6"/>
    </row>
    <row r="80" spans="1:31" x14ac:dyDescent="0.25">
      <c r="B80" s="31" t="s">
        <v>124</v>
      </c>
      <c r="D80" s="6"/>
      <c r="F80" s="6"/>
      <c r="J80" s="6"/>
      <c r="L80" s="6"/>
      <c r="R80" s="6"/>
      <c r="T80" s="6"/>
      <c r="V80" s="6"/>
      <c r="X80" s="6"/>
      <c r="Z80" s="6"/>
      <c r="AB80" s="6"/>
      <c r="AC80" s="6"/>
    </row>
    <row r="81" spans="1:12" x14ac:dyDescent="0.25">
      <c r="C81" s="6"/>
    </row>
    <row r="82" spans="1:12" x14ac:dyDescent="0.25">
      <c r="A82" s="1" t="str">
        <f t="shared" ref="A82:B102" si="1">+A10</f>
        <v xml:space="preserve">     Abbe, Linda</v>
      </c>
      <c r="B82" s="9">
        <f t="shared" si="1"/>
        <v>48095</v>
      </c>
      <c r="C82" s="6"/>
      <c r="D82" s="6">
        <f t="shared" ref="D82:D102" si="2">+B82*H82</f>
        <v>961.9</v>
      </c>
      <c r="E82" s="6"/>
      <c r="F82" s="66">
        <v>42711</v>
      </c>
      <c r="G82" s="6"/>
      <c r="H82" s="20">
        <v>0.02</v>
      </c>
      <c r="I82" s="6"/>
      <c r="J82" s="6">
        <f t="shared" ref="J82:J102" si="3">D82</f>
        <v>961.9</v>
      </c>
      <c r="K82" s="6"/>
      <c r="L82" s="6">
        <f t="shared" ref="L82:L102" si="4">B82+J82</f>
        <v>49056.9</v>
      </c>
    </row>
    <row r="83" spans="1:12" x14ac:dyDescent="0.25">
      <c r="A83" s="1" t="str">
        <f t="shared" si="1"/>
        <v xml:space="preserve">     Blackman, Alexa</v>
      </c>
      <c r="B83" s="9">
        <f t="shared" si="1"/>
        <v>6289.5</v>
      </c>
      <c r="C83" s="6"/>
      <c r="D83" s="6">
        <f t="shared" si="2"/>
        <v>0</v>
      </c>
      <c r="E83" s="6"/>
      <c r="F83" s="66">
        <v>42711</v>
      </c>
      <c r="G83" s="6"/>
      <c r="H83" s="20">
        <v>0</v>
      </c>
      <c r="I83" s="6"/>
      <c r="J83" s="6">
        <f t="shared" si="3"/>
        <v>0</v>
      </c>
      <c r="K83" s="6"/>
      <c r="L83" s="6">
        <f t="shared" si="4"/>
        <v>6289.5</v>
      </c>
    </row>
    <row r="84" spans="1:12" x14ac:dyDescent="0.25">
      <c r="A84" s="1" t="str">
        <f t="shared" si="1"/>
        <v xml:space="preserve">     Blagrove, Sherese</v>
      </c>
      <c r="B84" s="9">
        <f t="shared" si="1"/>
        <v>2382.79</v>
      </c>
      <c r="C84" s="6"/>
      <c r="D84" s="6">
        <f t="shared" si="2"/>
        <v>405.07430000000005</v>
      </c>
      <c r="E84" s="6"/>
      <c r="F84" s="66">
        <v>42711</v>
      </c>
      <c r="G84" s="6"/>
      <c r="H84" s="20">
        <v>0.17</v>
      </c>
      <c r="I84" s="6"/>
      <c r="J84" s="6">
        <f t="shared" si="3"/>
        <v>405.07430000000005</v>
      </c>
      <c r="K84" s="6"/>
      <c r="L84" s="6">
        <f t="shared" si="4"/>
        <v>2787.8643000000002</v>
      </c>
    </row>
    <row r="85" spans="1:12" x14ac:dyDescent="0.25">
      <c r="A85" s="1" t="str">
        <f t="shared" si="1"/>
        <v xml:space="preserve">     Bowers, Donald</v>
      </c>
      <c r="B85" s="9">
        <f t="shared" si="1"/>
        <v>52909.95</v>
      </c>
      <c r="C85" s="6"/>
      <c r="D85" s="6">
        <f t="shared" si="2"/>
        <v>6084.6442500000003</v>
      </c>
      <c r="E85" s="6"/>
      <c r="F85" s="66">
        <v>42711</v>
      </c>
      <c r="G85" s="6"/>
      <c r="H85" s="20">
        <v>0.115</v>
      </c>
      <c r="I85" s="6"/>
      <c r="J85" s="6">
        <f t="shared" si="3"/>
        <v>6084.6442500000003</v>
      </c>
      <c r="K85" s="6"/>
      <c r="L85" s="6">
        <f t="shared" si="4"/>
        <v>58994.594249999995</v>
      </c>
    </row>
    <row r="86" spans="1:12" x14ac:dyDescent="0.25">
      <c r="A86" s="1" t="str">
        <f t="shared" si="1"/>
        <v xml:space="preserve">     Burke, Anita</v>
      </c>
      <c r="B86" s="9">
        <f t="shared" si="1"/>
        <v>38532.69</v>
      </c>
      <c r="C86" s="6"/>
      <c r="D86" s="6">
        <f t="shared" si="2"/>
        <v>5471.6419799999994</v>
      </c>
      <c r="E86" s="6"/>
      <c r="F86" s="66">
        <v>42711</v>
      </c>
      <c r="G86" s="6"/>
      <c r="H86" s="20">
        <v>0.14199999999999999</v>
      </c>
      <c r="I86" s="6"/>
      <c r="J86" s="6">
        <f t="shared" si="3"/>
        <v>5471.6419799999994</v>
      </c>
      <c r="K86" s="6"/>
      <c r="L86" s="6">
        <f t="shared" si="4"/>
        <v>44004.331980000003</v>
      </c>
    </row>
    <row r="87" spans="1:12" x14ac:dyDescent="0.25">
      <c r="A87" s="1" t="str">
        <f t="shared" si="1"/>
        <v xml:space="preserve">     Collette, Martin</v>
      </c>
      <c r="B87" s="9">
        <f t="shared" si="1"/>
        <v>44714.31</v>
      </c>
      <c r="C87" s="6"/>
      <c r="D87" s="6">
        <f t="shared" si="2"/>
        <v>1520.2865400000001</v>
      </c>
      <c r="E87" s="6"/>
      <c r="F87" s="66">
        <v>42711</v>
      </c>
      <c r="G87" s="6"/>
      <c r="H87" s="20">
        <v>3.4000000000000002E-2</v>
      </c>
      <c r="I87" s="6"/>
      <c r="J87" s="6">
        <f t="shared" si="3"/>
        <v>1520.2865400000001</v>
      </c>
      <c r="K87" s="6"/>
      <c r="L87" s="6">
        <f t="shared" si="4"/>
        <v>46234.596539999999</v>
      </c>
    </row>
    <row r="88" spans="1:12" x14ac:dyDescent="0.25">
      <c r="A88" s="1" t="str">
        <f t="shared" si="1"/>
        <v xml:space="preserve">     Cross, Lori</v>
      </c>
      <c r="B88" s="9">
        <f t="shared" si="1"/>
        <v>21430</v>
      </c>
      <c r="C88" s="6"/>
      <c r="D88" s="6">
        <f t="shared" si="2"/>
        <v>835.77</v>
      </c>
      <c r="E88" s="6"/>
      <c r="F88" s="66">
        <v>42711</v>
      </c>
      <c r="G88" s="6"/>
      <c r="H88" s="20">
        <v>3.9E-2</v>
      </c>
      <c r="I88" s="6"/>
      <c r="J88" s="6">
        <f t="shared" si="3"/>
        <v>835.77</v>
      </c>
      <c r="K88" s="6"/>
      <c r="L88" s="6">
        <f t="shared" si="4"/>
        <v>22265.77</v>
      </c>
    </row>
    <row r="89" spans="1:12" x14ac:dyDescent="0.25">
      <c r="A89" s="1" t="str">
        <f t="shared" si="1"/>
        <v xml:space="preserve">     Cullings, Art</v>
      </c>
      <c r="B89" s="9">
        <f t="shared" si="1"/>
        <v>40052.6</v>
      </c>
      <c r="C89" s="6"/>
      <c r="D89" s="6">
        <f t="shared" si="2"/>
        <v>1642.1566</v>
      </c>
      <c r="E89" s="6"/>
      <c r="F89" s="66">
        <v>42711</v>
      </c>
      <c r="G89" s="6"/>
      <c r="H89" s="20">
        <v>4.1000000000000002E-2</v>
      </c>
      <c r="I89" s="6"/>
      <c r="J89" s="6">
        <f t="shared" si="3"/>
        <v>1642.1566</v>
      </c>
      <c r="K89" s="6"/>
      <c r="L89" s="6">
        <f t="shared" si="4"/>
        <v>41694.756600000001</v>
      </c>
    </row>
    <row r="90" spans="1:12" x14ac:dyDescent="0.25">
      <c r="A90" s="1" t="str">
        <f t="shared" si="1"/>
        <v xml:space="preserve">     Hatkoff, Jennifer</v>
      </c>
      <c r="B90" s="9">
        <f t="shared" si="1"/>
        <v>33260</v>
      </c>
      <c r="C90" s="6"/>
      <c r="D90" s="6">
        <f t="shared" si="2"/>
        <v>10011.26</v>
      </c>
      <c r="E90" s="6"/>
      <c r="F90" s="66">
        <v>42711</v>
      </c>
      <c r="G90" s="6"/>
      <c r="H90" s="20">
        <v>0.30099999999999999</v>
      </c>
      <c r="I90" s="6"/>
      <c r="J90" s="6">
        <f t="shared" si="3"/>
        <v>10011.26</v>
      </c>
      <c r="K90" s="6"/>
      <c r="L90" s="6">
        <f t="shared" si="4"/>
        <v>43271.26</v>
      </c>
    </row>
    <row r="91" spans="1:12" x14ac:dyDescent="0.25">
      <c r="A91" s="1" t="str">
        <f t="shared" si="1"/>
        <v xml:space="preserve">     Haynes, Sheila</v>
      </c>
      <c r="B91" s="9">
        <f t="shared" si="1"/>
        <v>45724.01</v>
      </c>
      <c r="C91" s="6"/>
      <c r="D91" s="6">
        <f t="shared" si="2"/>
        <v>3109.2326800000005</v>
      </c>
      <c r="E91" s="6"/>
      <c r="F91" s="66">
        <v>42711</v>
      </c>
      <c r="G91" s="6"/>
      <c r="H91" s="20">
        <v>6.8000000000000005E-2</v>
      </c>
      <c r="I91" s="6"/>
      <c r="J91" s="6">
        <f t="shared" si="3"/>
        <v>3109.2326800000005</v>
      </c>
      <c r="K91" s="6"/>
      <c r="L91" s="6">
        <f t="shared" si="4"/>
        <v>48833.242680000003</v>
      </c>
    </row>
    <row r="92" spans="1:12" x14ac:dyDescent="0.25">
      <c r="A92" s="1" t="str">
        <f t="shared" si="1"/>
        <v xml:space="preserve">     Hellickson, Carol</v>
      </c>
      <c r="B92" s="9">
        <f t="shared" si="1"/>
        <v>61900</v>
      </c>
      <c r="C92" s="6"/>
      <c r="D92" s="6">
        <f t="shared" si="2"/>
        <v>5942.4000000000005</v>
      </c>
      <c r="E92" s="6"/>
      <c r="F92" s="66">
        <v>42711</v>
      </c>
      <c r="G92" s="6"/>
      <c r="H92" s="20">
        <v>9.6000000000000002E-2</v>
      </c>
      <c r="I92" s="6"/>
      <c r="J92" s="6">
        <f t="shared" ref="J92:J93" si="5">D92</f>
        <v>5942.4000000000005</v>
      </c>
      <c r="K92" s="6"/>
      <c r="L92" s="6">
        <f t="shared" si="4"/>
        <v>67842.399999999994</v>
      </c>
    </row>
    <row r="93" spans="1:12" x14ac:dyDescent="0.25">
      <c r="A93" s="1" t="str">
        <f t="shared" si="1"/>
        <v xml:space="preserve">     Hudson, Stephanie</v>
      </c>
      <c r="B93" s="9">
        <f t="shared" si="1"/>
        <v>28926.14</v>
      </c>
      <c r="C93" s="6"/>
      <c r="D93" s="6">
        <f t="shared" si="2"/>
        <v>607.44893999999999</v>
      </c>
      <c r="E93" s="6"/>
      <c r="F93" s="66">
        <v>42711</v>
      </c>
      <c r="G93" s="6"/>
      <c r="H93" s="20">
        <v>2.1000000000000001E-2</v>
      </c>
      <c r="I93" s="6"/>
      <c r="J93" s="6">
        <f t="shared" si="5"/>
        <v>607.44893999999999</v>
      </c>
      <c r="K93" s="6"/>
      <c r="L93" s="6">
        <f t="shared" si="4"/>
        <v>29533.588939999998</v>
      </c>
    </row>
    <row r="94" spans="1:12" x14ac:dyDescent="0.25">
      <c r="A94" s="1" t="str">
        <f t="shared" si="1"/>
        <v xml:space="preserve">     Inks, Danielle</v>
      </c>
      <c r="B94" s="9">
        <f t="shared" si="1"/>
        <v>44635.519999999997</v>
      </c>
      <c r="C94" s="6"/>
      <c r="D94" s="6">
        <f t="shared" si="2"/>
        <v>9194.9171199999982</v>
      </c>
      <c r="E94" s="6"/>
      <c r="F94" s="66">
        <v>42711</v>
      </c>
      <c r="G94" s="6"/>
      <c r="H94" s="20">
        <v>0.20599999999999999</v>
      </c>
      <c r="I94" s="6"/>
      <c r="J94" s="6">
        <f t="shared" si="3"/>
        <v>9194.9171199999982</v>
      </c>
      <c r="K94" s="6"/>
      <c r="L94" s="6">
        <f t="shared" si="4"/>
        <v>53830.437119999995</v>
      </c>
    </row>
    <row r="95" spans="1:12" x14ac:dyDescent="0.25">
      <c r="A95" s="1" t="str">
        <f t="shared" si="1"/>
        <v xml:space="preserve">     James, Rovella</v>
      </c>
      <c r="B95" s="9">
        <f t="shared" si="1"/>
        <v>2486.4299999999998</v>
      </c>
      <c r="C95" s="6"/>
      <c r="D95" s="6">
        <f t="shared" si="2"/>
        <v>0</v>
      </c>
      <c r="E95" s="6"/>
      <c r="F95" s="66">
        <v>42711</v>
      </c>
      <c r="G95" s="6"/>
      <c r="H95" s="20">
        <v>0</v>
      </c>
      <c r="I95" s="6"/>
      <c r="J95" s="6">
        <f t="shared" si="3"/>
        <v>0</v>
      </c>
      <c r="K95" s="6"/>
      <c r="L95" s="6">
        <f t="shared" si="4"/>
        <v>2486.4299999999998</v>
      </c>
    </row>
    <row r="96" spans="1:12" x14ac:dyDescent="0.25">
      <c r="A96" s="1" t="str">
        <f t="shared" si="1"/>
        <v xml:space="preserve">     Miller Jr., Sid</v>
      </c>
      <c r="B96" s="9">
        <f t="shared" si="1"/>
        <v>35930.129999999997</v>
      </c>
      <c r="C96" s="6"/>
      <c r="D96" s="6">
        <f t="shared" si="2"/>
        <v>934.18337999999994</v>
      </c>
      <c r="E96" s="6"/>
      <c r="F96" s="66">
        <v>42711</v>
      </c>
      <c r="G96" s="6"/>
      <c r="H96" s="20">
        <v>2.5999999999999999E-2</v>
      </c>
      <c r="I96" s="6"/>
      <c r="J96" s="6">
        <f t="shared" si="3"/>
        <v>934.18337999999994</v>
      </c>
      <c r="K96" s="6"/>
      <c r="L96" s="6">
        <f t="shared" si="4"/>
        <v>36864.31338</v>
      </c>
    </row>
    <row r="97" spans="1:12" x14ac:dyDescent="0.25">
      <c r="A97" s="1" t="str">
        <f t="shared" si="1"/>
        <v xml:space="preserve">     Murakami, Irene</v>
      </c>
      <c r="B97" s="9">
        <f t="shared" si="1"/>
        <v>45820</v>
      </c>
      <c r="C97" s="6"/>
      <c r="D97" s="6">
        <f t="shared" si="2"/>
        <v>1557.88</v>
      </c>
      <c r="E97" s="6"/>
      <c r="F97" s="66">
        <v>42711</v>
      </c>
      <c r="G97" s="6"/>
      <c r="H97" s="20">
        <v>3.4000000000000002E-2</v>
      </c>
      <c r="I97" s="6"/>
      <c r="J97" s="6">
        <f t="shared" si="3"/>
        <v>1557.88</v>
      </c>
      <c r="K97" s="6"/>
      <c r="L97" s="6">
        <f t="shared" si="4"/>
        <v>47377.88</v>
      </c>
    </row>
    <row r="98" spans="1:12" x14ac:dyDescent="0.25">
      <c r="A98" s="1" t="str">
        <f t="shared" si="1"/>
        <v xml:space="preserve">     Peredo, Tony</v>
      </c>
      <c r="B98" s="9">
        <f t="shared" si="1"/>
        <v>70260</v>
      </c>
      <c r="C98" s="6"/>
      <c r="D98" s="6">
        <f t="shared" si="2"/>
        <v>1545.7199999999998</v>
      </c>
      <c r="E98" s="6"/>
      <c r="F98" s="66">
        <v>42711</v>
      </c>
      <c r="G98" s="6"/>
      <c r="H98" s="20">
        <v>2.1999999999999999E-2</v>
      </c>
      <c r="I98" s="6"/>
      <c r="J98" s="6">
        <f t="shared" si="3"/>
        <v>1545.7199999999998</v>
      </c>
      <c r="K98" s="6"/>
      <c r="L98" s="6">
        <f t="shared" si="4"/>
        <v>71805.72</v>
      </c>
    </row>
    <row r="99" spans="1:12" x14ac:dyDescent="0.25">
      <c r="A99" s="1" t="str">
        <f t="shared" si="1"/>
        <v xml:space="preserve">     Proctor, Kenneth</v>
      </c>
      <c r="B99" s="9">
        <f t="shared" si="1"/>
        <v>33723.96</v>
      </c>
      <c r="C99" s="6"/>
      <c r="D99" s="6">
        <f t="shared" si="2"/>
        <v>2192.0574000000001</v>
      </c>
      <c r="E99" s="6"/>
      <c r="F99" s="66">
        <v>42711</v>
      </c>
      <c r="G99" s="6"/>
      <c r="H99" s="20">
        <v>6.5000000000000002E-2</v>
      </c>
      <c r="I99" s="6"/>
      <c r="J99" s="6">
        <f t="shared" si="3"/>
        <v>2192.0574000000001</v>
      </c>
      <c r="K99" s="6"/>
      <c r="L99" s="6">
        <f t="shared" si="4"/>
        <v>35916.017399999997</v>
      </c>
    </row>
    <row r="100" spans="1:12" x14ac:dyDescent="0.25">
      <c r="A100" s="1" t="str">
        <f t="shared" si="1"/>
        <v xml:space="preserve">     Rinehart, Carol</v>
      </c>
      <c r="B100" s="9">
        <f t="shared" si="1"/>
        <v>35377.919999999998</v>
      </c>
      <c r="C100" s="6"/>
      <c r="D100" s="6">
        <f t="shared" si="2"/>
        <v>3360.9023999999999</v>
      </c>
      <c r="E100" s="6"/>
      <c r="F100" s="66">
        <v>42711</v>
      </c>
      <c r="G100" s="6"/>
      <c r="H100" s="20">
        <v>9.5000000000000001E-2</v>
      </c>
      <c r="I100" s="6"/>
      <c r="J100" s="6">
        <f t="shared" si="3"/>
        <v>3360.9023999999999</v>
      </c>
      <c r="K100" s="6"/>
      <c r="L100" s="6">
        <f t="shared" si="4"/>
        <v>38738.822399999997</v>
      </c>
    </row>
    <row r="101" spans="1:12" x14ac:dyDescent="0.25">
      <c r="A101" s="1" t="str">
        <f t="shared" si="1"/>
        <v xml:space="preserve">     Spraggin, Stephanie</v>
      </c>
      <c r="B101" s="9">
        <f t="shared" si="1"/>
        <v>13788.37</v>
      </c>
      <c r="C101" s="6"/>
      <c r="D101" s="6">
        <f t="shared" si="2"/>
        <v>2247.5043100000003</v>
      </c>
      <c r="E101" s="6"/>
      <c r="F101" s="66">
        <v>42711</v>
      </c>
      <c r="G101" s="6"/>
      <c r="H101" s="20">
        <v>0.16300000000000001</v>
      </c>
      <c r="I101" s="6"/>
      <c r="J101" s="6">
        <f t="shared" si="3"/>
        <v>2247.5043100000003</v>
      </c>
      <c r="K101" s="6"/>
      <c r="L101" s="6">
        <f t="shared" si="4"/>
        <v>16035.874310000001</v>
      </c>
    </row>
    <row r="102" spans="1:12" x14ac:dyDescent="0.25">
      <c r="A102" s="1" t="str">
        <f t="shared" si="1"/>
        <v xml:space="preserve">     Woods, Cindy</v>
      </c>
      <c r="B102" s="9">
        <f t="shared" si="1"/>
        <v>8306.1299999999992</v>
      </c>
      <c r="D102" s="6">
        <f t="shared" si="2"/>
        <v>257.49002999999999</v>
      </c>
      <c r="F102" s="66">
        <v>42711</v>
      </c>
      <c r="H102" s="20">
        <v>3.1E-2</v>
      </c>
      <c r="J102" s="6">
        <f t="shared" si="3"/>
        <v>257.49002999999999</v>
      </c>
      <c r="L102" s="6">
        <f t="shared" si="4"/>
        <v>8563.62003</v>
      </c>
    </row>
    <row r="103" spans="1:12" x14ac:dyDescent="0.25">
      <c r="A103" s="1"/>
      <c r="B103" s="9"/>
      <c r="D103" s="6"/>
      <c r="F103" s="66"/>
      <c r="H103" s="20"/>
      <c r="J103" s="6"/>
      <c r="L103" s="6"/>
    </row>
    <row r="104" spans="1:12" x14ac:dyDescent="0.25">
      <c r="A104" s="1" t="str">
        <f>+A32</f>
        <v xml:space="preserve">     Anderson, Mathew</v>
      </c>
      <c r="B104" s="9">
        <f>+B32</f>
        <v>6825</v>
      </c>
      <c r="C104" s="6"/>
      <c r="D104" s="6">
        <f t="shared" ref="D104:D124" si="6">+B104*H104</f>
        <v>0</v>
      </c>
      <c r="E104" s="6"/>
      <c r="F104" s="66">
        <v>42711</v>
      </c>
      <c r="G104" s="6"/>
      <c r="H104" s="20">
        <v>0</v>
      </c>
      <c r="I104" s="6"/>
      <c r="J104" s="6">
        <f t="shared" ref="J104" si="7">D104</f>
        <v>0</v>
      </c>
      <c r="K104" s="6"/>
      <c r="L104" s="6">
        <f t="shared" ref="L104:L125" si="8">B104+J104</f>
        <v>6825</v>
      </c>
    </row>
    <row r="105" spans="1:12" x14ac:dyDescent="0.25">
      <c r="A105" s="1" t="str">
        <f t="shared" ref="A105:B105" si="9">+A33</f>
        <v xml:space="preserve">     Asila, Raymond</v>
      </c>
      <c r="B105" s="9">
        <f t="shared" si="9"/>
        <v>37116.53</v>
      </c>
      <c r="C105" s="6"/>
      <c r="D105" s="6">
        <f t="shared" si="6"/>
        <v>7905.82089</v>
      </c>
      <c r="E105" s="6"/>
      <c r="F105" s="66">
        <v>42711</v>
      </c>
      <c r="G105" s="6"/>
      <c r="H105" s="20">
        <v>0.21299999999999999</v>
      </c>
      <c r="I105" s="6"/>
      <c r="J105" s="6">
        <f t="shared" ref="J105:J125" si="10">D105</f>
        <v>7905.82089</v>
      </c>
      <c r="K105" s="6"/>
      <c r="L105" s="6">
        <f t="shared" si="8"/>
        <v>45022.350890000002</v>
      </c>
    </row>
    <row r="106" spans="1:12" x14ac:dyDescent="0.25">
      <c r="A106" s="1" t="str">
        <f t="shared" ref="A106:B106" si="11">+A34</f>
        <v xml:space="preserve">     Atoigue, Angel</v>
      </c>
      <c r="B106" s="9">
        <f t="shared" si="11"/>
        <v>15900.52</v>
      </c>
      <c r="C106" s="6"/>
      <c r="D106" s="6">
        <f t="shared" si="6"/>
        <v>2750.7899600000001</v>
      </c>
      <c r="E106" s="6"/>
      <c r="F106" s="66">
        <v>42711</v>
      </c>
      <c r="G106" s="6"/>
      <c r="H106" s="20">
        <v>0.17299999999999999</v>
      </c>
      <c r="I106" s="6"/>
      <c r="J106" s="6">
        <f t="shared" si="10"/>
        <v>2750.7899600000001</v>
      </c>
      <c r="K106" s="6"/>
      <c r="L106" s="6">
        <f t="shared" si="8"/>
        <v>18651.309959999999</v>
      </c>
    </row>
    <row r="107" spans="1:12" x14ac:dyDescent="0.25">
      <c r="A107" s="1" t="str">
        <f t="shared" ref="A107:B107" si="12">+A35</f>
        <v xml:space="preserve">     Beaulieu, Gwen</v>
      </c>
      <c r="B107" s="9">
        <f t="shared" si="12"/>
        <v>42797.7</v>
      </c>
      <c r="C107" s="6"/>
      <c r="D107" s="6">
        <f t="shared" si="6"/>
        <v>2268.2781</v>
      </c>
      <c r="E107" s="6"/>
      <c r="F107" s="66">
        <v>42711</v>
      </c>
      <c r="G107" s="6"/>
      <c r="H107" s="20">
        <v>5.2999999999999999E-2</v>
      </c>
      <c r="I107" s="6"/>
      <c r="J107" s="6">
        <f t="shared" si="10"/>
        <v>2268.2781</v>
      </c>
      <c r="K107" s="6"/>
      <c r="L107" s="6">
        <f t="shared" si="8"/>
        <v>45065.9781</v>
      </c>
    </row>
    <row r="108" spans="1:12" x14ac:dyDescent="0.25">
      <c r="A108" s="1" t="str">
        <f t="shared" ref="A108:B108" si="13">+A36</f>
        <v xml:space="preserve">     Bell, Robert</v>
      </c>
      <c r="B108" s="9">
        <f t="shared" si="13"/>
        <v>94809</v>
      </c>
      <c r="C108" s="6"/>
      <c r="D108" s="6">
        <f t="shared" si="6"/>
        <v>2939.0790000000002</v>
      </c>
      <c r="E108" s="6"/>
      <c r="F108" s="66">
        <v>42711</v>
      </c>
      <c r="G108" s="6"/>
      <c r="H108" s="20">
        <v>3.1E-2</v>
      </c>
      <c r="I108" s="6"/>
      <c r="J108" s="6">
        <f t="shared" si="10"/>
        <v>2939.0790000000002</v>
      </c>
      <c r="K108" s="6"/>
      <c r="L108" s="6">
        <f t="shared" si="8"/>
        <v>97748.078999999998</v>
      </c>
    </row>
    <row r="109" spans="1:12" x14ac:dyDescent="0.25">
      <c r="A109" s="1" t="str">
        <f t="shared" ref="A109:B109" si="14">+A37</f>
        <v xml:space="preserve">     Blankenship, Dakota</v>
      </c>
      <c r="B109" s="9">
        <f t="shared" si="14"/>
        <v>41764.32</v>
      </c>
      <c r="C109" s="6"/>
      <c r="D109" s="6">
        <f t="shared" si="6"/>
        <v>7225.2273599999999</v>
      </c>
      <c r="E109" s="6"/>
      <c r="F109" s="66">
        <v>42711</v>
      </c>
      <c r="G109" s="6"/>
      <c r="H109" s="20">
        <v>0.17299999999999999</v>
      </c>
      <c r="I109" s="6"/>
      <c r="J109" s="6">
        <f t="shared" si="10"/>
        <v>7225.2273599999999</v>
      </c>
      <c r="K109" s="6"/>
      <c r="L109" s="6">
        <f t="shared" si="8"/>
        <v>48989.547359999997</v>
      </c>
    </row>
    <row r="110" spans="1:12" x14ac:dyDescent="0.25">
      <c r="A110" s="1" t="str">
        <f t="shared" ref="A110:B110" si="15">+A38</f>
        <v xml:space="preserve">     Cooper, Thomas</v>
      </c>
      <c r="B110" s="9">
        <f t="shared" si="15"/>
        <v>894.56</v>
      </c>
      <c r="C110" s="6"/>
      <c r="D110" s="6">
        <f t="shared" si="6"/>
        <v>34.887839999999997</v>
      </c>
      <c r="E110" s="6"/>
      <c r="F110" s="66">
        <v>42711</v>
      </c>
      <c r="G110" s="6"/>
      <c r="H110" s="20">
        <v>3.9E-2</v>
      </c>
      <c r="I110" s="6"/>
      <c r="J110" s="6">
        <f t="shared" si="10"/>
        <v>34.887839999999997</v>
      </c>
      <c r="K110" s="6"/>
      <c r="L110" s="6">
        <f t="shared" si="8"/>
        <v>929.44783999999993</v>
      </c>
    </row>
    <row r="111" spans="1:12" x14ac:dyDescent="0.25">
      <c r="A111" s="1" t="str">
        <f t="shared" ref="A111:B111" si="16">+A39</f>
        <v xml:space="preserve">     Fisher, Dennis</v>
      </c>
      <c r="B111" s="9">
        <f t="shared" si="16"/>
        <v>13948.6</v>
      </c>
      <c r="C111" s="6"/>
      <c r="D111" s="6">
        <f t="shared" si="6"/>
        <v>0</v>
      </c>
      <c r="E111" s="6"/>
      <c r="F111" s="66">
        <v>42711</v>
      </c>
      <c r="G111" s="6"/>
      <c r="H111" s="20">
        <v>0</v>
      </c>
      <c r="I111" s="6"/>
      <c r="J111" s="6">
        <f t="shared" si="10"/>
        <v>0</v>
      </c>
      <c r="K111" s="6"/>
      <c r="L111" s="6">
        <f t="shared" si="8"/>
        <v>13948.6</v>
      </c>
    </row>
    <row r="112" spans="1:12" x14ac:dyDescent="0.25">
      <c r="A112" s="1" t="str">
        <f t="shared" ref="A112:B112" si="17">+A40</f>
        <v xml:space="preserve">     Gaines, Austyn</v>
      </c>
      <c r="B112" s="9">
        <f t="shared" si="17"/>
        <v>18317.5</v>
      </c>
      <c r="C112" s="6"/>
      <c r="D112" s="6">
        <f t="shared" si="6"/>
        <v>0</v>
      </c>
      <c r="E112" s="6"/>
      <c r="F112" s="66">
        <v>42711</v>
      </c>
      <c r="G112" s="6"/>
      <c r="H112" s="20">
        <v>0</v>
      </c>
      <c r="I112" s="6"/>
      <c r="J112" s="6">
        <f t="shared" ref="J112:J116" si="18">D112</f>
        <v>0</v>
      </c>
      <c r="K112" s="6"/>
      <c r="L112" s="6">
        <f t="shared" si="8"/>
        <v>18317.5</v>
      </c>
    </row>
    <row r="113" spans="1:12" x14ac:dyDescent="0.25">
      <c r="A113" s="1" t="str">
        <f t="shared" ref="A113:B113" si="19">+A41</f>
        <v xml:space="preserve">     Hinsch, Ryan</v>
      </c>
      <c r="B113" s="9">
        <f t="shared" si="19"/>
        <v>4415.6000000000004</v>
      </c>
      <c r="C113" s="6"/>
      <c r="D113" s="6">
        <f t="shared" si="6"/>
        <v>596.10600000000011</v>
      </c>
      <c r="E113" s="6"/>
      <c r="F113" s="66">
        <v>42711</v>
      </c>
      <c r="G113" s="6"/>
      <c r="H113" s="20">
        <v>0.13500000000000001</v>
      </c>
      <c r="I113" s="6"/>
      <c r="J113" s="6">
        <f t="shared" si="18"/>
        <v>596.10600000000011</v>
      </c>
      <c r="K113" s="6"/>
      <c r="L113" s="6">
        <f t="shared" si="8"/>
        <v>5011.7060000000001</v>
      </c>
    </row>
    <row r="114" spans="1:12" x14ac:dyDescent="0.25">
      <c r="A114" s="1" t="str">
        <f t="shared" ref="A114:B114" si="20">+A42</f>
        <v xml:space="preserve">     Hondel, Robert</v>
      </c>
      <c r="B114" s="9">
        <f t="shared" si="20"/>
        <v>50579.3</v>
      </c>
      <c r="C114" s="6"/>
      <c r="D114" s="6">
        <f t="shared" si="6"/>
        <v>6271.8332</v>
      </c>
      <c r="E114" s="6"/>
      <c r="F114" s="66">
        <v>42711</v>
      </c>
      <c r="G114" s="6"/>
      <c r="H114" s="20">
        <v>0.124</v>
      </c>
      <c r="I114" s="6"/>
      <c r="J114" s="6">
        <f t="shared" si="18"/>
        <v>6271.8332</v>
      </c>
      <c r="K114" s="6"/>
      <c r="L114" s="6">
        <f t="shared" si="8"/>
        <v>56851.133200000004</v>
      </c>
    </row>
    <row r="115" spans="1:12" x14ac:dyDescent="0.25">
      <c r="A115" s="1" t="str">
        <f t="shared" ref="A115:B115" si="21">+A43</f>
        <v xml:space="preserve">     Hoskins, Christopher</v>
      </c>
      <c r="B115" s="9">
        <f t="shared" si="21"/>
        <v>60639.9</v>
      </c>
      <c r="C115" s="6"/>
      <c r="D115" s="6">
        <f t="shared" si="6"/>
        <v>2971.3551000000002</v>
      </c>
      <c r="E115" s="6"/>
      <c r="F115" s="66">
        <v>42711</v>
      </c>
      <c r="G115" s="6"/>
      <c r="H115" s="20">
        <v>4.9000000000000002E-2</v>
      </c>
      <c r="I115" s="6"/>
      <c r="J115" s="6">
        <f t="shared" si="18"/>
        <v>2971.3551000000002</v>
      </c>
      <c r="K115" s="6"/>
      <c r="L115" s="6">
        <f t="shared" si="8"/>
        <v>63611.255100000002</v>
      </c>
    </row>
    <row r="116" spans="1:12" x14ac:dyDescent="0.25">
      <c r="A116" s="1" t="str">
        <f t="shared" ref="A116:B116" si="22">+A44</f>
        <v xml:space="preserve">     Hoskins, Rickey</v>
      </c>
      <c r="B116" s="9">
        <f t="shared" si="22"/>
        <v>75059.98</v>
      </c>
      <c r="C116" s="6"/>
      <c r="D116" s="6">
        <f t="shared" si="6"/>
        <v>2251.7993999999999</v>
      </c>
      <c r="E116" s="6"/>
      <c r="F116" s="66">
        <v>42711</v>
      </c>
      <c r="G116" s="6"/>
      <c r="H116" s="20">
        <v>0.03</v>
      </c>
      <c r="I116" s="6"/>
      <c r="J116" s="6">
        <f t="shared" si="18"/>
        <v>2251.7993999999999</v>
      </c>
      <c r="K116" s="6"/>
      <c r="L116" s="6">
        <f t="shared" si="8"/>
        <v>77311.779399999999</v>
      </c>
    </row>
    <row r="117" spans="1:12" x14ac:dyDescent="0.25">
      <c r="A117" s="1" t="str">
        <f t="shared" ref="A117:B117" si="23">+A45</f>
        <v xml:space="preserve">     Jensen, James</v>
      </c>
      <c r="B117" s="9">
        <f t="shared" si="23"/>
        <v>76889.75</v>
      </c>
      <c r="C117" s="6"/>
      <c r="D117" s="6">
        <f t="shared" si="6"/>
        <v>10764.565000000001</v>
      </c>
      <c r="E117" s="6"/>
      <c r="F117" s="66">
        <v>42711</v>
      </c>
      <c r="G117" s="6"/>
      <c r="H117" s="20">
        <v>0.14000000000000001</v>
      </c>
      <c r="I117" s="6"/>
      <c r="J117" s="6">
        <f t="shared" si="10"/>
        <v>10764.565000000001</v>
      </c>
      <c r="K117" s="6"/>
      <c r="L117" s="6">
        <f t="shared" si="8"/>
        <v>87654.315000000002</v>
      </c>
    </row>
    <row r="118" spans="1:12" x14ac:dyDescent="0.25">
      <c r="A118" s="1" t="str">
        <f t="shared" ref="A118:B118" si="24">+A46</f>
        <v xml:space="preserve">     Marshall, Ethan</v>
      </c>
      <c r="B118" s="9">
        <f t="shared" si="24"/>
        <v>31810.19</v>
      </c>
      <c r="C118" s="6"/>
      <c r="D118" s="6">
        <f t="shared" si="6"/>
        <v>7125.4825599999995</v>
      </c>
      <c r="E118" s="6"/>
      <c r="F118" s="66">
        <v>42711</v>
      </c>
      <c r="G118" s="6"/>
      <c r="H118" s="20">
        <v>0.224</v>
      </c>
      <c r="I118" s="6"/>
      <c r="J118" s="6">
        <f t="shared" si="10"/>
        <v>7125.4825599999995</v>
      </c>
      <c r="K118" s="6"/>
      <c r="L118" s="6">
        <f t="shared" si="8"/>
        <v>38935.672559999999</v>
      </c>
    </row>
    <row r="119" spans="1:12" x14ac:dyDescent="0.25">
      <c r="A119" s="1" t="str">
        <f t="shared" ref="A119:B119" si="25">+A47</f>
        <v xml:space="preserve">     Neal, Ryan</v>
      </c>
      <c r="B119" s="9">
        <f t="shared" si="25"/>
        <v>46598.8</v>
      </c>
      <c r="D119" s="6">
        <f t="shared" si="6"/>
        <v>6850.0236000000004</v>
      </c>
      <c r="E119" s="6"/>
      <c r="F119" s="66">
        <v>42711</v>
      </c>
      <c r="G119" s="6"/>
      <c r="H119" s="20">
        <v>0.14699999999999999</v>
      </c>
      <c r="I119" s="6"/>
      <c r="J119" s="6">
        <f t="shared" si="10"/>
        <v>6850.0236000000004</v>
      </c>
      <c r="K119" s="6"/>
      <c r="L119" s="6">
        <f t="shared" si="8"/>
        <v>53448.823600000003</v>
      </c>
    </row>
    <row r="120" spans="1:12" x14ac:dyDescent="0.25">
      <c r="A120" s="1" t="str">
        <f t="shared" ref="A120:B120" si="26">+A48</f>
        <v xml:space="preserve">     O'Brien, Jason</v>
      </c>
      <c r="B120" s="9">
        <f t="shared" si="26"/>
        <v>54356.04</v>
      </c>
      <c r="D120" s="6">
        <f t="shared" si="6"/>
        <v>5598.6721200000002</v>
      </c>
      <c r="E120" s="6"/>
      <c r="F120" s="66">
        <v>42711</v>
      </c>
      <c r="G120" s="6"/>
      <c r="H120" s="20">
        <v>0.10299999999999999</v>
      </c>
      <c r="I120" s="6"/>
      <c r="J120" s="6">
        <f t="shared" si="10"/>
        <v>5598.6721200000002</v>
      </c>
      <c r="K120" s="6"/>
      <c r="L120" s="6">
        <f t="shared" si="8"/>
        <v>59954.712120000004</v>
      </c>
    </row>
    <row r="121" spans="1:12" x14ac:dyDescent="0.25">
      <c r="A121" s="1" t="str">
        <f t="shared" ref="A121:B121" si="27">+A49</f>
        <v xml:space="preserve">     Polly, Mike</v>
      </c>
      <c r="B121" s="9">
        <f t="shared" si="27"/>
        <v>1907.82</v>
      </c>
      <c r="D121" s="6">
        <f t="shared" si="6"/>
        <v>0</v>
      </c>
      <c r="E121" s="6"/>
      <c r="F121" s="66">
        <v>42711</v>
      </c>
      <c r="G121" s="6"/>
      <c r="H121" s="20">
        <v>0</v>
      </c>
      <c r="I121" s="6"/>
      <c r="J121" s="6">
        <f t="shared" si="10"/>
        <v>0</v>
      </c>
      <c r="K121" s="6"/>
      <c r="L121" s="6">
        <f t="shared" si="8"/>
        <v>1907.82</v>
      </c>
    </row>
    <row r="122" spans="1:12" x14ac:dyDescent="0.25">
      <c r="A122" s="1" t="str">
        <f t="shared" ref="A122:B122" si="28">+A50</f>
        <v xml:space="preserve">     Scott, Dakota </v>
      </c>
      <c r="B122" s="9">
        <f t="shared" si="28"/>
        <v>3600</v>
      </c>
      <c r="D122" s="6">
        <f t="shared" si="6"/>
        <v>0</v>
      </c>
      <c r="E122" s="6"/>
      <c r="F122" s="66">
        <v>42711</v>
      </c>
      <c r="G122" s="6"/>
      <c r="H122" s="20">
        <v>0</v>
      </c>
      <c r="I122" s="6"/>
      <c r="J122" s="6">
        <f t="shared" si="10"/>
        <v>0</v>
      </c>
      <c r="K122" s="6"/>
      <c r="L122" s="6">
        <f t="shared" si="8"/>
        <v>3600</v>
      </c>
    </row>
    <row r="123" spans="1:12" x14ac:dyDescent="0.25">
      <c r="A123" s="1" t="str">
        <f t="shared" ref="A123:B123" si="29">+A51</f>
        <v xml:space="preserve">     Shelton, Candi</v>
      </c>
      <c r="B123" s="9">
        <f t="shared" si="29"/>
        <v>41165.279999999999</v>
      </c>
      <c r="D123" s="6">
        <f t="shared" si="6"/>
        <v>16836.59952</v>
      </c>
      <c r="E123" s="6"/>
      <c r="F123" s="66">
        <v>42711</v>
      </c>
      <c r="G123" s="6"/>
      <c r="H123" s="20">
        <v>0.40899999999999997</v>
      </c>
      <c r="I123" s="6"/>
      <c r="J123" s="6">
        <f t="shared" si="10"/>
        <v>16836.59952</v>
      </c>
      <c r="K123" s="6"/>
      <c r="L123" s="6">
        <f t="shared" si="8"/>
        <v>58001.879520000002</v>
      </c>
    </row>
    <row r="124" spans="1:12" x14ac:dyDescent="0.25">
      <c r="A124" s="1" t="str">
        <f t="shared" ref="A124:B124" si="30">+A52</f>
        <v xml:space="preserve">     Shoemaker, Zachariah</v>
      </c>
      <c r="B124" s="9">
        <f t="shared" si="30"/>
        <v>8631.86</v>
      </c>
      <c r="D124" s="6">
        <f t="shared" si="6"/>
        <v>1165.3011000000001</v>
      </c>
      <c r="E124" s="6"/>
      <c r="F124" s="66">
        <v>42711</v>
      </c>
      <c r="G124" s="6"/>
      <c r="H124" s="20">
        <v>0.13500000000000001</v>
      </c>
      <c r="I124" s="6"/>
      <c r="J124" s="6">
        <f t="shared" si="10"/>
        <v>1165.3011000000001</v>
      </c>
      <c r="K124" s="6"/>
      <c r="L124" s="6">
        <f t="shared" si="8"/>
        <v>9797.1611000000012</v>
      </c>
    </row>
    <row r="125" spans="1:12" x14ac:dyDescent="0.25">
      <c r="A125" s="1" t="str">
        <f t="shared" ref="A125:B125" si="31">+A53</f>
        <v xml:space="preserve">     Tabacco, Michael </v>
      </c>
      <c r="B125" s="9">
        <f t="shared" si="31"/>
        <v>49565.7</v>
      </c>
      <c r="D125" s="6">
        <f t="shared" ref="D125:D127" si="32">+B125*H125</f>
        <v>9318.3516</v>
      </c>
      <c r="E125" s="6"/>
      <c r="F125" s="66">
        <v>42711</v>
      </c>
      <c r="G125" s="6"/>
      <c r="H125" s="20">
        <v>0.188</v>
      </c>
      <c r="I125" s="6"/>
      <c r="J125" s="6">
        <f t="shared" si="10"/>
        <v>9318.3516</v>
      </c>
      <c r="K125" s="6"/>
      <c r="L125" s="6">
        <f t="shared" si="8"/>
        <v>58884.051599999999</v>
      </c>
    </row>
    <row r="126" spans="1:12" x14ac:dyDescent="0.25">
      <c r="A126" s="1" t="str">
        <f t="shared" ref="A126:B126" si="33">+A54</f>
        <v xml:space="preserve">     Tatum, Paul</v>
      </c>
      <c r="B126" s="9">
        <f t="shared" si="33"/>
        <v>55611.34</v>
      </c>
      <c r="D126" s="6">
        <f t="shared" si="32"/>
        <v>11567.158719999999</v>
      </c>
      <c r="E126" s="6"/>
      <c r="F126" s="66">
        <v>42711</v>
      </c>
      <c r="G126" s="6"/>
      <c r="H126" s="20">
        <v>0.20799999999999999</v>
      </c>
      <c r="I126" s="6"/>
      <c r="J126" s="6">
        <f t="shared" ref="J126:J127" si="34">D126</f>
        <v>11567.158719999999</v>
      </c>
      <c r="K126" s="6"/>
      <c r="L126" s="6">
        <f t="shared" ref="L126:L127" si="35">B126+J126</f>
        <v>67178.498720000003</v>
      </c>
    </row>
    <row r="127" spans="1:12" x14ac:dyDescent="0.25">
      <c r="A127" s="1" t="str">
        <f t="shared" ref="A127:B127" si="36">+A55</f>
        <v xml:space="preserve">     Wakefield, Bryce</v>
      </c>
      <c r="B127" s="9">
        <f t="shared" si="36"/>
        <v>46088</v>
      </c>
      <c r="D127" s="6">
        <f t="shared" si="32"/>
        <v>0</v>
      </c>
      <c r="E127" s="6"/>
      <c r="F127" s="66">
        <v>42711</v>
      </c>
      <c r="G127" s="6"/>
      <c r="H127" s="20">
        <v>0</v>
      </c>
      <c r="I127" s="6"/>
      <c r="J127" s="6">
        <f t="shared" si="34"/>
        <v>0</v>
      </c>
      <c r="K127" s="6"/>
      <c r="L127" s="6">
        <f t="shared" si="35"/>
        <v>46088</v>
      </c>
    </row>
    <row r="128" spans="1:12" x14ac:dyDescent="0.25">
      <c r="A128" s="1"/>
      <c r="B128" s="9"/>
      <c r="D128" s="6"/>
      <c r="E128" s="6"/>
      <c r="F128" s="66"/>
      <c r="G128" s="6"/>
      <c r="H128" s="20"/>
      <c r="I128" s="6"/>
      <c r="J128" s="6"/>
      <c r="K128" s="6"/>
      <c r="L128" s="6"/>
    </row>
    <row r="129" spans="1:13" x14ac:dyDescent="0.25">
      <c r="A129" s="1"/>
      <c r="B129" s="9"/>
      <c r="D129" s="6"/>
      <c r="F129" s="66"/>
      <c r="H129" s="20"/>
      <c r="J129" s="6"/>
      <c r="L129" s="6"/>
    </row>
    <row r="130" spans="1:13" x14ac:dyDescent="0.25">
      <c r="A130" s="1"/>
      <c r="B130" s="9"/>
      <c r="C130" s="6"/>
      <c r="D130" s="6"/>
      <c r="E130" s="8"/>
      <c r="F130" s="6"/>
      <c r="G130" s="8"/>
      <c r="H130" s="20"/>
      <c r="I130" s="8"/>
      <c r="J130" s="6"/>
      <c r="K130" s="6"/>
      <c r="L130" s="6"/>
    </row>
    <row r="131" spans="1:13" x14ac:dyDescent="0.25">
      <c r="B131" s="9">
        <f>SUM(B82:B129)</f>
        <v>1593838.7400000002</v>
      </c>
      <c r="D131" s="173">
        <f>SUM(D82:D130)</f>
        <v>162323.80100000001</v>
      </c>
      <c r="E131" s="8"/>
      <c r="F131" s="6"/>
      <c r="G131" s="8"/>
      <c r="I131" s="8"/>
      <c r="J131" s="173">
        <f>SUM(J82:J130)</f>
        <v>162323.80100000001</v>
      </c>
      <c r="K131" s="71"/>
      <c r="L131" s="173">
        <f>SUM(L82:L130)</f>
        <v>1756162.541</v>
      </c>
    </row>
    <row r="132" spans="1:13" x14ac:dyDescent="0.25">
      <c r="B132" s="9"/>
      <c r="D132" s="173"/>
      <c r="E132" s="8"/>
      <c r="F132" s="6"/>
      <c r="G132" s="8"/>
      <c r="I132" s="8"/>
      <c r="J132" s="173"/>
      <c r="K132" s="71"/>
      <c r="L132" s="173"/>
    </row>
    <row r="133" spans="1:13" x14ac:dyDescent="0.25">
      <c r="A133" s="1" t="s">
        <v>131</v>
      </c>
      <c r="B133" s="9">
        <f t="shared" ref="B133:B138" si="37">+B59</f>
        <v>110036</v>
      </c>
      <c r="C133" s="6"/>
      <c r="D133" s="6">
        <f t="shared" ref="D133:D138" si="38">+B133*H133</f>
        <v>3411.116</v>
      </c>
      <c r="E133" s="6"/>
      <c r="F133" s="66">
        <v>42711</v>
      </c>
      <c r="G133" s="6"/>
      <c r="H133" s="20">
        <v>3.1E-2</v>
      </c>
      <c r="I133" s="6"/>
      <c r="J133" s="6">
        <f t="shared" ref="J133:J138" si="39">D133</f>
        <v>3411.116</v>
      </c>
      <c r="K133" s="6"/>
      <c r="L133" s="6">
        <f t="shared" ref="L133:L138" si="40">B133+J133</f>
        <v>113447.11599999999</v>
      </c>
    </row>
    <row r="134" spans="1:13" x14ac:dyDescent="0.25">
      <c r="A134" s="1" t="s">
        <v>136</v>
      </c>
      <c r="B134" s="9">
        <f t="shared" si="37"/>
        <v>105746</v>
      </c>
      <c r="C134" s="6"/>
      <c r="D134" s="6">
        <f t="shared" si="38"/>
        <v>3383.8719999999998</v>
      </c>
      <c r="E134" s="6"/>
      <c r="F134" s="66">
        <v>42711</v>
      </c>
      <c r="G134" s="6"/>
      <c r="H134" s="20">
        <v>3.2000000000000001E-2</v>
      </c>
      <c r="I134" s="6"/>
      <c r="J134" s="6">
        <f t="shared" si="39"/>
        <v>3383.8719999999998</v>
      </c>
      <c r="K134" s="6"/>
      <c r="L134" s="6">
        <f t="shared" si="40"/>
        <v>109129.872</v>
      </c>
    </row>
    <row r="135" spans="1:13" x14ac:dyDescent="0.25">
      <c r="A135" s="1" t="s">
        <v>141</v>
      </c>
      <c r="B135" s="9">
        <f t="shared" si="37"/>
        <v>14765</v>
      </c>
      <c r="C135" s="6"/>
      <c r="D135" s="6">
        <v>0</v>
      </c>
      <c r="E135" s="6"/>
      <c r="F135" s="66">
        <v>42711</v>
      </c>
      <c r="G135" s="6"/>
      <c r="H135" s="20">
        <v>4.1000000000000002E-2</v>
      </c>
      <c r="I135" s="6"/>
      <c r="J135" s="6">
        <f t="shared" si="39"/>
        <v>0</v>
      </c>
      <c r="K135" s="6"/>
      <c r="L135" s="6">
        <f t="shared" si="40"/>
        <v>14765</v>
      </c>
    </row>
    <row r="136" spans="1:13" x14ac:dyDescent="0.25">
      <c r="A136" s="1" t="s">
        <v>143</v>
      </c>
      <c r="B136" s="9">
        <f t="shared" si="37"/>
        <v>34650</v>
      </c>
      <c r="C136" s="6"/>
      <c r="D136" s="6">
        <f t="shared" si="38"/>
        <v>1386</v>
      </c>
      <c r="E136" s="6"/>
      <c r="F136" s="66">
        <v>42711</v>
      </c>
      <c r="G136" s="6"/>
      <c r="H136" s="20">
        <v>0.04</v>
      </c>
      <c r="I136" s="6"/>
      <c r="J136" s="6">
        <f t="shared" si="39"/>
        <v>1386</v>
      </c>
      <c r="K136" s="6"/>
      <c r="L136" s="6">
        <f t="shared" si="40"/>
        <v>36036</v>
      </c>
    </row>
    <row r="137" spans="1:13" x14ac:dyDescent="0.25">
      <c r="A137" s="1" t="s">
        <v>151</v>
      </c>
      <c r="B137" s="186">
        <f t="shared" si="37"/>
        <v>150485</v>
      </c>
      <c r="C137" s="6"/>
      <c r="D137" s="6">
        <f t="shared" si="38"/>
        <v>4815.5200000000004</v>
      </c>
      <c r="E137" s="173"/>
      <c r="F137" s="66">
        <v>42711</v>
      </c>
      <c r="G137" s="173"/>
      <c r="H137" s="187">
        <v>3.2000000000000001E-2</v>
      </c>
      <c r="I137" s="173"/>
      <c r="J137" s="173">
        <f t="shared" si="39"/>
        <v>4815.5200000000004</v>
      </c>
      <c r="K137" s="173"/>
      <c r="L137" s="173">
        <f t="shared" si="40"/>
        <v>155300.51999999999</v>
      </c>
    </row>
    <row r="138" spans="1:13" x14ac:dyDescent="0.25">
      <c r="A138" s="1" t="s">
        <v>150</v>
      </c>
      <c r="B138" s="12">
        <f t="shared" si="37"/>
        <v>105044</v>
      </c>
      <c r="C138" s="6"/>
      <c r="D138" s="6">
        <f t="shared" si="38"/>
        <v>3361.4079999999999</v>
      </c>
      <c r="E138" s="6"/>
      <c r="F138" s="66">
        <v>42711</v>
      </c>
      <c r="G138" s="6"/>
      <c r="H138" s="20">
        <v>3.2000000000000001E-2</v>
      </c>
      <c r="I138" s="6"/>
      <c r="J138" s="6">
        <f t="shared" si="39"/>
        <v>3361.4079999999999</v>
      </c>
      <c r="K138" s="6"/>
      <c r="L138" s="6">
        <f t="shared" si="40"/>
        <v>108405.408</v>
      </c>
    </row>
    <row r="139" spans="1:13" x14ac:dyDescent="0.25">
      <c r="A139" s="1"/>
      <c r="C139" s="6"/>
      <c r="D139" s="6"/>
      <c r="E139" s="6"/>
      <c r="F139" s="66"/>
      <c r="G139" s="6"/>
      <c r="H139" s="20"/>
      <c r="I139" s="6"/>
      <c r="J139" s="6"/>
      <c r="K139" s="6"/>
      <c r="L139" s="6"/>
    </row>
    <row r="140" spans="1:13" x14ac:dyDescent="0.25">
      <c r="A140" s="1"/>
      <c r="B140" s="12">
        <f>SUM(B133:B139)</f>
        <v>520726</v>
      </c>
      <c r="C140" s="6"/>
      <c r="D140" s="12">
        <f>SUM(D133:D139)</f>
        <v>16357.915999999999</v>
      </c>
      <c r="E140" s="6"/>
      <c r="F140" s="66"/>
      <c r="G140" s="6"/>
      <c r="H140" s="20"/>
      <c r="I140" s="6"/>
      <c r="J140" s="12">
        <f>SUM(J133:J139)</f>
        <v>16357.915999999999</v>
      </c>
      <c r="K140" s="6"/>
      <c r="L140" s="12">
        <f>SUM(L133:L139)</f>
        <v>537083.91599999997</v>
      </c>
    </row>
    <row r="141" spans="1:13" s="62" customFormat="1" ht="19.5" x14ac:dyDescent="0.35">
      <c r="A141"/>
      <c r="B141" s="9"/>
    </row>
    <row r="142" spans="1:13" s="68" customFormat="1" ht="19.5" x14ac:dyDescent="0.35">
      <c r="A142" s="59" t="s">
        <v>152</v>
      </c>
      <c r="B142" s="163">
        <f>+B131+B140</f>
        <v>2114564.7400000002</v>
      </c>
      <c r="C142" s="60"/>
      <c r="D142" s="163">
        <f>+D131+D140</f>
        <v>178681.717</v>
      </c>
      <c r="E142" s="60"/>
      <c r="F142" s="60"/>
      <c r="G142" s="60"/>
      <c r="H142" s="67">
        <f>D142/B142</f>
        <v>8.4500471241187911E-2</v>
      </c>
      <c r="I142" s="60"/>
      <c r="J142" s="163">
        <f>+J131+J140</f>
        <v>178681.717</v>
      </c>
      <c r="K142" s="60"/>
      <c r="L142" s="163">
        <f>+L131+L140</f>
        <v>2293246.4569999999</v>
      </c>
      <c r="M142" s="60"/>
    </row>
    <row r="143" spans="1:13" x14ac:dyDescent="0.25">
      <c r="A143" s="26"/>
      <c r="B143" s="164"/>
    </row>
    <row r="144" spans="1:13" x14ac:dyDescent="0.25">
      <c r="A144" s="1" t="s">
        <v>110</v>
      </c>
      <c r="B144" s="9"/>
      <c r="F144" s="69" t="s">
        <v>153</v>
      </c>
    </row>
    <row r="145" spans="1:28" x14ac:dyDescent="0.25">
      <c r="B145" s="9"/>
      <c r="P145" s="69" t="s">
        <v>153</v>
      </c>
    </row>
    <row r="146" spans="1:28" x14ac:dyDescent="0.25">
      <c r="B146" s="9"/>
      <c r="H146" s="57">
        <f>+H4</f>
        <v>2016</v>
      </c>
      <c r="J146" s="1" t="s">
        <v>160</v>
      </c>
    </row>
    <row r="147" spans="1:28" x14ac:dyDescent="0.25">
      <c r="B147" s="9"/>
    </row>
    <row r="148" spans="1:28" x14ac:dyDescent="0.25">
      <c r="B148" s="9"/>
    </row>
    <row r="149" spans="1:28" x14ac:dyDescent="0.25">
      <c r="B149" s="9"/>
      <c r="D149" s="1" t="s">
        <v>114</v>
      </c>
      <c r="F149" s="1" t="s">
        <v>115</v>
      </c>
      <c r="H149" s="1" t="s">
        <v>116</v>
      </c>
      <c r="J149" s="1" t="s">
        <v>117</v>
      </c>
      <c r="L149" s="1" t="s">
        <v>117</v>
      </c>
      <c r="N149" s="1" t="s">
        <v>118</v>
      </c>
      <c r="P149" s="1" t="s">
        <v>118</v>
      </c>
      <c r="R149" s="1" t="s">
        <v>119</v>
      </c>
      <c r="T149" s="1" t="s">
        <v>119</v>
      </c>
      <c r="V149" s="1" t="s">
        <v>120</v>
      </c>
      <c r="X149" s="1" t="s">
        <v>121</v>
      </c>
      <c r="Z149" s="1" t="s">
        <v>122</v>
      </c>
      <c r="AB149" s="1" t="s">
        <v>123</v>
      </c>
    </row>
    <row r="150" spans="1:28" x14ac:dyDescent="0.25">
      <c r="A150" s="1" t="s">
        <v>112</v>
      </c>
      <c r="B150" s="31" t="s">
        <v>3</v>
      </c>
      <c r="D150" s="1" t="s">
        <v>56</v>
      </c>
      <c r="F150" s="1" t="s">
        <v>125</v>
      </c>
      <c r="H150" s="1" t="s">
        <v>56</v>
      </c>
      <c r="J150" s="1" t="s">
        <v>126</v>
      </c>
      <c r="L150" s="1" t="s">
        <v>127</v>
      </c>
      <c r="N150" s="1" t="s">
        <v>126</v>
      </c>
      <c r="P150" s="1" t="s">
        <v>127</v>
      </c>
      <c r="R150" s="1" t="s">
        <v>126</v>
      </c>
      <c r="T150" s="1" t="s">
        <v>127</v>
      </c>
      <c r="V150" s="1" t="s">
        <v>56</v>
      </c>
      <c r="X150" s="1" t="s">
        <v>56</v>
      </c>
      <c r="Z150" s="1" t="s">
        <v>128</v>
      </c>
      <c r="AB150" s="1" t="s">
        <v>56</v>
      </c>
    </row>
    <row r="151" spans="1:28" x14ac:dyDescent="0.25">
      <c r="B151" s="31" t="s">
        <v>124</v>
      </c>
      <c r="D151" s="57">
        <v>675.8</v>
      </c>
      <c r="F151" s="57">
        <v>101</v>
      </c>
      <c r="J151" s="57">
        <v>620.1</v>
      </c>
      <c r="L151" s="57">
        <v>620.20000000000005</v>
      </c>
      <c r="N151" s="57">
        <v>620.29999999999995</v>
      </c>
      <c r="P151" s="57">
        <v>620.4</v>
      </c>
      <c r="R151" s="57">
        <v>620.5</v>
      </c>
      <c r="T151" s="57">
        <v>620.6</v>
      </c>
      <c r="V151" s="57">
        <v>620.70000000000005</v>
      </c>
      <c r="X151" s="57">
        <v>620.79999999999995</v>
      </c>
      <c r="Z151" s="57">
        <v>604</v>
      </c>
      <c r="AB151" s="57">
        <v>650</v>
      </c>
    </row>
    <row r="152" spans="1:28" x14ac:dyDescent="0.2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x14ac:dyDescent="0.25">
      <c r="A153" s="1" t="s">
        <v>129</v>
      </c>
      <c r="B153" s="9">
        <f>+D82</f>
        <v>961.9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x14ac:dyDescent="0.25">
      <c r="A154" s="1" t="s">
        <v>490</v>
      </c>
      <c r="B154" s="9">
        <f t="shared" ref="B154:B173" si="41">+D83</f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x14ac:dyDescent="0.25">
      <c r="A155" s="1" t="s">
        <v>506</v>
      </c>
      <c r="B155" s="9">
        <f t="shared" si="41"/>
        <v>405.07430000000005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x14ac:dyDescent="0.25">
      <c r="A156" s="1" t="s">
        <v>208</v>
      </c>
      <c r="B156" s="9">
        <f t="shared" si="41"/>
        <v>6084.6442500000003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x14ac:dyDescent="0.25">
      <c r="A157" s="1" t="s">
        <v>452</v>
      </c>
      <c r="B157" s="9">
        <f t="shared" si="41"/>
        <v>5471.6419799999994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x14ac:dyDescent="0.25">
      <c r="A158" s="1" t="s">
        <v>184</v>
      </c>
      <c r="B158" s="9">
        <f t="shared" si="41"/>
        <v>1520.2865400000001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x14ac:dyDescent="0.25">
      <c r="A159" s="1" t="s">
        <v>134</v>
      </c>
      <c r="B159" s="9">
        <f t="shared" si="41"/>
        <v>835.77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x14ac:dyDescent="0.25">
      <c r="A160" s="1" t="s">
        <v>185</v>
      </c>
      <c r="B160" s="9">
        <f t="shared" si="41"/>
        <v>1642.1566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x14ac:dyDescent="0.25">
      <c r="A161" s="1" t="s">
        <v>485</v>
      </c>
      <c r="B161" s="9">
        <f t="shared" si="41"/>
        <v>10011.26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x14ac:dyDescent="0.25">
      <c r="A162" s="1" t="s">
        <v>137</v>
      </c>
      <c r="B162" s="9">
        <f t="shared" si="41"/>
        <v>3109.2326800000005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x14ac:dyDescent="0.25">
      <c r="A163" s="1" t="s">
        <v>202</v>
      </c>
      <c r="B163" s="9">
        <f t="shared" si="41"/>
        <v>5942.4000000000005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x14ac:dyDescent="0.25">
      <c r="A164" s="1" t="s">
        <v>486</v>
      </c>
      <c r="B164" s="9">
        <f t="shared" si="41"/>
        <v>607.44893999999999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x14ac:dyDescent="0.25">
      <c r="A165" s="1" t="s">
        <v>230</v>
      </c>
      <c r="B165" s="9">
        <f t="shared" si="41"/>
        <v>9194.9171199999982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x14ac:dyDescent="0.25">
      <c r="A166" s="1" t="s">
        <v>507</v>
      </c>
      <c r="B166" s="9">
        <f t="shared" si="41"/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x14ac:dyDescent="0.25">
      <c r="A167" s="1" t="s">
        <v>209</v>
      </c>
      <c r="B167" s="9">
        <f t="shared" si="41"/>
        <v>934.18337999999994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x14ac:dyDescent="0.25">
      <c r="A168" s="1" t="s">
        <v>183</v>
      </c>
      <c r="B168" s="9">
        <f t="shared" si="41"/>
        <v>1557.88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x14ac:dyDescent="0.25">
      <c r="A169" s="1" t="s">
        <v>138</v>
      </c>
      <c r="B169" s="9">
        <f t="shared" si="41"/>
        <v>1545.7199999999998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x14ac:dyDescent="0.25">
      <c r="A170" s="1" t="s">
        <v>509</v>
      </c>
      <c r="B170" s="9">
        <f t="shared" si="41"/>
        <v>2192.0574000000001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x14ac:dyDescent="0.25">
      <c r="A171" s="1" t="s">
        <v>225</v>
      </c>
      <c r="B171" s="9">
        <f t="shared" si="41"/>
        <v>3360.9023999999999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x14ac:dyDescent="0.25">
      <c r="A172" s="1" t="s">
        <v>510</v>
      </c>
      <c r="B172" s="9">
        <f t="shared" si="41"/>
        <v>2247.5043100000003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x14ac:dyDescent="0.25">
      <c r="A173" s="1" t="s">
        <v>231</v>
      </c>
      <c r="B173" s="9">
        <f t="shared" si="41"/>
        <v>257.49002999999999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x14ac:dyDescent="0.25">
      <c r="B174" s="9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x14ac:dyDescent="0.25">
      <c r="A175" t="s">
        <v>511</v>
      </c>
      <c r="B175" s="9">
        <f>+D104</f>
        <v>0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x14ac:dyDescent="0.25">
      <c r="A176" s="1" t="s">
        <v>453</v>
      </c>
      <c r="B176" s="9">
        <f t="shared" ref="B176:B198" si="42">+D105</f>
        <v>7905.82089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x14ac:dyDescent="0.25">
      <c r="A177" t="s">
        <v>512</v>
      </c>
      <c r="B177" s="9">
        <f t="shared" si="42"/>
        <v>2750.7899600000001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x14ac:dyDescent="0.25">
      <c r="A178" s="1" t="s">
        <v>210</v>
      </c>
      <c r="B178" s="9">
        <f t="shared" si="42"/>
        <v>2268.2781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x14ac:dyDescent="0.25">
      <c r="A179" s="1" t="s">
        <v>145</v>
      </c>
      <c r="B179" s="9">
        <f t="shared" si="42"/>
        <v>2939.0790000000002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x14ac:dyDescent="0.25">
      <c r="A180" s="1" t="s">
        <v>226</v>
      </c>
      <c r="B180" s="9">
        <f t="shared" si="42"/>
        <v>7225.2273599999999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x14ac:dyDescent="0.25">
      <c r="A181" s="1" t="s">
        <v>146</v>
      </c>
      <c r="B181" s="9">
        <f t="shared" si="42"/>
        <v>34.887839999999997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x14ac:dyDescent="0.25">
      <c r="A182" s="1" t="s">
        <v>147</v>
      </c>
      <c r="B182" s="9">
        <f t="shared" si="42"/>
        <v>0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x14ac:dyDescent="0.25">
      <c r="A183" s="1" t="s">
        <v>487</v>
      </c>
      <c r="B183" s="9">
        <f t="shared" si="42"/>
        <v>0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x14ac:dyDescent="0.25">
      <c r="A184" s="1" t="s">
        <v>513</v>
      </c>
      <c r="B184" s="9">
        <f t="shared" si="42"/>
        <v>596.10600000000011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x14ac:dyDescent="0.25">
      <c r="A185" s="1" t="s">
        <v>232</v>
      </c>
      <c r="B185" s="9">
        <f t="shared" si="42"/>
        <v>6271.8332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x14ac:dyDescent="0.25">
      <c r="A186" s="1" t="s">
        <v>188</v>
      </c>
      <c r="B186" s="9">
        <f t="shared" si="42"/>
        <v>2971.3551000000002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x14ac:dyDescent="0.25">
      <c r="A187" s="1" t="s">
        <v>148</v>
      </c>
      <c r="B187" s="9">
        <f t="shared" si="42"/>
        <v>2251.7993999999999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x14ac:dyDescent="0.25">
      <c r="A188" s="1" t="s">
        <v>149</v>
      </c>
      <c r="B188" s="9">
        <f t="shared" si="42"/>
        <v>10764.565000000001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x14ac:dyDescent="0.25">
      <c r="A189" s="1" t="s">
        <v>508</v>
      </c>
      <c r="B189" s="9">
        <f t="shared" si="42"/>
        <v>7125.4825599999995</v>
      </c>
    </row>
    <row r="190" spans="1:28" x14ac:dyDescent="0.25">
      <c r="A190" s="1" t="s">
        <v>488</v>
      </c>
      <c r="B190" s="9">
        <f t="shared" si="42"/>
        <v>6850.0236000000004</v>
      </c>
    </row>
    <row r="191" spans="1:28" x14ac:dyDescent="0.25">
      <c r="A191" s="1" t="s">
        <v>211</v>
      </c>
      <c r="B191" s="9">
        <f t="shared" si="42"/>
        <v>5598.6721200000002</v>
      </c>
    </row>
    <row r="192" spans="1:28" x14ac:dyDescent="0.25">
      <c r="A192" s="1" t="s">
        <v>233</v>
      </c>
      <c r="B192" s="9">
        <f t="shared" si="42"/>
        <v>0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x14ac:dyDescent="0.25">
      <c r="A193" s="1" t="s">
        <v>491</v>
      </c>
      <c r="B193" s="9">
        <f t="shared" si="42"/>
        <v>0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x14ac:dyDescent="0.25">
      <c r="A194" s="1" t="s">
        <v>489</v>
      </c>
      <c r="B194" s="9">
        <f t="shared" si="42"/>
        <v>16836.59952</v>
      </c>
    </row>
    <row r="195" spans="1:28" x14ac:dyDescent="0.25">
      <c r="A195" s="1" t="s">
        <v>514</v>
      </c>
      <c r="B195" s="9">
        <f t="shared" si="42"/>
        <v>1165.3011000000001</v>
      </c>
    </row>
    <row r="196" spans="1:28" x14ac:dyDescent="0.25">
      <c r="A196" s="1" t="s">
        <v>454</v>
      </c>
      <c r="B196" s="9">
        <f t="shared" si="42"/>
        <v>9318.3516</v>
      </c>
    </row>
    <row r="197" spans="1:28" x14ac:dyDescent="0.25">
      <c r="A197" s="1" t="s">
        <v>455</v>
      </c>
      <c r="B197" s="9">
        <f t="shared" si="42"/>
        <v>11567.158719999999</v>
      </c>
    </row>
    <row r="198" spans="1:28" x14ac:dyDescent="0.25">
      <c r="A198" s="1" t="s">
        <v>234</v>
      </c>
      <c r="B198" s="9">
        <f t="shared" si="42"/>
        <v>0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x14ac:dyDescent="0.25">
      <c r="D199" s="6"/>
      <c r="E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x14ac:dyDescent="0.25">
      <c r="A200" s="1"/>
      <c r="B200" s="9"/>
      <c r="D200" s="6"/>
      <c r="E200" s="6"/>
      <c r="F200" s="4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x14ac:dyDescent="0.25">
      <c r="B201" s="9">
        <f>SUM(B153:B198)</f>
        <v>162323.80100000001</v>
      </c>
      <c r="D201" s="6"/>
      <c r="E201" s="6"/>
      <c r="F201" s="4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x14ac:dyDescent="0.25">
      <c r="B202" s="9"/>
      <c r="D202" s="6"/>
      <c r="E202" s="6"/>
      <c r="F202" s="4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x14ac:dyDescent="0.25">
      <c r="A203" s="1" t="s">
        <v>131</v>
      </c>
      <c r="B203" s="9">
        <f t="shared" ref="B203:B208" si="43">+D133</f>
        <v>3411.116</v>
      </c>
      <c r="D203" s="6"/>
      <c r="E203" s="6"/>
      <c r="F203" s="4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x14ac:dyDescent="0.25">
      <c r="A204" s="1" t="s">
        <v>136</v>
      </c>
      <c r="B204" s="9">
        <f t="shared" si="43"/>
        <v>3383.8719999999998</v>
      </c>
      <c r="D204" s="6"/>
      <c r="E204" s="6"/>
      <c r="F204" s="4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x14ac:dyDescent="0.25">
      <c r="A205" s="1" t="s">
        <v>141</v>
      </c>
      <c r="B205" s="9">
        <f t="shared" si="43"/>
        <v>0</v>
      </c>
      <c r="D205" s="6"/>
      <c r="E205" s="6"/>
      <c r="F205" s="4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x14ac:dyDescent="0.25">
      <c r="A206" s="1" t="s">
        <v>143</v>
      </c>
      <c r="B206" s="9">
        <f t="shared" si="43"/>
        <v>1386</v>
      </c>
      <c r="D206" s="6"/>
      <c r="E206" s="6"/>
      <c r="F206" s="4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x14ac:dyDescent="0.25">
      <c r="A207" s="1" t="s">
        <v>151</v>
      </c>
      <c r="B207" s="9">
        <f t="shared" si="43"/>
        <v>4815.5200000000004</v>
      </c>
      <c r="D207" s="6"/>
      <c r="E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x14ac:dyDescent="0.25">
      <c r="A208" s="1" t="s">
        <v>150</v>
      </c>
      <c r="B208" s="9">
        <f t="shared" si="43"/>
        <v>3361.4079999999999</v>
      </c>
      <c r="D208" s="6"/>
      <c r="E208" s="6"/>
      <c r="F208" s="4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31" x14ac:dyDescent="0.25">
      <c r="A209" s="1"/>
      <c r="B209" s="9"/>
      <c r="D209" s="6"/>
      <c r="E209" s="6"/>
      <c r="F209" s="4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31" x14ac:dyDescent="0.25">
      <c r="A210" s="1"/>
      <c r="B210" s="9">
        <f>SUM(B203:B209)</f>
        <v>16357.915999999999</v>
      </c>
      <c r="D210" s="6"/>
      <c r="E210" s="6"/>
      <c r="F210" s="4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31" s="62" customFormat="1" ht="19.5" x14ac:dyDescent="0.35">
      <c r="A211" s="1"/>
      <c r="B211" s="9"/>
    </row>
    <row r="212" spans="1:31" ht="19.5" x14ac:dyDescent="0.35">
      <c r="A212" s="59" t="s">
        <v>152</v>
      </c>
      <c r="B212" s="163">
        <f>B201+B210</f>
        <v>178681.717</v>
      </c>
      <c r="C212" s="70"/>
      <c r="D212" s="60">
        <f>SUM(D152:D207)</f>
        <v>0</v>
      </c>
      <c r="E212" s="60"/>
      <c r="F212" s="60">
        <f>B212*F70</f>
        <v>24882.358593631132</v>
      </c>
      <c r="G212" s="60"/>
      <c r="H212" s="60"/>
      <c r="I212" s="60"/>
      <c r="J212" s="60">
        <f>B212*J70</f>
        <v>0</v>
      </c>
      <c r="K212" s="60"/>
      <c r="L212" s="60">
        <f>B212*L70</f>
        <v>11412.605760679331</v>
      </c>
      <c r="M212" s="60"/>
      <c r="N212" s="60">
        <f>B212*N70</f>
        <v>0</v>
      </c>
      <c r="O212" s="60"/>
      <c r="P212" s="60">
        <f>B212*P70</f>
        <v>18786.55205861228</v>
      </c>
      <c r="Q212" s="60"/>
      <c r="R212" s="60">
        <f>B212*R70</f>
        <v>0</v>
      </c>
      <c r="S212" s="60"/>
      <c r="T212" s="60">
        <f>B212*T70</f>
        <v>7222.1995066733125</v>
      </c>
      <c r="U212" s="60"/>
      <c r="V212" s="60">
        <f>B212*V70</f>
        <v>60588.036096613927</v>
      </c>
      <c r="W212" s="60"/>
      <c r="X212" s="60">
        <f>B212*X70</f>
        <v>43357.705556718662</v>
      </c>
      <c r="Y212" s="60"/>
      <c r="Z212" s="60">
        <f>B212*Z70</f>
        <v>10732.109100693933</v>
      </c>
      <c r="AA212" s="60"/>
      <c r="AB212" s="60">
        <f>B212*AB70</f>
        <v>1700.1951116271709</v>
      </c>
      <c r="AC212" s="61">
        <f>SUM(D212:AB212)-B212</f>
        <v>4.4785249716369435E-2</v>
      </c>
      <c r="AD212" s="62"/>
      <c r="AE212" s="110">
        <f>+SUM(L212:AC212)-B212</f>
        <v>-24882.269023131696</v>
      </c>
    </row>
    <row r="213" spans="1:31" x14ac:dyDescent="0.25">
      <c r="C213" s="6"/>
      <c r="D213" s="57">
        <v>675.8</v>
      </c>
      <c r="F213" s="57">
        <v>101</v>
      </c>
      <c r="J213" s="57">
        <v>620.1</v>
      </c>
      <c r="L213" s="57">
        <v>620.20000000000005</v>
      </c>
      <c r="N213" s="57">
        <v>620.29999999999995</v>
      </c>
      <c r="P213" s="57">
        <v>620.4</v>
      </c>
      <c r="R213" s="57">
        <v>620.5</v>
      </c>
      <c r="T213" s="57">
        <v>620.6</v>
      </c>
      <c r="V213" s="57">
        <v>620.70000000000005</v>
      </c>
      <c r="X213" s="57">
        <v>620.79999999999995</v>
      </c>
      <c r="Z213" s="57">
        <v>604</v>
      </c>
      <c r="AB213" s="57">
        <v>650</v>
      </c>
    </row>
    <row r="214" spans="1:31" x14ac:dyDescent="0.25">
      <c r="A214" s="1"/>
    </row>
    <row r="215" spans="1:31" x14ac:dyDescent="0.25">
      <c r="A215" s="1" t="s">
        <v>110</v>
      </c>
      <c r="B215" s="9"/>
      <c r="F215" s="69" t="s">
        <v>153</v>
      </c>
    </row>
    <row r="216" spans="1:31" x14ac:dyDescent="0.25">
      <c r="B216" s="9"/>
    </row>
    <row r="217" spans="1:31" x14ac:dyDescent="0.25">
      <c r="B217" s="9"/>
      <c r="H217" s="57">
        <f>+H4</f>
        <v>2016</v>
      </c>
      <c r="J217" s="1" t="s">
        <v>111</v>
      </c>
    </row>
    <row r="218" spans="1:31" x14ac:dyDescent="0.25">
      <c r="B218" s="9"/>
    </row>
    <row r="219" spans="1:31" x14ac:dyDescent="0.25">
      <c r="B219" s="9"/>
      <c r="C219" s="71"/>
      <c r="D219" s="72">
        <f>D212</f>
        <v>0</v>
      </c>
      <c r="E219" s="72"/>
      <c r="F219" s="72">
        <f>F212</f>
        <v>24882.358593631132</v>
      </c>
      <c r="G219" s="72"/>
      <c r="H219" s="72">
        <f>H212</f>
        <v>0</v>
      </c>
      <c r="I219" s="72"/>
      <c r="J219" s="72">
        <f>J212</f>
        <v>0</v>
      </c>
      <c r="K219" s="72"/>
      <c r="L219" s="72">
        <f>L212</f>
        <v>11412.605760679331</v>
      </c>
      <c r="M219" s="72"/>
      <c r="N219" s="72">
        <f>N212</f>
        <v>0</v>
      </c>
      <c r="O219" s="72"/>
      <c r="P219" s="72">
        <f>P212</f>
        <v>18786.55205861228</v>
      </c>
      <c r="Q219" s="72"/>
      <c r="R219" s="72">
        <f>R212</f>
        <v>0</v>
      </c>
      <c r="S219" s="72"/>
      <c r="T219" s="72">
        <f>T212</f>
        <v>7222.1995066733125</v>
      </c>
      <c r="U219" s="72"/>
      <c r="V219" s="72">
        <f>V212</f>
        <v>60588.036096613927</v>
      </c>
      <c r="W219" s="72"/>
      <c r="X219" s="72">
        <f>X212</f>
        <v>43357.705556718662</v>
      </c>
      <c r="Y219" s="72"/>
      <c r="Z219" s="72">
        <f>Z212</f>
        <v>10732.109100693933</v>
      </c>
      <c r="AA219" s="72"/>
      <c r="AB219" s="72">
        <f>AB212</f>
        <v>1700.1951116271709</v>
      </c>
      <c r="AC219" s="72">
        <f>SUM(D219:AB219)</f>
        <v>178681.76178524972</v>
      </c>
    </row>
    <row r="220" spans="1:31" x14ac:dyDescent="0.25">
      <c r="A220" s="1" t="s">
        <v>161</v>
      </c>
      <c r="B220" s="9"/>
    </row>
    <row r="221" spans="1:31" x14ac:dyDescent="0.25">
      <c r="A221" s="1" t="s">
        <v>162</v>
      </c>
    </row>
    <row r="222" spans="1:31" x14ac:dyDescent="0.2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31" x14ac:dyDescent="0.25">
      <c r="A223" s="1" t="s">
        <v>163</v>
      </c>
      <c r="D223" s="6">
        <f>D219*0.0765</f>
        <v>0</v>
      </c>
      <c r="E223" s="6"/>
      <c r="F223" s="6">
        <f>F219*0.0765</f>
        <v>1903.5004324127815</v>
      </c>
      <c r="G223" s="6"/>
      <c r="H223" s="6">
        <f>H219*0.0765</f>
        <v>0</v>
      </c>
      <c r="I223" s="6"/>
      <c r="J223" s="6">
        <f>J219*0.0765</f>
        <v>0</v>
      </c>
      <c r="K223" s="6"/>
      <c r="L223" s="6">
        <f>L219*0.0765</f>
        <v>873.06434069196882</v>
      </c>
      <c r="M223" s="6"/>
      <c r="N223" s="6">
        <f>N219*0.0765</f>
        <v>0</v>
      </c>
      <c r="O223" s="6"/>
      <c r="P223" s="6">
        <f>P219*0.0765</f>
        <v>1437.1712324838395</v>
      </c>
      <c r="Q223" s="6"/>
      <c r="R223" s="6">
        <f>R219*0.0765</f>
        <v>0</v>
      </c>
      <c r="S223" s="6"/>
      <c r="T223" s="6">
        <f>T219*0.0765</f>
        <v>552.49826226050834</v>
      </c>
      <c r="U223" s="6"/>
      <c r="V223" s="6">
        <f>V219*0.0765</f>
        <v>4634.9847613909651</v>
      </c>
      <c r="W223" s="6"/>
      <c r="X223" s="6">
        <f>X219*0.0765</f>
        <v>3316.8644750889775</v>
      </c>
      <c r="Y223" s="6"/>
      <c r="Z223" s="6">
        <f>Z219*0.0765</f>
        <v>821.00634620308585</v>
      </c>
      <c r="AA223" s="6"/>
      <c r="AB223" s="6">
        <f>AB219*0.0765</f>
        <v>130.06492603947856</v>
      </c>
      <c r="AC223" s="6">
        <f>SUM(D223:AB223)</f>
        <v>13669.154776571606</v>
      </c>
    </row>
    <row r="224" spans="1:31" x14ac:dyDescent="0.2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30" x14ac:dyDescent="0.25">
      <c r="A225" s="1" t="s">
        <v>235</v>
      </c>
      <c r="B225" s="12">
        <f>+B155+B157+B158+B159+B160+B164+B165-11+545+B168+B205+B206+B171+B173+B176+B178+B179+B181+B188+B191+B192+B194+B196+B197+B198</f>
        <v>94006.980700000015</v>
      </c>
      <c r="D225" s="6">
        <f>D219*0.037</f>
        <v>0</v>
      </c>
      <c r="E225" s="6"/>
      <c r="F225" s="6">
        <f>SUM(B225*0.009)*F70</f>
        <v>117.81864977678522</v>
      </c>
      <c r="G225" s="6"/>
      <c r="H225" s="6">
        <f>H219*0.01</f>
        <v>0</v>
      </c>
      <c r="I225" s="6"/>
      <c r="J225" s="6">
        <f>J219*0.01</f>
        <v>0</v>
      </c>
      <c r="K225" s="6"/>
      <c r="L225" s="6">
        <f>SUM(B225*0.009)*L70</f>
        <v>54.039001009420666</v>
      </c>
      <c r="M225" s="6"/>
      <c r="N225" s="6">
        <f>N219*0.01</f>
        <v>0</v>
      </c>
      <c r="O225" s="6"/>
      <c r="P225" s="6">
        <f>SUM(B225*0.009)*P70</f>
        <v>88.954838793840281</v>
      </c>
      <c r="Q225" s="6"/>
      <c r="R225" s="6">
        <f>R219*0.01</f>
        <v>0</v>
      </c>
      <c r="S225" s="6"/>
      <c r="T225" s="6">
        <f>SUM(B225*0.009)*T70</f>
        <v>34.197312569581413</v>
      </c>
      <c r="U225" s="6"/>
      <c r="V225" s="6">
        <f>SUM(B225*0.009)*V70</f>
        <v>286.88601117409013</v>
      </c>
      <c r="W225" s="6"/>
      <c r="X225" s="6">
        <f>SUM(B225*0.009)*X70</f>
        <v>205.29992391555433</v>
      </c>
      <c r="Y225" s="6"/>
      <c r="Z225" s="6">
        <f>SUM(B225*0.009)*Z70</f>
        <v>50.816830677159103</v>
      </c>
      <c r="AA225" s="6"/>
      <c r="AB225" s="6">
        <f>SUM(B225*0.009)*AB70</f>
        <v>8.0504704429537597</v>
      </c>
      <c r="AC225" s="6">
        <f>SUM(D225:AB225)</f>
        <v>846.0630383593849</v>
      </c>
      <c r="AD225" s="6">
        <f>SUM(B225*0.0086)-AC225</f>
        <v>-37.603004339384825</v>
      </c>
    </row>
    <row r="226" spans="1:30" x14ac:dyDescent="0.25">
      <c r="B226" s="12" t="s">
        <v>166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30" x14ac:dyDescent="0.25">
      <c r="A227" t="s">
        <v>167</v>
      </c>
      <c r="D227" s="6">
        <f>D221*0.037</f>
        <v>0</v>
      </c>
      <c r="E227" s="6"/>
      <c r="F227" s="6">
        <f>SUM(B227*0.008)*F70</f>
        <v>0</v>
      </c>
      <c r="G227" s="6"/>
      <c r="H227" s="6">
        <v>0</v>
      </c>
      <c r="I227" s="6"/>
      <c r="J227" s="6">
        <v>0</v>
      </c>
      <c r="K227" s="6"/>
      <c r="L227" s="6">
        <v>0</v>
      </c>
      <c r="M227" s="6"/>
      <c r="N227" s="6">
        <v>0</v>
      </c>
      <c r="O227" s="6"/>
      <c r="P227" s="6">
        <v>0</v>
      </c>
      <c r="Q227" s="6"/>
      <c r="R227" s="6">
        <v>0</v>
      </c>
      <c r="S227" s="6"/>
      <c r="T227" s="6">
        <v>0</v>
      </c>
      <c r="U227" s="6"/>
      <c r="V227" s="6">
        <v>0</v>
      </c>
      <c r="W227" s="6"/>
      <c r="X227" s="6">
        <v>0</v>
      </c>
      <c r="Y227" s="6"/>
      <c r="Z227" s="6">
        <v>0</v>
      </c>
      <c r="AA227" s="6"/>
      <c r="AB227" s="6">
        <v>0</v>
      </c>
      <c r="AC227" s="6">
        <v>0</v>
      </c>
      <c r="AD227" s="6">
        <v>0</v>
      </c>
    </row>
    <row r="228" spans="1:30" x14ac:dyDescent="0.2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x14ac:dyDescent="0.25">
      <c r="A229" t="s">
        <v>204</v>
      </c>
      <c r="B229" s="12">
        <f>+J239</f>
        <v>9454.4522499999985</v>
      </c>
      <c r="D229" s="6"/>
      <c r="E229" s="6"/>
      <c r="F229" s="6">
        <f>+B229*F70</f>
        <v>1316.5816578249169</v>
      </c>
      <c r="G229" s="6"/>
      <c r="H229" s="6">
        <f>+B229*H70</f>
        <v>0</v>
      </c>
      <c r="I229" s="6"/>
      <c r="J229" s="6">
        <f>+B229*J70</f>
        <v>0</v>
      </c>
      <c r="K229" s="6"/>
      <c r="L229" s="6">
        <f>+B229*L70</f>
        <v>603.86668554577216</v>
      </c>
      <c r="M229" s="6"/>
      <c r="N229" s="6">
        <f>+B229*N70</f>
        <v>0</v>
      </c>
      <c r="O229" s="6"/>
      <c r="P229" s="6">
        <f>+B229*P70</f>
        <v>994.03879905793031</v>
      </c>
      <c r="Q229" s="6"/>
      <c r="R229" s="6">
        <f>+B229*R70</f>
        <v>0</v>
      </c>
      <c r="S229" s="6"/>
      <c r="T229" s="6">
        <f>+B229*T70</f>
        <v>382.14284887253672</v>
      </c>
      <c r="U229" s="6"/>
      <c r="V229" s="6">
        <f>+B229*V70</f>
        <v>3205.8495061177</v>
      </c>
      <c r="W229" s="6"/>
      <c r="X229" s="6">
        <f>+B229*X70</f>
        <v>2294.1538940749947</v>
      </c>
      <c r="Y229" s="6"/>
      <c r="Z229" s="6">
        <f>+B229*Z70</f>
        <v>567.86007397892422</v>
      </c>
      <c r="AA229" s="6"/>
      <c r="AB229" s="6">
        <f>+B229*AB70</f>
        <v>89.961154215696865</v>
      </c>
      <c r="AC229" s="6">
        <f>SUM(D229:AB229)</f>
        <v>9454.4546196884712</v>
      </c>
      <c r="AD229" s="6">
        <f>+AC229-B229</f>
        <v>2.3696884727542056E-3</v>
      </c>
    </row>
    <row r="230" spans="1:30" x14ac:dyDescent="0.2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30" s="62" customFormat="1" ht="20.25" thickBot="1" x14ac:dyDescent="0.4">
      <c r="A231" s="59" t="s">
        <v>164</v>
      </c>
      <c r="B231" s="165"/>
      <c r="C231" s="70"/>
      <c r="D231" s="73">
        <f>SUM(D219:D226)</f>
        <v>0</v>
      </c>
      <c r="E231" s="73"/>
      <c r="F231" s="73">
        <f>SUM(F223:F229)</f>
        <v>3337.9007400144837</v>
      </c>
      <c r="G231" s="73"/>
      <c r="H231" s="73">
        <f>SUM(H223:H229)</f>
        <v>0</v>
      </c>
      <c r="I231" s="73"/>
      <c r="J231" s="73">
        <f>SUM(J223:J229)</f>
        <v>0</v>
      </c>
      <c r="K231" s="73"/>
      <c r="L231" s="73">
        <f>SUM(L223:L229)</f>
        <v>1530.9700272471616</v>
      </c>
      <c r="M231" s="73"/>
      <c r="N231" s="73">
        <f>SUM(N223:N229)</f>
        <v>0</v>
      </c>
      <c r="O231" s="73"/>
      <c r="P231" s="73">
        <f>SUM(P223:P229)</f>
        <v>2520.16487033561</v>
      </c>
      <c r="Q231" s="73"/>
      <c r="R231" s="73">
        <f>SUM(R223:R229)</f>
        <v>0</v>
      </c>
      <c r="S231" s="73"/>
      <c r="T231" s="73">
        <f>SUM(T223:T229)</f>
        <v>968.83842370262641</v>
      </c>
      <c r="U231" s="73"/>
      <c r="V231" s="73">
        <f>SUM(V223:V229)</f>
        <v>8127.7202786827556</v>
      </c>
      <c r="W231" s="73"/>
      <c r="X231" s="73">
        <f>SUM(X223:X229)</f>
        <v>5816.3182930795265</v>
      </c>
      <c r="Y231" s="73"/>
      <c r="Z231" s="73">
        <f>SUM(Z223:Z229)</f>
        <v>1439.6832508591692</v>
      </c>
      <c r="AA231" s="73"/>
      <c r="AB231" s="73">
        <f>SUM(AB223:AB229)</f>
        <v>228.07655069812918</v>
      </c>
      <c r="AC231" s="74">
        <f>SUM(D231:AB231)</f>
        <v>23969.672434619461</v>
      </c>
      <c r="AD231" s="78">
        <f>+AC231-SUM(AC223:AC229)</f>
        <v>0</v>
      </c>
    </row>
    <row r="232" spans="1:30" ht="16.5" thickTop="1" x14ac:dyDescent="0.2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1" t="s">
        <v>165</v>
      </c>
    </row>
    <row r="235" spans="1:30" x14ac:dyDescent="0.25">
      <c r="A235" s="1"/>
      <c r="B235" s="9"/>
    </row>
    <row r="236" spans="1:30" x14ac:dyDescent="0.25">
      <c r="A236" s="1" t="s">
        <v>204</v>
      </c>
      <c r="B236" s="166" t="s">
        <v>518</v>
      </c>
      <c r="D236" s="28" t="s">
        <v>516</v>
      </c>
      <c r="F236" s="28" t="s">
        <v>517</v>
      </c>
      <c r="H236" t="s">
        <v>62</v>
      </c>
    </row>
    <row r="237" spans="1:30" x14ac:dyDescent="0.25">
      <c r="A237" t="s">
        <v>205</v>
      </c>
      <c r="B237" s="166">
        <v>38923</v>
      </c>
      <c r="D237" s="28">
        <v>0.90105000000000002</v>
      </c>
      <c r="F237" s="28">
        <v>1.13855</v>
      </c>
      <c r="H237">
        <f>+F237-D237</f>
        <v>0.23749999999999993</v>
      </c>
      <c r="J237" s="12">
        <f>+B237*H237</f>
        <v>9244.2124999999978</v>
      </c>
    </row>
    <row r="238" spans="1:30" x14ac:dyDescent="0.25">
      <c r="A238" t="s">
        <v>206</v>
      </c>
      <c r="B238" s="166">
        <v>31615</v>
      </c>
      <c r="D238" s="28">
        <v>7.6799999999999993E-2</v>
      </c>
      <c r="F238" s="28">
        <v>8.3449999999999996E-2</v>
      </c>
      <c r="H238">
        <f>+F238-D238</f>
        <v>6.6500000000000031E-3</v>
      </c>
      <c r="J238" s="12">
        <f>+B238*H238</f>
        <v>210.2397500000001</v>
      </c>
    </row>
    <row r="239" spans="1:30" ht="16.5" thickBot="1" x14ac:dyDescent="0.3">
      <c r="B239" s="9"/>
      <c r="J239" s="159">
        <f>SUM(J237:J238)</f>
        <v>9454.4522499999985</v>
      </c>
    </row>
    <row r="240" spans="1:30" ht="16.5" thickTop="1" x14ac:dyDescent="0.25">
      <c r="B240" s="9"/>
      <c r="D240" s="75"/>
    </row>
    <row r="241" spans="1:4" x14ac:dyDescent="0.25">
      <c r="A241" s="1"/>
      <c r="B241" s="31"/>
      <c r="D241" s="75"/>
    </row>
    <row r="242" spans="1:4" x14ac:dyDescent="0.25">
      <c r="B242" s="31"/>
    </row>
    <row r="243" spans="1:4" x14ac:dyDescent="0.25">
      <c r="D243" s="57"/>
    </row>
    <row r="244" spans="1:4" x14ac:dyDescent="0.25">
      <c r="A244" s="1"/>
      <c r="B244" s="9"/>
      <c r="D244" s="57"/>
    </row>
    <row r="245" spans="1:4" x14ac:dyDescent="0.25">
      <c r="A245" s="1"/>
      <c r="B245" s="9"/>
      <c r="D245" s="57"/>
    </row>
    <row r="246" spans="1:4" x14ac:dyDescent="0.25">
      <c r="A246" s="1"/>
      <c r="B246" s="9"/>
      <c r="D246" s="57"/>
    </row>
    <row r="247" spans="1:4" x14ac:dyDescent="0.25">
      <c r="A247" s="1"/>
      <c r="B247" s="9"/>
      <c r="D247" s="57"/>
    </row>
    <row r="248" spans="1:4" x14ac:dyDescent="0.25">
      <c r="A248" s="1"/>
      <c r="B248" s="9"/>
      <c r="D248" s="57"/>
    </row>
    <row r="249" spans="1:4" x14ac:dyDescent="0.25">
      <c r="A249" s="1"/>
      <c r="B249" s="9"/>
      <c r="D249" s="57"/>
    </row>
    <row r="250" spans="1:4" x14ac:dyDescent="0.25">
      <c r="A250" s="1"/>
      <c r="B250" s="9"/>
      <c r="D250" s="57"/>
    </row>
    <row r="251" spans="1:4" x14ac:dyDescent="0.25">
      <c r="A251" s="1"/>
      <c r="B251" s="9"/>
      <c r="D251" s="57"/>
    </row>
    <row r="252" spans="1:4" x14ac:dyDescent="0.25">
      <c r="A252" s="1"/>
      <c r="B252" s="9"/>
      <c r="D252" s="57"/>
    </row>
    <row r="253" spans="1:4" x14ac:dyDescent="0.25">
      <c r="A253" s="1"/>
      <c r="B253" s="9"/>
      <c r="D253" s="57"/>
    </row>
    <row r="254" spans="1:4" x14ac:dyDescent="0.25">
      <c r="A254" s="1"/>
      <c r="B254" s="9"/>
      <c r="D254" s="57"/>
    </row>
    <row r="255" spans="1:4" x14ac:dyDescent="0.25">
      <c r="A255" s="1"/>
      <c r="B255" s="9"/>
    </row>
    <row r="256" spans="1:4" x14ac:dyDescent="0.25">
      <c r="B256" s="9"/>
      <c r="D256" s="57"/>
    </row>
    <row r="257" spans="1:4" x14ac:dyDescent="0.25">
      <c r="A257" s="1"/>
      <c r="B257" s="9"/>
      <c r="D257" s="57"/>
    </row>
    <row r="258" spans="1:4" x14ac:dyDescent="0.25">
      <c r="A258" s="1"/>
      <c r="B258" s="9"/>
      <c r="D258" s="57"/>
    </row>
    <row r="259" spans="1:4" x14ac:dyDescent="0.25">
      <c r="A259" s="1"/>
      <c r="B259" s="9"/>
      <c r="D259" s="57"/>
    </row>
    <row r="260" spans="1:4" x14ac:dyDescent="0.25">
      <c r="A260" s="1"/>
      <c r="B260" s="9"/>
      <c r="D260" s="57"/>
    </row>
    <row r="261" spans="1:4" x14ac:dyDescent="0.25">
      <c r="A261" s="1"/>
      <c r="B261" s="9"/>
      <c r="D261" s="57"/>
    </row>
    <row r="262" spans="1:4" x14ac:dyDescent="0.25">
      <c r="A262" s="1"/>
      <c r="B262" s="9"/>
      <c r="D262" s="57"/>
    </row>
    <row r="263" spans="1:4" x14ac:dyDescent="0.25">
      <c r="A263" s="1"/>
      <c r="B263" s="9"/>
      <c r="D263" s="57"/>
    </row>
    <row r="264" spans="1:4" x14ac:dyDescent="0.25">
      <c r="A264" s="1"/>
      <c r="B264" s="9"/>
      <c r="D264" s="57"/>
    </row>
    <row r="265" spans="1:4" x14ac:dyDescent="0.25">
      <c r="A265" s="1"/>
      <c r="B265" s="9"/>
      <c r="D265" s="57"/>
    </row>
    <row r="266" spans="1:4" x14ac:dyDescent="0.25">
      <c r="A266" s="1"/>
      <c r="B266" s="9"/>
      <c r="D266" s="76"/>
    </row>
    <row r="267" spans="1:4" x14ac:dyDescent="0.25">
      <c r="A267" s="1"/>
      <c r="B267" s="9"/>
      <c r="D267" s="57"/>
    </row>
    <row r="268" spans="1:4" x14ac:dyDescent="0.25">
      <c r="A268" s="1"/>
      <c r="B268" s="9"/>
      <c r="D268" s="57"/>
    </row>
    <row r="269" spans="1:4" x14ac:dyDescent="0.25">
      <c r="A269" s="1"/>
      <c r="B269" s="162"/>
    </row>
    <row r="270" spans="1:4" x14ac:dyDescent="0.25">
      <c r="B270" s="9"/>
    </row>
    <row r="271" spans="1:4" x14ac:dyDescent="0.25">
      <c r="B271" s="9"/>
    </row>
    <row r="272" spans="1:4" x14ac:dyDescent="0.25">
      <c r="B272" s="9"/>
      <c r="D272" s="57"/>
    </row>
    <row r="273" spans="1:4" x14ac:dyDescent="0.25">
      <c r="A273" s="1"/>
      <c r="B273" s="162"/>
    </row>
    <row r="274" spans="1:4" x14ac:dyDescent="0.25">
      <c r="B274" s="9"/>
      <c r="D274" s="57"/>
    </row>
    <row r="275" spans="1:4" x14ac:dyDescent="0.25">
      <c r="A275" s="77"/>
      <c r="B275" s="167"/>
    </row>
  </sheetData>
  <phoneticPr fontId="0" type="noConversion"/>
  <pageMargins left="0.75" right="0.75" top="1" bottom="1" header="0.5" footer="0.5"/>
  <pageSetup scale="34" orientation="landscape" horizontalDpi="409" verticalDpi="409" r:id="rId1"/>
  <headerFooter alignWithMargins="0"/>
  <rowBreaks count="3" manualBreakCount="3">
    <brk id="70" max="27" man="1"/>
    <brk id="142" max="27" man="1"/>
    <brk id="213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85" zoomScaleNormal="75" workbookViewId="0">
      <selection activeCell="A6" sqref="A6"/>
    </sheetView>
  </sheetViews>
  <sheetFormatPr defaultRowHeight="15.75" x14ac:dyDescent="0.25"/>
  <cols>
    <col min="1" max="1" width="3.5546875" customWidth="1"/>
    <col min="2" max="2" width="21.88671875" customWidth="1"/>
    <col min="4" max="4" width="9.44140625" bestFit="1" customWidth="1"/>
    <col min="5" max="5" width="9.77734375" bestFit="1" customWidth="1"/>
    <col min="6" max="6" width="8.88671875" style="53"/>
    <col min="7" max="7" width="12.109375" bestFit="1" customWidth="1"/>
    <col min="8" max="8" width="16.44140625" style="53" bestFit="1" customWidth="1"/>
    <col min="9" max="9" width="9.44140625" bestFit="1" customWidth="1"/>
    <col min="10" max="10" width="9.77734375" bestFit="1" customWidth="1"/>
    <col min="11" max="11" width="10" bestFit="1" customWidth="1"/>
    <col min="12" max="12" width="15.44140625" bestFit="1" customWidth="1"/>
  </cols>
  <sheetData>
    <row r="1" spans="1:8" ht="20.25" x14ac:dyDescent="0.3">
      <c r="B1" s="48" t="s">
        <v>57</v>
      </c>
    </row>
    <row r="5" spans="1:8" x14ac:dyDescent="0.25">
      <c r="A5" t="s">
        <v>102</v>
      </c>
    </row>
    <row r="6" spans="1:8" x14ac:dyDescent="0.25">
      <c r="A6" t="s">
        <v>521</v>
      </c>
    </row>
    <row r="7" spans="1:8" x14ac:dyDescent="0.25">
      <c r="A7" t="s">
        <v>103</v>
      </c>
    </row>
    <row r="8" spans="1:8" x14ac:dyDescent="0.25">
      <c r="B8" s="28"/>
    </row>
    <row r="10" spans="1:8" x14ac:dyDescent="0.25">
      <c r="D10" s="139"/>
      <c r="E10" s="140"/>
      <c r="F10" s="185"/>
      <c r="G10" s="49" t="s">
        <v>105</v>
      </c>
      <c r="H10" s="180">
        <v>6</v>
      </c>
    </row>
    <row r="11" spans="1:8" x14ac:dyDescent="0.25">
      <c r="D11" s="138" t="s">
        <v>90</v>
      </c>
      <c r="E11" s="141" t="s">
        <v>104</v>
      </c>
      <c r="F11" s="181" t="s">
        <v>228</v>
      </c>
      <c r="G11" s="138" t="s">
        <v>91</v>
      </c>
      <c r="H11" s="181" t="s">
        <v>180</v>
      </c>
    </row>
    <row r="12" spans="1:8" x14ac:dyDescent="0.25">
      <c r="D12" s="50"/>
      <c r="E12" s="142">
        <v>42552</v>
      </c>
      <c r="F12" s="182" t="s">
        <v>229</v>
      </c>
      <c r="G12" s="146" t="s">
        <v>181</v>
      </c>
      <c r="H12" s="182" t="s">
        <v>106</v>
      </c>
    </row>
    <row r="13" spans="1:8" x14ac:dyDescent="0.25">
      <c r="A13" s="51">
        <v>1</v>
      </c>
      <c r="B13" s="183" t="s">
        <v>189</v>
      </c>
      <c r="D13" s="53">
        <v>420.05</v>
      </c>
      <c r="E13" s="53">
        <v>434.11</v>
      </c>
      <c r="G13" s="54">
        <f>+E13-D13-F13</f>
        <v>14.060000000000002</v>
      </c>
      <c r="H13" s="53">
        <f>+G13*H10</f>
        <v>84.360000000000014</v>
      </c>
    </row>
    <row r="14" spans="1:8" x14ac:dyDescent="0.25">
      <c r="A14" s="51">
        <v>2</v>
      </c>
      <c r="B14" s="183" t="s">
        <v>474</v>
      </c>
      <c r="D14" s="53">
        <v>420.05</v>
      </c>
      <c r="E14" s="53">
        <v>434.11</v>
      </c>
      <c r="G14" s="54">
        <f t="shared" ref="G14:G48" si="0">+E14-D14-F14</f>
        <v>14.060000000000002</v>
      </c>
      <c r="H14" s="53">
        <f>+G14*H10</f>
        <v>84.360000000000014</v>
      </c>
    </row>
    <row r="15" spans="1:8" x14ac:dyDescent="0.25">
      <c r="A15" s="51">
        <v>3</v>
      </c>
      <c r="B15" s="183" t="s">
        <v>212</v>
      </c>
      <c r="D15" s="53" t="s">
        <v>221</v>
      </c>
      <c r="E15" s="53" t="s">
        <v>221</v>
      </c>
      <c r="G15" s="54"/>
    </row>
    <row r="16" spans="1:8" x14ac:dyDescent="0.25">
      <c r="A16" s="51">
        <v>4</v>
      </c>
      <c r="B16" s="183" t="s">
        <v>190</v>
      </c>
      <c r="D16" s="53">
        <v>1511.39</v>
      </c>
      <c r="E16" s="53">
        <v>1561.98</v>
      </c>
      <c r="G16" s="54">
        <f t="shared" si="0"/>
        <v>50.589999999999918</v>
      </c>
      <c r="H16" s="53">
        <f>+G16*H10</f>
        <v>303.53999999999951</v>
      </c>
    </row>
    <row r="17" spans="1:8" x14ac:dyDescent="0.25">
      <c r="A17" s="51">
        <v>5</v>
      </c>
      <c r="B17" s="168" t="s">
        <v>191</v>
      </c>
      <c r="D17" s="53">
        <v>1810.36</v>
      </c>
      <c r="E17" s="53">
        <v>1875.82</v>
      </c>
      <c r="F17" s="53">
        <v>14.87</v>
      </c>
      <c r="G17" s="54">
        <f t="shared" si="0"/>
        <v>50.590000000000039</v>
      </c>
      <c r="H17" s="53">
        <f>+G17*H10</f>
        <v>303.54000000000025</v>
      </c>
    </row>
    <row r="18" spans="1:8" x14ac:dyDescent="0.25">
      <c r="A18" s="51">
        <v>6</v>
      </c>
      <c r="B18" s="183" t="s">
        <v>223</v>
      </c>
      <c r="D18" s="53">
        <v>420.05</v>
      </c>
      <c r="E18" s="53">
        <v>434.11</v>
      </c>
      <c r="G18" s="54">
        <f t="shared" si="0"/>
        <v>14.060000000000002</v>
      </c>
      <c r="H18" s="53">
        <f>+G18*H10</f>
        <v>84.360000000000014</v>
      </c>
    </row>
    <row r="19" spans="1:8" x14ac:dyDescent="0.25">
      <c r="A19" s="51">
        <v>7</v>
      </c>
      <c r="B19" s="169" t="s">
        <v>213</v>
      </c>
      <c r="D19" s="55">
        <v>503.15</v>
      </c>
      <c r="E19" s="55">
        <v>521.34</v>
      </c>
      <c r="F19" s="53">
        <v>4.13</v>
      </c>
      <c r="G19" s="54">
        <f t="shared" si="0"/>
        <v>14.060000000000056</v>
      </c>
      <c r="H19" s="53">
        <f>+G19*H10</f>
        <v>84.360000000000326</v>
      </c>
    </row>
    <row r="20" spans="1:8" s="184" customFormat="1" x14ac:dyDescent="0.25">
      <c r="A20" s="51">
        <v>8</v>
      </c>
      <c r="B20" s="183" t="s">
        <v>475</v>
      </c>
      <c r="D20" s="53" t="s">
        <v>221</v>
      </c>
      <c r="E20" s="53" t="s">
        <v>221</v>
      </c>
      <c r="F20" s="53"/>
      <c r="G20" s="54">
        <v>0</v>
      </c>
      <c r="H20" s="53">
        <f>+G20*H16</f>
        <v>0</v>
      </c>
    </row>
    <row r="21" spans="1:8" s="53" customFormat="1" x14ac:dyDescent="0.25">
      <c r="A21" s="51">
        <v>9</v>
      </c>
      <c r="B21" s="183" t="s">
        <v>192</v>
      </c>
      <c r="D21" s="55">
        <v>420.05</v>
      </c>
      <c r="E21" s="55">
        <v>434.11</v>
      </c>
      <c r="G21" s="54">
        <f t="shared" si="0"/>
        <v>14.060000000000002</v>
      </c>
      <c r="H21" s="53">
        <f>+G21*H10</f>
        <v>84.360000000000014</v>
      </c>
    </row>
    <row r="22" spans="1:8" x14ac:dyDescent="0.25">
      <c r="A22" s="51">
        <v>10</v>
      </c>
      <c r="B22" s="183" t="s">
        <v>214</v>
      </c>
      <c r="D22" s="53">
        <v>1070.3800000000001</v>
      </c>
      <c r="E22" s="53">
        <v>1106.21</v>
      </c>
      <c r="G22" s="54">
        <f t="shared" si="0"/>
        <v>35.829999999999927</v>
      </c>
      <c r="H22" s="53">
        <f>+G22*H10</f>
        <v>214.97999999999956</v>
      </c>
    </row>
    <row r="23" spans="1:8" x14ac:dyDescent="0.25">
      <c r="A23" s="51">
        <v>11</v>
      </c>
      <c r="B23" s="168" t="s">
        <v>194</v>
      </c>
      <c r="D23" s="53">
        <v>1282.1199999999999</v>
      </c>
      <c r="E23" s="53">
        <v>1328.48</v>
      </c>
      <c r="F23" s="53">
        <v>10.53</v>
      </c>
      <c r="G23" s="54">
        <f t="shared" si="0"/>
        <v>35.830000000000126</v>
      </c>
      <c r="H23" s="53">
        <f>+G23*H10</f>
        <v>214.98000000000076</v>
      </c>
    </row>
    <row r="24" spans="1:8" x14ac:dyDescent="0.25">
      <c r="A24" s="51">
        <v>12</v>
      </c>
      <c r="B24" s="169" t="s">
        <v>493</v>
      </c>
      <c r="D24" s="53">
        <v>503.15</v>
      </c>
      <c r="E24" s="53">
        <v>521.34</v>
      </c>
      <c r="F24" s="53">
        <v>4.13</v>
      </c>
      <c r="G24" s="54">
        <f t="shared" si="0"/>
        <v>14.060000000000056</v>
      </c>
      <c r="H24" s="53">
        <f>+G24*H10</f>
        <v>84.360000000000326</v>
      </c>
    </row>
    <row r="25" spans="1:8" x14ac:dyDescent="0.25">
      <c r="A25" s="51">
        <v>13</v>
      </c>
      <c r="B25" s="183" t="s">
        <v>195</v>
      </c>
      <c r="D25" s="53">
        <v>420.05</v>
      </c>
      <c r="E25" s="53">
        <v>434.11</v>
      </c>
      <c r="G25" s="54">
        <f t="shared" si="0"/>
        <v>14.060000000000002</v>
      </c>
      <c r="H25" s="53">
        <f>+G25*H10</f>
        <v>84.360000000000014</v>
      </c>
    </row>
    <row r="26" spans="1:8" x14ac:dyDescent="0.25">
      <c r="A26" s="51">
        <v>14</v>
      </c>
      <c r="B26" s="183" t="s">
        <v>203</v>
      </c>
      <c r="D26" s="53">
        <v>1070.3800000000001</v>
      </c>
      <c r="E26" s="53">
        <v>1106.21</v>
      </c>
      <c r="G26" s="54">
        <f t="shared" si="0"/>
        <v>35.829999999999927</v>
      </c>
      <c r="H26" s="53">
        <f>+G26*H10</f>
        <v>214.97999999999956</v>
      </c>
    </row>
    <row r="27" spans="1:8" x14ac:dyDescent="0.25">
      <c r="A27" s="51">
        <v>15</v>
      </c>
      <c r="B27" s="183" t="s">
        <v>236</v>
      </c>
      <c r="D27" s="53">
        <v>1070.3800000000001</v>
      </c>
      <c r="E27" s="53">
        <v>1106.21</v>
      </c>
      <c r="G27" s="54">
        <f t="shared" ref="G27" si="1">+E27-D27-F27</f>
        <v>35.829999999999927</v>
      </c>
      <c r="H27" s="53">
        <f>+G27*H10</f>
        <v>214.97999999999956</v>
      </c>
    </row>
    <row r="28" spans="1:8" x14ac:dyDescent="0.25">
      <c r="A28" s="51">
        <v>16</v>
      </c>
      <c r="B28" s="183" t="s">
        <v>215</v>
      </c>
      <c r="D28" s="53">
        <v>1511.39</v>
      </c>
      <c r="E28" s="53">
        <v>1561.98</v>
      </c>
      <c r="G28" s="54">
        <f t="shared" si="0"/>
        <v>50.589999999999918</v>
      </c>
      <c r="H28" s="53">
        <f>+G28*5</f>
        <v>252.94999999999959</v>
      </c>
    </row>
    <row r="29" spans="1:8" x14ac:dyDescent="0.25">
      <c r="A29" s="51">
        <v>17</v>
      </c>
      <c r="B29" s="183" t="s">
        <v>196</v>
      </c>
      <c r="D29" s="53">
        <v>1070.3800000000001</v>
      </c>
      <c r="E29" s="53">
        <v>1106.21</v>
      </c>
      <c r="G29" s="54">
        <f t="shared" si="0"/>
        <v>35.829999999999927</v>
      </c>
      <c r="H29" s="53">
        <f>+G29*H10</f>
        <v>214.97999999999956</v>
      </c>
    </row>
    <row r="30" spans="1:8" x14ac:dyDescent="0.25">
      <c r="A30" s="51">
        <v>18</v>
      </c>
      <c r="B30" s="183" t="s">
        <v>494</v>
      </c>
      <c r="D30" s="53" t="s">
        <v>221</v>
      </c>
      <c r="E30" s="53" t="s">
        <v>221</v>
      </c>
      <c r="G30" s="54"/>
    </row>
    <row r="31" spans="1:8" x14ac:dyDescent="0.25">
      <c r="A31" s="51">
        <v>19</v>
      </c>
      <c r="B31" s="183" t="s">
        <v>476</v>
      </c>
      <c r="D31" s="55">
        <v>420.05</v>
      </c>
      <c r="E31" s="55">
        <v>434.11</v>
      </c>
      <c r="G31" s="54">
        <f t="shared" ref="G31" si="2">+E31-D31-F31</f>
        <v>14.060000000000002</v>
      </c>
      <c r="H31" s="53">
        <f>+G31*H10</f>
        <v>84.360000000000014</v>
      </c>
    </row>
    <row r="32" spans="1:8" x14ac:dyDescent="0.25">
      <c r="A32" s="51">
        <v>20</v>
      </c>
      <c r="B32" s="183" t="s">
        <v>197</v>
      </c>
      <c r="C32" s="154"/>
      <c r="D32" s="53">
        <v>1511.39</v>
      </c>
      <c r="E32" s="53">
        <v>1561.98</v>
      </c>
      <c r="G32" s="54">
        <f t="shared" si="0"/>
        <v>50.589999999999918</v>
      </c>
      <c r="H32" s="53">
        <f>+G32*10</f>
        <v>505.89999999999918</v>
      </c>
    </row>
    <row r="33" spans="1:9" x14ac:dyDescent="0.25">
      <c r="A33" s="51">
        <v>21</v>
      </c>
      <c r="B33" s="183" t="s">
        <v>216</v>
      </c>
      <c r="D33" s="53">
        <v>1070.3800000000001</v>
      </c>
      <c r="E33" s="53">
        <v>1106.21</v>
      </c>
      <c r="G33" s="54">
        <f t="shared" si="0"/>
        <v>35.829999999999927</v>
      </c>
      <c r="H33" s="53">
        <f>+G33*H10</f>
        <v>214.97999999999956</v>
      </c>
    </row>
    <row r="34" spans="1:9" x14ac:dyDescent="0.25">
      <c r="A34" s="51">
        <v>22</v>
      </c>
      <c r="B34" s="168" t="s">
        <v>217</v>
      </c>
      <c r="D34" s="53">
        <v>503.15</v>
      </c>
      <c r="E34" s="53">
        <v>521.34</v>
      </c>
      <c r="F34" s="53">
        <v>4.13</v>
      </c>
      <c r="G34" s="54">
        <f t="shared" si="0"/>
        <v>14.060000000000056</v>
      </c>
      <c r="H34" s="53">
        <f>+G34*H10</f>
        <v>84.360000000000326</v>
      </c>
    </row>
    <row r="35" spans="1:9" x14ac:dyDescent="0.25">
      <c r="A35" s="51">
        <v>23</v>
      </c>
      <c r="B35" s="183" t="s">
        <v>497</v>
      </c>
      <c r="D35" s="53">
        <v>420.05</v>
      </c>
      <c r="E35" s="53">
        <v>434.11</v>
      </c>
      <c r="G35" s="54">
        <f t="shared" si="0"/>
        <v>14.060000000000002</v>
      </c>
      <c r="H35" s="53">
        <f>+G35*H10</f>
        <v>84.360000000000014</v>
      </c>
    </row>
    <row r="36" spans="1:9" x14ac:dyDescent="0.25">
      <c r="A36" s="51">
        <v>24</v>
      </c>
      <c r="B36" s="183" t="s">
        <v>218</v>
      </c>
      <c r="D36" s="53">
        <v>861.07</v>
      </c>
      <c r="E36" s="53">
        <v>889.9</v>
      </c>
      <c r="G36" s="54">
        <f t="shared" si="0"/>
        <v>28.829999999999927</v>
      </c>
      <c r="H36" s="53">
        <f>+G36*H10</f>
        <v>172.97999999999956</v>
      </c>
    </row>
    <row r="37" spans="1:9" x14ac:dyDescent="0.25">
      <c r="A37" s="51">
        <v>25</v>
      </c>
      <c r="B37" s="183" t="s">
        <v>198</v>
      </c>
      <c r="C37" s="154"/>
      <c r="D37" s="53">
        <v>503.15</v>
      </c>
      <c r="E37" s="53">
        <v>521.34</v>
      </c>
      <c r="G37" s="54">
        <f t="shared" si="0"/>
        <v>18.190000000000055</v>
      </c>
      <c r="H37" s="53">
        <f>+G37*10</f>
        <v>181.90000000000055</v>
      </c>
    </row>
    <row r="38" spans="1:9" x14ac:dyDescent="0.25">
      <c r="A38" s="51">
        <v>26</v>
      </c>
      <c r="B38" s="183" t="s">
        <v>495</v>
      </c>
      <c r="D38" s="53">
        <v>420.05</v>
      </c>
      <c r="E38" s="53">
        <v>434.11</v>
      </c>
      <c r="G38" s="54">
        <f t="shared" si="0"/>
        <v>14.060000000000002</v>
      </c>
      <c r="H38" s="53">
        <f>+G38*H10</f>
        <v>84.360000000000014</v>
      </c>
    </row>
    <row r="39" spans="1:9" x14ac:dyDescent="0.25">
      <c r="A39" s="51">
        <v>27</v>
      </c>
      <c r="B39" s="168" t="s">
        <v>199</v>
      </c>
      <c r="D39" s="54">
        <v>503.15</v>
      </c>
      <c r="E39" s="54">
        <v>521.34</v>
      </c>
      <c r="F39" s="53">
        <v>4.13</v>
      </c>
      <c r="G39" s="54">
        <f t="shared" si="0"/>
        <v>14.060000000000056</v>
      </c>
      <c r="H39" s="53">
        <f>+G39*H10</f>
        <v>84.360000000000326</v>
      </c>
    </row>
    <row r="40" spans="1:9" x14ac:dyDescent="0.25">
      <c r="A40" s="51">
        <v>28</v>
      </c>
      <c r="B40" s="168" t="s">
        <v>220</v>
      </c>
      <c r="D40" s="54">
        <v>503.15</v>
      </c>
      <c r="E40" s="54">
        <v>521.34</v>
      </c>
      <c r="F40" s="53">
        <v>4.13</v>
      </c>
      <c r="G40" s="54">
        <f t="shared" si="0"/>
        <v>14.060000000000056</v>
      </c>
      <c r="H40" s="53">
        <f>+G40*H10</f>
        <v>84.360000000000326</v>
      </c>
      <c r="I40" s="53"/>
    </row>
    <row r="41" spans="1:9" x14ac:dyDescent="0.25">
      <c r="A41" s="51">
        <v>29</v>
      </c>
      <c r="B41" s="183" t="s">
        <v>224</v>
      </c>
      <c r="D41" s="54">
        <v>420.05</v>
      </c>
      <c r="E41" s="54">
        <v>1106.21</v>
      </c>
      <c r="G41" s="54">
        <f t="shared" si="0"/>
        <v>686.16000000000008</v>
      </c>
      <c r="H41" s="53">
        <f>+G41*H10</f>
        <v>4116.9600000000009</v>
      </c>
      <c r="I41" s="53"/>
    </row>
    <row r="42" spans="1:9" x14ac:dyDescent="0.25">
      <c r="A42" s="51">
        <v>30</v>
      </c>
      <c r="B42" s="183" t="s">
        <v>496</v>
      </c>
      <c r="D42" s="54">
        <v>420.05</v>
      </c>
      <c r="E42" s="54">
        <v>434.11</v>
      </c>
      <c r="G42" s="54">
        <f t="shared" si="0"/>
        <v>14.060000000000002</v>
      </c>
      <c r="H42" s="53">
        <f>+G42*H10</f>
        <v>84.360000000000014</v>
      </c>
      <c r="I42" s="53"/>
    </row>
    <row r="43" spans="1:9" x14ac:dyDescent="0.25">
      <c r="A43" s="51">
        <v>31</v>
      </c>
      <c r="B43" s="183" t="s">
        <v>522</v>
      </c>
      <c r="D43" s="54">
        <v>503.15</v>
      </c>
      <c r="E43" s="54">
        <v>521.34</v>
      </c>
      <c r="F43" s="53">
        <v>4.13</v>
      </c>
      <c r="G43" s="54">
        <f t="shared" si="0"/>
        <v>14.060000000000056</v>
      </c>
      <c r="H43" s="53">
        <f>+G43*H10</f>
        <v>84.360000000000326</v>
      </c>
      <c r="I43" s="53"/>
    </row>
    <row r="44" spans="1:9" x14ac:dyDescent="0.25">
      <c r="A44" s="51">
        <v>32</v>
      </c>
      <c r="B44" s="183" t="s">
        <v>523</v>
      </c>
      <c r="D44" s="54">
        <v>420.05</v>
      </c>
      <c r="E44" s="54">
        <v>434.11</v>
      </c>
      <c r="G44" s="54">
        <f t="shared" si="0"/>
        <v>14.060000000000002</v>
      </c>
      <c r="H44" s="53">
        <f>+G44*H10</f>
        <v>84.360000000000014</v>
      </c>
      <c r="I44" s="53"/>
    </row>
    <row r="45" spans="1:9" x14ac:dyDescent="0.25">
      <c r="A45" s="51">
        <v>33</v>
      </c>
      <c r="B45" s="183" t="s">
        <v>477</v>
      </c>
      <c r="D45" s="53">
        <v>420.05</v>
      </c>
      <c r="E45" s="53">
        <v>434.11</v>
      </c>
      <c r="G45" s="54">
        <f t="shared" si="0"/>
        <v>14.060000000000002</v>
      </c>
      <c r="H45" s="53">
        <f>+G45*H10</f>
        <v>84.360000000000014</v>
      </c>
      <c r="I45" s="53"/>
    </row>
    <row r="46" spans="1:9" x14ac:dyDescent="0.25">
      <c r="A46" s="51">
        <v>34</v>
      </c>
      <c r="B46" s="183" t="s">
        <v>478</v>
      </c>
      <c r="D46" s="53">
        <v>420.05</v>
      </c>
      <c r="E46" s="53">
        <v>434.11</v>
      </c>
      <c r="G46" s="54">
        <f t="shared" si="0"/>
        <v>14.060000000000002</v>
      </c>
      <c r="H46" s="53">
        <f>+G46*H10</f>
        <v>84.360000000000014</v>
      </c>
      <c r="I46" s="53"/>
    </row>
    <row r="47" spans="1:9" x14ac:dyDescent="0.25">
      <c r="A47" s="51">
        <v>35</v>
      </c>
      <c r="B47" s="183" t="s">
        <v>237</v>
      </c>
      <c r="D47" s="53">
        <v>1070.3800000000001</v>
      </c>
      <c r="E47" s="53">
        <v>1106.21</v>
      </c>
      <c r="G47" s="54">
        <f t="shared" si="0"/>
        <v>35.829999999999927</v>
      </c>
      <c r="H47" s="53">
        <f>+G47*H10</f>
        <v>214.97999999999956</v>
      </c>
      <c r="I47" s="53"/>
    </row>
    <row r="48" spans="1:9" x14ac:dyDescent="0.25">
      <c r="A48" s="51">
        <v>36</v>
      </c>
      <c r="B48" s="183" t="s">
        <v>200</v>
      </c>
      <c r="D48" s="53">
        <v>1070.3800000000001</v>
      </c>
      <c r="E48" s="53">
        <v>1106.21</v>
      </c>
      <c r="G48" s="54">
        <f t="shared" si="0"/>
        <v>35.829999999999927</v>
      </c>
      <c r="H48" s="53">
        <f>+G48*H10</f>
        <v>214.97999999999956</v>
      </c>
      <c r="I48" s="53"/>
    </row>
    <row r="49" spans="1:9" x14ac:dyDescent="0.25">
      <c r="A49" s="51">
        <v>37</v>
      </c>
      <c r="B49" s="183" t="s">
        <v>238</v>
      </c>
      <c r="D49" s="53" t="s">
        <v>221</v>
      </c>
      <c r="E49" s="53" t="s">
        <v>221</v>
      </c>
      <c r="G49" s="54"/>
      <c r="I49" s="53"/>
    </row>
    <row r="50" spans="1:9" x14ac:dyDescent="0.25">
      <c r="B50" s="168"/>
      <c r="D50" s="53"/>
      <c r="E50" s="53"/>
      <c r="G50" s="53"/>
      <c r="I50" s="53"/>
    </row>
    <row r="51" spans="1:9" ht="16.5" thickBot="1" x14ac:dyDescent="0.3">
      <c r="D51" s="53"/>
      <c r="E51" s="53"/>
      <c r="G51" s="53"/>
      <c r="H51" s="56">
        <f>SUM(H13:H48)</f>
        <v>9076.090000000002</v>
      </c>
      <c r="I51" s="53"/>
    </row>
    <row r="52" spans="1:9" ht="16.5" thickTop="1" x14ac:dyDescent="0.25">
      <c r="D52" s="53"/>
      <c r="E52" s="53"/>
      <c r="G52" s="53"/>
      <c r="I52" s="53"/>
    </row>
    <row r="53" spans="1:9" ht="16.5" thickBot="1" x14ac:dyDescent="0.3">
      <c r="C53" s="52" t="s">
        <v>107</v>
      </c>
      <c r="D53" s="53"/>
      <c r="E53" s="53"/>
      <c r="G53" s="53"/>
      <c r="H53" s="56">
        <f>+H51</f>
        <v>9076.090000000002</v>
      </c>
      <c r="I53" s="53"/>
    </row>
    <row r="54" spans="1:9" ht="16.5" thickTop="1" x14ac:dyDescent="0.25">
      <c r="D54" s="53"/>
      <c r="E54" s="53"/>
      <c r="G54" s="53"/>
      <c r="I54" s="53"/>
    </row>
    <row r="55" spans="1:9" x14ac:dyDescent="0.25">
      <c r="D55" s="53"/>
      <c r="E55" s="53"/>
      <c r="G55" s="53"/>
      <c r="I55" s="53"/>
    </row>
    <row r="56" spans="1:9" x14ac:dyDescent="0.25">
      <c r="D56" s="53"/>
      <c r="E56" s="53"/>
      <c r="G56" s="53"/>
      <c r="I56" s="53"/>
    </row>
    <row r="57" spans="1:9" x14ac:dyDescent="0.25">
      <c r="D57" s="53"/>
      <c r="E57" s="53"/>
      <c r="G57" s="53"/>
      <c r="I57" s="53"/>
    </row>
    <row r="58" spans="1:9" x14ac:dyDescent="0.25">
      <c r="D58" s="53"/>
      <c r="E58" s="53"/>
      <c r="G58" s="53"/>
      <c r="I58" s="53"/>
    </row>
    <row r="59" spans="1:9" x14ac:dyDescent="0.25">
      <c r="D59" s="53"/>
      <c r="E59" s="53"/>
      <c r="G59" s="53"/>
      <c r="I59" s="53"/>
    </row>
    <row r="60" spans="1:9" x14ac:dyDescent="0.25">
      <c r="D60" s="53"/>
      <c r="E60" s="53"/>
      <c r="G60" s="53"/>
      <c r="I60" s="53"/>
    </row>
    <row r="61" spans="1:9" x14ac:dyDescent="0.25">
      <c r="D61" s="53"/>
      <c r="E61" s="53"/>
      <c r="G61" s="53"/>
      <c r="I61" s="53"/>
    </row>
    <row r="62" spans="1:9" x14ac:dyDescent="0.25">
      <c r="D62" s="53"/>
      <c r="E62" s="53"/>
      <c r="G62" s="53"/>
      <c r="I62" s="53"/>
    </row>
    <row r="63" spans="1:9" x14ac:dyDescent="0.25">
      <c r="D63" s="53"/>
      <c r="E63" s="53"/>
      <c r="G63" s="53"/>
      <c r="I63" s="53"/>
    </row>
    <row r="64" spans="1:9" x14ac:dyDescent="0.25">
      <c r="D64" s="53"/>
      <c r="E64" s="53"/>
      <c r="G64" s="53"/>
      <c r="I64" s="53"/>
    </row>
    <row r="65" spans="4:9" x14ac:dyDescent="0.25">
      <c r="D65" s="53"/>
      <c r="E65" s="53"/>
      <c r="G65" s="53"/>
      <c r="I65" s="53"/>
    </row>
    <row r="66" spans="4:9" x14ac:dyDescent="0.25">
      <c r="D66" s="53"/>
      <c r="E66" s="53"/>
      <c r="G66" s="53"/>
      <c r="I66" s="53"/>
    </row>
    <row r="67" spans="4:9" x14ac:dyDescent="0.25">
      <c r="D67" s="53"/>
      <c r="E67" s="53"/>
      <c r="G67" s="53"/>
      <c r="I67" s="53"/>
    </row>
    <row r="68" spans="4:9" x14ac:dyDescent="0.25">
      <c r="D68" s="53"/>
      <c r="E68" s="53"/>
      <c r="G68" s="53"/>
      <c r="I68" s="53"/>
    </row>
    <row r="69" spans="4:9" x14ac:dyDescent="0.25">
      <c r="D69" s="53"/>
      <c r="E69" s="53"/>
      <c r="G69" s="53"/>
      <c r="I69" s="53"/>
    </row>
    <row r="70" spans="4:9" x14ac:dyDescent="0.25">
      <c r="D70" s="53"/>
      <c r="E70" s="53"/>
      <c r="G70" s="53"/>
      <c r="I70" s="53"/>
    </row>
    <row r="71" spans="4:9" x14ac:dyDescent="0.25">
      <c r="D71" s="53"/>
      <c r="E71" s="53"/>
      <c r="G71" s="53"/>
      <c r="I71" s="53"/>
    </row>
    <row r="72" spans="4:9" x14ac:dyDescent="0.25">
      <c r="D72" s="53"/>
      <c r="E72" s="53"/>
      <c r="G72" s="53"/>
      <c r="I72" s="53"/>
    </row>
    <row r="73" spans="4:9" x14ac:dyDescent="0.25">
      <c r="D73" s="53"/>
      <c r="E73" s="53"/>
      <c r="G73" s="53"/>
      <c r="I73" s="53"/>
    </row>
    <row r="74" spans="4:9" x14ac:dyDescent="0.25">
      <c r="D74" s="53"/>
      <c r="E74" s="53"/>
      <c r="G74" s="53"/>
      <c r="I74" s="53"/>
    </row>
    <row r="75" spans="4:9" x14ac:dyDescent="0.25">
      <c r="D75" s="53"/>
      <c r="E75" s="53"/>
      <c r="G75" s="53"/>
      <c r="I75" s="53"/>
    </row>
    <row r="76" spans="4:9" x14ac:dyDescent="0.25">
      <c r="D76" s="53"/>
      <c r="E76" s="53"/>
      <c r="G76" s="53"/>
      <c r="I76" s="53"/>
    </row>
    <row r="77" spans="4:9" x14ac:dyDescent="0.25">
      <c r="D77" s="53"/>
      <c r="E77" s="53"/>
      <c r="G77" s="53"/>
      <c r="I77" s="53"/>
    </row>
    <row r="78" spans="4:9" x14ac:dyDescent="0.25">
      <c r="D78" s="53"/>
      <c r="E78" s="53"/>
      <c r="G78" s="53"/>
      <c r="I78" s="53"/>
    </row>
    <row r="79" spans="4:9" x14ac:dyDescent="0.25">
      <c r="D79" s="53"/>
      <c r="E79" s="53"/>
      <c r="G79" s="53"/>
      <c r="I79" s="53"/>
    </row>
    <row r="80" spans="4:9" x14ac:dyDescent="0.25">
      <c r="D80" s="53"/>
      <c r="E80" s="53"/>
      <c r="G80" s="53"/>
      <c r="I80" s="53"/>
    </row>
    <row r="81" spans="4:9" x14ac:dyDescent="0.25">
      <c r="D81" s="53"/>
      <c r="E81" s="53"/>
      <c r="G81" s="53"/>
      <c r="I81" s="53"/>
    </row>
    <row r="82" spans="4:9" x14ac:dyDescent="0.25">
      <c r="D82" s="53"/>
      <c r="E82" s="53"/>
      <c r="G82" s="53"/>
      <c r="I82" s="53"/>
    </row>
    <row r="83" spans="4:9" x14ac:dyDescent="0.25">
      <c r="D83" s="53"/>
      <c r="E83" s="53"/>
      <c r="G83" s="53"/>
      <c r="I83" s="53"/>
    </row>
    <row r="84" spans="4:9" x14ac:dyDescent="0.25">
      <c r="D84" s="53"/>
      <c r="E84" s="53"/>
      <c r="G84" s="53"/>
      <c r="I84" s="53"/>
    </row>
    <row r="85" spans="4:9" x14ac:dyDescent="0.25">
      <c r="D85" s="53"/>
      <c r="E85" s="53"/>
      <c r="G85" s="53"/>
      <c r="I85" s="53"/>
    </row>
    <row r="86" spans="4:9" x14ac:dyDescent="0.25">
      <c r="D86" s="53"/>
      <c r="E86" s="53"/>
      <c r="G86" s="53"/>
      <c r="I86" s="53"/>
    </row>
    <row r="87" spans="4:9" x14ac:dyDescent="0.25">
      <c r="D87" s="53"/>
      <c r="E87" s="53"/>
      <c r="G87" s="53"/>
      <c r="I87" s="53"/>
    </row>
    <row r="88" spans="4:9" x14ac:dyDescent="0.25">
      <c r="D88" s="53"/>
      <c r="E88" s="53"/>
      <c r="G88" s="53"/>
      <c r="I88" s="53"/>
    </row>
    <row r="89" spans="4:9" x14ac:dyDescent="0.25">
      <c r="D89" s="53"/>
      <c r="E89" s="53"/>
      <c r="G89" s="53"/>
    </row>
    <row r="90" spans="4:9" x14ac:dyDescent="0.25">
      <c r="D90" s="53"/>
      <c r="E90" s="53"/>
      <c r="G90" s="53"/>
    </row>
    <row r="91" spans="4:9" x14ac:dyDescent="0.25">
      <c r="D91" s="53"/>
      <c r="E91" s="53"/>
      <c r="G91" s="53"/>
    </row>
    <row r="92" spans="4:9" x14ac:dyDescent="0.25">
      <c r="D92" s="53"/>
      <c r="E92" s="53"/>
      <c r="G92" s="53"/>
    </row>
    <row r="93" spans="4:9" x14ac:dyDescent="0.25">
      <c r="D93" s="53"/>
      <c r="E93" s="53"/>
      <c r="G93" s="53"/>
    </row>
    <row r="94" spans="4:9" x14ac:dyDescent="0.25">
      <c r="D94" s="53"/>
      <c r="E94" s="53"/>
      <c r="G94" s="53"/>
    </row>
    <row r="95" spans="4:9" x14ac:dyDescent="0.25">
      <c r="D95" s="53"/>
      <c r="E95" s="53"/>
      <c r="G95" s="53"/>
    </row>
    <row r="96" spans="4:9" x14ac:dyDescent="0.25">
      <c r="D96" s="53"/>
      <c r="E96" s="53"/>
      <c r="G96" s="53"/>
    </row>
    <row r="97" spans="4:7" x14ac:dyDescent="0.25">
      <c r="D97" s="53"/>
      <c r="E97" s="53"/>
      <c r="G97" s="53"/>
    </row>
    <row r="98" spans="4:7" x14ac:dyDescent="0.25">
      <c r="D98" s="53"/>
      <c r="E98" s="53"/>
      <c r="G98" s="53"/>
    </row>
    <row r="99" spans="4:7" x14ac:dyDescent="0.25">
      <c r="D99" s="53"/>
      <c r="E99" s="53"/>
      <c r="G99" s="53"/>
    </row>
    <row r="100" spans="4:7" x14ac:dyDescent="0.25">
      <c r="D100" s="53"/>
      <c r="E100" s="53"/>
      <c r="G100" s="53"/>
    </row>
    <row r="101" spans="4:7" x14ac:dyDescent="0.25">
      <c r="D101" s="53"/>
      <c r="E101" s="53"/>
      <c r="G101" s="53"/>
    </row>
    <row r="102" spans="4:7" x14ac:dyDescent="0.25">
      <c r="D102" s="53"/>
      <c r="E102" s="53"/>
      <c r="G102" s="53"/>
    </row>
    <row r="103" spans="4:7" x14ac:dyDescent="0.25">
      <c r="D103" s="53"/>
      <c r="E103" s="53"/>
      <c r="G103" s="53"/>
    </row>
    <row r="104" spans="4:7" x14ac:dyDescent="0.25">
      <c r="D104" s="53"/>
      <c r="E104" s="53"/>
      <c r="G104" s="53"/>
    </row>
    <row r="105" spans="4:7" x14ac:dyDescent="0.25">
      <c r="D105" s="53"/>
      <c r="E105" s="53"/>
      <c r="G105" s="53"/>
    </row>
    <row r="106" spans="4:7" x14ac:dyDescent="0.25">
      <c r="D106" s="53"/>
      <c r="E106" s="53"/>
      <c r="G106" s="53"/>
    </row>
    <row r="107" spans="4:7" x14ac:dyDescent="0.25">
      <c r="D107" s="53"/>
      <c r="E107" s="53"/>
      <c r="G107" s="53"/>
    </row>
    <row r="108" spans="4:7" x14ac:dyDescent="0.25">
      <c r="D108" s="53"/>
      <c r="E108" s="53"/>
      <c r="G108" s="53"/>
    </row>
    <row r="109" spans="4:7" x14ac:dyDescent="0.25">
      <c r="D109" s="53"/>
      <c r="E109" s="53"/>
      <c r="G109" s="53"/>
    </row>
    <row r="110" spans="4:7" x14ac:dyDescent="0.25">
      <c r="D110" s="53"/>
      <c r="E110" s="53"/>
      <c r="G110" s="53"/>
    </row>
    <row r="111" spans="4:7" x14ac:dyDescent="0.25">
      <c r="D111" s="53"/>
      <c r="E111" s="53"/>
      <c r="G111" s="53"/>
    </row>
    <row r="112" spans="4:7" x14ac:dyDescent="0.25">
      <c r="D112" s="53"/>
      <c r="E112" s="53"/>
      <c r="G112" s="53"/>
    </row>
    <row r="113" spans="4:7" x14ac:dyDescent="0.25">
      <c r="D113" s="53"/>
      <c r="E113" s="53"/>
      <c r="G113" s="53"/>
    </row>
    <row r="114" spans="4:7" x14ac:dyDescent="0.25">
      <c r="D114" s="53"/>
      <c r="E114" s="53"/>
      <c r="G114" s="53"/>
    </row>
    <row r="115" spans="4:7" x14ac:dyDescent="0.25">
      <c r="D115" s="53"/>
      <c r="E115" s="53"/>
      <c r="G115" s="53"/>
    </row>
    <row r="116" spans="4:7" x14ac:dyDescent="0.25">
      <c r="D116" s="53"/>
      <c r="E116" s="53"/>
      <c r="G116" s="53"/>
    </row>
    <row r="117" spans="4:7" x14ac:dyDescent="0.25">
      <c r="D117" s="53"/>
      <c r="E117" s="53"/>
      <c r="G117" s="53"/>
    </row>
    <row r="118" spans="4:7" x14ac:dyDescent="0.25">
      <c r="D118" s="53"/>
      <c r="E118" s="53"/>
      <c r="G118" s="53"/>
    </row>
    <row r="119" spans="4:7" x14ac:dyDescent="0.25">
      <c r="D119" s="53"/>
      <c r="E119" s="53"/>
      <c r="G119" s="53"/>
    </row>
    <row r="120" spans="4:7" x14ac:dyDescent="0.25">
      <c r="D120" s="53"/>
      <c r="E120" s="53"/>
      <c r="G120" s="53"/>
    </row>
    <row r="121" spans="4:7" x14ac:dyDescent="0.25">
      <c r="D121" s="53"/>
      <c r="E121" s="53"/>
      <c r="G121" s="53"/>
    </row>
    <row r="122" spans="4:7" x14ac:dyDescent="0.25">
      <c r="D122" s="53"/>
      <c r="E122" s="53"/>
      <c r="G122" s="53"/>
    </row>
    <row r="123" spans="4:7" x14ac:dyDescent="0.25">
      <c r="D123" s="53"/>
      <c r="E123" s="53"/>
      <c r="G123" s="53"/>
    </row>
    <row r="124" spans="4:7" x14ac:dyDescent="0.25">
      <c r="D124" s="53"/>
      <c r="E124" s="53"/>
      <c r="G124" s="53"/>
    </row>
    <row r="125" spans="4:7" x14ac:dyDescent="0.25">
      <c r="D125" s="53"/>
      <c r="E125" s="53"/>
      <c r="G125" s="53"/>
    </row>
    <row r="126" spans="4:7" x14ac:dyDescent="0.25">
      <c r="D126" s="53"/>
      <c r="E126" s="53"/>
      <c r="G126" s="53"/>
    </row>
    <row r="127" spans="4:7" x14ac:dyDescent="0.25">
      <c r="D127" s="53"/>
      <c r="E127" s="53"/>
      <c r="G127" s="53"/>
    </row>
    <row r="128" spans="4:7" x14ac:dyDescent="0.25">
      <c r="D128" s="53"/>
      <c r="E128" s="53"/>
      <c r="G128" s="53"/>
    </row>
    <row r="129" spans="4:7" x14ac:dyDescent="0.25">
      <c r="D129" s="53"/>
      <c r="E129" s="53"/>
      <c r="G129" s="53"/>
    </row>
    <row r="130" spans="4:7" x14ac:dyDescent="0.25">
      <c r="D130" s="53"/>
      <c r="E130" s="53"/>
      <c r="G130" s="53"/>
    </row>
    <row r="131" spans="4:7" x14ac:dyDescent="0.25">
      <c r="D131" s="53"/>
      <c r="E131" s="53"/>
      <c r="G131" s="53"/>
    </row>
    <row r="132" spans="4:7" x14ac:dyDescent="0.25">
      <c r="D132" s="53"/>
      <c r="E132" s="53"/>
      <c r="G132" s="53"/>
    </row>
    <row r="133" spans="4:7" x14ac:dyDescent="0.25">
      <c r="D133" s="53"/>
      <c r="E133" s="53"/>
      <c r="G133" s="53"/>
    </row>
    <row r="134" spans="4:7" x14ac:dyDescent="0.25">
      <c r="D134" s="53"/>
      <c r="E134" s="53"/>
      <c r="G134" s="53"/>
    </row>
    <row r="135" spans="4:7" x14ac:dyDescent="0.25">
      <c r="D135" s="53"/>
      <c r="E135" s="53"/>
      <c r="G135" s="53"/>
    </row>
    <row r="136" spans="4:7" x14ac:dyDescent="0.25">
      <c r="D136" s="53"/>
      <c r="E136" s="53"/>
      <c r="G136" s="53"/>
    </row>
    <row r="137" spans="4:7" x14ac:dyDescent="0.25">
      <c r="D137" s="53"/>
      <c r="E137" s="53"/>
      <c r="G137" s="53"/>
    </row>
    <row r="138" spans="4:7" x14ac:dyDescent="0.25">
      <c r="D138" s="53"/>
      <c r="E138" s="53"/>
      <c r="G138" s="53"/>
    </row>
    <row r="139" spans="4:7" x14ac:dyDescent="0.25">
      <c r="D139" s="53"/>
      <c r="E139" s="53"/>
      <c r="G139" s="53"/>
    </row>
    <row r="140" spans="4:7" x14ac:dyDescent="0.25">
      <c r="D140" s="53"/>
      <c r="E140" s="53"/>
      <c r="G140" s="53"/>
    </row>
    <row r="141" spans="4:7" x14ac:dyDescent="0.25">
      <c r="D141" s="53"/>
      <c r="E141" s="53"/>
      <c r="G141" s="53"/>
    </row>
    <row r="142" spans="4:7" x14ac:dyDescent="0.25">
      <c r="D142" s="53"/>
      <c r="E142" s="53"/>
      <c r="G142" s="53"/>
    </row>
    <row r="143" spans="4:7" x14ac:dyDescent="0.25">
      <c r="D143" s="53"/>
      <c r="E143" s="53"/>
      <c r="G143" s="53"/>
    </row>
    <row r="144" spans="4:7" x14ac:dyDescent="0.25">
      <c r="D144" s="53"/>
      <c r="E144" s="53"/>
      <c r="G144" s="53"/>
    </row>
    <row r="145" spans="4:7" x14ac:dyDescent="0.25">
      <c r="D145" s="53"/>
      <c r="E145" s="53"/>
      <c r="G145" s="53"/>
    </row>
    <row r="146" spans="4:7" x14ac:dyDescent="0.25">
      <c r="D146" s="53"/>
      <c r="E146" s="53"/>
      <c r="G146" s="53"/>
    </row>
    <row r="147" spans="4:7" x14ac:dyDescent="0.25">
      <c r="D147" s="53"/>
      <c r="E147" s="53"/>
      <c r="G147" s="53"/>
    </row>
    <row r="148" spans="4:7" x14ac:dyDescent="0.25">
      <c r="D148" s="53"/>
      <c r="E148" s="53"/>
      <c r="G148" s="53"/>
    </row>
    <row r="149" spans="4:7" x14ac:dyDescent="0.25">
      <c r="D149" s="53"/>
      <c r="E149" s="53"/>
      <c r="G149" s="53"/>
    </row>
  </sheetData>
  <phoneticPr fontId="0" type="noConversion"/>
  <pageMargins left="0.75" right="0.75" top="1" bottom="1" header="0.5" footer="0.5"/>
  <pageSetup scale="57" orientation="landscape" horizontalDpi="409" verticalDpi="409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view="pageBreakPreview" topLeftCell="A16" zoomScale="89" zoomScaleNormal="75" zoomScaleSheetLayoutView="89" workbookViewId="0">
      <selection activeCell="B57" sqref="B57"/>
    </sheetView>
  </sheetViews>
  <sheetFormatPr defaultRowHeight="15.75" x14ac:dyDescent="0.25"/>
  <cols>
    <col min="1" max="1" width="3.5546875" customWidth="1"/>
    <col min="2" max="2" width="19.44140625" customWidth="1"/>
    <col min="4" max="4" width="9.44140625" bestFit="1" customWidth="1"/>
    <col min="5" max="5" width="9.77734375" bestFit="1" customWidth="1"/>
    <col min="6" max="6" width="10.77734375" customWidth="1"/>
    <col min="7" max="7" width="14.6640625" style="53" customWidth="1"/>
    <col min="8" max="8" width="9.44140625" bestFit="1" customWidth="1"/>
    <col min="9" max="9" width="9.77734375" bestFit="1" customWidth="1"/>
    <col min="10" max="10" width="10" bestFit="1" customWidth="1"/>
    <col min="11" max="11" width="15.44140625" bestFit="1" customWidth="1"/>
  </cols>
  <sheetData>
    <row r="1" spans="1:7" ht="20.25" x14ac:dyDescent="0.3">
      <c r="B1" s="48" t="s">
        <v>58</v>
      </c>
    </row>
    <row r="5" spans="1:7" x14ac:dyDescent="0.25">
      <c r="A5" t="s">
        <v>102</v>
      </c>
    </row>
    <row r="6" spans="1:7" x14ac:dyDescent="0.25">
      <c r="A6" t="s">
        <v>520</v>
      </c>
    </row>
    <row r="7" spans="1:7" x14ac:dyDescent="0.25">
      <c r="A7" t="s">
        <v>103</v>
      </c>
    </row>
    <row r="8" spans="1:7" x14ac:dyDescent="0.25">
      <c r="B8" s="28"/>
    </row>
    <row r="10" spans="1:7" x14ac:dyDescent="0.25">
      <c r="D10" s="139"/>
      <c r="E10" s="140"/>
      <c r="F10" s="49" t="s">
        <v>105</v>
      </c>
      <c r="G10" s="143">
        <v>6</v>
      </c>
    </row>
    <row r="11" spans="1:7" x14ac:dyDescent="0.25">
      <c r="D11" s="138" t="s">
        <v>90</v>
      </c>
      <c r="E11" s="141" t="s">
        <v>104</v>
      </c>
      <c r="F11" s="138" t="s">
        <v>91</v>
      </c>
      <c r="G11" s="144" t="s">
        <v>180</v>
      </c>
    </row>
    <row r="12" spans="1:7" x14ac:dyDescent="0.25">
      <c r="D12" s="50"/>
      <c r="E12" s="142">
        <v>42552</v>
      </c>
      <c r="F12" s="146" t="s">
        <v>181</v>
      </c>
      <c r="G12" s="145" t="s">
        <v>106</v>
      </c>
    </row>
    <row r="13" spans="1:7" x14ac:dyDescent="0.25">
      <c r="A13" s="170">
        <v>1</v>
      </c>
      <c r="B13" s="183" t="s">
        <v>189</v>
      </c>
      <c r="D13" s="53">
        <v>42.5</v>
      </c>
      <c r="E13" s="53">
        <v>43.9</v>
      </c>
      <c r="F13" s="54">
        <f>+E13-D13</f>
        <v>1.3999999999999986</v>
      </c>
      <c r="G13" s="53">
        <f>+F13*G10</f>
        <v>8.3999999999999915</v>
      </c>
    </row>
    <row r="14" spans="1:7" x14ac:dyDescent="0.25">
      <c r="A14" s="170">
        <v>2</v>
      </c>
      <c r="B14" s="183" t="s">
        <v>474</v>
      </c>
      <c r="D14" s="53">
        <v>42.5</v>
      </c>
      <c r="E14" s="53">
        <v>43.9</v>
      </c>
      <c r="F14" s="54">
        <f t="shared" ref="F14:F47" si="0">+E14-D14</f>
        <v>1.3999999999999986</v>
      </c>
      <c r="G14" s="53">
        <f>+F14*G10</f>
        <v>8.3999999999999915</v>
      </c>
    </row>
    <row r="15" spans="1:7" x14ac:dyDescent="0.25">
      <c r="A15" s="170">
        <v>3</v>
      </c>
      <c r="B15" s="183" t="s">
        <v>212</v>
      </c>
      <c r="D15" s="53">
        <v>5.6</v>
      </c>
      <c r="E15" s="53">
        <v>5.6</v>
      </c>
      <c r="F15" s="54">
        <f t="shared" si="0"/>
        <v>0</v>
      </c>
      <c r="G15" s="53">
        <f>+F15*G10</f>
        <v>0</v>
      </c>
    </row>
    <row r="16" spans="1:7" x14ac:dyDescent="0.25">
      <c r="A16" s="170">
        <v>4</v>
      </c>
      <c r="B16" s="183" t="s">
        <v>190</v>
      </c>
      <c r="D16" s="53">
        <v>161.88</v>
      </c>
      <c r="E16" s="53">
        <v>163.28</v>
      </c>
      <c r="F16" s="54">
        <f t="shared" si="0"/>
        <v>1.4000000000000057</v>
      </c>
      <c r="G16" s="53">
        <f>+F16*G10</f>
        <v>8.4000000000000341</v>
      </c>
    </row>
    <row r="17" spans="1:7" x14ac:dyDescent="0.25">
      <c r="A17" s="170">
        <v>5</v>
      </c>
      <c r="B17" s="183" t="s">
        <v>191</v>
      </c>
      <c r="D17" s="53">
        <v>161.88</v>
      </c>
      <c r="E17" s="53">
        <v>163.28</v>
      </c>
      <c r="F17" s="54">
        <f t="shared" si="0"/>
        <v>1.4000000000000057</v>
      </c>
      <c r="G17" s="53">
        <f>+F17*G10</f>
        <v>8.4000000000000341</v>
      </c>
    </row>
    <row r="18" spans="1:7" x14ac:dyDescent="0.25">
      <c r="A18" s="170">
        <v>6</v>
      </c>
      <c r="B18" s="183" t="s">
        <v>223</v>
      </c>
      <c r="C18" s="154"/>
      <c r="D18" s="53">
        <v>42.5</v>
      </c>
      <c r="E18" s="53">
        <v>43.9</v>
      </c>
      <c r="F18" s="54">
        <f t="shared" si="0"/>
        <v>1.3999999999999986</v>
      </c>
      <c r="G18" s="53">
        <f>+F18*10</f>
        <v>13.999999999999986</v>
      </c>
    </row>
    <row r="19" spans="1:7" x14ac:dyDescent="0.25">
      <c r="A19" s="170">
        <v>7</v>
      </c>
      <c r="B19" s="183" t="s">
        <v>213</v>
      </c>
      <c r="D19" s="53">
        <v>42.5</v>
      </c>
      <c r="E19" s="53">
        <v>43.9</v>
      </c>
      <c r="F19" s="54">
        <f t="shared" si="0"/>
        <v>1.3999999999999986</v>
      </c>
      <c r="G19" s="53">
        <f>+F19*G10</f>
        <v>8.3999999999999915</v>
      </c>
    </row>
    <row r="20" spans="1:7" x14ac:dyDescent="0.25">
      <c r="A20" s="170">
        <v>8</v>
      </c>
      <c r="B20" s="183" t="s">
        <v>475</v>
      </c>
      <c r="D20" s="53">
        <v>5.6</v>
      </c>
      <c r="E20" s="53">
        <v>5.6</v>
      </c>
      <c r="F20" s="54">
        <f t="shared" si="0"/>
        <v>0</v>
      </c>
    </row>
    <row r="21" spans="1:7" s="53" customFormat="1" x14ac:dyDescent="0.25">
      <c r="A21" s="170">
        <v>9</v>
      </c>
      <c r="B21" s="183" t="s">
        <v>192</v>
      </c>
      <c r="D21" s="53">
        <v>161.88</v>
      </c>
      <c r="E21" s="53">
        <v>163.28</v>
      </c>
      <c r="F21" s="54">
        <f t="shared" si="0"/>
        <v>1.4000000000000057</v>
      </c>
      <c r="G21" s="53">
        <f>+F21*G10</f>
        <v>8.4000000000000341</v>
      </c>
    </row>
    <row r="22" spans="1:7" x14ac:dyDescent="0.25">
      <c r="A22" s="170">
        <v>10</v>
      </c>
      <c r="B22" s="183" t="s">
        <v>193</v>
      </c>
      <c r="D22" s="53">
        <v>161.88</v>
      </c>
      <c r="E22" s="53">
        <v>163.28</v>
      </c>
      <c r="F22" s="54">
        <f t="shared" si="0"/>
        <v>1.4000000000000057</v>
      </c>
      <c r="G22" s="53">
        <f>+F22*G10</f>
        <v>8.4000000000000341</v>
      </c>
    </row>
    <row r="23" spans="1:7" x14ac:dyDescent="0.25">
      <c r="A23" s="170">
        <v>11</v>
      </c>
      <c r="B23" s="183" t="s">
        <v>214</v>
      </c>
      <c r="D23" s="53">
        <v>101.69</v>
      </c>
      <c r="E23" s="53">
        <v>104.35</v>
      </c>
      <c r="F23" s="54">
        <f t="shared" si="0"/>
        <v>2.6599999999999966</v>
      </c>
      <c r="G23" s="53">
        <f>+F23*G10</f>
        <v>15.95999999999998</v>
      </c>
    </row>
    <row r="24" spans="1:7" x14ac:dyDescent="0.25">
      <c r="A24" s="170">
        <v>12</v>
      </c>
      <c r="B24" s="183" t="s">
        <v>194</v>
      </c>
      <c r="D24" s="53">
        <v>101.69</v>
      </c>
      <c r="E24" s="53">
        <v>104.35</v>
      </c>
      <c r="F24" s="54">
        <f t="shared" si="0"/>
        <v>2.6599999999999966</v>
      </c>
      <c r="G24" s="53">
        <f>+F24*G10</f>
        <v>15.95999999999998</v>
      </c>
    </row>
    <row r="25" spans="1:7" x14ac:dyDescent="0.25">
      <c r="A25" s="170">
        <v>13</v>
      </c>
      <c r="B25" s="183" t="s">
        <v>493</v>
      </c>
      <c r="D25" s="53">
        <v>42.5</v>
      </c>
      <c r="E25" s="53">
        <v>43.9</v>
      </c>
      <c r="F25" s="54"/>
      <c r="G25" s="53">
        <f>+E25*7</f>
        <v>307.3</v>
      </c>
    </row>
    <row r="26" spans="1:7" x14ac:dyDescent="0.25">
      <c r="A26" s="170">
        <v>14</v>
      </c>
      <c r="B26" s="183" t="s">
        <v>195</v>
      </c>
      <c r="D26" s="53">
        <v>42.5</v>
      </c>
      <c r="E26" s="53">
        <v>43.9</v>
      </c>
      <c r="F26" s="54">
        <f t="shared" si="0"/>
        <v>1.3999999999999986</v>
      </c>
      <c r="G26" s="53">
        <f>+F26*5</f>
        <v>6.9999999999999929</v>
      </c>
    </row>
    <row r="27" spans="1:7" x14ac:dyDescent="0.25">
      <c r="A27" s="170">
        <v>15</v>
      </c>
      <c r="B27" s="183" t="s">
        <v>203</v>
      </c>
      <c r="D27" s="53">
        <v>101.69</v>
      </c>
      <c r="E27" s="53">
        <v>102.84</v>
      </c>
      <c r="F27" s="54">
        <f t="shared" si="0"/>
        <v>1.1500000000000057</v>
      </c>
      <c r="G27" s="53">
        <f>+F27*G10</f>
        <v>6.9000000000000341</v>
      </c>
    </row>
    <row r="28" spans="1:7" x14ac:dyDescent="0.25">
      <c r="A28" s="170">
        <v>16</v>
      </c>
      <c r="B28" s="183" t="s">
        <v>236</v>
      </c>
      <c r="D28" s="53">
        <v>42.5</v>
      </c>
      <c r="E28" s="53">
        <v>43.9</v>
      </c>
      <c r="F28" s="54">
        <f t="shared" si="0"/>
        <v>1.3999999999999986</v>
      </c>
      <c r="G28" s="53">
        <f>+F28*G10</f>
        <v>8.3999999999999915</v>
      </c>
    </row>
    <row r="29" spans="1:7" x14ac:dyDescent="0.25">
      <c r="A29" s="170">
        <v>17</v>
      </c>
      <c r="B29" s="183" t="s">
        <v>215</v>
      </c>
      <c r="D29" s="53">
        <v>161.88</v>
      </c>
      <c r="E29" s="53">
        <v>163.28</v>
      </c>
      <c r="F29" s="54">
        <f t="shared" si="0"/>
        <v>1.4000000000000057</v>
      </c>
      <c r="G29" s="53">
        <f>+F29*G10</f>
        <v>8.4000000000000341</v>
      </c>
    </row>
    <row r="30" spans="1:7" x14ac:dyDescent="0.25">
      <c r="A30" s="170">
        <v>18</v>
      </c>
      <c r="B30" s="183" t="s">
        <v>196</v>
      </c>
      <c r="D30" s="53">
        <v>42.5</v>
      </c>
      <c r="E30" s="53">
        <v>43.9</v>
      </c>
      <c r="F30" s="54">
        <f t="shared" si="0"/>
        <v>1.3999999999999986</v>
      </c>
      <c r="G30" s="53">
        <f>+F30*G10</f>
        <v>8.3999999999999915</v>
      </c>
    </row>
    <row r="31" spans="1:7" x14ac:dyDescent="0.25">
      <c r="A31" s="170">
        <v>19</v>
      </c>
      <c r="B31" s="183" t="s">
        <v>494</v>
      </c>
      <c r="D31" s="53" t="s">
        <v>221</v>
      </c>
      <c r="E31" s="53" t="s">
        <v>221</v>
      </c>
      <c r="F31" s="54"/>
    </row>
    <row r="32" spans="1:7" x14ac:dyDescent="0.25">
      <c r="A32" s="170">
        <v>20</v>
      </c>
      <c r="B32" s="183" t="s">
        <v>239</v>
      </c>
      <c r="D32" s="53">
        <v>42.5</v>
      </c>
      <c r="E32" s="53">
        <v>43.9</v>
      </c>
      <c r="F32" s="54">
        <f t="shared" ref="F32" si="1">+E32-D32</f>
        <v>1.3999999999999986</v>
      </c>
      <c r="G32" s="53">
        <f>+F32*G10</f>
        <v>8.3999999999999915</v>
      </c>
    </row>
    <row r="33" spans="1:7" x14ac:dyDescent="0.25">
      <c r="A33" s="170">
        <v>21</v>
      </c>
      <c r="B33" s="183" t="s">
        <v>197</v>
      </c>
      <c r="D33" s="53">
        <v>161.88</v>
      </c>
      <c r="E33" s="53">
        <v>163.28</v>
      </c>
      <c r="F33" s="54">
        <f t="shared" si="0"/>
        <v>1.4000000000000057</v>
      </c>
      <c r="G33" s="53">
        <f>+F33*G10</f>
        <v>8.4000000000000341</v>
      </c>
    </row>
    <row r="34" spans="1:7" x14ac:dyDescent="0.25">
      <c r="A34" s="170">
        <v>22</v>
      </c>
      <c r="B34" s="183" t="s">
        <v>216</v>
      </c>
      <c r="D34" s="53">
        <v>42.5</v>
      </c>
      <c r="E34" s="53">
        <v>43.9</v>
      </c>
      <c r="F34" s="54">
        <f t="shared" si="0"/>
        <v>1.3999999999999986</v>
      </c>
      <c r="G34" s="53">
        <f>+F34*G10</f>
        <v>8.3999999999999915</v>
      </c>
    </row>
    <row r="35" spans="1:7" x14ac:dyDescent="0.25">
      <c r="A35" s="170">
        <v>23</v>
      </c>
      <c r="B35" s="183" t="s">
        <v>217</v>
      </c>
      <c r="D35" s="53">
        <v>42.5</v>
      </c>
      <c r="E35" s="53">
        <v>43.9</v>
      </c>
      <c r="F35" s="54">
        <f t="shared" si="0"/>
        <v>1.3999999999999986</v>
      </c>
      <c r="G35" s="53">
        <f>+F35*G10</f>
        <v>8.3999999999999915</v>
      </c>
    </row>
    <row r="36" spans="1:7" x14ac:dyDescent="0.25">
      <c r="A36" s="170">
        <v>24</v>
      </c>
      <c r="B36" s="183" t="s">
        <v>497</v>
      </c>
      <c r="D36" s="53">
        <v>42.5</v>
      </c>
      <c r="E36" s="53">
        <v>43.9</v>
      </c>
      <c r="F36" s="54"/>
      <c r="G36" s="53">
        <f>+E36*5</f>
        <v>219.5</v>
      </c>
    </row>
    <row r="37" spans="1:7" x14ac:dyDescent="0.25">
      <c r="A37" s="170">
        <v>25</v>
      </c>
      <c r="B37" s="183" t="s">
        <v>218</v>
      </c>
      <c r="D37" s="53">
        <v>101.44</v>
      </c>
      <c r="E37" s="53">
        <v>102.84</v>
      </c>
      <c r="F37" s="54">
        <f t="shared" si="0"/>
        <v>1.4000000000000057</v>
      </c>
      <c r="G37" s="53">
        <f>+F37*G10</f>
        <v>8.4000000000000341</v>
      </c>
    </row>
    <row r="38" spans="1:7" x14ac:dyDescent="0.25">
      <c r="A38" s="170">
        <v>26</v>
      </c>
      <c r="B38" s="183" t="s">
        <v>198</v>
      </c>
      <c r="D38" s="53">
        <v>101.44</v>
      </c>
      <c r="E38" s="53">
        <v>102.84</v>
      </c>
      <c r="F38" s="54">
        <f t="shared" si="0"/>
        <v>1.4000000000000057</v>
      </c>
      <c r="G38" s="53">
        <f>+F38*G10</f>
        <v>8.4000000000000341</v>
      </c>
    </row>
    <row r="39" spans="1:7" x14ac:dyDescent="0.25">
      <c r="A39" s="170">
        <v>27</v>
      </c>
      <c r="B39" s="183" t="s">
        <v>219</v>
      </c>
      <c r="D39" s="53">
        <v>42.5</v>
      </c>
      <c r="E39" s="53">
        <v>43.9</v>
      </c>
      <c r="F39" s="54">
        <f t="shared" si="0"/>
        <v>1.3999999999999986</v>
      </c>
      <c r="G39" s="53">
        <f>+F39*G10</f>
        <v>8.3999999999999915</v>
      </c>
    </row>
    <row r="40" spans="1:7" x14ac:dyDescent="0.25">
      <c r="A40" s="170">
        <v>28</v>
      </c>
      <c r="B40" s="183" t="s">
        <v>495</v>
      </c>
      <c r="D40" s="53">
        <v>42.5</v>
      </c>
      <c r="E40" s="53">
        <v>43.9</v>
      </c>
      <c r="F40" s="54"/>
      <c r="G40" s="53">
        <f>+E40*7</f>
        <v>307.3</v>
      </c>
    </row>
    <row r="41" spans="1:7" x14ac:dyDescent="0.25">
      <c r="A41" s="170">
        <v>29</v>
      </c>
      <c r="B41" s="183" t="s">
        <v>199</v>
      </c>
      <c r="C41" s="154"/>
      <c r="D41" s="53">
        <v>40.4</v>
      </c>
      <c r="E41" s="53">
        <v>41.1</v>
      </c>
      <c r="F41" s="54">
        <f t="shared" si="0"/>
        <v>0.70000000000000284</v>
      </c>
      <c r="G41" s="53">
        <f>+F41*G10</f>
        <v>4.2000000000000171</v>
      </c>
    </row>
    <row r="42" spans="1:7" x14ac:dyDescent="0.25">
      <c r="A42" s="170">
        <v>30</v>
      </c>
      <c r="B42" s="183" t="s">
        <v>220</v>
      </c>
      <c r="D42" s="53">
        <v>40.4</v>
      </c>
      <c r="E42" s="53">
        <v>41.1</v>
      </c>
      <c r="F42" s="54">
        <f t="shared" si="0"/>
        <v>0.70000000000000284</v>
      </c>
      <c r="G42" s="53">
        <f>+F42*G10</f>
        <v>4.2000000000000171</v>
      </c>
    </row>
    <row r="43" spans="1:7" x14ac:dyDescent="0.25">
      <c r="A43" s="170">
        <v>31</v>
      </c>
      <c r="B43" s="183" t="s">
        <v>224</v>
      </c>
      <c r="D43" s="53">
        <v>42.5</v>
      </c>
      <c r="E43" s="53">
        <v>42.5</v>
      </c>
      <c r="F43" s="54">
        <f t="shared" si="0"/>
        <v>0</v>
      </c>
      <c r="G43" s="53">
        <f>+F43*G10</f>
        <v>0</v>
      </c>
    </row>
    <row r="44" spans="1:7" x14ac:dyDescent="0.25">
      <c r="A44" s="170">
        <v>32</v>
      </c>
      <c r="B44" s="183" t="s">
        <v>496</v>
      </c>
      <c r="D44" s="53">
        <v>42.5</v>
      </c>
      <c r="E44" s="53">
        <v>43.9</v>
      </c>
      <c r="F44" s="54"/>
      <c r="G44" s="53">
        <f>+E44*7</f>
        <v>307.3</v>
      </c>
    </row>
    <row r="45" spans="1:7" x14ac:dyDescent="0.25">
      <c r="A45" s="170">
        <v>33</v>
      </c>
      <c r="B45" s="183" t="s">
        <v>477</v>
      </c>
      <c r="D45" s="53">
        <v>42.5</v>
      </c>
      <c r="E45" s="53">
        <v>43.9</v>
      </c>
      <c r="F45" s="54">
        <f t="shared" ref="F45:F46" si="2">+E45-D45</f>
        <v>1.3999999999999986</v>
      </c>
      <c r="G45" s="53">
        <f>+F45*G10</f>
        <v>8.3999999999999915</v>
      </c>
    </row>
    <row r="46" spans="1:7" x14ac:dyDescent="0.25">
      <c r="A46" s="170">
        <v>34</v>
      </c>
      <c r="B46" s="183" t="s">
        <v>478</v>
      </c>
      <c r="D46" s="53">
        <v>42.5</v>
      </c>
      <c r="E46" s="53">
        <v>43.9</v>
      </c>
      <c r="F46" s="54">
        <f t="shared" si="2"/>
        <v>1.3999999999999986</v>
      </c>
      <c r="G46" s="53">
        <f>+F46*G10</f>
        <v>8.3999999999999915</v>
      </c>
    </row>
    <row r="47" spans="1:7" x14ac:dyDescent="0.25">
      <c r="A47" s="170">
        <v>35</v>
      </c>
      <c r="B47" s="183" t="s">
        <v>237</v>
      </c>
      <c r="D47" s="53">
        <v>42.5</v>
      </c>
      <c r="E47" s="53">
        <v>43.9</v>
      </c>
      <c r="F47" s="54">
        <f t="shared" si="0"/>
        <v>1.3999999999999986</v>
      </c>
      <c r="G47" s="53">
        <f>+F47*G10</f>
        <v>8.3999999999999915</v>
      </c>
    </row>
    <row r="48" spans="1:7" x14ac:dyDescent="0.25">
      <c r="A48" s="170">
        <v>36</v>
      </c>
      <c r="B48" s="183" t="s">
        <v>200</v>
      </c>
      <c r="D48" s="53">
        <v>101.69</v>
      </c>
      <c r="E48" s="53">
        <v>104.35</v>
      </c>
      <c r="F48" s="54">
        <f t="shared" ref="F48:F49" si="3">+E48-D48</f>
        <v>2.6599999999999966</v>
      </c>
      <c r="G48" s="53">
        <f>+F48*G10</f>
        <v>15.95999999999998</v>
      </c>
    </row>
    <row r="49" spans="1:8" x14ac:dyDescent="0.25">
      <c r="A49" s="170">
        <v>37</v>
      </c>
      <c r="B49" s="183" t="s">
        <v>238</v>
      </c>
      <c r="D49" s="53">
        <v>5.6</v>
      </c>
      <c r="E49" s="53">
        <v>5.6</v>
      </c>
      <c r="F49" s="54">
        <f t="shared" si="3"/>
        <v>0</v>
      </c>
      <c r="G49" s="53">
        <f>+F49*G10</f>
        <v>0</v>
      </c>
    </row>
    <row r="50" spans="1:8" x14ac:dyDescent="0.25">
      <c r="A50" s="51"/>
      <c r="B50" s="183"/>
      <c r="D50" s="53"/>
      <c r="E50" s="53"/>
      <c r="F50" s="54"/>
    </row>
    <row r="51" spans="1:8" ht="16.5" thickBot="1" x14ac:dyDescent="0.3">
      <c r="D51" s="53"/>
      <c r="G51" s="56">
        <f>SUM(G13:G49)</f>
        <v>1393.5800000000006</v>
      </c>
    </row>
    <row r="52" spans="1:8" ht="16.5" thickTop="1" x14ac:dyDescent="0.25">
      <c r="D52" s="53"/>
      <c r="E52" s="53"/>
      <c r="F52" s="53"/>
      <c r="H52" s="53"/>
    </row>
    <row r="53" spans="1:8" ht="16.5" thickBot="1" x14ac:dyDescent="0.3">
      <c r="C53" s="52" t="s">
        <v>186</v>
      </c>
      <c r="D53" s="53"/>
      <c r="E53" s="53"/>
      <c r="F53" s="53"/>
      <c r="G53" s="56">
        <f>+G51</f>
        <v>1393.5800000000006</v>
      </c>
      <c r="H53" s="53"/>
    </row>
    <row r="54" spans="1:8" ht="16.5" thickTop="1" x14ac:dyDescent="0.25">
      <c r="C54" s="52"/>
      <c r="D54" s="53"/>
      <c r="E54" s="53"/>
      <c r="F54" s="53"/>
      <c r="G54" s="224"/>
      <c r="H54" s="53"/>
    </row>
    <row r="55" spans="1:8" x14ac:dyDescent="0.25">
      <c r="D55" s="53"/>
      <c r="E55" s="53"/>
      <c r="F55" s="53"/>
      <c r="H55" s="53"/>
    </row>
    <row r="56" spans="1:8" x14ac:dyDescent="0.25">
      <c r="D56" s="53"/>
      <c r="E56" s="53"/>
      <c r="F56" s="53"/>
      <c r="H56" s="53"/>
    </row>
    <row r="57" spans="1:8" x14ac:dyDescent="0.25">
      <c r="D57" s="53"/>
      <c r="E57" s="53"/>
      <c r="F57" s="53"/>
      <c r="H57" s="53"/>
    </row>
    <row r="58" spans="1:8" x14ac:dyDescent="0.25">
      <c r="D58" s="53"/>
      <c r="E58" s="53"/>
      <c r="F58" s="53"/>
      <c r="H58" s="53"/>
    </row>
    <row r="59" spans="1:8" x14ac:dyDescent="0.25">
      <c r="D59" s="53"/>
      <c r="E59" s="53"/>
      <c r="F59" s="53"/>
      <c r="H59" s="53"/>
    </row>
    <row r="60" spans="1:8" x14ac:dyDescent="0.25">
      <c r="D60" s="53"/>
      <c r="E60" s="53"/>
      <c r="F60" s="53"/>
      <c r="H60" s="53"/>
    </row>
    <row r="61" spans="1:8" x14ac:dyDescent="0.25">
      <c r="D61" s="53"/>
      <c r="E61" s="53"/>
      <c r="F61" s="53"/>
      <c r="H61" s="53"/>
    </row>
    <row r="62" spans="1:8" x14ac:dyDescent="0.25">
      <c r="D62" s="53"/>
      <c r="E62" s="53"/>
      <c r="F62" s="53"/>
      <c r="H62" s="53"/>
    </row>
    <row r="63" spans="1:8" x14ac:dyDescent="0.25">
      <c r="D63" s="53"/>
      <c r="E63" s="53"/>
      <c r="F63" s="53"/>
      <c r="H63" s="53"/>
    </row>
    <row r="64" spans="1:8" x14ac:dyDescent="0.25">
      <c r="D64" s="53"/>
      <c r="E64" s="53"/>
      <c r="F64" s="53"/>
      <c r="H64" s="53"/>
    </row>
    <row r="65" spans="4:8" x14ac:dyDescent="0.25">
      <c r="D65" s="53"/>
      <c r="E65" s="53"/>
      <c r="F65" s="53"/>
      <c r="H65" s="53"/>
    </row>
    <row r="66" spans="4:8" x14ac:dyDescent="0.25">
      <c r="D66" s="53"/>
      <c r="E66" s="53"/>
      <c r="F66" s="53"/>
      <c r="H66" s="53"/>
    </row>
    <row r="67" spans="4:8" x14ac:dyDescent="0.25">
      <c r="D67" s="53"/>
      <c r="E67" s="53"/>
      <c r="F67" s="53"/>
      <c r="H67" s="53"/>
    </row>
    <row r="68" spans="4:8" x14ac:dyDescent="0.25">
      <c r="D68" s="53"/>
      <c r="E68" s="53"/>
      <c r="F68" s="53"/>
      <c r="H68" s="53"/>
    </row>
    <row r="69" spans="4:8" x14ac:dyDescent="0.25">
      <c r="D69" s="53"/>
      <c r="E69" s="53"/>
      <c r="F69" s="53"/>
      <c r="H69" s="53"/>
    </row>
    <row r="70" spans="4:8" x14ac:dyDescent="0.25">
      <c r="D70" s="53"/>
      <c r="E70" s="53"/>
      <c r="F70" s="53"/>
      <c r="H70" s="53"/>
    </row>
    <row r="71" spans="4:8" x14ac:dyDescent="0.25">
      <c r="D71" s="53"/>
      <c r="E71" s="53"/>
      <c r="F71" s="53"/>
      <c r="H71" s="53"/>
    </row>
    <row r="72" spans="4:8" x14ac:dyDescent="0.25">
      <c r="D72" s="53"/>
      <c r="E72" s="53"/>
      <c r="F72" s="53"/>
      <c r="H72" s="53"/>
    </row>
    <row r="73" spans="4:8" x14ac:dyDescent="0.25">
      <c r="D73" s="53"/>
      <c r="E73" s="53"/>
      <c r="F73" s="53"/>
      <c r="H73" s="53"/>
    </row>
    <row r="74" spans="4:8" x14ac:dyDescent="0.25">
      <c r="D74" s="53"/>
      <c r="E74" s="53"/>
      <c r="F74" s="53"/>
      <c r="H74" s="53"/>
    </row>
    <row r="75" spans="4:8" x14ac:dyDescent="0.25">
      <c r="D75" s="53"/>
      <c r="E75" s="53"/>
      <c r="F75" s="53"/>
      <c r="H75" s="53"/>
    </row>
    <row r="76" spans="4:8" x14ac:dyDescent="0.25">
      <c r="D76" s="53"/>
      <c r="E76" s="53"/>
      <c r="F76" s="53"/>
      <c r="H76" s="53"/>
    </row>
    <row r="77" spans="4:8" x14ac:dyDescent="0.25">
      <c r="D77" s="53"/>
      <c r="E77" s="53"/>
      <c r="F77" s="53"/>
      <c r="H77" s="53"/>
    </row>
    <row r="78" spans="4:8" x14ac:dyDescent="0.25">
      <c r="D78" s="53"/>
      <c r="E78" s="53"/>
      <c r="F78" s="53"/>
      <c r="H78" s="53"/>
    </row>
    <row r="79" spans="4:8" x14ac:dyDescent="0.25">
      <c r="D79" s="53"/>
      <c r="E79" s="53"/>
      <c r="F79" s="53"/>
      <c r="H79" s="53"/>
    </row>
    <row r="80" spans="4:8" x14ac:dyDescent="0.25">
      <c r="D80" s="53"/>
      <c r="E80" s="53"/>
      <c r="F80" s="53"/>
      <c r="H80" s="53"/>
    </row>
    <row r="81" spans="4:8" x14ac:dyDescent="0.25">
      <c r="D81" s="53"/>
      <c r="E81" s="53"/>
      <c r="F81" s="53"/>
      <c r="H81" s="53"/>
    </row>
    <row r="82" spans="4:8" x14ac:dyDescent="0.25">
      <c r="D82" s="53"/>
      <c r="E82" s="53"/>
      <c r="F82" s="53"/>
      <c r="H82" s="53"/>
    </row>
    <row r="83" spans="4:8" x14ac:dyDescent="0.25">
      <c r="D83" s="53"/>
      <c r="E83" s="53"/>
      <c r="F83" s="53"/>
      <c r="H83" s="53"/>
    </row>
    <row r="84" spans="4:8" x14ac:dyDescent="0.25">
      <c r="D84" s="53"/>
      <c r="E84" s="53"/>
      <c r="F84" s="53"/>
      <c r="H84" s="53"/>
    </row>
    <row r="85" spans="4:8" x14ac:dyDescent="0.25">
      <c r="D85" s="53"/>
      <c r="E85" s="53"/>
      <c r="F85" s="53"/>
      <c r="H85" s="53"/>
    </row>
    <row r="86" spans="4:8" x14ac:dyDescent="0.25">
      <c r="D86" s="53"/>
      <c r="E86" s="53"/>
      <c r="F86" s="53"/>
      <c r="H86" s="53"/>
    </row>
    <row r="87" spans="4:8" x14ac:dyDescent="0.25">
      <c r="D87" s="53"/>
      <c r="E87" s="53"/>
      <c r="F87" s="53"/>
      <c r="H87" s="53"/>
    </row>
    <row r="88" spans="4:8" x14ac:dyDescent="0.25">
      <c r="D88" s="53"/>
      <c r="E88" s="53"/>
      <c r="F88" s="53"/>
      <c r="H88" s="53"/>
    </row>
    <row r="89" spans="4:8" x14ac:dyDescent="0.25">
      <c r="D89" s="53"/>
      <c r="E89" s="53"/>
      <c r="F89" s="53"/>
      <c r="H89" s="53"/>
    </row>
    <row r="90" spans="4:8" x14ac:dyDescent="0.25">
      <c r="D90" s="53"/>
      <c r="E90" s="53"/>
      <c r="F90" s="53"/>
      <c r="H90" s="53"/>
    </row>
    <row r="91" spans="4:8" x14ac:dyDescent="0.25">
      <c r="D91" s="53"/>
      <c r="E91" s="53"/>
      <c r="F91" s="53"/>
      <c r="H91" s="53"/>
    </row>
    <row r="92" spans="4:8" x14ac:dyDescent="0.25">
      <c r="D92" s="53"/>
      <c r="E92" s="53"/>
      <c r="F92" s="53"/>
      <c r="H92" s="53"/>
    </row>
    <row r="93" spans="4:8" x14ac:dyDescent="0.25">
      <c r="D93" s="53"/>
      <c r="E93" s="53"/>
      <c r="F93" s="53"/>
    </row>
    <row r="94" spans="4:8" x14ac:dyDescent="0.25">
      <c r="D94" s="53"/>
      <c r="E94" s="53"/>
      <c r="F94" s="53"/>
    </row>
    <row r="95" spans="4:8" x14ac:dyDescent="0.25">
      <c r="D95" s="53"/>
      <c r="E95" s="53"/>
      <c r="F95" s="53"/>
    </row>
    <row r="96" spans="4:8" x14ac:dyDescent="0.25">
      <c r="D96" s="53"/>
      <c r="E96" s="53"/>
      <c r="F96" s="53"/>
    </row>
    <row r="97" spans="4:6" x14ac:dyDescent="0.25">
      <c r="D97" s="53"/>
      <c r="E97" s="53"/>
      <c r="F97" s="53"/>
    </row>
    <row r="98" spans="4:6" x14ac:dyDescent="0.25">
      <c r="D98" s="53"/>
      <c r="E98" s="53"/>
      <c r="F98" s="53"/>
    </row>
    <row r="99" spans="4:6" x14ac:dyDescent="0.25">
      <c r="D99" s="53"/>
      <c r="E99" s="53"/>
      <c r="F99" s="53"/>
    </row>
    <row r="100" spans="4:6" x14ac:dyDescent="0.25">
      <c r="D100" s="53"/>
      <c r="E100" s="53"/>
      <c r="F100" s="53"/>
    </row>
    <row r="101" spans="4:6" x14ac:dyDescent="0.25">
      <c r="D101" s="53"/>
      <c r="E101" s="53"/>
      <c r="F101" s="53"/>
    </row>
    <row r="102" spans="4:6" x14ac:dyDescent="0.25">
      <c r="D102" s="53"/>
      <c r="E102" s="53"/>
      <c r="F102" s="53"/>
    </row>
    <row r="103" spans="4:6" x14ac:dyDescent="0.25">
      <c r="D103" s="53"/>
      <c r="E103" s="53"/>
      <c r="F103" s="53"/>
    </row>
    <row r="104" spans="4:6" x14ac:dyDescent="0.25">
      <c r="D104" s="53"/>
      <c r="E104" s="53"/>
      <c r="F104" s="53"/>
    </row>
    <row r="105" spans="4:6" x14ac:dyDescent="0.25">
      <c r="D105" s="53"/>
      <c r="E105" s="53"/>
      <c r="F105" s="53"/>
    </row>
    <row r="106" spans="4:6" x14ac:dyDescent="0.25">
      <c r="D106" s="53"/>
      <c r="E106" s="53"/>
      <c r="F106" s="53"/>
    </row>
    <row r="107" spans="4:6" x14ac:dyDescent="0.25">
      <c r="D107" s="53"/>
      <c r="E107" s="53"/>
      <c r="F107" s="53"/>
    </row>
    <row r="108" spans="4:6" x14ac:dyDescent="0.25">
      <c r="D108" s="53"/>
      <c r="E108" s="53"/>
      <c r="F108" s="53"/>
    </row>
    <row r="109" spans="4:6" x14ac:dyDescent="0.25">
      <c r="D109" s="53"/>
      <c r="E109" s="53"/>
      <c r="F109" s="53"/>
    </row>
    <row r="110" spans="4:6" x14ac:dyDescent="0.25">
      <c r="D110" s="53"/>
      <c r="E110" s="53"/>
      <c r="F110" s="53"/>
    </row>
    <row r="111" spans="4:6" x14ac:dyDescent="0.25">
      <c r="D111" s="53"/>
      <c r="E111" s="53"/>
      <c r="F111" s="53"/>
    </row>
    <row r="112" spans="4:6" x14ac:dyDescent="0.25">
      <c r="D112" s="53"/>
      <c r="E112" s="53"/>
      <c r="F112" s="53"/>
    </row>
    <row r="113" spans="4:6" x14ac:dyDescent="0.25">
      <c r="D113" s="53"/>
      <c r="E113" s="53"/>
      <c r="F113" s="53"/>
    </row>
    <row r="114" spans="4:6" x14ac:dyDescent="0.25">
      <c r="D114" s="53"/>
      <c r="E114" s="53"/>
      <c r="F114" s="53"/>
    </row>
    <row r="115" spans="4:6" x14ac:dyDescent="0.25">
      <c r="D115" s="53"/>
      <c r="E115" s="53"/>
      <c r="F115" s="53"/>
    </row>
    <row r="116" spans="4:6" x14ac:dyDescent="0.25">
      <c r="D116" s="53"/>
      <c r="E116" s="53"/>
      <c r="F116" s="53"/>
    </row>
    <row r="117" spans="4:6" x14ac:dyDescent="0.25">
      <c r="D117" s="53"/>
      <c r="E117" s="53"/>
      <c r="F117" s="53"/>
    </row>
    <row r="118" spans="4:6" x14ac:dyDescent="0.25">
      <c r="D118" s="53"/>
      <c r="E118" s="53"/>
      <c r="F118" s="53"/>
    </row>
    <row r="119" spans="4:6" x14ac:dyDescent="0.25">
      <c r="D119" s="53"/>
      <c r="E119" s="53"/>
      <c r="F119" s="53"/>
    </row>
    <row r="120" spans="4:6" x14ac:dyDescent="0.25">
      <c r="D120" s="53"/>
      <c r="E120" s="53"/>
      <c r="F120" s="53"/>
    </row>
    <row r="121" spans="4:6" x14ac:dyDescent="0.25">
      <c r="D121" s="53"/>
      <c r="E121" s="53"/>
      <c r="F121" s="53"/>
    </row>
    <row r="122" spans="4:6" x14ac:dyDescent="0.25">
      <c r="D122" s="53"/>
      <c r="E122" s="53"/>
      <c r="F122" s="53"/>
    </row>
    <row r="123" spans="4:6" x14ac:dyDescent="0.25">
      <c r="D123" s="53"/>
      <c r="E123" s="53"/>
      <c r="F123" s="53"/>
    </row>
    <row r="124" spans="4:6" x14ac:dyDescent="0.25">
      <c r="D124" s="53"/>
      <c r="E124" s="53"/>
      <c r="F124" s="53"/>
    </row>
    <row r="125" spans="4:6" x14ac:dyDescent="0.25">
      <c r="D125" s="53"/>
      <c r="E125" s="53"/>
      <c r="F125" s="53"/>
    </row>
    <row r="126" spans="4:6" x14ac:dyDescent="0.25">
      <c r="D126" s="53"/>
      <c r="E126" s="53"/>
      <c r="F126" s="53"/>
    </row>
    <row r="127" spans="4:6" x14ac:dyDescent="0.25">
      <c r="D127" s="53"/>
      <c r="E127" s="53"/>
      <c r="F127" s="53"/>
    </row>
    <row r="128" spans="4:6" x14ac:dyDescent="0.25">
      <c r="D128" s="53"/>
      <c r="E128" s="53"/>
      <c r="F128" s="53"/>
    </row>
    <row r="129" spans="4:6" x14ac:dyDescent="0.25">
      <c r="D129" s="53"/>
      <c r="E129" s="53"/>
      <c r="F129" s="53"/>
    </row>
    <row r="130" spans="4:6" x14ac:dyDescent="0.25">
      <c r="D130" s="53"/>
      <c r="E130" s="53"/>
      <c r="F130" s="53"/>
    </row>
    <row r="131" spans="4:6" x14ac:dyDescent="0.25">
      <c r="D131" s="53"/>
      <c r="E131" s="53"/>
      <c r="F131" s="53"/>
    </row>
    <row r="132" spans="4:6" x14ac:dyDescent="0.25">
      <c r="D132" s="53"/>
      <c r="E132" s="53"/>
      <c r="F132" s="53"/>
    </row>
    <row r="133" spans="4:6" x14ac:dyDescent="0.25">
      <c r="D133" s="53"/>
      <c r="E133" s="53"/>
      <c r="F133" s="53"/>
    </row>
    <row r="134" spans="4:6" x14ac:dyDescent="0.25">
      <c r="D134" s="53"/>
      <c r="E134" s="53"/>
      <c r="F134" s="53"/>
    </row>
    <row r="135" spans="4:6" x14ac:dyDescent="0.25">
      <c r="D135" s="53"/>
      <c r="E135" s="53"/>
      <c r="F135" s="53"/>
    </row>
    <row r="136" spans="4:6" x14ac:dyDescent="0.25">
      <c r="D136" s="53"/>
      <c r="E136" s="53"/>
      <c r="F136" s="53"/>
    </row>
    <row r="137" spans="4:6" x14ac:dyDescent="0.25">
      <c r="D137" s="53"/>
      <c r="E137" s="53"/>
      <c r="F137" s="53"/>
    </row>
    <row r="138" spans="4:6" x14ac:dyDescent="0.25">
      <c r="D138" s="53"/>
      <c r="E138" s="53"/>
      <c r="F138" s="53"/>
    </row>
    <row r="139" spans="4:6" x14ac:dyDescent="0.25">
      <c r="D139" s="53"/>
      <c r="E139" s="53"/>
      <c r="F139" s="53"/>
    </row>
    <row r="140" spans="4:6" x14ac:dyDescent="0.25">
      <c r="D140" s="53"/>
      <c r="E140" s="53"/>
      <c r="F140" s="53"/>
    </row>
    <row r="141" spans="4:6" x14ac:dyDescent="0.25">
      <c r="D141" s="53"/>
      <c r="E141" s="53"/>
      <c r="F141" s="53"/>
    </row>
    <row r="142" spans="4:6" x14ac:dyDescent="0.25">
      <c r="D142" s="53"/>
      <c r="E142" s="53"/>
      <c r="F142" s="53"/>
    </row>
    <row r="143" spans="4:6" x14ac:dyDescent="0.25">
      <c r="D143" s="53"/>
      <c r="E143" s="53"/>
      <c r="F143" s="53"/>
    </row>
    <row r="144" spans="4:6" x14ac:dyDescent="0.25">
      <c r="D144" s="53"/>
      <c r="E144" s="53"/>
      <c r="F144" s="53"/>
    </row>
    <row r="145" spans="4:6" x14ac:dyDescent="0.25">
      <c r="D145" s="53"/>
      <c r="E145" s="53"/>
      <c r="F145" s="53"/>
    </row>
    <row r="146" spans="4:6" x14ac:dyDescent="0.25">
      <c r="D146" s="53"/>
      <c r="E146" s="53"/>
      <c r="F146" s="53"/>
    </row>
    <row r="147" spans="4:6" x14ac:dyDescent="0.25">
      <c r="D147" s="53"/>
      <c r="E147" s="53"/>
      <c r="F147" s="53"/>
    </row>
    <row r="148" spans="4:6" x14ac:dyDescent="0.25">
      <c r="D148" s="53"/>
      <c r="E148" s="53"/>
      <c r="F148" s="53"/>
    </row>
    <row r="149" spans="4:6" x14ac:dyDescent="0.25">
      <c r="D149" s="53"/>
      <c r="E149" s="53"/>
      <c r="F149" s="53"/>
    </row>
    <row r="150" spans="4:6" x14ac:dyDescent="0.25">
      <c r="D150" s="53"/>
      <c r="E150" s="53"/>
      <c r="F150" s="53"/>
    </row>
    <row r="151" spans="4:6" x14ac:dyDescent="0.25">
      <c r="D151" s="53"/>
      <c r="E151" s="53"/>
      <c r="F151" s="53"/>
    </row>
    <row r="152" spans="4:6" x14ac:dyDescent="0.25">
      <c r="D152" s="53"/>
      <c r="E152" s="53"/>
      <c r="F152" s="53"/>
    </row>
    <row r="153" spans="4:6" x14ac:dyDescent="0.25">
      <c r="D153" s="53"/>
      <c r="E153" s="53"/>
      <c r="F153" s="53"/>
    </row>
  </sheetData>
  <phoneticPr fontId="0" type="noConversion"/>
  <pageMargins left="0.75" right="0.75" top="1" bottom="1" header="0.5" footer="0.5"/>
  <pageSetup scale="81" orientation="portrait" horizontalDpi="409" verticalDpi="409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5A38FFE5E4AF488421127677ADC741" ma:contentTypeVersion="92" ma:contentTypeDescription="" ma:contentTypeScope="" ma:versionID="97e01efb5c93c481a9c183b5ab4a691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170375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04128ED-CC4D-4D4E-874C-14D28976C48F}"/>
</file>

<file path=customXml/itemProps2.xml><?xml version="1.0" encoding="utf-8"?>
<ds:datastoreItem xmlns:ds="http://schemas.openxmlformats.org/officeDocument/2006/customXml" ds:itemID="{99257957-B568-4F70-AF72-B8A67FBA90CD}"/>
</file>

<file path=customXml/itemProps3.xml><?xml version="1.0" encoding="utf-8"?>
<ds:datastoreItem xmlns:ds="http://schemas.openxmlformats.org/officeDocument/2006/customXml" ds:itemID="{628D2593-A62D-4487-91A6-0911559C453D}"/>
</file>

<file path=customXml/itemProps4.xml><?xml version="1.0" encoding="utf-8"?>
<ds:datastoreItem xmlns:ds="http://schemas.openxmlformats.org/officeDocument/2006/customXml" ds:itemID="{E82906B7-375E-418C-BFB1-C787D245D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RATES</vt:lpstr>
      <vt:lpstr>FIT</vt:lpstr>
      <vt:lpstr>RESTATE</vt:lpstr>
      <vt:lpstr>13-PT AVERAGE</vt:lpstr>
      <vt:lpstr>PROFORMA</vt:lpstr>
      <vt:lpstr>RETURN</vt:lpstr>
      <vt:lpstr>PA-1 SALARY2016</vt:lpstr>
      <vt:lpstr>PA-2 MEDICAL INCREASE</vt:lpstr>
      <vt:lpstr>PA-3 DENTAL INCREASE</vt:lpstr>
      <vt:lpstr>PA-4 NEW EMPLOYEES</vt:lpstr>
      <vt:lpstr>PA-5 PROPERTY TAX INCREASE</vt:lpstr>
      <vt:lpstr>PA-6 RATE CASE COSTS</vt:lpstr>
      <vt:lpstr>PA-7 DOH OP PERMIT FEE INCREASE</vt:lpstr>
      <vt:lpstr>PA-8 UCMR3 WATER TESTING</vt:lpstr>
      <vt:lpstr>_PG1</vt:lpstr>
      <vt:lpstr>_PG3</vt:lpstr>
      <vt:lpstr>_PG4</vt:lpstr>
      <vt:lpstr>_PGE2</vt:lpstr>
      <vt:lpstr>'PA-1 SALARY2016'!Print_Area</vt:lpstr>
      <vt:lpstr>'PA-2 MEDICAL INCREASE'!Print_Area</vt:lpstr>
      <vt:lpstr>RATES!Print_Area</vt:lpstr>
      <vt:lpstr>RESTATE!Print_Area</vt:lpstr>
      <vt:lpstr>RETURN!Print_Area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Fisher</dc:creator>
  <cp:lastModifiedBy>Candace Shofstall</cp:lastModifiedBy>
  <cp:lastPrinted>2017-05-02T20:59:08Z</cp:lastPrinted>
  <dcterms:created xsi:type="dcterms:W3CDTF">2001-06-01T21:18:46Z</dcterms:created>
  <dcterms:modified xsi:type="dcterms:W3CDTF">2017-05-09T15:55:10Z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0x0101006E56B4D1795A2E4DB2F0B01679ED314A00105A38FFE5E4AF488421127677ADC741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