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120" windowHeight="8100" activeTab="12"/>
  </bookViews>
  <sheets>
    <sheet name="Rate Sheet Summary" sheetId="1" r:id="rId1"/>
    <sheet name="NS(SC) Deferred Acct." sheetId="2" r:id="rId2"/>
    <sheet name="NS (KC) Deferred Acct." sheetId="3" r:id="rId3"/>
    <sheet name="Sea.(SS) Deferred Acct." sheetId="4" r:id="rId4"/>
    <sheet name="2016-2017 KC Budget" sheetId="5" r:id="rId5"/>
    <sheet name="2016 -2017 SC Budget" sheetId="6" r:id="rId6"/>
    <sheet name="KC Financial Incentive" sheetId="7" r:id="rId7"/>
    <sheet name="SC Financial Incentive" sheetId="8" r:id="rId8"/>
    <sheet name="2014-2015 RSA Budget vs. Actual" sheetId="9" r:id="rId9"/>
    <sheet name="2014-2015 RSA" sheetId="10" r:id="rId10"/>
    <sheet name="CRC Prices &amp; Revenue" sheetId="11" r:id="rId11"/>
    <sheet name="Customer Counts" sheetId="12" r:id="rId12"/>
    <sheet name="2014-2015 Composition" sheetId="13" r:id="rId13"/>
  </sheets>
  <definedNames>
    <definedName name="OLE_LINK1" localSheetId="9">'2014-2015 RSA'!$P$1</definedName>
    <definedName name="_xlnm.Print_Area" localSheetId="12">'2014-2015 Composition'!$A$1:$AC$35</definedName>
    <definedName name="_xlnm.Print_Area" localSheetId="9">'2014-2015 RSA'!$A$1:$T$64</definedName>
    <definedName name="_xlnm.Print_Area" localSheetId="8">'2014-2015 RSA Budget vs. Actual'!$A$1:$K$59</definedName>
    <definedName name="_xlnm.Print_Area" localSheetId="5">'2016 -2017 SC Budget'!$A$1:$D$57</definedName>
    <definedName name="_xlnm.Print_Area" localSheetId="4">'2016-2017 KC Budget'!$A$1:$D$52</definedName>
    <definedName name="_xlnm.Print_Area" localSheetId="10">'CRC Prices &amp; Revenue'!$A$1:$M$154</definedName>
    <definedName name="_xlnm.Print_Area" localSheetId="11">'Customer Counts'!$A$1:$Y$42</definedName>
    <definedName name="_xlnm.Print_Area" localSheetId="6">'KC Financial Incentive'!$A$1:$L$60</definedName>
    <definedName name="_xlnm.Print_Area" localSheetId="2">'NS (KC) Deferred Acct.'!$A$1:$X$72</definedName>
    <definedName name="_xlnm.Print_Area" localSheetId="1">'NS(SC) Deferred Acct.'!$A$1:$X$78</definedName>
    <definedName name="_xlnm.Print_Area" localSheetId="0">'Rate Sheet Summary'!$A$1:$L$65</definedName>
    <definedName name="_xlnm.Print_Area" localSheetId="7">'SC Financial Incentive'!$A$1:$K$32</definedName>
    <definedName name="_xlnm.Print_Area" localSheetId="3">'Sea.(SS) Deferred Acct.'!$A$1:$X$72</definedName>
    <definedName name="_xlnm.Print_Titles" localSheetId="10">'CRC Prices &amp; Revenue'!$1:$3</definedName>
  </definedNames>
  <calcPr fullCalcOnLoad="1" iterate="1" iterateCount="100" iterateDelta="0.001"/>
</workbook>
</file>

<file path=xl/comments9.xml><?xml version="1.0" encoding="utf-8"?>
<comments xmlns="http://schemas.openxmlformats.org/spreadsheetml/2006/main">
  <authors>
    <author>Weinstein, Mike</author>
  </authors>
  <commentList>
    <comment ref="G4" authorId="0">
      <text>
        <r>
          <rPr>
            <b/>
            <sz val="9"/>
            <rFont val="Tahoma"/>
            <family val="2"/>
          </rPr>
          <t>Weinstein
Most recent 24 months through September, 2015</t>
        </r>
      </text>
    </comment>
  </commentList>
</comments>
</file>

<file path=xl/sharedStrings.xml><?xml version="1.0" encoding="utf-8"?>
<sst xmlns="http://schemas.openxmlformats.org/spreadsheetml/2006/main" count="1027" uniqueCount="351">
  <si>
    <t>Summary of Recycling Tonnages and Revenue</t>
  </si>
  <si>
    <t>Total Counties:</t>
  </si>
  <si>
    <t>Single Stream Tonnage</t>
  </si>
  <si>
    <t>Single Stream Revenue</t>
  </si>
  <si>
    <t>King</t>
  </si>
  <si>
    <t>Snohomish</t>
  </si>
  <si>
    <t>County</t>
  </si>
  <si>
    <t>Total</t>
  </si>
  <si>
    <t>Sep</t>
  </si>
  <si>
    <t>Oct</t>
  </si>
  <si>
    <t>Nov</t>
  </si>
  <si>
    <t>Dec</t>
  </si>
  <si>
    <t>Jan</t>
  </si>
  <si>
    <t>Feb</t>
  </si>
  <si>
    <t>Mar</t>
  </si>
  <si>
    <t>Apr</t>
  </si>
  <si>
    <t>May</t>
  </si>
  <si>
    <t>Regulated WUTC:</t>
  </si>
  <si>
    <t>Stream Composition-CRC</t>
  </si>
  <si>
    <t>Tons</t>
  </si>
  <si>
    <t>Newspaper</t>
  </si>
  <si>
    <t>Mix Paper</t>
  </si>
  <si>
    <t>OCC</t>
  </si>
  <si>
    <t>Aluminum</t>
  </si>
  <si>
    <t>Glass</t>
  </si>
  <si>
    <t>PET</t>
  </si>
  <si>
    <t>HDPE Natl</t>
  </si>
  <si>
    <t>HDPE Col</t>
  </si>
  <si>
    <t>#3 - 7</t>
  </si>
  <si>
    <t>Tin Cans</t>
  </si>
  <si>
    <t>Residue</t>
  </si>
  <si>
    <t>Month</t>
  </si>
  <si>
    <t>Passback Price/ton schedule</t>
  </si>
  <si>
    <t>Natural</t>
  </si>
  <si>
    <t>Colored</t>
  </si>
  <si>
    <t>Mixed</t>
  </si>
  <si>
    <t>ONP 6</t>
  </si>
  <si>
    <t>Mixed Paper</t>
  </si>
  <si>
    <t>Alum.</t>
  </si>
  <si>
    <t>Tin</t>
  </si>
  <si>
    <t>HDPE</t>
  </si>
  <si>
    <t>Plastics 3-7</t>
  </si>
  <si>
    <t>King County:</t>
  </si>
  <si>
    <t>Snohomish County:</t>
  </si>
  <si>
    <t>Dec.</t>
  </si>
  <si>
    <t>Feb.</t>
  </si>
  <si>
    <t>Mar.</t>
  </si>
  <si>
    <t>Jun</t>
  </si>
  <si>
    <t>Jul</t>
  </si>
  <si>
    <t>Aug</t>
  </si>
  <si>
    <t>WUTC</t>
  </si>
  <si>
    <t>Non-WUTC</t>
  </si>
  <si>
    <t>WM - Seattle/South Sound</t>
  </si>
  <si>
    <t>WM - Northwest</t>
  </si>
  <si>
    <t>SS</t>
  </si>
  <si>
    <t>Seattle</t>
  </si>
  <si>
    <t>Sno-King</t>
  </si>
  <si>
    <t>Northwest</t>
  </si>
  <si>
    <t>Marysville</t>
  </si>
  <si>
    <t>Dec-13</t>
  </si>
  <si>
    <t>2014 - 2015 Budget</t>
  </si>
  <si>
    <t>Difference - over (under)</t>
  </si>
  <si>
    <t>Average</t>
  </si>
  <si>
    <t>Overall Plastic Average</t>
  </si>
  <si>
    <t>Grand</t>
  </si>
  <si>
    <t>Oct.; 2013</t>
  </si>
  <si>
    <t>Jan.; 2014</t>
  </si>
  <si>
    <t>2014 - 2015 Budget:</t>
  </si>
  <si>
    <t>WUTC - King County</t>
  </si>
  <si>
    <t>WUTC - Snohomish County</t>
  </si>
  <si>
    <t>Actual Average:</t>
  </si>
  <si>
    <t>Revenue</t>
  </si>
  <si>
    <t>per Ton</t>
  </si>
  <si>
    <t>Customers</t>
  </si>
  <si>
    <t>lbs./cust/mo.</t>
  </si>
  <si>
    <t>Non-Reg</t>
  </si>
  <si>
    <t>Apr.</t>
  </si>
  <si>
    <t>Jun.</t>
  </si>
  <si>
    <t>Loss of Burien Contract</t>
  </si>
  <si>
    <t>Jul.</t>
  </si>
  <si>
    <t>Aug.</t>
  </si>
  <si>
    <t>Loss of Maple Valley Contract</t>
  </si>
  <si>
    <t>Sep.</t>
  </si>
  <si>
    <t>Regulated WUTC (Single Family):</t>
  </si>
  <si>
    <t>Regulated WUTC (Multi-Family):</t>
  </si>
  <si>
    <t>% of Total</t>
  </si>
  <si>
    <t xml:space="preserve">% </t>
  </si>
  <si>
    <t>Excluding</t>
  </si>
  <si>
    <t>Seattle/</t>
  </si>
  <si>
    <t>South Sound</t>
  </si>
  <si>
    <t>Oct.</t>
  </si>
  <si>
    <t>Nov.</t>
  </si>
  <si>
    <t>Total 2015</t>
  </si>
  <si>
    <t>Loss of Bothell contract</t>
  </si>
  <si>
    <t>Jan. '15</t>
  </si>
  <si>
    <t>King and Snohomish County Revenue Sharing Plan Budget</t>
  </si>
  <si>
    <t xml:space="preserve">2014 - 2015 plan years - (January, 2014 - December, 2015) </t>
  </si>
  <si>
    <t>Budget</t>
  </si>
  <si>
    <t xml:space="preserve">King </t>
  </si>
  <si>
    <t>Customer Counts:</t>
  </si>
  <si>
    <t>Residential</t>
  </si>
  <si>
    <t>Tonnage:</t>
  </si>
  <si>
    <t>Residential and Multi-Family WUTC tonnage</t>
  </si>
  <si>
    <t>Revenues:</t>
  </si>
  <si>
    <t>Total Projected Commodity Revenue (based most recent 12 months average commodity values)</t>
  </si>
  <si>
    <t>Expenditures:</t>
  </si>
  <si>
    <t>Allocated Labor Costs(see detail below)</t>
  </si>
  <si>
    <t>Labor Cost Total (see detail below)</t>
  </si>
  <si>
    <t>Tasks As Outlined In RSA</t>
  </si>
  <si>
    <t>Task 1 - Quarterly Updates and Coordination Meetings</t>
  </si>
  <si>
    <t>Task 2 - Monthly Data Reporting Requirements</t>
  </si>
  <si>
    <t>Task 3 - Strategic Communications</t>
  </si>
  <si>
    <t>Task 4 - Multicultural Study, Outreach and Transcreated Materials</t>
  </si>
  <si>
    <t>Task 5 - Multifamily Recycling</t>
  </si>
  <si>
    <t>Task 6 - Organics</t>
  </si>
  <si>
    <t>Task 7 - Promotion of Recycling at Events</t>
  </si>
  <si>
    <t>Task 8 - Increase Recycling and Decrease Contamination</t>
  </si>
  <si>
    <t>Task 9 - Schools Outreach (Snohomish County only)</t>
  </si>
  <si>
    <t>Task 9 - Service Level Study (King County only)</t>
  </si>
  <si>
    <t>Total RSA Task Fees (excluding capital)</t>
  </si>
  <si>
    <t>Total Budgeted Expenses</t>
  </si>
  <si>
    <t>Performance Incentive (5% of expenditures)</t>
  </si>
  <si>
    <t>Total Expenditures plus incentive</t>
  </si>
  <si>
    <t>% allocated to each County</t>
  </si>
  <si>
    <t>Avg. lbs./customer/mo.</t>
  </si>
  <si>
    <t>Avg. revenue/ton</t>
  </si>
  <si>
    <t>Labor Cost Allocation</t>
  </si>
  <si>
    <t>Cost/Hr.</t>
  </si>
  <si>
    <t xml:space="preserve">Cost </t>
  </si>
  <si>
    <t xml:space="preserve">Labor Associated with monthly reporting requirements </t>
  </si>
  <si>
    <t xml:space="preserve">Labor costs associated with contract management/implementation  </t>
  </si>
  <si>
    <t>Labor costs associated with management of website and public education development</t>
  </si>
  <si>
    <t xml:space="preserve">Labor Associated with staffing public events </t>
  </si>
  <si>
    <t xml:space="preserve">Intern staffing </t>
  </si>
  <si>
    <t xml:space="preserve">Labor Cost Totals </t>
  </si>
  <si>
    <t>Through</t>
  </si>
  <si>
    <t>Actual</t>
  </si>
  <si>
    <t>Projected</t>
  </si>
  <si>
    <t>Actual vs.</t>
  </si>
  <si>
    <t xml:space="preserve"> RESIDENTIAL WASTE STREAM</t>
  </si>
  <si>
    <t xml:space="preserve">Residential Recycling </t>
  </si>
  <si>
    <t xml:space="preserve">Residential Yard Waste </t>
  </si>
  <si>
    <t xml:space="preserve">Residential Solid Waste </t>
  </si>
  <si>
    <t>TOTAL RESIDENTIAL</t>
  </si>
  <si>
    <t xml:space="preserve"> MULTIFAMILY WASTE STREAM</t>
  </si>
  <si>
    <t xml:space="preserve">Multifamily Recycling </t>
  </si>
  <si>
    <t xml:space="preserve">Multifamily Yard Waste </t>
  </si>
  <si>
    <t xml:space="preserve">Multifamily Solid Waste </t>
  </si>
  <si>
    <t>TOTAL MULTIFAMILY</t>
  </si>
  <si>
    <t xml:space="preserve"> TOTAL WASTE STREAM</t>
  </si>
  <si>
    <t>Total Diversion</t>
  </si>
  <si>
    <t>RECYCLING CREDITS(CHARGES)-RESIDENTIAL</t>
  </si>
  <si>
    <t>Present rate structure:</t>
  </si>
  <si>
    <t>Everett</t>
  </si>
  <si>
    <t>Sno. Cty</t>
  </si>
  <si>
    <t>TOTAL</t>
  </si>
  <si>
    <t>Recycle rate</t>
  </si>
  <si>
    <t>TONS</t>
  </si>
  <si>
    <t>%</t>
  </si>
  <si>
    <t>Credit to Customer</t>
  </si>
  <si>
    <t>NEWSPAPER</t>
  </si>
  <si>
    <t>Net recycle rate</t>
  </si>
  <si>
    <t>MIXED I</t>
  </si>
  <si>
    <t>ALUMINUM</t>
  </si>
  <si>
    <t>TIN</t>
  </si>
  <si>
    <t>Proposed rate structure:</t>
  </si>
  <si>
    <t>GLASS</t>
  </si>
  <si>
    <t>PET PLASTIC</t>
  </si>
  <si>
    <t>HDPE -Natural</t>
  </si>
  <si>
    <t>HDPE-Colored</t>
  </si>
  <si>
    <t>Mixed Plastics</t>
  </si>
  <si>
    <t>Ave. Customers:</t>
  </si>
  <si>
    <t>Company Average</t>
  </si>
  <si>
    <t>Ave. 12 mo. Credit</t>
  </si>
  <si>
    <t>NET REVENUE</t>
  </si>
  <si>
    <t>Sno. County</t>
  </si>
  <si>
    <t>Sharing (a)</t>
  </si>
  <si>
    <t>Net</t>
  </si>
  <si>
    <t>Cumulative</t>
  </si>
  <si>
    <t>Credit/</t>
  </si>
  <si>
    <t>Per Cust.</t>
  </si>
  <si>
    <t>Customer</t>
  </si>
  <si>
    <t>Credits</t>
  </si>
  <si>
    <t>Initial</t>
  </si>
  <si>
    <t>4/1/96-</t>
  </si>
  <si>
    <t>2/1/97-</t>
  </si>
  <si>
    <t>2/1/98-</t>
  </si>
  <si>
    <t>2/1/99-</t>
  </si>
  <si>
    <t>2/1/00-</t>
  </si>
  <si>
    <t>2/1/01-</t>
  </si>
  <si>
    <t>3/1/02-</t>
  </si>
  <si>
    <t>5/1/03-</t>
  </si>
  <si>
    <t>5/1/04-</t>
  </si>
  <si>
    <t>5/1/05-</t>
  </si>
  <si>
    <t>5/1/06-</t>
  </si>
  <si>
    <t>5/1/07-</t>
  </si>
  <si>
    <t>5/1/08-</t>
  </si>
  <si>
    <t>5/1/09-</t>
  </si>
  <si>
    <t>5/1/10-</t>
  </si>
  <si>
    <t>9/1/11-</t>
  </si>
  <si>
    <t>10/1/12-</t>
  </si>
  <si>
    <t>10/1/13-</t>
  </si>
  <si>
    <t>Rate</t>
  </si>
  <si>
    <t>1/31/97</t>
  </si>
  <si>
    <t>1/31/98</t>
  </si>
  <si>
    <t>1/31/99</t>
  </si>
  <si>
    <t>1/31/00</t>
  </si>
  <si>
    <t>1/31/01</t>
  </si>
  <si>
    <t>2/28/02</t>
  </si>
  <si>
    <t>4/30/03</t>
  </si>
  <si>
    <t>4/30/04</t>
  </si>
  <si>
    <t>4/30/05</t>
  </si>
  <si>
    <t>4/30/06</t>
  </si>
  <si>
    <t>4/30/07</t>
  </si>
  <si>
    <t>4/30/08</t>
  </si>
  <si>
    <t>4/30/09</t>
  </si>
  <si>
    <t>4/30/10</t>
  </si>
  <si>
    <t>8/31/11</t>
  </si>
  <si>
    <t>9/30/12</t>
  </si>
  <si>
    <t>9/30/13</t>
  </si>
  <si>
    <t>9/30/14</t>
  </si>
  <si>
    <t>Net Company Commodity Revenue</t>
  </si>
  <si>
    <t>Less:  Revenue Sharing per RCW 81.77.185 (percentages vary by year)</t>
  </si>
  <si>
    <t>Less: Total Customer Credits</t>
  </si>
  <si>
    <t>Total Surplus/(Deficit) Revenue</t>
  </si>
  <si>
    <t>Less: Shoreline</t>
  </si>
  <si>
    <t xml:space="preserve">City Contract from 2001 </t>
  </si>
  <si>
    <t>Net Surplus/(Deficit) Revenue</t>
  </si>
  <si>
    <t># of Months Credit in Effect</t>
  </si>
  <si>
    <t>Monthly Surplus/(Deficit) Revenue</t>
  </si>
  <si>
    <t>Average # of Customers(net of Shoreline)</t>
  </si>
  <si>
    <t>Monthly +/(-) Revenue per Customer</t>
  </si>
  <si>
    <t>Recycle Adjustment Calculation:</t>
  </si>
  <si>
    <t>Previous 12 month average credit(charge) per customer</t>
  </si>
  <si>
    <t>(1996-1998 used a 3 month average)</t>
  </si>
  <si>
    <t>CREDIT/(CHARGE)-as restated</t>
  </si>
  <si>
    <t>CREDIT/(CHARGE)-actual billed</t>
  </si>
  <si>
    <t>CREDIT/(CHARGE)-actual billed(Everett)</t>
  </si>
  <si>
    <t>Total Annualized Tons(net of Shoreline)</t>
  </si>
  <si>
    <t>Total Average # of Customers(net of Shoreline)</t>
  </si>
  <si>
    <t>lbs. Per month per customer</t>
  </si>
  <si>
    <t>Revenue per Ton</t>
  </si>
  <si>
    <t>WASTE MANAGEMENT - Seattle/South Sound</t>
  </si>
  <si>
    <t>Total Annualized Tons</t>
  </si>
  <si>
    <t>Total Average # of Customers</t>
  </si>
  <si>
    <t xml:space="preserve">                     Price Out of Commodity Credits</t>
  </si>
  <si>
    <t>WM-Northwest</t>
  </si>
  <si>
    <t>WM-Sno-King</t>
  </si>
  <si>
    <t>WM-South Sound</t>
  </si>
  <si>
    <t>Service</t>
  </si>
  <si>
    <t xml:space="preserve">Revised </t>
  </si>
  <si>
    <t>Current</t>
  </si>
  <si>
    <t>% Change</t>
  </si>
  <si>
    <t>SK</t>
  </si>
  <si>
    <t>Residential Recycle Credit</t>
  </si>
  <si>
    <t>Multi-Family Containers (a):</t>
  </si>
  <si>
    <t>Mini-can</t>
  </si>
  <si>
    <t>Cans</t>
  </si>
  <si>
    <t>35 gal cart</t>
  </si>
  <si>
    <t>64 gal cart</t>
  </si>
  <si>
    <t>96 gal cart</t>
  </si>
  <si>
    <t>1 yard</t>
  </si>
  <si>
    <t>1.50 yard</t>
  </si>
  <si>
    <t>2 yard</t>
  </si>
  <si>
    <t>3 yard</t>
  </si>
  <si>
    <t>4 yard</t>
  </si>
  <si>
    <t>6 yard</t>
  </si>
  <si>
    <t>8 yard</t>
  </si>
  <si>
    <t>4 yard compactor</t>
  </si>
  <si>
    <t>MF Containers(Everett) (a):</t>
  </si>
  <si>
    <t>MF Using Drop Box (a):</t>
  </si>
  <si>
    <t>Per Station</t>
  </si>
  <si>
    <t>Per Cart</t>
  </si>
  <si>
    <t>MF Using Drop Box(Everett) (a):</t>
  </si>
  <si>
    <t>(a)</t>
  </si>
  <si>
    <t xml:space="preserve">Due to the relative immateriality of MF tonnages as compared to residential tonnages, the increase or decrease in the change of the commodity rebate each year will be based on the % change in the residential recycling rebate </t>
  </si>
  <si>
    <t>10/1/14-</t>
  </si>
  <si>
    <t>9/30/15</t>
  </si>
  <si>
    <t>Oct., 2014</t>
  </si>
  <si>
    <t>Jan., 2015</t>
  </si>
  <si>
    <t>1996-2015</t>
  </si>
  <si>
    <t>WASTE MANAGEMENT - NORTH SOUND</t>
  </si>
  <si>
    <t>WUTC Deferred Accounting Methodology (Snohomish County)</t>
  </si>
  <si>
    <t>Sept., 2015</t>
  </si>
  <si>
    <t>Total Hours</t>
  </si>
  <si>
    <t>Annualized</t>
  </si>
  <si>
    <t>Bi-Annual Budget</t>
  </si>
  <si>
    <t xml:space="preserve">Estimated Revenue Sharing retained by Company </t>
  </si>
  <si>
    <t>Bi-Annual Actual</t>
  </si>
  <si>
    <t>2013</t>
  </si>
  <si>
    <t>YTD</t>
  </si>
  <si>
    <t>2011</t>
  </si>
  <si>
    <t>2012</t>
  </si>
  <si>
    <t>King County</t>
  </si>
  <si>
    <t>North Sound</t>
  </si>
  <si>
    <t>2011-2013</t>
  </si>
  <si>
    <t>RSA Total</t>
  </si>
  <si>
    <t>Oct. -Dec.</t>
  </si>
  <si>
    <t>Jan. -Sep.</t>
  </si>
  <si>
    <t>2013-2015</t>
  </si>
  <si>
    <t xml:space="preserve">Garbage </t>
  </si>
  <si>
    <t>Yard Waste</t>
  </si>
  <si>
    <t>2011 -2013</t>
  </si>
  <si>
    <t xml:space="preserve">Oct </t>
  </si>
  <si>
    <t>2013 -2015</t>
  </si>
  <si>
    <t>2-Year</t>
  </si>
  <si>
    <t>Rolling Avg.</t>
  </si>
  <si>
    <t>Over</t>
  </si>
  <si>
    <t>(under)</t>
  </si>
  <si>
    <t>King County Financial Incentive Analysis</t>
  </si>
  <si>
    <t>Snohomish County Financial Incentive Analysis</t>
  </si>
  <si>
    <t>b.) Increase in YW Voluntary Subscriptions:</t>
  </si>
  <si>
    <t>a.) Diversion:</t>
  </si>
  <si>
    <t>King County Revenue Sharing Plan Budget</t>
  </si>
  <si>
    <t xml:space="preserve">2016 - 2017 plan years </t>
  </si>
  <si>
    <t>Snohomish County</t>
  </si>
  <si>
    <t>Financial Incentives</t>
  </si>
  <si>
    <t>Waste Management is eligible for a financial incentive payment for implementation of the Plan if the following conditions are met:</t>
  </si>
  <si>
    <r>
      <t>a)</t>
    </r>
    <r>
      <rPr>
        <sz val="7"/>
        <color indexed="8"/>
        <rFont val="Times New Roman"/>
        <family val="1"/>
      </rPr>
      <t xml:space="preserve">      </t>
    </r>
    <r>
      <rPr>
        <sz val="12"/>
        <color indexed="8"/>
        <rFont val="Times New Roman"/>
        <family val="1"/>
      </rPr>
      <t xml:space="preserve">For increasing diversion of materials from disposal by regulated single family and multifamily residential customers, an amount equal to </t>
    </r>
    <r>
      <rPr>
        <b/>
        <u val="single"/>
        <sz val="12"/>
        <color indexed="8"/>
        <rFont val="Times New Roman"/>
        <family val="1"/>
      </rPr>
      <t>5%</t>
    </r>
    <r>
      <rPr>
        <sz val="12"/>
        <color indexed="8"/>
        <rFont val="Times New Roman"/>
        <family val="1"/>
      </rPr>
      <t xml:space="preserve"> of the total expenditures incurred by WM in implementation of Plan activities.  To determine the eligibility for this incentive payment, WM will calculate the diversion rate for regulated single family and multifamily customers based upon a 2-year rolling average on a calendar year basis with the most recent period being annualized. Diversion rate means the weight of recycling and organics (yard waste and food) divided by the total weight of all materials collected from WUTC regulated single family and multifamily customers.  If the diversion rate has increased, WM will be eligible for this incentive payment, subject to the conditions in subsection b) below.  A two year rolling average is utilized in this agreement due to the limited availability of historical data in a comparable format. A three year rolling average should be possible and may be proposed in future revenue sharing agreements</t>
    </r>
  </si>
  <si>
    <r>
      <t>b)</t>
    </r>
    <r>
      <rPr>
        <sz val="7"/>
        <color indexed="8"/>
        <rFont val="Times New Roman"/>
        <family val="1"/>
      </rPr>
      <t xml:space="preserve">      </t>
    </r>
    <r>
      <rPr>
        <sz val="12"/>
        <color indexed="8"/>
        <rFont val="Times New Roman"/>
        <family val="1"/>
      </rPr>
      <t>Eligibility for the incentive payment is conditional upon satisfaction by the County and WUTC that expenditures are consistent with the Plan activities, budget and timeline in Attachment B.  The County shall provide a recommendation to WUTC regarding WM’s eligibility to retain the incentive payments by November 15, 2015.</t>
    </r>
  </si>
  <si>
    <t>WM is eligible for a financial incentive payment for implementation of the Plan if the following conditions are met:</t>
  </si>
  <si>
    <r>
      <t>a)</t>
    </r>
    <r>
      <rPr>
        <sz val="7"/>
        <color indexed="8"/>
        <rFont val="Times New Roman"/>
        <family val="1"/>
      </rPr>
      <t xml:space="preserve">      </t>
    </r>
    <r>
      <rPr>
        <sz val="12"/>
        <color indexed="8"/>
        <rFont val="Times New Roman"/>
        <family val="1"/>
      </rPr>
      <t>For increasing diversion of materials from disposal by regulated residential customers, an amount equal to 3% of the total expenditures incurred by WM in implementation of Plan activities.  To determine eligibility for this incentive payment, WM will calculate the diversion rate for regulated residential customers (single family and multifamily) during the period from October 2013 through September 2015, and compare this number with the diversion rate previously achieved in October 2011 – September 2013.  Diversion rate means the weight of recycling, food and yard waste divided by the total weight of all material collected from regulated single family and multifamily customers.  If the diversion rate has increased, WM will be eligible for the reward.  </t>
    </r>
  </si>
  <si>
    <r>
      <t>b)</t>
    </r>
    <r>
      <rPr>
        <sz val="7"/>
        <color indexed="8"/>
        <rFont val="Times New Roman"/>
        <family val="1"/>
      </rPr>
      <t xml:space="preserve">      </t>
    </r>
    <r>
      <rPr>
        <sz val="12"/>
        <color indexed="8"/>
        <rFont val="Times New Roman"/>
        <family val="1"/>
      </rPr>
      <t xml:space="preserve">For increasing voluntary subscriptions by regulated single family residential customers for organics collection services, an amount equal to </t>
    </r>
    <r>
      <rPr>
        <b/>
        <u val="single"/>
        <sz val="12"/>
        <color indexed="8"/>
        <rFont val="Times New Roman"/>
        <family val="1"/>
      </rPr>
      <t>2%</t>
    </r>
    <r>
      <rPr>
        <sz val="12"/>
        <color indexed="8"/>
        <rFont val="Times New Roman"/>
        <family val="1"/>
      </rPr>
      <t xml:space="preserve"> of the total expenditures incurred by WM in implementation of Plan activities.  To determine eligibility for this incentive payment, WM will calculate the percentage of regulated single-family customers that subscribe to organics collection each month for the period from October 2013 through September 2015 to determine the average monthly organics participation rate for the period.  This average participation rate will be compared with the October 2011 through September 2014 average participation rate.  If the rate has increased, WM will be eligible for this incentive payment, subject to the conditions in subsection c) below.</t>
    </r>
  </si>
  <si>
    <r>
      <t>c)</t>
    </r>
    <r>
      <rPr>
        <sz val="7"/>
        <color indexed="8"/>
        <rFont val="Times New Roman"/>
        <family val="1"/>
      </rPr>
      <t xml:space="preserve">      </t>
    </r>
    <r>
      <rPr>
        <sz val="12"/>
        <color indexed="8"/>
        <rFont val="Times New Roman"/>
        <family val="1"/>
      </rPr>
      <t>Eligibility for the incentive payments is conditional upon satisfaction by the County and WUTC that expenditures are consistent with the Plan activities, budget and timeline in Attachment B.  The County shall provide a recommendation to WUTC regarding WM’s eligibility to retain the incentive payments by November 15, 2015.</t>
    </r>
  </si>
  <si>
    <t>Hourly Rate</t>
  </si>
  <si>
    <t>Total 2 yrs</t>
  </si>
  <si>
    <t>Monthly Reporting (CC Team )</t>
  </si>
  <si>
    <t>Executive Management/Oversight (Mindy &amp; Mary)</t>
  </si>
  <si>
    <t>RSA Compliance Clerk (New Hire - budget, tracking docs for Gerty, P2P, invoices, ect)</t>
  </si>
  <si>
    <t>Other Managerial (Robin, Michelle, Accounting)</t>
  </si>
  <si>
    <t>Public Education Team &amp; Website Updates</t>
  </si>
  <si>
    <t>Intern recruitment</t>
  </si>
  <si>
    <t>Task 4 - Latino Behavior Study and Pilot</t>
  </si>
  <si>
    <t xml:space="preserve">Task 9 - Schools Outreach </t>
  </si>
  <si>
    <t xml:space="preserve">Revenues less expenses and incentive -over(under) spent </t>
  </si>
  <si>
    <t>Plus held over funds from prior RSA</t>
  </si>
  <si>
    <t>Less: Amount over spent from prior RSA</t>
  </si>
  <si>
    <t>Budget vs. Actual Comparison</t>
  </si>
  <si>
    <t>Snohomish County Revenue Sharing Plan Budget</t>
  </si>
  <si>
    <t>Change</t>
  </si>
  <si>
    <t>Less: Performance Incentive (5% of Expenditures)</t>
  </si>
  <si>
    <t>Expenditures Budget:</t>
  </si>
  <si>
    <t>Detailed Expenditures:</t>
  </si>
  <si>
    <t>Quarterly Updates and Coordination Meetings</t>
  </si>
  <si>
    <t>Monthly Data Reporting Requirements</t>
  </si>
  <si>
    <t>Task 1 - Single Family Residential Audience Outreach &amp; Education</t>
  </si>
  <si>
    <t>Task 2 - Multifamily Residential Audience Outreach &amp; Education</t>
  </si>
  <si>
    <t>Less: Prior plan Performance Incentive Earned (5% of Expenditures)</t>
  </si>
  <si>
    <t>WUTC Deferred Accounting Methodology (King County)</t>
  </si>
  <si>
    <t>Less:  Revenue Sharing per RCW 81.77.185 (2016-2017 plan)</t>
  </si>
  <si>
    <t>(a) 2014-2015 RSA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</si>
</sst>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00_);_(&quot;$&quot;* \(#,##0.00\);_(&quot;$&quot;* &quot;-&quot;_);_(@_)"/>
    <numFmt numFmtId="168" formatCode="[$-409]mmmm\-yy;@"/>
    <numFmt numFmtId="169" formatCode="[$$-409]#,##0.00"/>
    <numFmt numFmtId="170" formatCode="_(&quot;$&quot;* #,##0.0_);_(&quot;$&quot;* \(#,##0.0\);_(&quot;$&quot;* &quot;-&quot;??_);_(@_)"/>
    <numFmt numFmtId="171" formatCode="_(* #,##0.0_);_(* \(#,##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00000000"/>
    <numFmt numFmtId="177" formatCode="#,##0.0000000000000"/>
    <numFmt numFmtId="178" formatCode="[$$-409]#,##0"/>
    <numFmt numFmtId="179" formatCode="0.0"/>
    <numFmt numFmtId="180" formatCode="#,##0.0"/>
    <numFmt numFmtId="181" formatCode="0.000%"/>
    <numFmt numFmtId="182" formatCode="0.0000%"/>
    <numFmt numFmtId="183" formatCode="[$$-409]#,##0.000"/>
    <numFmt numFmtId="184" formatCode="[$$-409]#,##0.0000"/>
    <numFmt numFmtId="185" formatCode="_(&quot;$&quot;* #,##0.000_);_(&quot;$&quot;* \(#,##0.000\);_(&quot;$&quot;* &quot;-&quot;??_);_(@_)"/>
    <numFmt numFmtId="186" formatCode="_(&quot;$&quot;* #,##0.0000_);_(&quot;$&quot;* \(#,##0.0000\);_(&quot;$&quot;* &quot;-&quot;??_);_(@_)"/>
  </numFmts>
  <fonts count="140">
    <font>
      <sz val="11"/>
      <color theme="1"/>
      <name val="Calibri"/>
      <family val="2"/>
    </font>
    <font>
      <sz val="11"/>
      <color indexed="8"/>
      <name val="Calibri"/>
      <family val="2"/>
    </font>
    <font>
      <sz val="10"/>
      <name val="Arial"/>
      <family val="2"/>
    </font>
    <font>
      <sz val="12"/>
      <name val="Arial"/>
      <family val="2"/>
    </font>
    <font>
      <b/>
      <sz val="10"/>
      <name val="Arial"/>
      <family val="2"/>
    </font>
    <font>
      <sz val="10"/>
      <color indexed="10"/>
      <name val="Arial"/>
      <family val="2"/>
    </font>
    <font>
      <sz val="8"/>
      <color indexed="56"/>
      <name val="Arial"/>
      <family val="2"/>
    </font>
    <font>
      <sz val="10"/>
      <name val="MS Sans Serif"/>
      <family val="2"/>
    </font>
    <font>
      <b/>
      <sz val="10"/>
      <name val="MS Sans Serif"/>
      <family val="2"/>
    </font>
    <font>
      <b/>
      <i/>
      <u val="single"/>
      <sz val="10"/>
      <name val="Arial"/>
      <family val="2"/>
    </font>
    <font>
      <b/>
      <sz val="16"/>
      <name val="Arial"/>
      <family val="2"/>
    </font>
    <font>
      <b/>
      <u val="single"/>
      <sz val="10"/>
      <name val="Arial"/>
      <family val="2"/>
    </font>
    <font>
      <b/>
      <u val="singleAccounting"/>
      <sz val="10"/>
      <name val="Arial"/>
      <family val="2"/>
    </font>
    <font>
      <b/>
      <u val="double"/>
      <sz val="10"/>
      <name val="Arial"/>
      <family val="2"/>
    </font>
    <font>
      <u val="singleAccounting"/>
      <sz val="10"/>
      <name val="Arial"/>
      <family val="2"/>
    </font>
    <font>
      <b/>
      <sz val="9"/>
      <name val="Tahoma"/>
      <family val="2"/>
    </font>
    <font>
      <b/>
      <u val="doubleAccounting"/>
      <sz val="10"/>
      <name val="Arial"/>
      <family val="2"/>
    </font>
    <font>
      <b/>
      <u val="single"/>
      <sz val="10"/>
      <color indexed="10"/>
      <name val="Arial"/>
      <family val="2"/>
    </font>
    <font>
      <sz val="10"/>
      <color indexed="8"/>
      <name val="Arial"/>
      <family val="2"/>
    </font>
    <font>
      <b/>
      <i/>
      <u val="doubleAccounting"/>
      <sz val="9"/>
      <name val="Arial"/>
      <family val="2"/>
    </font>
    <font>
      <b/>
      <sz val="10"/>
      <name val="Arial MT"/>
      <family val="0"/>
    </font>
    <font>
      <b/>
      <i/>
      <sz val="10"/>
      <name val="Arial"/>
      <family val="2"/>
    </font>
    <font>
      <b/>
      <i/>
      <u val="double"/>
      <sz val="10"/>
      <name val="Arial"/>
      <family val="2"/>
    </font>
    <font>
      <i/>
      <sz val="10"/>
      <name val="Arial"/>
      <family val="2"/>
    </font>
    <font>
      <u val="double"/>
      <sz val="10"/>
      <name val="Arial"/>
      <family val="2"/>
    </font>
    <font>
      <b/>
      <i/>
      <sz val="18"/>
      <name val="Arial MT"/>
      <family val="0"/>
    </font>
    <font>
      <b/>
      <sz val="12"/>
      <name val="Arial MT"/>
      <family val="0"/>
    </font>
    <font>
      <b/>
      <u val="single"/>
      <sz val="12"/>
      <name val="Arial MT"/>
      <family val="0"/>
    </font>
    <font>
      <sz val="12"/>
      <color indexed="12"/>
      <name val="Arial"/>
      <family val="2"/>
    </font>
    <font>
      <u val="single"/>
      <sz val="12"/>
      <name val="Arial"/>
      <family val="2"/>
    </font>
    <font>
      <sz val="12"/>
      <color indexed="12"/>
      <name val="Arial MT"/>
      <family val="0"/>
    </font>
    <font>
      <b/>
      <u val="double"/>
      <sz val="12"/>
      <name val="Arial"/>
      <family val="2"/>
    </font>
    <font>
      <sz val="12"/>
      <color indexed="10"/>
      <name val="Arial MT"/>
      <family val="0"/>
    </font>
    <font>
      <sz val="12"/>
      <name val="Arial MT"/>
      <family val="0"/>
    </font>
    <font>
      <b/>
      <sz val="12"/>
      <name val="Arial"/>
      <family val="2"/>
    </font>
    <font>
      <u val="single"/>
      <sz val="10"/>
      <name val="Arial"/>
      <family val="2"/>
    </font>
    <font>
      <sz val="12"/>
      <color indexed="8"/>
      <name val="Times New Roman"/>
      <family val="1"/>
    </font>
    <font>
      <sz val="7"/>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doubleAccounting"/>
      <sz val="11"/>
      <color indexed="8"/>
      <name val="Calibri"/>
      <family val="2"/>
    </font>
    <font>
      <u val="singleAccounting"/>
      <sz val="11"/>
      <color indexed="8"/>
      <name val="Calibri"/>
      <family val="2"/>
    </font>
    <font>
      <b/>
      <u val="single"/>
      <sz val="11"/>
      <color indexed="8"/>
      <name val="Calibri"/>
      <family val="2"/>
    </font>
    <font>
      <b/>
      <sz val="12"/>
      <color indexed="8"/>
      <name val="Arial"/>
      <family val="2"/>
    </font>
    <font>
      <b/>
      <sz val="11"/>
      <color indexed="10"/>
      <name val="Calibri"/>
      <family val="2"/>
    </font>
    <font>
      <b/>
      <u val="doubleAccounting"/>
      <sz val="11"/>
      <color indexed="10"/>
      <name val="Calibri"/>
      <family val="2"/>
    </font>
    <font>
      <b/>
      <i/>
      <u val="double"/>
      <sz val="10"/>
      <color indexed="8"/>
      <name val="Calibri"/>
      <family val="2"/>
    </font>
    <font>
      <b/>
      <u val="singleAccounting"/>
      <sz val="11"/>
      <color indexed="8"/>
      <name val="Calibri"/>
      <family val="2"/>
    </font>
    <font>
      <sz val="11"/>
      <name val="Calibri"/>
      <family val="2"/>
    </font>
    <font>
      <b/>
      <i/>
      <sz val="11"/>
      <color indexed="8"/>
      <name val="Calibri"/>
      <family val="2"/>
    </font>
    <font>
      <b/>
      <u val="double"/>
      <sz val="11"/>
      <color indexed="8"/>
      <name val="Calibri"/>
      <family val="2"/>
    </font>
    <font>
      <i/>
      <sz val="8"/>
      <color indexed="8"/>
      <name val="Calibri"/>
      <family val="2"/>
    </font>
    <font>
      <b/>
      <sz val="18"/>
      <color indexed="8"/>
      <name val="Calibri"/>
      <family val="2"/>
    </font>
    <font>
      <b/>
      <sz val="12"/>
      <name val="Calibri"/>
      <family val="2"/>
    </font>
    <font>
      <b/>
      <sz val="11"/>
      <name val="Calibri"/>
      <family val="2"/>
    </font>
    <font>
      <b/>
      <u val="single"/>
      <sz val="16"/>
      <color indexed="8"/>
      <name val="Calibri"/>
      <family val="2"/>
    </font>
    <font>
      <b/>
      <u val="single"/>
      <sz val="14"/>
      <color indexed="8"/>
      <name val="Calibri"/>
      <family val="2"/>
    </font>
    <font>
      <b/>
      <u val="single"/>
      <sz val="11"/>
      <name val="Calibri"/>
      <family val="2"/>
    </font>
    <font>
      <b/>
      <u val="singleAccounting"/>
      <sz val="11"/>
      <name val="Calibri"/>
      <family val="2"/>
    </font>
    <font>
      <u val="single"/>
      <sz val="11"/>
      <color indexed="8"/>
      <name val="Calibri"/>
      <family val="2"/>
    </font>
    <font>
      <u val="singleAccounting"/>
      <sz val="11"/>
      <name val="Calibri"/>
      <family val="2"/>
    </font>
    <font>
      <b/>
      <u val="doubleAccounting"/>
      <sz val="11"/>
      <name val="Calibri"/>
      <family val="2"/>
    </font>
    <font>
      <b/>
      <u val="double"/>
      <sz val="11"/>
      <name val="Calibri"/>
      <family val="2"/>
    </font>
    <font>
      <u val="singleAccounting"/>
      <sz val="11"/>
      <color indexed="10"/>
      <name val="Calibri"/>
      <family val="2"/>
    </font>
    <font>
      <b/>
      <sz val="10"/>
      <color indexed="10"/>
      <name val="Arial"/>
      <family val="2"/>
    </font>
    <font>
      <b/>
      <i/>
      <sz val="11"/>
      <name val="Calibri"/>
      <family val="2"/>
    </font>
    <font>
      <b/>
      <i/>
      <sz val="11"/>
      <color indexed="10"/>
      <name val="Calibri"/>
      <family val="2"/>
    </font>
    <font>
      <b/>
      <u val="singleAccounting"/>
      <sz val="10"/>
      <color indexed="8"/>
      <name val="Arial"/>
      <family val="2"/>
    </font>
    <font>
      <b/>
      <u val="singleAccounting"/>
      <sz val="11"/>
      <color indexed="10"/>
      <name val="Calibri"/>
      <family val="2"/>
    </font>
    <font>
      <b/>
      <u val="single"/>
      <sz val="12"/>
      <color indexed="8"/>
      <name val="Calibri"/>
      <family val="2"/>
    </font>
    <font>
      <b/>
      <u val="doubleAccounting"/>
      <sz val="11"/>
      <color indexed="17"/>
      <name val="Calibri"/>
      <family val="2"/>
    </font>
    <font>
      <b/>
      <sz val="11"/>
      <color indexed="17"/>
      <name val="Calibri"/>
      <family val="2"/>
    </font>
    <font>
      <b/>
      <i/>
      <u val="double"/>
      <sz val="10"/>
      <name val="Calibri"/>
      <family val="2"/>
    </font>
    <font>
      <i/>
      <sz val="10"/>
      <color indexed="8"/>
      <name val="Calibri"/>
      <family val="2"/>
    </font>
    <font>
      <sz val="10"/>
      <color indexed="8"/>
      <name val="Calibri"/>
      <family val="2"/>
    </font>
    <font>
      <b/>
      <i/>
      <u val="single"/>
      <sz val="12"/>
      <name val="Calibri"/>
      <family val="2"/>
    </font>
    <font>
      <b/>
      <i/>
      <u val="single"/>
      <sz val="12"/>
      <color indexed="8"/>
      <name val="Calibri"/>
      <family val="2"/>
    </font>
    <font>
      <b/>
      <i/>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doubleAccounting"/>
      <sz val="11"/>
      <color theme="1"/>
      <name val="Calibri"/>
      <family val="2"/>
    </font>
    <font>
      <u val="singleAccounting"/>
      <sz val="11"/>
      <color theme="1"/>
      <name val="Calibri"/>
      <family val="2"/>
    </font>
    <font>
      <b/>
      <u val="single"/>
      <sz val="11"/>
      <color theme="1"/>
      <name val="Calibri"/>
      <family val="2"/>
    </font>
    <font>
      <b/>
      <sz val="12"/>
      <color theme="1"/>
      <name val="Arial"/>
      <family val="2"/>
    </font>
    <font>
      <b/>
      <sz val="11"/>
      <color rgb="FFFF0000"/>
      <name val="Calibri"/>
      <family val="2"/>
    </font>
    <font>
      <b/>
      <u val="doubleAccounting"/>
      <sz val="11"/>
      <color rgb="FFFF0000"/>
      <name val="Calibri"/>
      <family val="2"/>
    </font>
    <font>
      <b/>
      <i/>
      <u val="double"/>
      <sz val="10"/>
      <color theme="1"/>
      <name val="Calibri"/>
      <family val="2"/>
    </font>
    <font>
      <b/>
      <u val="singleAccounting"/>
      <sz val="11"/>
      <color theme="1"/>
      <name val="Calibri"/>
      <family val="2"/>
    </font>
    <font>
      <b/>
      <i/>
      <sz val="11"/>
      <color theme="1"/>
      <name val="Calibri"/>
      <family val="2"/>
    </font>
    <font>
      <b/>
      <u val="double"/>
      <sz val="11"/>
      <color theme="1"/>
      <name val="Calibri"/>
      <family val="2"/>
    </font>
    <font>
      <i/>
      <sz val="8"/>
      <color theme="1"/>
      <name val="Calibri"/>
      <family val="2"/>
    </font>
    <font>
      <b/>
      <sz val="18"/>
      <color theme="1"/>
      <name val="Calibri"/>
      <family val="2"/>
    </font>
    <font>
      <b/>
      <u val="single"/>
      <sz val="16"/>
      <color theme="1"/>
      <name val="Calibri"/>
      <family val="2"/>
    </font>
    <font>
      <b/>
      <u val="single"/>
      <sz val="14"/>
      <color theme="1"/>
      <name val="Calibri"/>
      <family val="2"/>
    </font>
    <font>
      <u val="single"/>
      <sz val="11"/>
      <color theme="1"/>
      <name val="Calibri"/>
      <family val="2"/>
    </font>
    <font>
      <u val="singleAccounting"/>
      <sz val="11"/>
      <color rgb="FFFF0000"/>
      <name val="Calibri"/>
      <family val="2"/>
    </font>
    <font>
      <b/>
      <sz val="10"/>
      <color rgb="FFFF0000"/>
      <name val="Arial"/>
      <family val="2"/>
    </font>
    <font>
      <sz val="10"/>
      <color rgb="FFFF0000"/>
      <name val="Arial"/>
      <family val="2"/>
    </font>
    <font>
      <sz val="10"/>
      <color theme="1"/>
      <name val="Arial"/>
      <family val="2"/>
    </font>
    <font>
      <b/>
      <u val="singleAccounting"/>
      <sz val="10"/>
      <color theme="1"/>
      <name val="Arial"/>
      <family val="2"/>
    </font>
    <font>
      <b/>
      <u val="singleAccounting"/>
      <sz val="11"/>
      <color rgb="FFFF0000"/>
      <name val="Calibri"/>
      <family val="2"/>
    </font>
    <font>
      <b/>
      <u val="single"/>
      <sz val="12"/>
      <color theme="1"/>
      <name val="Calibri"/>
      <family val="2"/>
    </font>
    <font>
      <sz val="12"/>
      <color theme="1"/>
      <name val="Times New Roman"/>
      <family val="1"/>
    </font>
    <font>
      <sz val="11"/>
      <color rgb="FF00B050"/>
      <name val="Calibri"/>
      <family val="2"/>
    </font>
    <font>
      <b/>
      <u val="doubleAccounting"/>
      <sz val="11"/>
      <color rgb="FF00B050"/>
      <name val="Calibri"/>
      <family val="2"/>
    </font>
    <font>
      <b/>
      <sz val="11"/>
      <color rgb="FF00B050"/>
      <name val="Calibri"/>
      <family val="2"/>
    </font>
    <font>
      <i/>
      <sz val="10"/>
      <color theme="1"/>
      <name val="Calibri"/>
      <family val="2"/>
    </font>
    <font>
      <sz val="10"/>
      <color theme="1"/>
      <name val="Calibri"/>
      <family val="2"/>
    </font>
    <font>
      <b/>
      <i/>
      <u val="single"/>
      <sz val="12"/>
      <color theme="1"/>
      <name val="Calibri"/>
      <family val="2"/>
    </font>
    <font>
      <b/>
      <i/>
      <u val="single"/>
      <sz val="11"/>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solid">
        <fgColor indexed="42"/>
        <bgColor indexed="64"/>
      </patternFill>
    </fill>
    <fill>
      <patternFill patternType="gray125">
        <fgColor indexed="8"/>
      </patternFill>
    </fill>
    <fill>
      <patternFill patternType="solid">
        <fgColor indexed="23"/>
        <bgColor indexed="64"/>
      </patternFill>
    </fill>
    <fill>
      <patternFill patternType="solid">
        <fgColor indexed="9"/>
        <bgColor indexed="64"/>
      </patternFill>
    </fill>
    <fill>
      <patternFill patternType="gray125">
        <fgColor indexed="8"/>
        <bgColor indexed="9"/>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thin"/>
    </border>
    <border>
      <left/>
      <right/>
      <top/>
      <bottom style="double">
        <color indexed="8"/>
      </bottom>
    </border>
    <border>
      <left/>
      <right/>
      <top style="double"/>
      <bottom/>
    </border>
    <border>
      <left style="double">
        <color indexed="8"/>
      </left>
      <right style="double">
        <color indexed="8"/>
      </right>
      <top style="double">
        <color indexed="8"/>
      </top>
      <bottom style="double">
        <color indexed="8"/>
      </bottom>
    </border>
    <border>
      <left style="medium"/>
      <right style="medium"/>
      <top style="medium"/>
      <bottom/>
    </border>
    <border>
      <left style="medium"/>
      <right style="medium"/>
      <top/>
      <bottom/>
    </border>
    <border>
      <left style="medium"/>
      <right style="medium"/>
      <top/>
      <bottom style="thin">
        <color indexed="8"/>
      </bottom>
    </border>
    <border>
      <left style="medium"/>
      <right style="medium"/>
      <top/>
      <bottom style="thin"/>
    </border>
    <border>
      <left style="medium"/>
      <right style="medium"/>
      <top/>
      <bottom style="medium"/>
    </border>
    <border>
      <left style="medium"/>
      <right style="medium"/>
      <top/>
      <bottom style="double">
        <color indexed="8"/>
      </bottom>
    </border>
    <border>
      <left style="medium"/>
      <right style="medium"/>
      <top/>
      <bottom style="double"/>
    </border>
    <border>
      <left/>
      <right/>
      <top/>
      <bottom style="double"/>
    </border>
    <border>
      <left style="medium"/>
      <right style="medium"/>
      <top style="double"/>
      <bottom style="medium"/>
    </border>
    <border>
      <left/>
      <right style="medium"/>
      <top/>
      <bottom style="thin"/>
    </border>
    <border>
      <left/>
      <right style="medium"/>
      <top/>
      <bottom style="double"/>
    </border>
    <border>
      <left/>
      <right style="medium"/>
      <top style="medium"/>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8" fontId="6" fillId="0" borderId="0" applyNumberFormat="0" applyFont="0" applyFill="0" applyBorder="0">
      <alignment horizontal="left" indent="4"/>
      <protection locked="0"/>
    </xf>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8" fillId="0" borderId="9">
      <alignment horizontal="center"/>
      <protection/>
    </xf>
    <xf numFmtId="3" fontId="7" fillId="0" borderId="0" applyFont="0" applyFill="0" applyBorder="0" applyAlignment="0" applyProtection="0"/>
    <xf numFmtId="0" fontId="7" fillId="33" borderId="0" applyNumberFormat="0" applyFont="0" applyBorder="0" applyAlignment="0" applyProtection="0"/>
    <xf numFmtId="0" fontId="106" fillId="0" borderId="0" applyNumberFormat="0" applyFill="0" applyBorder="0" applyAlignment="0" applyProtection="0"/>
    <xf numFmtId="0" fontId="107" fillId="0" borderId="10" applyNumberFormat="0" applyFill="0" applyAlignment="0" applyProtection="0"/>
    <xf numFmtId="0" fontId="108" fillId="0" borderId="0" applyNumberFormat="0" applyFill="0" applyBorder="0" applyAlignment="0" applyProtection="0"/>
    <xf numFmtId="164" fontId="3" fillId="34" borderId="0" applyFont="0" applyFill="0" applyBorder="0" applyAlignment="0" applyProtection="0"/>
  </cellStyleXfs>
  <cellXfs count="590">
    <xf numFmtId="0" fontId="0" fillId="0" borderId="0" xfId="0" applyFont="1" applyAlignment="1">
      <alignment/>
    </xf>
    <xf numFmtId="0" fontId="0" fillId="0" borderId="0" xfId="0" applyAlignment="1">
      <alignment/>
    </xf>
    <xf numFmtId="0" fontId="4" fillId="0" borderId="0" xfId="0" applyFont="1" applyAlignment="1">
      <alignment/>
    </xf>
    <xf numFmtId="43" fontId="0" fillId="0" borderId="0" xfId="0" applyNumberFormat="1" applyAlignment="1">
      <alignment/>
    </xf>
    <xf numFmtId="0" fontId="2" fillId="0" borderId="0" xfId="0" applyFont="1" applyAlignment="1">
      <alignment/>
    </xf>
    <xf numFmtId="0" fontId="4" fillId="35" borderId="11" xfId="0" applyFont="1" applyFill="1" applyBorder="1" applyAlignment="1">
      <alignment/>
    </xf>
    <xf numFmtId="0" fontId="0" fillId="35" borderId="11" xfId="0" applyFill="1" applyBorder="1" applyAlignment="1">
      <alignment/>
    </xf>
    <xf numFmtId="0" fontId="4" fillId="35" borderId="11" xfId="0" applyFont="1" applyFill="1" applyBorder="1" applyAlignment="1">
      <alignment horizontal="center"/>
    </xf>
    <xf numFmtId="0" fontId="4" fillId="35" borderId="11" xfId="0" applyFont="1" applyFill="1" applyBorder="1" applyAlignment="1" applyProtection="1">
      <alignment horizontal="center"/>
      <protection/>
    </xf>
    <xf numFmtId="0" fontId="0" fillId="0" borderId="11" xfId="0" applyFill="1" applyBorder="1" applyAlignment="1">
      <alignment/>
    </xf>
    <xf numFmtId="0" fontId="5" fillId="0" borderId="11" xfId="0" applyFont="1" applyFill="1" applyBorder="1" applyAlignment="1">
      <alignment/>
    </xf>
    <xf numFmtId="17" fontId="4" fillId="0" borderId="11" xfId="0" applyNumberFormat="1" applyFont="1" applyFill="1" applyBorder="1" applyAlignment="1">
      <alignment horizontal="right"/>
    </xf>
    <xf numFmtId="43" fontId="109" fillId="0" borderId="0" xfId="0" applyNumberFormat="1" applyFont="1" applyAlignment="1">
      <alignment/>
    </xf>
    <xf numFmtId="43" fontId="0" fillId="0" borderId="0" xfId="42" applyFont="1" applyAlignment="1">
      <alignment/>
    </xf>
    <xf numFmtId="0" fontId="107" fillId="0" borderId="0" xfId="0" applyFont="1" applyAlignment="1">
      <alignment/>
    </xf>
    <xf numFmtId="0" fontId="107" fillId="0" borderId="0" xfId="0" applyFont="1" applyAlignment="1">
      <alignment horizontal="center"/>
    </xf>
    <xf numFmtId="43" fontId="110" fillId="0" borderId="0" xfId="0" applyNumberFormat="1" applyFont="1" applyAlignment="1">
      <alignment/>
    </xf>
    <xf numFmtId="0" fontId="111" fillId="0" borderId="0" xfId="0" applyFont="1" applyAlignment="1">
      <alignment/>
    </xf>
    <xf numFmtId="166" fontId="109" fillId="0" borderId="0" xfId="47" applyNumberFormat="1" applyFont="1" applyAlignment="1">
      <alignment/>
    </xf>
    <xf numFmtId="164" fontId="0" fillId="0" borderId="0" xfId="42" applyNumberFormat="1" applyFont="1" applyAlignment="1">
      <alignment/>
    </xf>
    <xf numFmtId="0" fontId="111" fillId="0" borderId="0" xfId="0" applyFont="1" applyAlignment="1">
      <alignment horizontal="center"/>
    </xf>
    <xf numFmtId="166" fontId="110" fillId="0" borderId="0" xfId="47" applyNumberFormat="1" applyFont="1" applyAlignment="1">
      <alignment/>
    </xf>
    <xf numFmtId="0" fontId="0" fillId="0" borderId="0" xfId="0" applyFont="1" applyAlignment="1">
      <alignment/>
    </xf>
    <xf numFmtId="43" fontId="0" fillId="0" borderId="0" xfId="0" applyNumberFormat="1" applyFont="1" applyAlignment="1">
      <alignment/>
    </xf>
    <xf numFmtId="0" fontId="110" fillId="0" borderId="0" xfId="0" applyFont="1" applyAlignment="1">
      <alignment/>
    </xf>
    <xf numFmtId="0" fontId="0" fillId="0" borderId="0" xfId="0" applyFill="1" applyAlignment="1">
      <alignment/>
    </xf>
    <xf numFmtId="165" fontId="0" fillId="0" borderId="0" xfId="0" applyNumberFormat="1" applyAlignment="1">
      <alignment/>
    </xf>
    <xf numFmtId="0" fontId="10" fillId="0" borderId="0" xfId="66" applyFont="1">
      <alignment/>
      <protection/>
    </xf>
    <xf numFmtId="0" fontId="112" fillId="0" borderId="0" xfId="0" applyFont="1" applyAlignment="1">
      <alignment/>
    </xf>
    <xf numFmtId="43" fontId="0" fillId="0" borderId="0" xfId="0" applyNumberFormat="1" applyFill="1" applyAlignment="1">
      <alignment/>
    </xf>
    <xf numFmtId="166" fontId="0" fillId="0" borderId="0" xfId="47" applyNumberFormat="1" applyFont="1" applyFill="1" applyAlignment="1">
      <alignment/>
    </xf>
    <xf numFmtId="43" fontId="0" fillId="0" borderId="0" xfId="0" applyNumberFormat="1" applyFont="1" applyFill="1" applyAlignment="1">
      <alignment/>
    </xf>
    <xf numFmtId="0" fontId="0" fillId="0" borderId="0" xfId="0" applyFont="1" applyFill="1" applyAlignment="1">
      <alignment/>
    </xf>
    <xf numFmtId="0" fontId="110" fillId="0" borderId="0" xfId="0" applyFont="1" applyFill="1" applyAlignment="1">
      <alignment/>
    </xf>
    <xf numFmtId="0" fontId="0" fillId="0" borderId="12" xfId="0" applyBorder="1" applyAlignment="1">
      <alignment/>
    </xf>
    <xf numFmtId="17" fontId="9" fillId="0" borderId="13" xfId="0" applyNumberFormat="1" applyFont="1" applyBorder="1" applyAlignment="1">
      <alignment horizontal="right"/>
    </xf>
    <xf numFmtId="0" fontId="9" fillId="0" borderId="14" xfId="0" applyFont="1" applyBorder="1" applyAlignment="1">
      <alignment horizontal="right"/>
    </xf>
    <xf numFmtId="0" fontId="0" fillId="0" borderId="14" xfId="0" applyBorder="1" applyAlignment="1">
      <alignment/>
    </xf>
    <xf numFmtId="0" fontId="0" fillId="0" borderId="15" xfId="0" applyBorder="1" applyAlignment="1">
      <alignment/>
    </xf>
    <xf numFmtId="0" fontId="9" fillId="0" borderId="16" xfId="0" applyFont="1" applyBorder="1" applyAlignment="1">
      <alignment horizontal="right"/>
    </xf>
    <xf numFmtId="0" fontId="9" fillId="0" borderId="17" xfId="0" applyFont="1" applyBorder="1" applyAlignment="1">
      <alignment horizontal="right"/>
    </xf>
    <xf numFmtId="0" fontId="0" fillId="0" borderId="17" xfId="0" applyBorder="1" applyAlignment="1">
      <alignment/>
    </xf>
    <xf numFmtId="165" fontId="2" fillId="0" borderId="17" xfId="75" applyNumberFormat="1" applyFont="1" applyBorder="1" applyAlignment="1">
      <alignment horizontal="right"/>
    </xf>
    <xf numFmtId="0" fontId="4" fillId="0" borderId="11" xfId="0" applyFont="1" applyBorder="1" applyAlignment="1">
      <alignment/>
    </xf>
    <xf numFmtId="0" fontId="0" fillId="0" borderId="11" xfId="0" applyBorder="1" applyAlignment="1">
      <alignment/>
    </xf>
    <xf numFmtId="0" fontId="0" fillId="0" borderId="0" xfId="0" applyFill="1" applyBorder="1" applyAlignment="1">
      <alignment/>
    </xf>
    <xf numFmtId="0" fontId="0" fillId="0" borderId="0" xfId="0" applyAlignment="1">
      <alignment horizontal="right"/>
    </xf>
    <xf numFmtId="43" fontId="0" fillId="0" borderId="0" xfId="44" applyFont="1" applyAlignment="1">
      <alignment/>
    </xf>
    <xf numFmtId="17" fontId="4" fillId="0" borderId="11" xfId="0" applyNumberFormat="1" applyFont="1" applyFill="1" applyBorder="1" applyAlignment="1" quotePrefix="1">
      <alignment horizontal="right"/>
    </xf>
    <xf numFmtId="165" fontId="0" fillId="0" borderId="0" xfId="74" applyNumberFormat="1" applyFont="1" applyAlignment="1">
      <alignment/>
    </xf>
    <xf numFmtId="166" fontId="0" fillId="0" borderId="0" xfId="47" applyNumberFormat="1" applyFont="1" applyAlignment="1">
      <alignment/>
    </xf>
    <xf numFmtId="44" fontId="2" fillId="0" borderId="11" xfId="47" applyFont="1" applyFill="1" applyBorder="1" applyAlignment="1">
      <alignment/>
    </xf>
    <xf numFmtId="166" fontId="0" fillId="0" borderId="0" xfId="47" applyNumberFormat="1" applyFont="1" applyAlignment="1">
      <alignment/>
    </xf>
    <xf numFmtId="43" fontId="110" fillId="0" borderId="0" xfId="0" applyNumberFormat="1" applyFont="1" applyFill="1" applyAlignment="1">
      <alignment/>
    </xf>
    <xf numFmtId="166" fontId="110" fillId="0" borderId="0" xfId="47" applyNumberFormat="1" applyFont="1" applyFill="1" applyAlignment="1">
      <alignment/>
    </xf>
    <xf numFmtId="17" fontId="4" fillId="0" borderId="11" xfId="68" applyNumberFormat="1" applyFont="1" applyFill="1" applyBorder="1" applyAlignment="1">
      <alignment horizontal="right"/>
      <protection/>
    </xf>
    <xf numFmtId="44" fontId="2" fillId="0" borderId="11" xfId="56" applyFont="1" applyFill="1" applyBorder="1" applyAlignment="1">
      <alignment/>
    </xf>
    <xf numFmtId="44" fontId="0" fillId="0" borderId="0" xfId="0" applyNumberFormat="1" applyFill="1" applyBorder="1" applyAlignment="1">
      <alignment/>
    </xf>
    <xf numFmtId="166" fontId="0" fillId="0" borderId="0" xfId="47" applyNumberFormat="1" applyFont="1" applyAlignment="1">
      <alignment/>
    </xf>
    <xf numFmtId="0" fontId="11" fillId="0" borderId="0" xfId="0" applyFont="1" applyAlignment="1">
      <alignment horizontal="center"/>
    </xf>
    <xf numFmtId="164" fontId="12" fillId="0" borderId="0" xfId="44" applyNumberFormat="1" applyFont="1" applyAlignment="1">
      <alignment horizontal="center"/>
    </xf>
    <xf numFmtId="0" fontId="12" fillId="0" borderId="0" xfId="0" applyFont="1" applyAlignment="1">
      <alignment horizontal="center"/>
    </xf>
    <xf numFmtId="164" fontId="0" fillId="0" borderId="0" xfId="44" applyNumberFormat="1" applyFont="1" applyAlignment="1">
      <alignment/>
    </xf>
    <xf numFmtId="0" fontId="13" fillId="0" borderId="0" xfId="0" applyFont="1" applyAlignment="1">
      <alignment/>
    </xf>
    <xf numFmtId="164" fontId="13" fillId="0" borderId="0" xfId="44" applyNumberFormat="1" applyFont="1" applyAlignment="1">
      <alignment/>
    </xf>
    <xf numFmtId="43" fontId="2" fillId="0" borderId="16" xfId="44" applyFont="1" applyBorder="1" applyAlignment="1">
      <alignment horizontal="right"/>
    </xf>
    <xf numFmtId="165" fontId="0" fillId="0" borderId="17" xfId="75" applyNumberFormat="1" applyFont="1" applyBorder="1" applyAlignment="1">
      <alignment/>
    </xf>
    <xf numFmtId="43" fontId="2" fillId="0" borderId="16" xfId="44" applyFont="1" applyBorder="1" applyAlignment="1">
      <alignment/>
    </xf>
    <xf numFmtId="43" fontId="0" fillId="0" borderId="16" xfId="44" applyFont="1" applyBorder="1" applyAlignment="1">
      <alignment/>
    </xf>
    <xf numFmtId="43" fontId="2" fillId="0" borderId="18" xfId="44" applyFont="1" applyBorder="1" applyAlignment="1">
      <alignment horizontal="right"/>
    </xf>
    <xf numFmtId="165" fontId="0" fillId="0" borderId="19" xfId="75" applyNumberFormat="1" applyFont="1" applyBorder="1" applyAlignment="1">
      <alignment/>
    </xf>
    <xf numFmtId="43" fontId="2" fillId="0" borderId="18" xfId="44" applyFont="1" applyBorder="1" applyAlignment="1">
      <alignment/>
    </xf>
    <xf numFmtId="165" fontId="2" fillId="0" borderId="19" xfId="75" applyNumberFormat="1" applyFont="1" applyBorder="1" applyAlignment="1">
      <alignment horizontal="right"/>
    </xf>
    <xf numFmtId="43" fontId="0" fillId="0" borderId="18" xfId="44" applyFont="1" applyBorder="1" applyAlignment="1">
      <alignment/>
    </xf>
    <xf numFmtId="0" fontId="4" fillId="0" borderId="20" xfId="0" applyFont="1" applyBorder="1" applyAlignment="1">
      <alignment/>
    </xf>
    <xf numFmtId="43" fontId="4" fillId="0" borderId="18" xfId="44" applyFont="1" applyBorder="1" applyAlignment="1">
      <alignment/>
    </xf>
    <xf numFmtId="165" fontId="4" fillId="0" borderId="19" xfId="0" applyNumberFormat="1" applyFont="1" applyBorder="1" applyAlignment="1">
      <alignment/>
    </xf>
    <xf numFmtId="164" fontId="0" fillId="0" borderId="0" xfId="0" applyNumberFormat="1" applyAlignment="1">
      <alignment/>
    </xf>
    <xf numFmtId="44" fontId="0" fillId="0" borderId="0" xfId="47" applyFont="1" applyAlignment="1">
      <alignment/>
    </xf>
    <xf numFmtId="44" fontId="109" fillId="0" borderId="0" xfId="47" applyFont="1" applyAlignment="1">
      <alignment/>
    </xf>
    <xf numFmtId="0" fontId="113" fillId="0" borderId="0" xfId="0" applyFont="1" applyAlignment="1">
      <alignment/>
    </xf>
    <xf numFmtId="0" fontId="108" fillId="0" borderId="0" xfId="0" applyFont="1" applyAlignment="1">
      <alignment/>
    </xf>
    <xf numFmtId="43" fontId="114" fillId="0" borderId="0" xfId="42" applyFont="1" applyAlignment="1">
      <alignment/>
    </xf>
    <xf numFmtId="43" fontId="114" fillId="0" borderId="0" xfId="0" applyNumberFormat="1" applyFont="1" applyAlignment="1">
      <alignment/>
    </xf>
    <xf numFmtId="166" fontId="114" fillId="0" borderId="0" xfId="47" applyNumberFormat="1" applyFont="1" applyAlignment="1">
      <alignment/>
    </xf>
    <xf numFmtId="166" fontId="114" fillId="0" borderId="0" xfId="0" applyNumberFormat="1" applyFont="1" applyAlignment="1">
      <alignment/>
    </xf>
    <xf numFmtId="165" fontId="115" fillId="0" borderId="0" xfId="74" applyNumberFormat="1" applyFont="1" applyAlignment="1">
      <alignment/>
    </xf>
    <xf numFmtId="44" fontId="109" fillId="0" borderId="0" xfId="0" applyNumberFormat="1" applyFont="1" applyAlignment="1">
      <alignment/>
    </xf>
    <xf numFmtId="164" fontId="109" fillId="0" borderId="0" xfId="0" applyNumberFormat="1" applyFont="1" applyAlignment="1">
      <alignment/>
    </xf>
    <xf numFmtId="164" fontId="107" fillId="0" borderId="0" xfId="0" applyNumberFormat="1" applyFont="1" applyAlignment="1">
      <alignment/>
    </xf>
    <xf numFmtId="164" fontId="116" fillId="0" borderId="0" xfId="0" applyNumberFormat="1" applyFont="1" applyAlignment="1">
      <alignment/>
    </xf>
    <xf numFmtId="164" fontId="0" fillId="0" borderId="0" xfId="42" applyNumberFormat="1" applyFont="1" applyAlignment="1">
      <alignment/>
    </xf>
    <xf numFmtId="164" fontId="107" fillId="0" borderId="0" xfId="42" applyNumberFormat="1" applyFont="1" applyAlignment="1">
      <alignment/>
    </xf>
    <xf numFmtId="164" fontId="116" fillId="0" borderId="0" xfId="42" applyNumberFormat="1" applyFont="1" applyAlignment="1">
      <alignment/>
    </xf>
    <xf numFmtId="164" fontId="114" fillId="0" borderId="0" xfId="42" applyNumberFormat="1" applyFont="1" applyAlignment="1">
      <alignment/>
    </xf>
    <xf numFmtId="44" fontId="114" fillId="0" borderId="0" xfId="47" applyFont="1" applyAlignment="1">
      <alignment/>
    </xf>
    <xf numFmtId="164" fontId="0" fillId="0" borderId="0" xfId="42" applyNumberFormat="1" applyFont="1" applyAlignment="1">
      <alignment/>
    </xf>
    <xf numFmtId="43" fontId="2" fillId="0" borderId="16" xfId="42" applyFont="1" applyBorder="1" applyAlignment="1">
      <alignment horizontal="right"/>
    </xf>
    <xf numFmtId="43" fontId="2" fillId="0" borderId="18" xfId="42" applyFont="1" applyBorder="1" applyAlignment="1">
      <alignment horizontal="right"/>
    </xf>
    <xf numFmtId="0" fontId="0" fillId="0" borderId="0" xfId="0" applyFont="1" applyAlignment="1">
      <alignment/>
    </xf>
    <xf numFmtId="164" fontId="0" fillId="0" borderId="0" xfId="0" applyNumberFormat="1" applyFont="1" applyAlignment="1">
      <alignment/>
    </xf>
    <xf numFmtId="164" fontId="110" fillId="0" borderId="0" xfId="42" applyNumberFormat="1" applyFont="1" applyAlignment="1">
      <alignment/>
    </xf>
    <xf numFmtId="164" fontId="110" fillId="0" borderId="0" xfId="0" applyNumberFormat="1" applyFont="1" applyAlignment="1">
      <alignment/>
    </xf>
    <xf numFmtId="44" fontId="110" fillId="0" borderId="0" xfId="47" applyFont="1" applyAlignment="1">
      <alignment/>
    </xf>
    <xf numFmtId="164" fontId="110" fillId="0" borderId="0" xfId="44" applyNumberFormat="1" applyFont="1" applyAlignment="1">
      <alignment/>
    </xf>
    <xf numFmtId="44" fontId="63" fillId="0" borderId="11" xfId="0" applyNumberFormat="1" applyFont="1" applyFill="1" applyBorder="1" applyAlignment="1">
      <alignment/>
    </xf>
    <xf numFmtId="44" fontId="0" fillId="0" borderId="0" xfId="47" applyFont="1" applyAlignment="1">
      <alignment/>
    </xf>
    <xf numFmtId="164" fontId="0" fillId="0" borderId="0" xfId="42" applyNumberFormat="1" applyFont="1" applyAlignment="1">
      <alignment/>
    </xf>
    <xf numFmtId="164" fontId="0" fillId="0" borderId="0" xfId="0" applyNumberFormat="1" applyFill="1" applyAlignment="1">
      <alignment/>
    </xf>
    <xf numFmtId="165" fontId="0" fillId="0" borderId="0" xfId="74" applyNumberFormat="1" applyFont="1" applyAlignment="1">
      <alignment/>
    </xf>
    <xf numFmtId="0" fontId="117" fillId="0" borderId="0" xfId="0" applyFont="1" applyAlignment="1">
      <alignment horizontal="left"/>
    </xf>
    <xf numFmtId="165" fontId="118" fillId="0" borderId="0" xfId="0" applyNumberFormat="1" applyFont="1" applyAlignment="1">
      <alignment/>
    </xf>
    <xf numFmtId="43" fontId="0" fillId="0" borderId="0" xfId="42" applyFont="1" applyAlignment="1">
      <alignment/>
    </xf>
    <xf numFmtId="9" fontId="4" fillId="0" borderId="19" xfId="0" applyNumberFormat="1" applyFont="1" applyBorder="1" applyAlignment="1">
      <alignment/>
    </xf>
    <xf numFmtId="166" fontId="0" fillId="0" borderId="0" xfId="47" applyNumberFormat="1" applyFont="1" applyAlignment="1">
      <alignment/>
    </xf>
    <xf numFmtId="44" fontId="0" fillId="0" borderId="0" xfId="47" applyFont="1" applyAlignment="1">
      <alignment/>
    </xf>
    <xf numFmtId="164" fontId="0" fillId="0" borderId="0" xfId="42" applyNumberFormat="1" applyFont="1" applyAlignment="1">
      <alignment/>
    </xf>
    <xf numFmtId="166" fontId="0" fillId="0" borderId="0" xfId="47" applyNumberFormat="1" applyFont="1" applyFill="1" applyAlignment="1">
      <alignment/>
    </xf>
    <xf numFmtId="43" fontId="0" fillId="0" borderId="0" xfId="0" applyNumberFormat="1" applyFont="1" applyFill="1" applyAlignment="1">
      <alignment/>
    </xf>
    <xf numFmtId="0" fontId="0" fillId="0" borderId="0" xfId="0" applyFont="1" applyAlignment="1">
      <alignment/>
    </xf>
    <xf numFmtId="43" fontId="0" fillId="0" borderId="0" xfId="0" applyNumberFormat="1" applyFont="1" applyAlignment="1">
      <alignment/>
    </xf>
    <xf numFmtId="164" fontId="0" fillId="0" borderId="0" xfId="0" applyNumberFormat="1" applyFont="1" applyAlignment="1">
      <alignment/>
    </xf>
    <xf numFmtId="164" fontId="0" fillId="0" borderId="0" xfId="44" applyNumberFormat="1" applyFont="1" applyAlignment="1">
      <alignment/>
    </xf>
    <xf numFmtId="0" fontId="119" fillId="0" borderId="0" xfId="0" applyFont="1" applyAlignment="1">
      <alignment/>
    </xf>
    <xf numFmtId="43" fontId="2" fillId="0" borderId="16" xfId="42" applyFont="1" applyBorder="1" applyAlignment="1">
      <alignment/>
    </xf>
    <xf numFmtId="43" fontId="2" fillId="0" borderId="18" xfId="42" applyFont="1" applyBorder="1" applyAlignment="1">
      <alignment/>
    </xf>
    <xf numFmtId="43" fontId="0" fillId="0" borderId="16" xfId="42" applyFont="1" applyBorder="1" applyAlignment="1">
      <alignment/>
    </xf>
    <xf numFmtId="43" fontId="0" fillId="0" borderId="18" xfId="42" applyFont="1" applyBorder="1" applyAlignment="1">
      <alignment/>
    </xf>
    <xf numFmtId="164" fontId="0" fillId="0" borderId="0" xfId="44" applyNumberFormat="1" applyFont="1" applyAlignment="1">
      <alignment/>
    </xf>
    <xf numFmtId="44" fontId="2" fillId="0" borderId="11" xfId="55" applyFont="1" applyFill="1" applyBorder="1" applyAlignment="1">
      <alignment/>
    </xf>
    <xf numFmtId="166" fontId="0" fillId="0" borderId="0" xfId="47" applyNumberFormat="1" applyFont="1" applyAlignment="1">
      <alignment/>
    </xf>
    <xf numFmtId="44" fontId="0" fillId="0" borderId="0" xfId="47" applyFont="1" applyAlignment="1">
      <alignment/>
    </xf>
    <xf numFmtId="164" fontId="0" fillId="0" borderId="0" xfId="42" applyNumberFormat="1" applyFont="1" applyAlignment="1">
      <alignment/>
    </xf>
    <xf numFmtId="166" fontId="0" fillId="0" borderId="0" xfId="47" applyNumberFormat="1" applyFont="1" applyFill="1" applyAlignment="1">
      <alignment/>
    </xf>
    <xf numFmtId="43" fontId="0" fillId="0" borderId="0" xfId="0" applyNumberFormat="1" applyFont="1" applyFill="1" applyAlignment="1">
      <alignment/>
    </xf>
    <xf numFmtId="0" fontId="0" fillId="0" borderId="0" xfId="0" applyFont="1" applyAlignment="1">
      <alignment/>
    </xf>
    <xf numFmtId="43" fontId="0" fillId="0" borderId="0" xfId="0" applyNumberFormat="1" applyFont="1" applyAlignment="1">
      <alignment/>
    </xf>
    <xf numFmtId="164" fontId="0" fillId="0" borderId="0" xfId="0" applyNumberFormat="1" applyFont="1" applyAlignment="1">
      <alignment/>
    </xf>
    <xf numFmtId="0" fontId="120" fillId="0" borderId="0" xfId="0" applyFont="1" applyBorder="1" applyAlignment="1">
      <alignment/>
    </xf>
    <xf numFmtId="0" fontId="0" fillId="0" borderId="0" xfId="0" applyBorder="1" applyAlignment="1">
      <alignment/>
    </xf>
    <xf numFmtId="0" fontId="68" fillId="0" borderId="0" xfId="0" applyFont="1" applyAlignment="1" quotePrefix="1">
      <alignment wrapText="1"/>
    </xf>
    <xf numFmtId="0" fontId="113" fillId="0" borderId="0" xfId="0" applyFont="1" applyAlignment="1">
      <alignment horizontal="right" wrapText="1"/>
    </xf>
    <xf numFmtId="0" fontId="113" fillId="0" borderId="0" xfId="0" applyFont="1" applyAlignment="1">
      <alignment horizontal="center" wrapText="1"/>
    </xf>
    <xf numFmtId="44" fontId="113" fillId="0" borderId="0" xfId="47" applyFont="1" applyAlignment="1">
      <alignment horizontal="center" wrapText="1"/>
    </xf>
    <xf numFmtId="3" fontId="113" fillId="0" borderId="0" xfId="0" applyNumberFormat="1" applyFont="1" applyAlignment="1">
      <alignment horizontal="center" wrapText="1"/>
    </xf>
    <xf numFmtId="0" fontId="107" fillId="0" borderId="0" xfId="0" applyFont="1" applyBorder="1" applyAlignment="1">
      <alignment/>
    </xf>
    <xf numFmtId="0" fontId="113" fillId="0" borderId="0" xfId="0" applyFont="1" applyAlignment="1">
      <alignment wrapText="1"/>
    </xf>
    <xf numFmtId="44" fontId="69" fillId="0" borderId="0" xfId="47" applyFont="1" applyAlignment="1">
      <alignment horizontal="center"/>
    </xf>
    <xf numFmtId="3" fontId="113" fillId="0" borderId="0" xfId="0" applyNumberFormat="1" applyFont="1" applyAlignment="1">
      <alignment horizontal="center"/>
    </xf>
    <xf numFmtId="3" fontId="69" fillId="0" borderId="0" xfId="0" applyNumberFormat="1" applyFont="1" applyAlignment="1">
      <alignment horizontal="center"/>
    </xf>
    <xf numFmtId="0" fontId="111" fillId="0" borderId="0" xfId="0" applyFont="1" applyBorder="1" applyAlignment="1">
      <alignment horizontal="center"/>
    </xf>
    <xf numFmtId="0" fontId="111" fillId="0" borderId="0" xfId="0" applyFont="1" applyBorder="1" applyAlignment="1">
      <alignment/>
    </xf>
    <xf numFmtId="165" fontId="115" fillId="0" borderId="0" xfId="74" applyNumberFormat="1" applyFont="1" applyAlignment="1">
      <alignment/>
    </xf>
    <xf numFmtId="165" fontId="115" fillId="0" borderId="0" xfId="0" applyNumberFormat="1" applyFont="1" applyAlignment="1">
      <alignment/>
    </xf>
    <xf numFmtId="165" fontId="115" fillId="0" borderId="0" xfId="0" applyNumberFormat="1" applyFont="1" applyBorder="1" applyAlignment="1">
      <alignment horizontal="center"/>
    </xf>
    <xf numFmtId="0" fontId="107" fillId="0" borderId="0" xfId="0" applyFont="1" applyFill="1" applyBorder="1" applyAlignment="1">
      <alignment/>
    </xf>
    <xf numFmtId="164" fontId="109" fillId="0" borderId="0" xfId="0" applyNumberFormat="1" applyFont="1" applyBorder="1" applyAlignment="1">
      <alignment/>
    </xf>
    <xf numFmtId="164" fontId="118" fillId="0" borderId="0" xfId="0" applyNumberFormat="1" applyFont="1" applyBorder="1" applyAlignment="1">
      <alignment/>
    </xf>
    <xf numFmtId="0" fontId="121" fillId="0" borderId="0" xfId="0" applyFont="1" applyBorder="1" applyAlignment="1">
      <alignment/>
    </xf>
    <xf numFmtId="0" fontId="107" fillId="0" borderId="0" xfId="0" applyFont="1" applyAlignment="1">
      <alignment wrapText="1"/>
    </xf>
    <xf numFmtId="0" fontId="63" fillId="0" borderId="0" xfId="0" applyFont="1" applyAlignment="1">
      <alignment horizontal="right" wrapText="1"/>
    </xf>
    <xf numFmtId="166" fontId="109" fillId="0" borderId="0" xfId="0" applyNumberFormat="1" applyFont="1" applyAlignment="1">
      <alignment horizontal="right"/>
    </xf>
    <xf numFmtId="166" fontId="109" fillId="0" borderId="0" xfId="0" applyNumberFormat="1" applyFont="1" applyAlignment="1">
      <alignment horizontal="center"/>
    </xf>
    <xf numFmtId="44" fontId="0" fillId="0" borderId="0" xfId="47" applyFont="1" applyAlignment="1">
      <alignment horizontal="right"/>
    </xf>
    <xf numFmtId="0" fontId="0" fillId="0" borderId="0" xfId="0" applyAlignment="1">
      <alignment horizontal="center"/>
    </xf>
    <xf numFmtId="9" fontId="113" fillId="0" borderId="0" xfId="74" applyNumberFormat="1" applyFont="1" applyAlignment="1">
      <alignment horizontal="center" wrapText="1"/>
    </xf>
    <xf numFmtId="166" fontId="109" fillId="0" borderId="0" xfId="47" applyNumberFormat="1" applyFont="1" applyAlignment="1">
      <alignment horizontal="right"/>
    </xf>
    <xf numFmtId="9" fontId="111" fillId="0" borderId="0" xfId="74" applyFont="1" applyBorder="1" applyAlignment="1">
      <alignment horizontal="center"/>
    </xf>
    <xf numFmtId="0" fontId="122" fillId="0" borderId="0" xfId="0" applyFont="1" applyBorder="1" applyAlignment="1">
      <alignment/>
    </xf>
    <xf numFmtId="0" fontId="72" fillId="0" borderId="0" xfId="0" applyFont="1" applyAlignment="1">
      <alignment wrapText="1"/>
    </xf>
    <xf numFmtId="44" fontId="111" fillId="0" borderId="0" xfId="47" applyFont="1" applyBorder="1" applyAlignment="1">
      <alignment horizontal="center"/>
    </xf>
    <xf numFmtId="0" fontId="69" fillId="0" borderId="0" xfId="0" applyFont="1" applyAlignment="1">
      <alignment wrapText="1"/>
    </xf>
    <xf numFmtId="166" fontId="73" fillId="0" borderId="0" xfId="47" applyNumberFormat="1" applyFont="1" applyFill="1" applyAlignment="1">
      <alignment horizontal="center"/>
    </xf>
    <xf numFmtId="0" fontId="69" fillId="0" borderId="0" xfId="0" applyFont="1" applyAlignment="1">
      <alignment horizontal="right" wrapText="1"/>
    </xf>
    <xf numFmtId="0" fontId="111" fillId="0" borderId="0" xfId="0" applyFont="1" applyBorder="1" applyAlignment="1">
      <alignment/>
    </xf>
    <xf numFmtId="0" fontId="0" fillId="0" borderId="0" xfId="0" applyBorder="1" applyAlignment="1">
      <alignment/>
    </xf>
    <xf numFmtId="166" fontId="111" fillId="0" borderId="0" xfId="47" applyNumberFormat="1" applyFont="1" applyBorder="1" applyAlignment="1">
      <alignment horizontal="center"/>
    </xf>
    <xf numFmtId="0" fontId="0" fillId="0" borderId="0" xfId="0" applyAlignment="1">
      <alignment wrapText="1"/>
    </xf>
    <xf numFmtId="0" fontId="0" fillId="0" borderId="0" xfId="0" applyAlignment="1">
      <alignment horizontal="right" wrapText="1"/>
    </xf>
    <xf numFmtId="166" fontId="63" fillId="0" borderId="0" xfId="47" applyNumberFormat="1" applyFont="1" applyAlignment="1">
      <alignment horizontal="right"/>
    </xf>
    <xf numFmtId="0" fontId="108" fillId="0" borderId="0" xfId="0" applyFont="1" applyAlignment="1">
      <alignment horizontal="right" wrapText="1"/>
    </xf>
    <xf numFmtId="164" fontId="63" fillId="0" borderId="0" xfId="42" applyNumberFormat="1" applyFont="1" applyAlignment="1">
      <alignment horizontal="right"/>
    </xf>
    <xf numFmtId="0" fontId="63" fillId="0" borderId="0" xfId="0" applyFont="1" applyAlignment="1">
      <alignment wrapText="1"/>
    </xf>
    <xf numFmtId="0" fontId="69" fillId="0" borderId="0" xfId="0" applyFont="1" applyBorder="1" applyAlignment="1">
      <alignment horizontal="right" wrapText="1"/>
    </xf>
    <xf numFmtId="0" fontId="113" fillId="0" borderId="0" xfId="0" applyFont="1" applyBorder="1" applyAlignment="1">
      <alignment horizontal="right" wrapText="1"/>
    </xf>
    <xf numFmtId="164" fontId="123" fillId="0" borderId="0" xfId="42" applyNumberFormat="1" applyFont="1" applyAlignment="1">
      <alignment/>
    </xf>
    <xf numFmtId="164" fontId="75" fillId="0" borderId="0" xfId="42" applyNumberFormat="1" applyFont="1" applyAlignment="1">
      <alignment horizontal="right"/>
    </xf>
    <xf numFmtId="6" fontId="69" fillId="0" borderId="0" xfId="47" applyNumberFormat="1" applyFont="1" applyAlignment="1">
      <alignment horizontal="right" wrapText="1"/>
    </xf>
    <xf numFmtId="6" fontId="69" fillId="0" borderId="0" xfId="47" applyNumberFormat="1" applyFont="1" applyAlignment="1">
      <alignment horizontal="right"/>
    </xf>
    <xf numFmtId="44" fontId="69" fillId="0" borderId="0" xfId="47" applyFont="1" applyAlignment="1">
      <alignment horizontal="right"/>
    </xf>
    <xf numFmtId="2" fontId="0" fillId="0" borderId="0" xfId="0" applyNumberFormat="1" applyBorder="1" applyAlignment="1">
      <alignment horizontal="center"/>
    </xf>
    <xf numFmtId="166" fontId="76" fillId="0" borderId="0" xfId="47" applyNumberFormat="1" applyFont="1" applyAlignment="1">
      <alignment horizontal="right"/>
    </xf>
    <xf numFmtId="166" fontId="73" fillId="0" borderId="0" xfId="47" applyNumberFormat="1" applyFont="1" applyAlignment="1">
      <alignment horizontal="right"/>
    </xf>
    <xf numFmtId="166" fontId="77" fillId="0" borderId="0" xfId="47" applyNumberFormat="1" applyFont="1" applyAlignment="1">
      <alignment horizontal="right"/>
    </xf>
    <xf numFmtId="6" fontId="113" fillId="0" borderId="0" xfId="47" applyNumberFormat="1" applyFont="1" applyAlignment="1">
      <alignment horizontal="right" wrapText="1"/>
    </xf>
    <xf numFmtId="6" fontId="113" fillId="0" borderId="0" xfId="47" applyNumberFormat="1" applyFont="1" applyAlignment="1">
      <alignment horizontal="right"/>
    </xf>
    <xf numFmtId="44" fontId="113" fillId="0" borderId="0" xfId="47" applyFont="1" applyAlignment="1">
      <alignment horizontal="right"/>
    </xf>
    <xf numFmtId="2" fontId="0" fillId="0" borderId="0" xfId="0" applyNumberFormat="1" applyAlignment="1">
      <alignment horizontal="center"/>
    </xf>
    <xf numFmtId="0" fontId="69" fillId="0" borderId="0" xfId="0" applyFont="1" applyAlignment="1">
      <alignment horizontal="center" wrapText="1"/>
    </xf>
    <xf numFmtId="6" fontId="69" fillId="0" borderId="0" xfId="47" applyNumberFormat="1" applyFont="1" applyAlignment="1">
      <alignment horizontal="center" wrapText="1"/>
    </xf>
    <xf numFmtId="165" fontId="77" fillId="0" borderId="0" xfId="74" applyNumberFormat="1" applyFont="1" applyAlignment="1">
      <alignment horizontal="center"/>
    </xf>
    <xf numFmtId="43" fontId="77" fillId="0" borderId="0" xfId="42" applyFont="1" applyAlignment="1">
      <alignment horizontal="center"/>
    </xf>
    <xf numFmtId="44" fontId="77" fillId="0" borderId="0" xfId="47" applyFont="1" applyAlignment="1">
      <alignment horizontal="center"/>
    </xf>
    <xf numFmtId="165" fontId="77" fillId="0" borderId="0" xfId="74" applyNumberFormat="1" applyFont="1" applyAlignment="1">
      <alignment horizontal="center" wrapText="1"/>
    </xf>
    <xf numFmtId="44" fontId="0" fillId="0" borderId="0" xfId="47" applyFont="1" applyAlignment="1">
      <alignment horizontal="right" wrapText="1"/>
    </xf>
    <xf numFmtId="0" fontId="0" fillId="0" borderId="0" xfId="0" applyAlignment="1">
      <alignment horizontal="center" wrapText="1"/>
    </xf>
    <xf numFmtId="0" fontId="0" fillId="13" borderId="21" xfId="0" applyFill="1" applyBorder="1" applyAlignment="1">
      <alignment wrapText="1"/>
    </xf>
    <xf numFmtId="0" fontId="0" fillId="13" borderId="22" xfId="0" applyFill="1" applyBorder="1" applyAlignment="1">
      <alignment horizontal="right" wrapText="1"/>
    </xf>
    <xf numFmtId="0" fontId="111" fillId="13" borderId="23" xfId="0" applyFont="1" applyFill="1" applyBorder="1" applyAlignment="1">
      <alignment wrapText="1"/>
    </xf>
    <xf numFmtId="0" fontId="111" fillId="13" borderId="0" xfId="0" applyFont="1" applyFill="1" applyBorder="1" applyAlignment="1">
      <alignment horizontal="center" wrapText="1"/>
    </xf>
    <xf numFmtId="0" fontId="0" fillId="13" borderId="23" xfId="0" applyFill="1" applyBorder="1" applyAlignment="1">
      <alignment wrapText="1"/>
    </xf>
    <xf numFmtId="164" fontId="0" fillId="13" borderId="0" xfId="42" applyNumberFormat="1" applyFont="1" applyFill="1" applyBorder="1" applyAlignment="1">
      <alignment horizontal="center" wrapText="1"/>
    </xf>
    <xf numFmtId="166" fontId="0" fillId="13" borderId="24" xfId="47" applyNumberFormat="1" applyFont="1" applyFill="1" applyBorder="1" applyAlignment="1">
      <alignment horizontal="center" wrapText="1"/>
    </xf>
    <xf numFmtId="164" fontId="110" fillId="13" borderId="0" xfId="42" applyNumberFormat="1" applyFont="1" applyFill="1" applyBorder="1" applyAlignment="1">
      <alignment horizontal="center" wrapText="1"/>
    </xf>
    <xf numFmtId="166" fontId="110" fillId="13" borderId="24" xfId="47" applyNumberFormat="1" applyFont="1" applyFill="1" applyBorder="1" applyAlignment="1">
      <alignment horizontal="center" wrapText="1"/>
    </xf>
    <xf numFmtId="0" fontId="69" fillId="13" borderId="23" xfId="0" applyFont="1" applyFill="1" applyBorder="1" applyAlignment="1">
      <alignment wrapText="1"/>
    </xf>
    <xf numFmtId="164" fontId="76" fillId="13" borderId="0" xfId="42" applyNumberFormat="1" applyFont="1" applyFill="1" applyBorder="1" applyAlignment="1">
      <alignment horizontal="center" wrapText="1"/>
    </xf>
    <xf numFmtId="0" fontId="0" fillId="13" borderId="25" xfId="0" applyFill="1" applyBorder="1" applyAlignment="1">
      <alignment wrapText="1"/>
    </xf>
    <xf numFmtId="0" fontId="0" fillId="13" borderId="9" xfId="0" applyFill="1" applyBorder="1" applyAlignment="1">
      <alignment horizontal="right" wrapText="1"/>
    </xf>
    <xf numFmtId="166" fontId="0" fillId="0" borderId="0" xfId="47" applyNumberFormat="1" applyFont="1" applyAlignment="1">
      <alignment/>
    </xf>
    <xf numFmtId="0" fontId="109" fillId="0" borderId="0" xfId="0" applyFont="1" applyAlignment="1">
      <alignment/>
    </xf>
    <xf numFmtId="166" fontId="0" fillId="0" borderId="0" xfId="0" applyNumberFormat="1" applyAlignment="1">
      <alignment/>
    </xf>
    <xf numFmtId="166" fontId="107" fillId="0" borderId="0" xfId="0" applyNumberFormat="1" applyFont="1" applyAlignment="1">
      <alignment/>
    </xf>
    <xf numFmtId="166" fontId="116" fillId="0" borderId="0" xfId="0" applyNumberFormat="1" applyFont="1" applyAlignment="1">
      <alignment/>
    </xf>
    <xf numFmtId="166" fontId="109" fillId="0" borderId="0" xfId="0" applyNumberFormat="1" applyFont="1" applyAlignment="1">
      <alignment/>
    </xf>
    <xf numFmtId="0" fontId="111" fillId="0" borderId="0" xfId="0" applyFont="1" applyFill="1" applyBorder="1" applyAlignment="1">
      <alignment horizontal="center"/>
    </xf>
    <xf numFmtId="166" fontId="0" fillId="0" borderId="0" xfId="47" applyNumberFormat="1" applyFont="1" applyAlignment="1">
      <alignment/>
    </xf>
    <xf numFmtId="44" fontId="0" fillId="0" borderId="0" xfId="47" applyFont="1" applyAlignment="1">
      <alignment/>
    </xf>
    <xf numFmtId="164" fontId="0" fillId="0" borderId="0" xfId="42" applyNumberFormat="1" applyFont="1" applyAlignment="1">
      <alignment/>
    </xf>
    <xf numFmtId="166" fontId="0" fillId="0" borderId="0" xfId="47" applyNumberFormat="1" applyFont="1" applyFill="1" applyAlignment="1">
      <alignment/>
    </xf>
    <xf numFmtId="43" fontId="0" fillId="0" borderId="0" xfId="0" applyNumberFormat="1" applyFont="1" applyFill="1" applyAlignment="1">
      <alignment/>
    </xf>
    <xf numFmtId="0" fontId="0" fillId="0" borderId="0" xfId="0" applyFont="1" applyAlignment="1">
      <alignment/>
    </xf>
    <xf numFmtId="43" fontId="0" fillId="0" borderId="0" xfId="0" applyNumberFormat="1" applyFont="1" applyAlignment="1">
      <alignment/>
    </xf>
    <xf numFmtId="164" fontId="0" fillId="0" borderId="0" xfId="0" applyNumberFormat="1" applyFont="1" applyAlignment="1">
      <alignment/>
    </xf>
    <xf numFmtId="43" fontId="0" fillId="0" borderId="0" xfId="42" applyFont="1" applyAlignment="1">
      <alignment/>
    </xf>
    <xf numFmtId="164" fontId="124" fillId="0" borderId="0" xfId="44" applyNumberFormat="1" applyFont="1" applyAlignment="1">
      <alignment/>
    </xf>
    <xf numFmtId="0" fontId="124" fillId="0" borderId="0" xfId="0" applyFont="1" applyAlignment="1">
      <alignment/>
    </xf>
    <xf numFmtId="17" fontId="125" fillId="0" borderId="11" xfId="0" applyNumberFormat="1" applyFont="1" applyFill="1" applyBorder="1" applyAlignment="1">
      <alignment horizontal="right"/>
    </xf>
    <xf numFmtId="0" fontId="108" fillId="0" borderId="0" xfId="0" applyFont="1" applyFill="1" applyBorder="1" applyAlignment="1">
      <alignment/>
    </xf>
    <xf numFmtId="43" fontId="108" fillId="0" borderId="0" xfId="0" applyNumberFormat="1" applyFont="1" applyAlignment="1">
      <alignment/>
    </xf>
    <xf numFmtId="164" fontId="75" fillId="0" borderId="0" xfId="42" applyNumberFormat="1" applyFont="1" applyAlignment="1">
      <alignment/>
    </xf>
    <xf numFmtId="43" fontId="108" fillId="0" borderId="0" xfId="0" applyNumberFormat="1" applyFont="1" applyFill="1" applyAlignment="1">
      <alignment/>
    </xf>
    <xf numFmtId="166" fontId="108" fillId="0" borderId="0" xfId="47" applyNumberFormat="1" applyFont="1" applyFill="1" applyAlignment="1">
      <alignment/>
    </xf>
    <xf numFmtId="43" fontId="110" fillId="0" borderId="0" xfId="42" applyFont="1" applyAlignment="1">
      <alignment/>
    </xf>
    <xf numFmtId="0" fontId="80" fillId="0" borderId="0" xfId="0" applyFont="1" applyBorder="1" applyAlignment="1">
      <alignment/>
    </xf>
    <xf numFmtId="0" fontId="63" fillId="0" borderId="0" xfId="0" applyFont="1" applyBorder="1" applyAlignment="1">
      <alignment/>
    </xf>
    <xf numFmtId="0" fontId="111" fillId="0" borderId="0" xfId="0" applyFont="1" applyAlignment="1">
      <alignment horizontal="center"/>
    </xf>
    <xf numFmtId="3" fontId="0" fillId="0" borderId="0" xfId="0" applyNumberFormat="1" applyAlignment="1">
      <alignment/>
    </xf>
    <xf numFmtId="3" fontId="107" fillId="0" borderId="0" xfId="0" applyNumberFormat="1" applyFont="1" applyAlignment="1">
      <alignment/>
    </xf>
    <xf numFmtId="0" fontId="81" fillId="0" borderId="0" xfId="0" applyFont="1" applyBorder="1" applyAlignment="1">
      <alignment horizontal="left"/>
    </xf>
    <xf numFmtId="0" fontId="69" fillId="0" borderId="0" xfId="0" applyFont="1" applyBorder="1" applyAlignment="1">
      <alignment/>
    </xf>
    <xf numFmtId="165" fontId="107" fillId="0" borderId="0" xfId="74" applyNumberFormat="1" applyFont="1" applyAlignment="1">
      <alignment/>
    </xf>
    <xf numFmtId="0" fontId="111" fillId="0" borderId="0" xfId="0" applyFont="1" applyAlignment="1">
      <alignment horizontal="center"/>
    </xf>
    <xf numFmtId="0" fontId="4" fillId="0" borderId="26" xfId="0" applyFont="1" applyBorder="1" applyAlignment="1" applyProtection="1">
      <alignment/>
      <protection/>
    </xf>
    <xf numFmtId="0" fontId="4" fillId="0" borderId="27" xfId="0" applyFont="1" applyBorder="1" applyAlignment="1" applyProtection="1">
      <alignment/>
      <protection/>
    </xf>
    <xf numFmtId="0" fontId="2" fillId="0" borderId="28" xfId="0" applyFont="1" applyBorder="1" applyAlignment="1" applyProtection="1">
      <alignment/>
      <protection/>
    </xf>
    <xf numFmtId="0" fontId="2" fillId="0" borderId="0" xfId="0" applyFont="1" applyAlignment="1" applyProtection="1">
      <alignment/>
      <protection/>
    </xf>
    <xf numFmtId="0" fontId="2" fillId="36" borderId="0" xfId="0" applyFont="1" applyFill="1" applyAlignment="1" applyProtection="1">
      <alignment/>
      <protection/>
    </xf>
    <xf numFmtId="0" fontId="4" fillId="0" borderId="29" xfId="0" applyFont="1" applyBorder="1" applyAlignment="1" applyProtection="1">
      <alignment/>
      <protection/>
    </xf>
    <xf numFmtId="0" fontId="4" fillId="0" borderId="0" xfId="0" applyFont="1" applyAlignment="1" applyProtection="1">
      <alignment/>
      <protection/>
    </xf>
    <xf numFmtId="0" fontId="2" fillId="0" borderId="30" xfId="0" applyFont="1" applyBorder="1" applyAlignment="1" applyProtection="1">
      <alignment/>
      <protection/>
    </xf>
    <xf numFmtId="0" fontId="4" fillId="0" borderId="31" xfId="0" applyFont="1" applyBorder="1" applyAlignment="1" applyProtection="1">
      <alignment/>
      <protection/>
    </xf>
    <xf numFmtId="0" fontId="2" fillId="0" borderId="32" xfId="0" applyFont="1" applyBorder="1" applyAlignment="1" applyProtection="1">
      <alignment/>
      <protection/>
    </xf>
    <xf numFmtId="0" fontId="2" fillId="0" borderId="33" xfId="0"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horizontal="center"/>
      <protection/>
    </xf>
    <xf numFmtId="0" fontId="4" fillId="0" borderId="0" xfId="0" applyFont="1" applyAlignment="1" applyProtection="1">
      <alignment horizontal="center"/>
      <protection/>
    </xf>
    <xf numFmtId="44" fontId="2" fillId="0" borderId="0" xfId="0" applyNumberFormat="1" applyFont="1" applyAlignment="1" applyProtection="1">
      <alignment/>
      <protection/>
    </xf>
    <xf numFmtId="44" fontId="2" fillId="0" borderId="0" xfId="49" applyFont="1" applyAlignment="1" applyProtection="1">
      <alignment/>
      <protection/>
    </xf>
    <xf numFmtId="0" fontId="4" fillId="0" borderId="32" xfId="0" applyFont="1" applyBorder="1" applyAlignment="1" applyProtection="1">
      <alignment horizontal="center"/>
      <protection/>
    </xf>
    <xf numFmtId="44" fontId="2" fillId="0" borderId="34" xfId="49" applyFont="1" applyBorder="1" applyAlignment="1" applyProtection="1">
      <alignment/>
      <protection/>
    </xf>
    <xf numFmtId="0" fontId="4" fillId="0" borderId="0" xfId="0" applyFont="1" applyBorder="1" applyAlignment="1" applyProtection="1">
      <alignment horizontal="left"/>
      <protection/>
    </xf>
    <xf numFmtId="43" fontId="4" fillId="0" borderId="0" xfId="44" applyFont="1" applyAlignment="1" applyProtection="1">
      <alignment/>
      <protection/>
    </xf>
    <xf numFmtId="44" fontId="2" fillId="0" borderId="0" xfId="49" applyFont="1" applyBorder="1" applyAlignment="1" applyProtection="1">
      <alignment/>
      <protection/>
    </xf>
    <xf numFmtId="44" fontId="4" fillId="0" borderId="35" xfId="49" applyFont="1" applyBorder="1" applyAlignment="1" applyProtection="1">
      <alignment/>
      <protection/>
    </xf>
    <xf numFmtId="7" fontId="2" fillId="0" borderId="0" xfId="0" applyNumberFormat="1" applyFont="1" applyAlignment="1" applyProtection="1">
      <alignment/>
      <protection/>
    </xf>
    <xf numFmtId="43" fontId="2" fillId="0" borderId="0" xfId="44" applyFont="1" applyAlignment="1" applyProtection="1">
      <alignment/>
      <protection/>
    </xf>
    <xf numFmtId="44" fontId="2" fillId="0" borderId="34" xfId="0" applyNumberFormat="1" applyFont="1" applyBorder="1" applyAlignment="1" applyProtection="1">
      <alignment/>
      <protection/>
    </xf>
    <xf numFmtId="44" fontId="2" fillId="0" borderId="32" xfId="49" applyFont="1" applyBorder="1" applyAlignment="1" applyProtection="1">
      <alignment/>
      <protection/>
    </xf>
    <xf numFmtId="9" fontId="2" fillId="0" borderId="0" xfId="74" applyFont="1" applyAlignment="1" applyProtection="1">
      <alignment/>
      <protection/>
    </xf>
    <xf numFmtId="0" fontId="4" fillId="36" borderId="0" xfId="0" applyFont="1" applyFill="1" applyAlignment="1" applyProtection="1">
      <alignment/>
      <protection/>
    </xf>
    <xf numFmtId="10" fontId="2" fillId="0" borderId="0" xfId="75" applyNumberFormat="1" applyFont="1" applyAlignment="1" applyProtection="1">
      <alignment/>
      <protection/>
    </xf>
    <xf numFmtId="0" fontId="2" fillId="37" borderId="0" xfId="0" applyFont="1" applyFill="1" applyAlignment="1" applyProtection="1">
      <alignment/>
      <protection/>
    </xf>
    <xf numFmtId="0" fontId="2" fillId="37" borderId="0" xfId="0" applyFont="1" applyFill="1" applyBorder="1" applyAlignment="1" applyProtection="1">
      <alignment/>
      <protection/>
    </xf>
    <xf numFmtId="0" fontId="2" fillId="37" borderId="36" xfId="0" applyFont="1" applyFill="1" applyBorder="1" applyAlignment="1" applyProtection="1">
      <alignment/>
      <protection/>
    </xf>
    <xf numFmtId="39" fontId="2" fillId="37" borderId="36" xfId="0" applyNumberFormat="1" applyFont="1" applyFill="1" applyBorder="1" applyAlignment="1" applyProtection="1">
      <alignment/>
      <protection/>
    </xf>
    <xf numFmtId="37" fontId="4" fillId="0" borderId="37" xfId="0" applyNumberFormat="1" applyFont="1" applyBorder="1" applyAlignment="1" applyProtection="1">
      <alignment/>
      <protection/>
    </xf>
    <xf numFmtId="167" fontId="4" fillId="0" borderId="37" xfId="49" applyNumberFormat="1" applyFont="1" applyBorder="1" applyAlignment="1" applyProtection="1">
      <alignment/>
      <protection/>
    </xf>
    <xf numFmtId="0" fontId="4" fillId="0" borderId="0" xfId="0" applyFont="1" applyBorder="1" applyAlignment="1" applyProtection="1">
      <alignment horizontal="center"/>
      <protection/>
    </xf>
    <xf numFmtId="9" fontId="17" fillId="0" borderId="0" xfId="75" applyFont="1" applyBorder="1" applyAlignment="1" applyProtection="1">
      <alignment horizontal="center"/>
      <protection/>
    </xf>
    <xf numFmtId="164" fontId="2" fillId="0" borderId="0" xfId="0" applyNumberFormat="1" applyFont="1" applyAlignment="1" applyProtection="1">
      <alignment/>
      <protection/>
    </xf>
    <xf numFmtId="164" fontId="2" fillId="0" borderId="0" xfId="44" applyNumberFormat="1" applyFont="1" applyAlignment="1" applyProtection="1">
      <alignment/>
      <protection/>
    </xf>
    <xf numFmtId="164" fontId="2" fillId="0" borderId="0" xfId="44" applyNumberFormat="1" applyFont="1" applyFill="1" applyAlignment="1" applyProtection="1">
      <alignment/>
      <protection/>
    </xf>
    <xf numFmtId="166" fontId="2" fillId="0" borderId="0" xfId="0" applyNumberFormat="1" applyFont="1" applyAlignment="1" applyProtection="1">
      <alignment/>
      <protection/>
    </xf>
    <xf numFmtId="166" fontId="2" fillId="0" borderId="0" xfId="49" applyNumberFormat="1" applyFont="1" applyAlignment="1" applyProtection="1">
      <alignment/>
      <protection/>
    </xf>
    <xf numFmtId="44" fontId="18" fillId="0" borderId="0" xfId="49" applyFont="1" applyAlignment="1" applyProtection="1">
      <alignment horizontal="right"/>
      <protection/>
    </xf>
    <xf numFmtId="164" fontId="14" fillId="0" borderId="0" xfId="44" applyNumberFormat="1" applyFont="1" applyAlignment="1" applyProtection="1">
      <alignment/>
      <protection/>
    </xf>
    <xf numFmtId="164" fontId="14" fillId="0" borderId="0" xfId="0" applyNumberFormat="1" applyFont="1" applyAlignment="1" applyProtection="1">
      <alignment/>
      <protection/>
    </xf>
    <xf numFmtId="164" fontId="14" fillId="0" borderId="0" xfId="44" applyNumberFormat="1" applyFont="1" applyFill="1" applyAlignment="1" applyProtection="1">
      <alignment/>
      <protection/>
    </xf>
    <xf numFmtId="166" fontId="14" fillId="0" borderId="0" xfId="0" applyNumberFormat="1" applyFont="1" applyAlignment="1" applyProtection="1">
      <alignment/>
      <protection/>
    </xf>
    <xf numFmtId="166" fontId="14" fillId="0" borderId="0" xfId="49" applyNumberFormat="1" applyFont="1" applyAlignment="1" applyProtection="1">
      <alignment/>
      <protection/>
    </xf>
    <xf numFmtId="5" fontId="2" fillId="0" borderId="0" xfId="0" applyNumberFormat="1" applyFont="1" applyAlignment="1" applyProtection="1">
      <alignment/>
      <protection/>
    </xf>
    <xf numFmtId="164" fontId="16" fillId="0" borderId="0" xfId="0" applyNumberFormat="1" applyFont="1" applyBorder="1" applyAlignment="1" applyProtection="1">
      <alignment/>
      <protection/>
    </xf>
    <xf numFmtId="5" fontId="16" fillId="0" borderId="0" xfId="0" applyNumberFormat="1" applyFont="1" applyBorder="1" applyAlignment="1" applyProtection="1">
      <alignment/>
      <protection/>
    </xf>
    <xf numFmtId="166" fontId="16" fillId="0" borderId="0" xfId="49" applyNumberFormat="1" applyFont="1" applyBorder="1" applyAlignment="1" applyProtection="1">
      <alignment/>
      <protection/>
    </xf>
    <xf numFmtId="44" fontId="16" fillId="0" borderId="0" xfId="0" applyNumberFormat="1" applyFont="1" applyAlignment="1" applyProtection="1">
      <alignment/>
      <protection/>
    </xf>
    <xf numFmtId="44" fontId="16" fillId="0" borderId="0" xfId="47" applyFont="1" applyBorder="1" applyAlignment="1" applyProtection="1">
      <alignment/>
      <protection/>
    </xf>
    <xf numFmtId="165" fontId="19" fillId="0" borderId="0" xfId="74" applyNumberFormat="1" applyFont="1" applyBorder="1" applyAlignment="1" applyProtection="1">
      <alignment/>
      <protection/>
    </xf>
    <xf numFmtId="5" fontId="4" fillId="37" borderId="0" xfId="0" applyNumberFormat="1" applyFont="1" applyFill="1" applyBorder="1" applyAlignment="1" applyProtection="1">
      <alignment/>
      <protection/>
    </xf>
    <xf numFmtId="0" fontId="4" fillId="37" borderId="0" xfId="0" applyFont="1" applyFill="1" applyAlignment="1" applyProtection="1">
      <alignment/>
      <protection/>
    </xf>
    <xf numFmtId="7" fontId="4" fillId="37" borderId="0" xfId="0" applyNumberFormat="1" applyFont="1" applyFill="1" applyAlignment="1" applyProtection="1">
      <alignment/>
      <protection/>
    </xf>
    <xf numFmtId="0" fontId="4" fillId="37" borderId="38" xfId="0" applyFont="1" applyFill="1" applyBorder="1" applyAlignment="1" applyProtection="1">
      <alignment/>
      <protection/>
    </xf>
    <xf numFmtId="0" fontId="2" fillId="38" borderId="0" xfId="0" applyFont="1" applyFill="1" applyAlignment="1" applyProtection="1">
      <alignment/>
      <protection/>
    </xf>
    <xf numFmtId="0" fontId="4" fillId="38" borderId="0" xfId="0" applyFont="1" applyFill="1" applyAlignment="1" applyProtection="1">
      <alignment horizontal="center"/>
      <protection/>
    </xf>
    <xf numFmtId="0" fontId="4" fillId="38" borderId="0" xfId="0" applyFont="1" applyFill="1" applyAlignment="1" applyProtection="1" quotePrefix="1">
      <alignment horizontal="center"/>
      <protection/>
    </xf>
    <xf numFmtId="0" fontId="20" fillId="0" borderId="39" xfId="0" applyFont="1" applyBorder="1" applyAlignment="1" applyProtection="1">
      <alignment horizontal="center"/>
      <protection/>
    </xf>
    <xf numFmtId="0" fontId="2" fillId="39" borderId="0" xfId="0" applyFont="1" applyFill="1" applyAlignment="1" applyProtection="1">
      <alignment/>
      <protection/>
    </xf>
    <xf numFmtId="0" fontId="4" fillId="0" borderId="0" xfId="0" applyFont="1" applyBorder="1" applyAlignment="1" applyProtection="1">
      <alignment/>
      <protection/>
    </xf>
    <xf numFmtId="0" fontId="2" fillId="0" borderId="0" xfId="0" applyFont="1" applyBorder="1" applyAlignment="1" applyProtection="1">
      <alignment/>
      <protection/>
    </xf>
    <xf numFmtId="37" fontId="2" fillId="0" borderId="0" xfId="0" applyNumberFormat="1" applyFont="1" applyBorder="1" applyAlignment="1" applyProtection="1">
      <alignment/>
      <protection/>
    </xf>
    <xf numFmtId="37" fontId="4" fillId="0" borderId="32" xfId="0" applyNumberFormat="1" applyFont="1" applyBorder="1" applyAlignment="1" applyProtection="1">
      <alignment horizontal="center"/>
      <protection/>
    </xf>
    <xf numFmtId="37" fontId="4" fillId="0" borderId="32" xfId="0" applyNumberFormat="1" applyFont="1" applyBorder="1" applyAlignment="1" applyProtection="1" quotePrefix="1">
      <alignment horizontal="center"/>
      <protection/>
    </xf>
    <xf numFmtId="37" fontId="4" fillId="0" borderId="40" xfId="0" applyNumberFormat="1" applyFont="1" applyBorder="1" applyAlignment="1" applyProtection="1">
      <alignment horizontal="center"/>
      <protection/>
    </xf>
    <xf numFmtId="37" fontId="2" fillId="0" borderId="0" xfId="0" applyNumberFormat="1" applyFont="1" applyAlignment="1" applyProtection="1">
      <alignment/>
      <protection/>
    </xf>
    <xf numFmtId="166" fontId="2" fillId="34" borderId="0" xfId="49" applyNumberFormat="1" applyFont="1" applyFill="1" applyAlignment="1" applyProtection="1">
      <alignment/>
      <protection/>
    </xf>
    <xf numFmtId="166" fontId="2" fillId="0" borderId="39" xfId="49" applyNumberFormat="1" applyFont="1" applyBorder="1" applyAlignment="1" applyProtection="1">
      <alignment/>
      <protection/>
    </xf>
    <xf numFmtId="166" fontId="2" fillId="0" borderId="0" xfId="49" applyNumberFormat="1" applyFont="1" applyBorder="1" applyAlignment="1" applyProtection="1">
      <alignment/>
      <protection/>
    </xf>
    <xf numFmtId="0" fontId="2" fillId="0" borderId="0" xfId="0" applyFont="1" applyAlignment="1" applyProtection="1">
      <alignment/>
      <protection/>
    </xf>
    <xf numFmtId="9" fontId="4" fillId="0" borderId="0" xfId="75" applyFont="1" applyAlignment="1" applyProtection="1">
      <alignment horizontal="center"/>
      <protection/>
    </xf>
    <xf numFmtId="164" fontId="2" fillId="34" borderId="0" xfId="44" applyNumberFormat="1" applyFont="1" applyFill="1" applyAlignment="1" applyProtection="1">
      <alignment/>
      <protection/>
    </xf>
    <xf numFmtId="164" fontId="2" fillId="0" borderId="39" xfId="44" applyNumberFormat="1" applyFont="1" applyBorder="1" applyAlignment="1" applyProtection="1">
      <alignment/>
      <protection/>
    </xf>
    <xf numFmtId="166" fontId="2" fillId="0" borderId="32" xfId="49" applyNumberFormat="1" applyFont="1" applyBorder="1" applyAlignment="1" applyProtection="1">
      <alignment/>
      <protection/>
    </xf>
    <xf numFmtId="166" fontId="2" fillId="0" borderId="34" xfId="49" applyNumberFormat="1" applyFont="1" applyBorder="1" applyAlignment="1" applyProtection="1">
      <alignment/>
      <protection/>
    </xf>
    <xf numFmtId="166" fontId="2" fillId="0" borderId="40" xfId="49" applyNumberFormat="1" applyFont="1" applyBorder="1" applyAlignment="1" applyProtection="1">
      <alignment/>
      <protection/>
    </xf>
    <xf numFmtId="166" fontId="4" fillId="0" borderId="0" xfId="49" applyNumberFormat="1" applyFont="1" applyAlignment="1" applyProtection="1">
      <alignment/>
      <protection/>
    </xf>
    <xf numFmtId="166" fontId="4" fillId="0" borderId="39" xfId="49" applyNumberFormat="1" applyFont="1" applyBorder="1" applyAlignment="1" applyProtection="1">
      <alignment/>
      <protection/>
    </xf>
    <xf numFmtId="5" fontId="4" fillId="0" borderId="0" xfId="0" applyNumberFormat="1" applyFont="1" applyAlignment="1" applyProtection="1">
      <alignment/>
      <protection/>
    </xf>
    <xf numFmtId="165" fontId="21" fillId="0" borderId="0" xfId="75" applyNumberFormat="1" applyFont="1" applyBorder="1" applyAlignment="1" applyProtection="1">
      <alignment/>
      <protection/>
    </xf>
    <xf numFmtId="166" fontId="2" fillId="0" borderId="41" xfId="49" applyNumberFormat="1" applyFont="1" applyBorder="1" applyAlignment="1" applyProtection="1">
      <alignment/>
      <protection/>
    </xf>
    <xf numFmtId="164" fontId="2" fillId="0" borderId="32" xfId="44" applyNumberFormat="1" applyFont="1" applyBorder="1" applyAlignment="1" applyProtection="1">
      <alignment/>
      <protection/>
    </xf>
    <xf numFmtId="164" fontId="2" fillId="0" borderId="32" xfId="44" applyNumberFormat="1" applyFont="1" applyFill="1" applyBorder="1" applyAlignment="1" applyProtection="1">
      <alignment/>
      <protection/>
    </xf>
    <xf numFmtId="164" fontId="2" fillId="0" borderId="34" xfId="44" applyNumberFormat="1" applyFont="1" applyFill="1" applyBorder="1" applyAlignment="1" applyProtection="1">
      <alignment/>
      <protection/>
    </xf>
    <xf numFmtId="164" fontId="126" fillId="0" borderId="41" xfId="44" applyNumberFormat="1" applyFont="1" applyBorder="1" applyAlignment="1" applyProtection="1">
      <alignment/>
      <protection/>
    </xf>
    <xf numFmtId="164" fontId="2" fillId="0" borderId="0" xfId="44" applyNumberFormat="1" applyFont="1" applyBorder="1" applyAlignment="1" applyProtection="1">
      <alignment/>
      <protection/>
    </xf>
    <xf numFmtId="164" fontId="2" fillId="0" borderId="42" xfId="44" applyNumberFormat="1" applyFont="1" applyBorder="1" applyAlignment="1" applyProtection="1">
      <alignment/>
      <protection/>
    </xf>
    <xf numFmtId="164" fontId="2" fillId="40" borderId="0" xfId="44" applyNumberFormat="1" applyFont="1" applyFill="1" applyAlignment="1" applyProtection="1">
      <alignment/>
      <protection/>
    </xf>
    <xf numFmtId="164" fontId="2" fillId="40" borderId="39" xfId="44" applyNumberFormat="1" applyFont="1" applyFill="1" applyBorder="1" applyAlignment="1" applyProtection="1">
      <alignment/>
      <protection/>
    </xf>
    <xf numFmtId="44" fontId="4" fillId="0" borderId="43" xfId="49" applyFont="1" applyBorder="1" applyAlignment="1" applyProtection="1">
      <alignment/>
      <protection/>
    </xf>
    <xf numFmtId="0" fontId="4" fillId="0" borderId="32" xfId="0" applyFont="1" applyBorder="1" applyAlignment="1" applyProtection="1">
      <alignment/>
      <protection/>
    </xf>
    <xf numFmtId="44" fontId="2" fillId="0" borderId="39" xfId="49" applyFont="1" applyBorder="1" applyAlignment="1" applyProtection="1">
      <alignment/>
      <protection/>
    </xf>
    <xf numFmtId="0" fontId="21" fillId="0" borderId="0" xfId="0" applyFont="1" applyAlignment="1" applyProtection="1" quotePrefix="1">
      <alignment/>
      <protection/>
    </xf>
    <xf numFmtId="44" fontId="2" fillId="0" borderId="41" xfId="49" applyFont="1" applyBorder="1" applyAlignment="1" applyProtection="1">
      <alignment/>
      <protection/>
    </xf>
    <xf numFmtId="44" fontId="4" fillId="0" borderId="44" xfId="49" applyFont="1" applyBorder="1" applyAlignment="1" applyProtection="1">
      <alignment/>
      <protection/>
    </xf>
    <xf numFmtId="44" fontId="4" fillId="0" borderId="0" xfId="49" applyFont="1" applyBorder="1" applyAlignment="1" applyProtection="1">
      <alignment/>
      <protection/>
    </xf>
    <xf numFmtId="44" fontId="4" fillId="0" borderId="39" xfId="49" applyFont="1" applyBorder="1" applyAlignment="1" applyProtection="1">
      <alignment/>
      <protection/>
    </xf>
    <xf numFmtId="0" fontId="2" fillId="0" borderId="0" xfId="0" applyFont="1" applyAlignment="1" applyProtection="1">
      <alignment wrapText="1"/>
      <protection/>
    </xf>
    <xf numFmtId="44" fontId="2" fillId="0" borderId="41" xfId="49" applyNumberFormat="1" applyFont="1" applyBorder="1" applyAlignment="1" applyProtection="1">
      <alignment/>
      <protection/>
    </xf>
    <xf numFmtId="44" fontId="4" fillId="0" borderId="35" xfId="49" applyFont="1" applyBorder="1" applyAlignment="1" applyProtection="1">
      <alignment horizontal="right"/>
      <protection/>
    </xf>
    <xf numFmtId="44" fontId="4" fillId="0" borderId="45" xfId="49" applyFont="1" applyBorder="1" applyAlignment="1" applyProtection="1">
      <alignment/>
      <protection/>
    </xf>
    <xf numFmtId="165" fontId="2" fillId="0" borderId="0" xfId="74" applyNumberFormat="1" applyFont="1" applyAlignment="1" applyProtection="1">
      <alignment/>
      <protection/>
    </xf>
    <xf numFmtId="44" fontId="4" fillId="0" borderId="0" xfId="49" applyFont="1" applyBorder="1" applyAlignment="1" applyProtection="1">
      <alignment horizontal="right"/>
      <protection/>
    </xf>
    <xf numFmtId="44" fontId="4" fillId="0" borderId="46" xfId="49" applyFont="1" applyBorder="1" applyAlignment="1" applyProtection="1">
      <alignment/>
      <protection/>
    </xf>
    <xf numFmtId="44" fontId="4" fillId="0" borderId="45" xfId="0" applyNumberFormat="1" applyFont="1" applyBorder="1" applyAlignment="1" applyProtection="1">
      <alignment/>
      <protection/>
    </xf>
    <xf numFmtId="44" fontId="4" fillId="0" borderId="0" xfId="0" applyNumberFormat="1" applyFont="1" applyBorder="1" applyAlignment="1" applyProtection="1">
      <alignment/>
      <protection/>
    </xf>
    <xf numFmtId="7" fontId="4" fillId="0" borderId="0" xfId="0" applyNumberFormat="1" applyFont="1" applyBorder="1" applyAlignment="1" applyProtection="1">
      <alignment/>
      <protection/>
    </xf>
    <xf numFmtId="7" fontId="4" fillId="0" borderId="0" xfId="0" applyNumberFormat="1" applyFont="1" applyBorder="1" applyAlignment="1" applyProtection="1">
      <alignment horizontal="right"/>
      <protection/>
    </xf>
    <xf numFmtId="43" fontId="4" fillId="0" borderId="35" xfId="44" applyFont="1" applyBorder="1" applyAlignment="1" applyProtection="1">
      <alignment/>
      <protection/>
    </xf>
    <xf numFmtId="43" fontId="4" fillId="0" borderId="45" xfId="44" applyFont="1" applyBorder="1" applyAlignment="1" applyProtection="1">
      <alignment/>
      <protection/>
    </xf>
    <xf numFmtId="43" fontId="4" fillId="0" borderId="45" xfId="0" applyNumberFormat="1" applyFont="1" applyBorder="1" applyAlignment="1" applyProtection="1">
      <alignment horizontal="right"/>
      <protection/>
    </xf>
    <xf numFmtId="43" fontId="4"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64" fontId="4" fillId="0" borderId="35" xfId="44" applyNumberFormat="1" applyFont="1" applyBorder="1" applyAlignment="1" applyProtection="1">
      <alignment/>
      <protection/>
    </xf>
    <xf numFmtId="164" fontId="4" fillId="0" borderId="45" xfId="0" applyNumberFormat="1" applyFont="1" applyBorder="1" applyAlignment="1" applyProtection="1">
      <alignment horizontal="right"/>
      <protection/>
    </xf>
    <xf numFmtId="0" fontId="23" fillId="0" borderId="0" xfId="0" applyFont="1" applyAlignment="1" applyProtection="1">
      <alignment/>
      <protection/>
    </xf>
    <xf numFmtId="0" fontId="24" fillId="0" borderId="0" xfId="0" applyFont="1" applyAlignment="1" applyProtection="1">
      <alignment/>
      <protection/>
    </xf>
    <xf numFmtId="7" fontId="13" fillId="0" borderId="0" xfId="0" applyNumberFormat="1" applyFont="1" applyBorder="1" applyAlignment="1" applyProtection="1">
      <alignment/>
      <protection/>
    </xf>
    <xf numFmtId="43" fontId="13" fillId="0" borderId="0" xfId="44" applyFont="1" applyBorder="1" applyAlignment="1" applyProtection="1">
      <alignment/>
      <protection/>
    </xf>
    <xf numFmtId="43" fontId="13" fillId="0" borderId="0" xfId="44" applyNumberFormat="1" applyFont="1" applyFill="1" applyBorder="1" applyAlignment="1" applyProtection="1">
      <alignment/>
      <protection/>
    </xf>
    <xf numFmtId="43" fontId="2" fillId="0" borderId="0" xfId="74" applyNumberFormat="1" applyFont="1" applyAlignment="1" applyProtection="1">
      <alignment/>
      <protection/>
    </xf>
    <xf numFmtId="43" fontId="13" fillId="0" borderId="0" xfId="0" applyNumberFormat="1" applyFont="1" applyBorder="1" applyAlignment="1" applyProtection="1">
      <alignment/>
      <protection/>
    </xf>
    <xf numFmtId="44" fontId="13" fillId="0" borderId="0" xfId="49" applyFont="1" applyBorder="1" applyAlignment="1" applyProtection="1">
      <alignment/>
      <protection/>
    </xf>
    <xf numFmtId="44" fontId="16" fillId="0" borderId="0" xfId="49" applyFont="1" applyBorder="1" applyAlignment="1" applyProtection="1">
      <alignment/>
      <protection/>
    </xf>
    <xf numFmtId="0" fontId="14" fillId="0" borderId="0" xfId="0" applyFont="1" applyAlignment="1" applyProtection="1">
      <alignment/>
      <protection/>
    </xf>
    <xf numFmtId="44" fontId="4" fillId="0" borderId="0" xfId="0" applyNumberFormat="1" applyFont="1" applyAlignment="1" applyProtection="1">
      <alignment/>
      <protection/>
    </xf>
    <xf numFmtId="166" fontId="2" fillId="0" borderId="47" xfId="49" applyNumberFormat="1" applyFont="1" applyBorder="1" applyAlignment="1" applyProtection="1">
      <alignment/>
      <protection/>
    </xf>
    <xf numFmtId="166" fontId="4" fillId="0" borderId="0" xfId="49" applyNumberFormat="1" applyFont="1" applyBorder="1" applyAlignment="1" applyProtection="1">
      <alignment/>
      <protection/>
    </xf>
    <xf numFmtId="164" fontId="2" fillId="0" borderId="47" xfId="44" applyNumberFormat="1" applyFont="1" applyFill="1" applyBorder="1" applyAlignment="1" applyProtection="1">
      <alignment/>
      <protection/>
    </xf>
    <xf numFmtId="9" fontId="2" fillId="0" borderId="0" xfId="75" applyFont="1" applyAlignment="1" applyProtection="1">
      <alignment/>
      <protection/>
    </xf>
    <xf numFmtId="44" fontId="4" fillId="0" borderId="48" xfId="49" applyFont="1" applyBorder="1" applyAlignment="1" applyProtection="1">
      <alignment/>
      <protection/>
    </xf>
    <xf numFmtId="164" fontId="4" fillId="0" borderId="45" xfId="44" applyNumberFormat="1" applyFont="1" applyBorder="1" applyAlignment="1" applyProtection="1">
      <alignment/>
      <protection/>
    </xf>
    <xf numFmtId="169" fontId="0" fillId="0" borderId="0" xfId="0" applyNumberFormat="1" applyAlignment="1">
      <alignment/>
    </xf>
    <xf numFmtId="169" fontId="26" fillId="41" borderId="21" xfId="0" applyNumberFormat="1" applyFont="1" applyFill="1" applyBorder="1" applyAlignment="1">
      <alignment/>
    </xf>
    <xf numFmtId="169" fontId="26" fillId="41" borderId="22" xfId="0" applyNumberFormat="1" applyFont="1" applyFill="1" applyBorder="1" applyAlignment="1">
      <alignment/>
    </xf>
    <xf numFmtId="169" fontId="26" fillId="41" borderId="49" xfId="0" applyNumberFormat="1" applyFont="1" applyFill="1" applyBorder="1" applyAlignment="1">
      <alignment/>
    </xf>
    <xf numFmtId="169" fontId="26" fillId="0" borderId="0" xfId="0" applyNumberFormat="1" applyFont="1" applyAlignment="1">
      <alignment/>
    </xf>
    <xf numFmtId="164" fontId="26" fillId="0" borderId="0" xfId="42" applyNumberFormat="1" applyFont="1" applyAlignment="1">
      <alignment/>
    </xf>
    <xf numFmtId="169" fontId="26" fillId="41" borderId="50" xfId="0" applyNumberFormat="1" applyFont="1" applyFill="1" applyBorder="1" applyAlignment="1">
      <alignment horizontal="center"/>
    </xf>
    <xf numFmtId="169" fontId="26" fillId="41" borderId="51" xfId="0" applyNumberFormat="1" applyFont="1" applyFill="1" applyBorder="1" applyAlignment="1">
      <alignment horizontal="center"/>
    </xf>
    <xf numFmtId="44" fontId="26" fillId="41" borderId="51" xfId="47" applyFont="1" applyFill="1" applyBorder="1" applyAlignment="1">
      <alignment horizontal="center"/>
    </xf>
    <xf numFmtId="169" fontId="27" fillId="0" borderId="0" xfId="0" applyNumberFormat="1" applyFont="1" applyAlignment="1">
      <alignment horizontal="center"/>
    </xf>
    <xf numFmtId="169" fontId="3" fillId="0" borderId="21" xfId="0" applyNumberFormat="1" applyFont="1" applyBorder="1" applyAlignment="1">
      <alignment/>
    </xf>
    <xf numFmtId="169" fontId="3" fillId="0" borderId="22" xfId="0" applyNumberFormat="1" applyFont="1" applyBorder="1" applyAlignment="1">
      <alignment/>
    </xf>
    <xf numFmtId="169" fontId="3" fillId="0" borderId="49" xfId="0" applyNumberFormat="1" applyFont="1" applyBorder="1" applyAlignment="1">
      <alignment/>
    </xf>
    <xf numFmtId="169" fontId="3" fillId="0" borderId="38" xfId="0" applyNumberFormat="1" applyFont="1" applyBorder="1" applyAlignment="1">
      <alignment/>
    </xf>
    <xf numFmtId="44" fontId="3" fillId="0" borderId="38" xfId="47" applyFont="1" applyBorder="1" applyAlignment="1">
      <alignment/>
    </xf>
    <xf numFmtId="10" fontId="3" fillId="0" borderId="38" xfId="74" applyNumberFormat="1" applyFont="1" applyBorder="1" applyAlignment="1">
      <alignment/>
    </xf>
    <xf numFmtId="169" fontId="3" fillId="0" borderId="0" xfId="0" applyNumberFormat="1" applyFont="1" applyAlignment="1">
      <alignment/>
    </xf>
    <xf numFmtId="164" fontId="3" fillId="0" borderId="0" xfId="42" applyNumberFormat="1" applyFont="1" applyAlignment="1">
      <alignment/>
    </xf>
    <xf numFmtId="169" fontId="26" fillId="0" borderId="23" xfId="0" applyNumberFormat="1" applyFont="1" applyBorder="1" applyAlignment="1">
      <alignment/>
    </xf>
    <xf numFmtId="169" fontId="3" fillId="0" borderId="0" xfId="0" applyNumberFormat="1" applyFont="1" applyBorder="1" applyAlignment="1">
      <alignment/>
    </xf>
    <xf numFmtId="169" fontId="3" fillId="0" borderId="24" xfId="0" applyNumberFormat="1" applyFont="1" applyBorder="1" applyAlignment="1">
      <alignment/>
    </xf>
    <xf numFmtId="169" fontId="3" fillId="42" borderId="39" xfId="0" applyNumberFormat="1" applyFont="1" applyFill="1" applyBorder="1" applyAlignment="1">
      <alignment/>
    </xf>
    <xf numFmtId="44" fontId="28" fillId="0" borderId="39" xfId="47" applyFont="1" applyBorder="1" applyAlignment="1">
      <alignment/>
    </xf>
    <xf numFmtId="10" fontId="3" fillId="0" borderId="39" xfId="74" applyNumberFormat="1" applyFont="1" applyBorder="1" applyAlignment="1">
      <alignment/>
    </xf>
    <xf numFmtId="44" fontId="3" fillId="42" borderId="39" xfId="47" applyFont="1" applyFill="1" applyBorder="1" applyAlignment="1">
      <alignment/>
    </xf>
    <xf numFmtId="7" fontId="28" fillId="0" borderId="39" xfId="47" applyNumberFormat="1" applyFont="1" applyBorder="1" applyAlignment="1">
      <alignment/>
    </xf>
    <xf numFmtId="165" fontId="3" fillId="0" borderId="0" xfId="74" applyNumberFormat="1" applyFont="1" applyAlignment="1">
      <alignment/>
    </xf>
    <xf numFmtId="178" fontId="3" fillId="0" borderId="0" xfId="0" applyNumberFormat="1" applyFont="1" applyAlignment="1">
      <alignment/>
    </xf>
    <xf numFmtId="44" fontId="3" fillId="0" borderId="39" xfId="47" applyFont="1" applyBorder="1" applyAlignment="1">
      <alignment/>
    </xf>
    <xf numFmtId="165" fontId="29" fillId="0" borderId="0" xfId="74" applyNumberFormat="1" applyFont="1" applyAlignment="1">
      <alignment/>
    </xf>
    <xf numFmtId="169" fontId="27" fillId="0" borderId="23" xfId="0" applyNumberFormat="1" applyFont="1" applyBorder="1" applyAlignment="1">
      <alignment/>
    </xf>
    <xf numFmtId="169" fontId="3" fillId="0" borderId="39" xfId="0" applyNumberFormat="1" applyFont="1" applyBorder="1" applyAlignment="1">
      <alignment/>
    </xf>
    <xf numFmtId="44" fontId="30" fillId="0" borderId="39" xfId="47" applyFont="1" applyBorder="1" applyAlignment="1">
      <alignment/>
    </xf>
    <xf numFmtId="165" fontId="31" fillId="0" borderId="0" xfId="74" applyNumberFormat="1" applyFont="1" applyAlignment="1">
      <alignment/>
    </xf>
    <xf numFmtId="10" fontId="3" fillId="0" borderId="0" xfId="74" applyNumberFormat="1" applyFont="1" applyAlignment="1">
      <alignment/>
    </xf>
    <xf numFmtId="169" fontId="3" fillId="0" borderId="23" xfId="0" applyNumberFormat="1" applyFont="1" applyBorder="1" applyAlignment="1">
      <alignment/>
    </xf>
    <xf numFmtId="169" fontId="3" fillId="0" borderId="24" xfId="0" applyNumberFormat="1" applyFont="1" applyBorder="1" applyAlignment="1">
      <alignment horizontal="right"/>
    </xf>
    <xf numFmtId="44" fontId="32" fillId="0" borderId="39" xfId="47" applyFont="1" applyBorder="1" applyAlignment="1">
      <alignment/>
    </xf>
    <xf numFmtId="44" fontId="33" fillId="0" borderId="39" xfId="47" applyFont="1" applyBorder="1" applyAlignment="1">
      <alignment/>
    </xf>
    <xf numFmtId="44" fontId="3" fillId="0" borderId="39" xfId="47" applyFont="1" applyFill="1" applyBorder="1" applyAlignment="1">
      <alignment/>
    </xf>
    <xf numFmtId="44" fontId="3" fillId="42" borderId="39" xfId="47" applyNumberFormat="1" applyFont="1" applyFill="1" applyBorder="1" applyAlignment="1">
      <alignment/>
    </xf>
    <xf numFmtId="44" fontId="3" fillId="0" borderId="0" xfId="47" applyFont="1" applyBorder="1" applyAlignment="1">
      <alignment/>
    </xf>
    <xf numFmtId="169" fontId="3" fillId="0" borderId="25" xfId="0" applyNumberFormat="1" applyFont="1" applyBorder="1" applyAlignment="1">
      <alignment/>
    </xf>
    <xf numFmtId="169" fontId="3" fillId="0" borderId="9" xfId="0" applyNumberFormat="1" applyFont="1" applyBorder="1" applyAlignment="1">
      <alignment/>
    </xf>
    <xf numFmtId="169" fontId="3" fillId="0" borderId="50" xfId="0" applyNumberFormat="1" applyFont="1" applyBorder="1" applyAlignment="1">
      <alignment/>
    </xf>
    <xf numFmtId="169" fontId="3" fillId="0" borderId="42" xfId="0" applyNumberFormat="1" applyFont="1" applyBorder="1" applyAlignment="1">
      <alignment/>
    </xf>
    <xf numFmtId="44" fontId="30" fillId="0" borderId="42" xfId="47" applyFont="1" applyBorder="1" applyAlignment="1">
      <alignment/>
    </xf>
    <xf numFmtId="44" fontId="3" fillId="0" borderId="42" xfId="47" applyFont="1" applyBorder="1" applyAlignment="1">
      <alignment/>
    </xf>
    <xf numFmtId="10" fontId="3" fillId="0" borderId="42" xfId="74" applyNumberFormat="1" applyFont="1" applyBorder="1" applyAlignment="1">
      <alignment/>
    </xf>
    <xf numFmtId="44" fontId="3" fillId="0" borderId="0" xfId="47" applyFont="1" applyAlignment="1">
      <alignment/>
    </xf>
    <xf numFmtId="169" fontId="34" fillId="0" borderId="0" xfId="0" applyNumberFormat="1" applyFont="1" applyAlignment="1">
      <alignment/>
    </xf>
    <xf numFmtId="166" fontId="3" fillId="0" borderId="0" xfId="47" applyNumberFormat="1" applyFont="1" applyAlignment="1">
      <alignment/>
    </xf>
    <xf numFmtId="164" fontId="127" fillId="0" borderId="0" xfId="42" applyNumberFormat="1" applyFont="1" applyAlignment="1">
      <alignment/>
    </xf>
    <xf numFmtId="164" fontId="2" fillId="0" borderId="0" xfId="42" applyNumberFormat="1" applyFont="1" applyAlignment="1" applyProtection="1">
      <alignment/>
      <protection/>
    </xf>
    <xf numFmtId="164" fontId="126" fillId="0" borderId="0" xfId="42" applyNumberFormat="1" applyFont="1" applyAlignment="1">
      <alignment/>
    </xf>
    <xf numFmtId="164" fontId="128" fillId="0" borderId="0" xfId="42" applyNumberFormat="1" applyFont="1" applyAlignment="1">
      <alignment horizontal="center"/>
    </xf>
    <xf numFmtId="0" fontId="111" fillId="0" borderId="0" xfId="0" applyFont="1" applyAlignment="1">
      <alignment horizontal="center"/>
    </xf>
    <xf numFmtId="164" fontId="75" fillId="0" borderId="0" xfId="44" applyNumberFormat="1" applyFont="1" applyAlignment="1">
      <alignment/>
    </xf>
    <xf numFmtId="14" fontId="111" fillId="0" borderId="0" xfId="0" applyNumberFormat="1" applyFont="1" applyAlignment="1">
      <alignment horizontal="center"/>
    </xf>
    <xf numFmtId="10" fontId="2" fillId="0" borderId="0" xfId="74" applyNumberFormat="1" applyFont="1" applyBorder="1" applyAlignment="1">
      <alignment horizontal="right"/>
    </xf>
    <xf numFmtId="10" fontId="35" fillId="0" borderId="0" xfId="74" applyNumberFormat="1" applyFont="1" applyBorder="1" applyAlignment="1">
      <alignment horizontal="right"/>
    </xf>
    <xf numFmtId="10" fontId="13" fillId="0" borderId="0" xfId="74" applyNumberFormat="1" applyFont="1" applyBorder="1" applyAlignment="1">
      <alignment/>
    </xf>
    <xf numFmtId="10" fontId="0" fillId="0" borderId="0" xfId="74" applyNumberFormat="1" applyFont="1" applyAlignment="1">
      <alignment/>
    </xf>
    <xf numFmtId="10" fontId="123" fillId="0" borderId="0" xfId="74" applyNumberFormat="1" applyFont="1" applyAlignment="1">
      <alignment/>
    </xf>
    <xf numFmtId="10" fontId="118" fillId="0" borderId="0" xfId="0" applyNumberFormat="1" applyFont="1" applyAlignment="1">
      <alignment/>
    </xf>
    <xf numFmtId="165" fontId="118" fillId="0" borderId="0" xfId="74" applyNumberFormat="1" applyFont="1" applyAlignment="1">
      <alignment/>
    </xf>
    <xf numFmtId="165" fontId="109" fillId="0" borderId="0" xfId="74" applyNumberFormat="1" applyFont="1" applyAlignment="1">
      <alignment/>
    </xf>
    <xf numFmtId="0" fontId="111" fillId="0" borderId="0" xfId="0" applyFont="1" applyAlignment="1">
      <alignment horizontal="center"/>
    </xf>
    <xf numFmtId="43" fontId="75" fillId="0" borderId="0" xfId="0" applyNumberFormat="1" applyFont="1" applyAlignment="1">
      <alignment/>
    </xf>
    <xf numFmtId="43" fontId="75" fillId="0" borderId="0" xfId="0" applyNumberFormat="1" applyFont="1" applyFill="1" applyAlignment="1">
      <alignment/>
    </xf>
    <xf numFmtId="10" fontId="22" fillId="0" borderId="0" xfId="0" applyNumberFormat="1" applyFont="1" applyBorder="1" applyAlignment="1" applyProtection="1">
      <alignment/>
      <protection/>
    </xf>
    <xf numFmtId="44" fontId="2" fillId="0" borderId="0" xfId="47" applyFont="1" applyAlignment="1" applyProtection="1">
      <alignment/>
      <protection/>
    </xf>
    <xf numFmtId="166" fontId="113" fillId="0" borderId="0" xfId="0" applyNumberFormat="1" applyFont="1" applyAlignment="1">
      <alignment/>
    </xf>
    <xf numFmtId="166" fontId="129" fillId="0" borderId="0" xfId="0" applyNumberFormat="1" applyFont="1" applyAlignment="1">
      <alignment/>
    </xf>
    <xf numFmtId="164" fontId="0" fillId="0" borderId="0" xfId="42" applyNumberFormat="1" applyFont="1" applyAlignment="1">
      <alignment/>
    </xf>
    <xf numFmtId="164" fontId="109" fillId="0" borderId="0" xfId="42" applyNumberFormat="1" applyFont="1" applyAlignment="1">
      <alignment/>
    </xf>
    <xf numFmtId="164" fontId="109" fillId="0" borderId="0" xfId="0" applyNumberFormat="1" applyFont="1" applyBorder="1" applyAlignment="1">
      <alignment horizontal="center"/>
    </xf>
    <xf numFmtId="3" fontId="111" fillId="0" borderId="0" xfId="0" applyNumberFormat="1" applyFont="1" applyAlignment="1">
      <alignment/>
    </xf>
    <xf numFmtId="3" fontId="123" fillId="0" borderId="0" xfId="0" applyNumberFormat="1" applyFont="1" applyAlignment="1">
      <alignment/>
    </xf>
    <xf numFmtId="164" fontId="107" fillId="0" borderId="0" xfId="42" applyNumberFormat="1" applyFont="1" applyAlignment="1">
      <alignment horizontal="center"/>
    </xf>
    <xf numFmtId="164" fontId="111" fillId="0" borderId="0" xfId="42" applyNumberFormat="1" applyFont="1" applyAlignment="1">
      <alignment horizontal="center"/>
    </xf>
    <xf numFmtId="165" fontId="0" fillId="0" borderId="0" xfId="74" applyNumberFormat="1" applyFont="1" applyAlignment="1">
      <alignment/>
    </xf>
    <xf numFmtId="0" fontId="116" fillId="0" borderId="0" xfId="0" applyFont="1" applyAlignment="1">
      <alignment horizontal="center"/>
    </xf>
    <xf numFmtId="3" fontId="118" fillId="0" borderId="0" xfId="0" applyNumberFormat="1" applyFont="1" applyAlignment="1">
      <alignment/>
    </xf>
    <xf numFmtId="0" fontId="111" fillId="0" borderId="0" xfId="0" applyFont="1" applyAlignment="1">
      <alignment/>
    </xf>
    <xf numFmtId="164" fontId="116" fillId="0" borderId="0" xfId="42" applyNumberFormat="1" applyFont="1" applyAlignment="1">
      <alignment/>
    </xf>
    <xf numFmtId="44" fontId="73" fillId="0" borderId="0" xfId="47" applyFont="1" applyAlignment="1">
      <alignment horizontal="center"/>
    </xf>
    <xf numFmtId="166" fontId="0" fillId="0" borderId="0" xfId="47" applyNumberFormat="1" applyFont="1" applyAlignment="1">
      <alignment/>
    </xf>
    <xf numFmtId="166" fontId="73" fillId="0" borderId="0" xfId="0" applyNumberFormat="1" applyFont="1" applyAlignment="1">
      <alignment/>
    </xf>
    <xf numFmtId="166" fontId="69" fillId="0" borderId="0" xfId="0" applyNumberFormat="1" applyFont="1" applyAlignment="1">
      <alignment/>
    </xf>
    <xf numFmtId="0" fontId="111" fillId="0" borderId="0" xfId="0" applyFont="1" applyAlignment="1" quotePrefix="1">
      <alignment horizontal="center"/>
    </xf>
    <xf numFmtId="164" fontId="111" fillId="0" borderId="0" xfId="42" applyNumberFormat="1" applyFont="1" applyAlignment="1" quotePrefix="1">
      <alignment horizontal="center"/>
    </xf>
    <xf numFmtId="164" fontId="111" fillId="0" borderId="0" xfId="42" applyNumberFormat="1" applyFont="1" applyAlignment="1">
      <alignment/>
    </xf>
    <xf numFmtId="164" fontId="118" fillId="0" borderId="0" xfId="42" applyNumberFormat="1" applyFont="1" applyAlignment="1">
      <alignment/>
    </xf>
    <xf numFmtId="0" fontId="63" fillId="0" borderId="0" xfId="0" applyFont="1" applyAlignment="1">
      <alignment/>
    </xf>
    <xf numFmtId="165" fontId="110" fillId="0" borderId="0" xfId="74" applyNumberFormat="1" applyFont="1" applyAlignment="1">
      <alignment/>
    </xf>
    <xf numFmtId="165" fontId="111" fillId="0" borderId="0" xfId="0" applyNumberFormat="1" applyFont="1" applyAlignment="1">
      <alignment/>
    </xf>
    <xf numFmtId="164" fontId="0" fillId="0" borderId="0" xfId="42" applyNumberFormat="1" applyFont="1" applyBorder="1" applyAlignment="1">
      <alignment/>
    </xf>
    <xf numFmtId="3" fontId="0" fillId="0" borderId="0" xfId="0" applyNumberFormat="1" applyBorder="1" applyAlignment="1">
      <alignment/>
    </xf>
    <xf numFmtId="164" fontId="0" fillId="0" borderId="0" xfId="0" applyNumberFormat="1" applyBorder="1" applyAlignment="1">
      <alignment/>
    </xf>
    <xf numFmtId="164" fontId="110" fillId="0" borderId="0" xfId="42" applyNumberFormat="1" applyFont="1" applyBorder="1" applyAlignment="1">
      <alignment/>
    </xf>
    <xf numFmtId="3" fontId="123" fillId="0" borderId="0" xfId="0" applyNumberFormat="1" applyFont="1" applyBorder="1" applyAlignment="1">
      <alignment/>
    </xf>
    <xf numFmtId="164" fontId="110" fillId="0" borderId="0" xfId="0" applyNumberFormat="1" applyFont="1" applyBorder="1" applyAlignment="1">
      <alignment/>
    </xf>
    <xf numFmtId="0" fontId="80" fillId="0" borderId="0" xfId="0" applyFont="1" applyBorder="1" applyAlignment="1">
      <alignment horizontal="left"/>
    </xf>
    <xf numFmtId="3" fontId="107" fillId="0" borderId="0" xfId="0" applyNumberFormat="1" applyFont="1" applyBorder="1" applyAlignment="1">
      <alignment/>
    </xf>
    <xf numFmtId="0" fontId="123" fillId="0" borderId="0" xfId="0" applyFont="1" applyBorder="1" applyAlignment="1">
      <alignment/>
    </xf>
    <xf numFmtId="3" fontId="111" fillId="0" borderId="0" xfId="0" applyNumberFormat="1" applyFont="1" applyBorder="1" applyAlignment="1">
      <alignment/>
    </xf>
    <xf numFmtId="164" fontId="111" fillId="0" borderId="0" xfId="42" applyNumberFormat="1" applyFont="1" applyBorder="1" applyAlignment="1">
      <alignment/>
    </xf>
    <xf numFmtId="3" fontId="118" fillId="0" borderId="0" xfId="0" applyNumberFormat="1" applyFont="1" applyBorder="1" applyAlignment="1">
      <alignment/>
    </xf>
    <xf numFmtId="164" fontId="118" fillId="0" borderId="0" xfId="42" applyNumberFormat="1" applyFont="1" applyBorder="1" applyAlignment="1">
      <alignment/>
    </xf>
    <xf numFmtId="0" fontId="130" fillId="0" borderId="0" xfId="0" applyFont="1" applyAlignment="1">
      <alignment/>
    </xf>
    <xf numFmtId="0" fontId="0" fillId="0" borderId="0" xfId="0" applyAlignment="1">
      <alignment vertical="center"/>
    </xf>
    <xf numFmtId="0" fontId="107" fillId="0" borderId="0" xfId="0" applyFont="1" applyAlignment="1">
      <alignment vertical="center"/>
    </xf>
    <xf numFmtId="0" fontId="131" fillId="0" borderId="0" xfId="0" applyFont="1" applyAlignment="1">
      <alignment horizontal="left" vertical="center" indent="5"/>
    </xf>
    <xf numFmtId="0" fontId="111" fillId="0" borderId="0" xfId="0" applyFont="1" applyAlignment="1">
      <alignment horizontal="center"/>
    </xf>
    <xf numFmtId="166" fontId="132" fillId="0" borderId="0" xfId="0" applyNumberFormat="1" applyFont="1" applyAlignment="1">
      <alignment/>
    </xf>
    <xf numFmtId="0" fontId="0" fillId="13" borderId="0" xfId="0" applyFill="1" applyBorder="1" applyAlignment="1">
      <alignment horizontal="right" wrapText="1"/>
    </xf>
    <xf numFmtId="166" fontId="0" fillId="13" borderId="0" xfId="47" applyNumberFormat="1" applyFont="1" applyFill="1" applyBorder="1" applyAlignment="1">
      <alignment/>
    </xf>
    <xf numFmtId="166" fontId="0" fillId="13" borderId="24" xfId="47" applyNumberFormat="1" applyFont="1" applyFill="1" applyBorder="1" applyAlignment="1">
      <alignment/>
    </xf>
    <xf numFmtId="166" fontId="110" fillId="13" borderId="24" xfId="47" applyNumberFormat="1" applyFont="1" applyFill="1" applyBorder="1" applyAlignment="1">
      <alignment/>
    </xf>
    <xf numFmtId="0" fontId="111" fillId="13" borderId="0" xfId="0" applyFont="1" applyFill="1" applyBorder="1" applyAlignment="1">
      <alignment/>
    </xf>
    <xf numFmtId="0" fontId="111" fillId="13" borderId="24" xfId="0" applyFont="1" applyFill="1" applyBorder="1" applyAlignment="1">
      <alignment horizontal="center"/>
    </xf>
    <xf numFmtId="166" fontId="109" fillId="13" borderId="24" xfId="47" applyNumberFormat="1" applyFont="1" applyFill="1" applyBorder="1" applyAlignment="1">
      <alignment/>
    </xf>
    <xf numFmtId="166" fontId="75" fillId="0" borderId="0" xfId="47" applyNumberFormat="1" applyFont="1" applyAlignment="1">
      <alignment horizontal="right"/>
    </xf>
    <xf numFmtId="166" fontId="133" fillId="0" borderId="0" xfId="47" applyNumberFormat="1" applyFont="1" applyAlignment="1">
      <alignment horizontal="right"/>
    </xf>
    <xf numFmtId="166" fontId="134" fillId="0" borderId="0" xfId="0" applyNumberFormat="1" applyFont="1" applyAlignment="1">
      <alignment/>
    </xf>
    <xf numFmtId="165" fontId="113" fillId="0" borderId="0" xfId="74" applyNumberFormat="1" applyFont="1" applyAlignment="1">
      <alignment horizontal="center" wrapText="1"/>
    </xf>
    <xf numFmtId="0" fontId="107" fillId="0" borderId="0" xfId="0" applyFont="1" applyBorder="1" applyAlignment="1">
      <alignment wrapText="1"/>
    </xf>
    <xf numFmtId="166" fontId="107" fillId="0" borderId="0" xfId="47" applyNumberFormat="1" applyFont="1" applyAlignment="1">
      <alignment horizontal="right"/>
    </xf>
    <xf numFmtId="0" fontId="111" fillId="0" borderId="0" xfId="0" applyFont="1" applyAlignment="1">
      <alignment horizontal="center"/>
    </xf>
    <xf numFmtId="165" fontId="87" fillId="0" borderId="0" xfId="74" applyNumberFormat="1" applyFont="1" applyAlignment="1">
      <alignment horizontal="center"/>
    </xf>
    <xf numFmtId="0" fontId="135" fillId="0" borderId="0" xfId="0" applyFont="1" applyFill="1" applyAlignment="1">
      <alignment/>
    </xf>
    <xf numFmtId="0" fontId="111" fillId="13" borderId="21" xfId="0" applyFont="1" applyFill="1" applyBorder="1" applyAlignment="1">
      <alignment wrapText="1"/>
    </xf>
    <xf numFmtId="0" fontId="111" fillId="13" borderId="22" xfId="0" applyFont="1" applyFill="1" applyBorder="1" applyAlignment="1">
      <alignment horizontal="center" wrapText="1"/>
    </xf>
    <xf numFmtId="44" fontId="111" fillId="13" borderId="22" xfId="47" applyFont="1" applyFill="1" applyBorder="1" applyAlignment="1">
      <alignment horizontal="center" wrapText="1"/>
    </xf>
    <xf numFmtId="0" fontId="111" fillId="13" borderId="49" xfId="0" applyFont="1" applyFill="1" applyBorder="1" applyAlignment="1">
      <alignment horizontal="center" wrapText="1"/>
    </xf>
    <xf numFmtId="0" fontId="69" fillId="13" borderId="25" xfId="0" applyFont="1" applyFill="1" applyBorder="1" applyAlignment="1">
      <alignment wrapText="1"/>
    </xf>
    <xf numFmtId="164" fontId="76" fillId="13" borderId="9" xfId="42" applyNumberFormat="1" applyFont="1" applyFill="1" applyBorder="1" applyAlignment="1">
      <alignment horizontal="center" wrapText="1"/>
    </xf>
    <xf numFmtId="44" fontId="69" fillId="13" borderId="9" xfId="47" applyFont="1" applyFill="1" applyBorder="1" applyAlignment="1">
      <alignment horizontal="center" wrapText="1"/>
    </xf>
    <xf numFmtId="166" fontId="76" fillId="13" borderId="50" xfId="47" applyNumberFormat="1" applyFont="1" applyFill="1" applyBorder="1" applyAlignment="1">
      <alignment horizontal="center" wrapText="1"/>
    </xf>
    <xf numFmtId="0" fontId="0" fillId="13" borderId="22" xfId="0" applyFill="1" applyBorder="1" applyAlignment="1">
      <alignment wrapText="1"/>
    </xf>
    <xf numFmtId="0" fontId="0" fillId="13" borderId="9" xfId="0" applyFill="1" applyBorder="1" applyAlignment="1">
      <alignment wrapText="1"/>
    </xf>
    <xf numFmtId="0" fontId="0" fillId="13" borderId="49" xfId="0" applyFill="1" applyBorder="1" applyAlignment="1">
      <alignment horizontal="right" wrapText="1"/>
    </xf>
    <xf numFmtId="0" fontId="0" fillId="13" borderId="50" xfId="0" applyFill="1" applyBorder="1" applyAlignment="1">
      <alignment horizontal="right" wrapText="1"/>
    </xf>
    <xf numFmtId="166" fontId="109" fillId="0" borderId="0" xfId="47" applyNumberFormat="1" applyFont="1" applyBorder="1" applyAlignment="1">
      <alignment horizontal="center"/>
    </xf>
    <xf numFmtId="0" fontId="120" fillId="0" borderId="0" xfId="0" applyFont="1" applyAlignment="1">
      <alignment/>
    </xf>
    <xf numFmtId="44" fontId="111" fillId="0" borderId="0" xfId="0" applyNumberFormat="1" applyFont="1" applyBorder="1" applyAlignment="1">
      <alignment horizontal="center"/>
    </xf>
    <xf numFmtId="0" fontId="0" fillId="0" borderId="0" xfId="0" applyFont="1" applyAlignment="1">
      <alignment/>
    </xf>
    <xf numFmtId="37" fontId="0" fillId="0" borderId="0" xfId="0" applyNumberFormat="1" applyAlignment="1">
      <alignment/>
    </xf>
    <xf numFmtId="37" fontId="118" fillId="0" borderId="0" xfId="0" applyNumberFormat="1" applyFont="1" applyAlignment="1">
      <alignment/>
    </xf>
    <xf numFmtId="9" fontId="115" fillId="0" borderId="0" xfId="74" applyFont="1" applyAlignment="1">
      <alignment/>
    </xf>
    <xf numFmtId="166" fontId="110" fillId="0" borderId="0" xfId="0" applyNumberFormat="1" applyFont="1" applyAlignment="1">
      <alignment/>
    </xf>
    <xf numFmtId="166" fontId="116" fillId="0" borderId="0" xfId="47" applyNumberFormat="1" applyFont="1" applyAlignment="1">
      <alignment/>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22" xfId="0" applyFont="1" applyBorder="1" applyAlignment="1" applyProtection="1">
      <alignment horizontal="center"/>
      <protection/>
    </xf>
    <xf numFmtId="0" fontId="2" fillId="0" borderId="49" xfId="0" applyFont="1" applyBorder="1" applyAlignment="1" applyProtection="1">
      <alignment/>
      <protection/>
    </xf>
    <xf numFmtId="0" fontId="4" fillId="0" borderId="23" xfId="0" applyFont="1" applyBorder="1" applyAlignment="1" applyProtection="1">
      <alignment/>
      <protection/>
    </xf>
    <xf numFmtId="39" fontId="11" fillId="0" borderId="24" xfId="0" applyNumberFormat="1" applyFont="1" applyBorder="1" applyAlignment="1" applyProtection="1">
      <alignment horizontal="center"/>
      <protection/>
    </xf>
    <xf numFmtId="0" fontId="4" fillId="0" borderId="23" xfId="0" applyFont="1" applyBorder="1" applyAlignment="1" applyProtection="1">
      <alignment horizontal="right"/>
      <protection/>
    </xf>
    <xf numFmtId="43" fontId="4" fillId="0" borderId="0" xfId="44" applyFont="1" applyBorder="1" applyAlignment="1" applyProtection="1">
      <alignment/>
      <protection/>
    </xf>
    <xf numFmtId="165" fontId="4" fillId="0" borderId="24" xfId="75" applyNumberFormat="1" applyFont="1" applyBorder="1" applyAlignment="1" applyProtection="1">
      <alignment horizontal="center"/>
      <protection/>
    </xf>
    <xf numFmtId="43" fontId="12" fillId="0" borderId="0" xfId="44" applyFont="1" applyBorder="1" applyAlignment="1" applyProtection="1">
      <alignment/>
      <protection/>
    </xf>
    <xf numFmtId="165" fontId="11" fillId="0" borderId="24" xfId="75" applyNumberFormat="1" applyFont="1" applyBorder="1" applyAlignment="1" applyProtection="1">
      <alignment horizontal="center"/>
      <protection/>
    </xf>
    <xf numFmtId="0" fontId="4" fillId="0" borderId="25" xfId="0" applyFont="1" applyBorder="1" applyAlignment="1" applyProtection="1">
      <alignment horizontal="right"/>
      <protection/>
    </xf>
    <xf numFmtId="0" fontId="2" fillId="0" borderId="9" xfId="0" applyFont="1" applyBorder="1" applyAlignment="1" applyProtection="1">
      <alignment/>
      <protection/>
    </xf>
    <xf numFmtId="43" fontId="16" fillId="0" borderId="9" xfId="44" applyFont="1" applyBorder="1" applyAlignment="1" applyProtection="1">
      <alignment/>
      <protection/>
    </xf>
    <xf numFmtId="165" fontId="13" fillId="0" borderId="50" xfId="75" applyNumberFormat="1" applyFont="1" applyBorder="1" applyAlignment="1" applyProtection="1">
      <alignment horizontal="center"/>
      <protection/>
    </xf>
    <xf numFmtId="10" fontId="0" fillId="0" borderId="0" xfId="74" applyNumberFormat="1" applyFont="1" applyAlignment="1">
      <alignment/>
    </xf>
    <xf numFmtId="165" fontId="4" fillId="0" borderId="0" xfId="75" applyNumberFormat="1" applyFont="1" applyAlignment="1" applyProtection="1">
      <alignment horizontal="center"/>
      <protection/>
    </xf>
    <xf numFmtId="0" fontId="111" fillId="0" borderId="0" xfId="0" applyFont="1" applyAlignment="1">
      <alignment horizontal="center"/>
    </xf>
    <xf numFmtId="44" fontId="4" fillId="0" borderId="44" xfId="49" applyNumberFormat="1" applyFont="1" applyBorder="1" applyAlignment="1" applyProtection="1">
      <alignment/>
      <protection/>
    </xf>
    <xf numFmtId="44" fontId="2" fillId="0" borderId="39" xfId="49" applyNumberFormat="1" applyFont="1" applyBorder="1" applyAlignment="1" applyProtection="1">
      <alignment/>
      <protection/>
    </xf>
    <xf numFmtId="44" fontId="107" fillId="13" borderId="51" xfId="47" applyFont="1" applyFill="1" applyBorder="1" applyAlignment="1">
      <alignment horizontal="center" wrapText="1"/>
    </xf>
    <xf numFmtId="5" fontId="21" fillId="0" borderId="0" xfId="0" applyNumberFormat="1" applyFont="1" applyAlignment="1" applyProtection="1">
      <alignment/>
      <protection/>
    </xf>
    <xf numFmtId="0" fontId="136" fillId="0" borderId="0" xfId="0" applyFont="1" applyAlignment="1">
      <alignment/>
    </xf>
    <xf numFmtId="44" fontId="0" fillId="13" borderId="0" xfId="47" applyFont="1" applyFill="1" applyBorder="1" applyAlignment="1">
      <alignment horizontal="center" wrapText="1"/>
    </xf>
    <xf numFmtId="169" fontId="25" fillId="0" borderId="0" xfId="0" applyNumberFormat="1" applyFont="1" applyAlignment="1">
      <alignment horizontal="center"/>
    </xf>
    <xf numFmtId="169" fontId="26" fillId="41" borderId="52" xfId="0" applyNumberFormat="1" applyFont="1" applyFill="1" applyBorder="1" applyAlignment="1">
      <alignment horizontal="center"/>
    </xf>
    <xf numFmtId="169" fontId="26" fillId="41" borderId="53" xfId="0" applyNumberFormat="1" applyFont="1" applyFill="1" applyBorder="1" applyAlignment="1">
      <alignment horizontal="center"/>
    </xf>
    <xf numFmtId="169" fontId="26" fillId="41" borderId="54" xfId="0" applyNumberFormat="1" applyFont="1" applyFill="1" applyBorder="1" applyAlignment="1">
      <alignment horizontal="center"/>
    </xf>
    <xf numFmtId="169" fontId="26" fillId="41" borderId="25" xfId="0" applyNumberFormat="1" applyFont="1" applyFill="1" applyBorder="1" applyAlignment="1">
      <alignment horizontal="center"/>
    </xf>
    <xf numFmtId="169" fontId="26" fillId="41" borderId="9" xfId="0" applyNumberFormat="1" applyFont="1" applyFill="1" applyBorder="1" applyAlignment="1">
      <alignment horizontal="center"/>
    </xf>
    <xf numFmtId="169" fontId="26" fillId="41" borderId="50" xfId="0" applyNumberFormat="1" applyFont="1" applyFill="1" applyBorder="1" applyAlignment="1">
      <alignment horizontal="center"/>
    </xf>
    <xf numFmtId="169" fontId="34" fillId="0" borderId="0" xfId="0" applyNumberFormat="1" applyFont="1" applyAlignment="1">
      <alignment vertical="top" wrapText="1"/>
    </xf>
    <xf numFmtId="0" fontId="107" fillId="0" borderId="0" xfId="0" applyFont="1" applyAlignment="1">
      <alignment vertical="top" wrapText="1"/>
    </xf>
    <xf numFmtId="0" fontId="9" fillId="0" borderId="0" xfId="0" applyFont="1" applyBorder="1" applyAlignment="1" applyProtection="1">
      <alignment horizontal="center"/>
      <protection/>
    </xf>
    <xf numFmtId="0" fontId="11" fillId="0" borderId="0" xfId="0" applyFont="1" applyBorder="1" applyAlignment="1" applyProtection="1">
      <alignment horizontal="center"/>
      <protection/>
    </xf>
    <xf numFmtId="3" fontId="111" fillId="0" borderId="0" xfId="0" applyNumberFormat="1" applyFont="1" applyAlignment="1">
      <alignment horizontal="center"/>
    </xf>
    <xf numFmtId="0" fontId="131" fillId="0" borderId="0" xfId="0" applyFont="1" applyAlignment="1">
      <alignment horizontal="left" vertical="top" wrapText="1"/>
    </xf>
    <xf numFmtId="0" fontId="0" fillId="0" borderId="0" xfId="0" applyAlignment="1">
      <alignment vertical="top" wrapText="1"/>
    </xf>
    <xf numFmtId="0" fontId="90" fillId="0" borderId="0" xfId="0" applyFont="1" applyAlignment="1">
      <alignment horizontal="center" wrapText="1"/>
    </xf>
    <xf numFmtId="0" fontId="137" fillId="0" borderId="0" xfId="0" applyFont="1" applyAlignment="1">
      <alignment horizontal="center"/>
    </xf>
    <xf numFmtId="0" fontId="111" fillId="0" borderId="0" xfId="0" applyFont="1" applyAlignment="1">
      <alignment horizontal="center"/>
    </xf>
    <xf numFmtId="0" fontId="138" fillId="0" borderId="0" xfId="0" applyFont="1" applyAlignment="1">
      <alignment horizontal="center"/>
    </xf>
    <xf numFmtId="0" fontId="4" fillId="35" borderId="55" xfId="0" applyFont="1" applyFill="1" applyBorder="1" applyAlignment="1">
      <alignment horizontal="center"/>
    </xf>
    <xf numFmtId="0" fontId="4" fillId="35" borderId="56" xfId="0" applyFont="1" applyFill="1" applyBorder="1" applyAlignment="1">
      <alignment horizontal="center"/>
    </xf>
    <xf numFmtId="0" fontId="4" fillId="35" borderId="57" xfId="0" applyFont="1" applyFill="1" applyBorder="1" applyAlignment="1">
      <alignment horizontal="center"/>
    </xf>
    <xf numFmtId="0" fontId="9" fillId="0" borderId="0" xfId="0" applyFont="1" applyFill="1" applyAlignment="1">
      <alignment horizontal="center"/>
    </xf>
    <xf numFmtId="0" fontId="11" fillId="0" borderId="0" xfId="0" applyFont="1" applyAlignment="1">
      <alignment horizontal="center"/>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4" xfId="52"/>
    <cellStyle name="Currency 4 2" xfId="53"/>
    <cellStyle name="Currency 5" xfId="54"/>
    <cellStyle name="Currency 5 2" xfId="55"/>
    <cellStyle name="Currency 6"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3" xfId="68"/>
    <cellStyle name="Normal 4" xfId="69"/>
    <cellStyle name="Normal 5" xfId="70"/>
    <cellStyle name="Normal 6" xfId="71"/>
    <cellStyle name="Note" xfId="72"/>
    <cellStyle name="Output" xfId="73"/>
    <cellStyle name="Percent" xfId="74"/>
    <cellStyle name="Percent 2" xfId="75"/>
    <cellStyle name="Percent 2 2" xfId="76"/>
    <cellStyle name="Percent 3" xfId="77"/>
    <cellStyle name="Percent 3 2" xfId="78"/>
    <cellStyle name="Percent 4" xfId="79"/>
    <cellStyle name="Percent 4 2" xfId="80"/>
    <cellStyle name="PS_Comma" xfId="81"/>
    <cellStyle name="PSChar" xfId="82"/>
    <cellStyle name="PSDate" xfId="83"/>
    <cellStyle name="PSDec" xfId="84"/>
    <cellStyle name="PSHeading" xfId="85"/>
    <cellStyle name="PSInt" xfId="86"/>
    <cellStyle name="PSSpacer" xfId="87"/>
    <cellStyle name="Title" xfId="88"/>
    <cellStyle name="Total" xfId="89"/>
    <cellStyle name="Warning Text" xfId="90"/>
    <cellStyle name="WM_STANDARD"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zoomScalePageLayoutView="0" workbookViewId="0" topLeftCell="A1">
      <selection activeCell="D45" sqref="D45"/>
    </sheetView>
  </sheetViews>
  <sheetFormatPr defaultColWidth="9.140625" defaultRowHeight="15"/>
  <cols>
    <col min="1" max="1" width="4.57421875" style="390" customWidth="1"/>
    <col min="2" max="2" width="18.8515625" style="390" bestFit="1" customWidth="1"/>
    <col min="3" max="3" width="12.140625" style="390" customWidth="1"/>
    <col min="4" max="4" width="10.8515625" style="390" bestFit="1" customWidth="1"/>
    <col min="5" max="5" width="11.140625" style="227" bestFit="1" customWidth="1"/>
    <col min="6" max="6" width="12.7109375" style="390" bestFit="1" customWidth="1"/>
    <col min="7" max="7" width="11.00390625" style="390" bestFit="1" customWidth="1"/>
    <col min="8" max="8" width="10.00390625" style="390" bestFit="1" customWidth="1"/>
    <col min="9" max="9" width="12.7109375" style="390" bestFit="1" customWidth="1"/>
    <col min="10" max="10" width="10.7109375" style="390" bestFit="1" customWidth="1"/>
    <col min="11" max="11" width="9.57421875" style="390" bestFit="1" customWidth="1"/>
    <col min="12" max="12" width="12.7109375" style="390" bestFit="1" customWidth="1"/>
    <col min="13" max="13" width="7.7109375" style="390" customWidth="1"/>
    <col min="14" max="14" width="8.00390625" style="390" customWidth="1"/>
    <col min="15" max="15" width="10.28125" style="390" customWidth="1"/>
    <col min="16" max="16" width="9.8515625" style="390" customWidth="1"/>
    <col min="17" max="17" width="9.7109375" style="390" customWidth="1"/>
    <col min="18" max="18" width="8.8515625" style="390" customWidth="1"/>
    <col min="19" max="19" width="11.00390625" style="228" bestFit="1" customWidth="1"/>
    <col min="20" max="20" width="9.140625" style="390" customWidth="1"/>
    <col min="21" max="21" width="14.140625" style="390" bestFit="1" customWidth="1"/>
    <col min="22" max="22" width="9.140625" style="390" customWidth="1"/>
    <col min="23" max="23" width="12.7109375" style="390" bestFit="1" customWidth="1"/>
    <col min="24" max="24" width="9.7109375" style="390" bestFit="1" customWidth="1"/>
    <col min="25" max="16384" width="9.140625" style="390" customWidth="1"/>
  </cols>
  <sheetData>
    <row r="1" spans="1:12" ht="23.25">
      <c r="A1" s="567" t="s">
        <v>245</v>
      </c>
      <c r="B1" s="567"/>
      <c r="C1" s="567"/>
      <c r="D1" s="567"/>
      <c r="E1" s="567"/>
      <c r="F1" s="567"/>
      <c r="G1" s="567"/>
      <c r="H1" s="567"/>
      <c r="I1" s="567"/>
      <c r="J1" s="567"/>
      <c r="K1" s="567"/>
      <c r="L1" s="567"/>
    </row>
    <row r="2" ht="15.75" thickBot="1"/>
    <row r="3" spans="1:256" ht="16.5" thickBot="1">
      <c r="A3" s="391"/>
      <c r="B3" s="392"/>
      <c r="C3" s="393"/>
      <c r="D3" s="568" t="s">
        <v>246</v>
      </c>
      <c r="E3" s="569"/>
      <c r="F3" s="570"/>
      <c r="G3" s="568" t="s">
        <v>247</v>
      </c>
      <c r="H3" s="569"/>
      <c r="I3" s="570"/>
      <c r="J3" s="568" t="s">
        <v>248</v>
      </c>
      <c r="K3" s="569"/>
      <c r="L3" s="570"/>
      <c r="M3" s="394"/>
      <c r="N3" s="394"/>
      <c r="O3" s="394"/>
      <c r="P3" s="394"/>
      <c r="Q3" s="394"/>
      <c r="R3" s="394"/>
      <c r="S3" s="395"/>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4"/>
      <c r="BJ3" s="394"/>
      <c r="BK3" s="394"/>
      <c r="BL3" s="394"/>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c r="CL3" s="394"/>
      <c r="CM3" s="394"/>
      <c r="CN3" s="394"/>
      <c r="CO3" s="394"/>
      <c r="CP3" s="394"/>
      <c r="CQ3" s="394"/>
      <c r="CR3" s="394"/>
      <c r="CS3" s="394"/>
      <c r="CT3" s="394"/>
      <c r="CU3" s="394"/>
      <c r="CV3" s="394"/>
      <c r="CW3" s="394"/>
      <c r="CX3" s="394"/>
      <c r="CY3" s="394"/>
      <c r="CZ3" s="394"/>
      <c r="DA3" s="394"/>
      <c r="DB3" s="394"/>
      <c r="DC3" s="394"/>
      <c r="DD3" s="394"/>
      <c r="DE3" s="394"/>
      <c r="DF3" s="394"/>
      <c r="DG3" s="394"/>
      <c r="DH3" s="394"/>
      <c r="DI3" s="394"/>
      <c r="DJ3" s="394"/>
      <c r="DK3" s="394"/>
      <c r="DL3" s="394"/>
      <c r="DM3" s="394"/>
      <c r="DN3" s="394"/>
      <c r="DO3" s="394"/>
      <c r="DP3" s="394"/>
      <c r="DQ3" s="394"/>
      <c r="DR3" s="394"/>
      <c r="DS3" s="394"/>
      <c r="DT3" s="394"/>
      <c r="DU3" s="394"/>
      <c r="DV3" s="394"/>
      <c r="DW3" s="394"/>
      <c r="DX3" s="394"/>
      <c r="DY3" s="394"/>
      <c r="DZ3" s="394"/>
      <c r="EA3" s="394"/>
      <c r="EB3" s="394"/>
      <c r="EC3" s="394"/>
      <c r="ED3" s="394"/>
      <c r="EE3" s="394"/>
      <c r="EF3" s="394"/>
      <c r="EG3" s="394"/>
      <c r="EH3" s="394"/>
      <c r="EI3" s="394"/>
      <c r="EJ3" s="394"/>
      <c r="EK3" s="394"/>
      <c r="EL3" s="394"/>
      <c r="EM3" s="394"/>
      <c r="EN3" s="394"/>
      <c r="EO3" s="394"/>
      <c r="EP3" s="394"/>
      <c r="EQ3" s="394"/>
      <c r="ER3" s="394"/>
      <c r="ES3" s="394"/>
      <c r="ET3" s="394"/>
      <c r="EU3" s="394"/>
      <c r="EV3" s="394"/>
      <c r="EW3" s="394"/>
      <c r="EX3" s="394"/>
      <c r="EY3" s="394"/>
      <c r="EZ3" s="394"/>
      <c r="FA3" s="394"/>
      <c r="FB3" s="394"/>
      <c r="FC3" s="394"/>
      <c r="FD3" s="394"/>
      <c r="FE3" s="394"/>
      <c r="FF3" s="394"/>
      <c r="FG3" s="394"/>
      <c r="FH3" s="394"/>
      <c r="FI3" s="394"/>
      <c r="FJ3" s="394"/>
      <c r="FK3" s="394"/>
      <c r="FL3" s="394"/>
      <c r="FM3" s="394"/>
      <c r="FN3" s="394"/>
      <c r="FO3" s="394"/>
      <c r="FP3" s="394"/>
      <c r="FQ3" s="394"/>
      <c r="FR3" s="394"/>
      <c r="FS3" s="394"/>
      <c r="FT3" s="394"/>
      <c r="FU3" s="394"/>
      <c r="FV3" s="394"/>
      <c r="FW3" s="394"/>
      <c r="FX3" s="394"/>
      <c r="FY3" s="394"/>
      <c r="FZ3" s="394"/>
      <c r="GA3" s="394"/>
      <c r="GB3" s="394"/>
      <c r="GC3" s="394"/>
      <c r="GD3" s="394"/>
      <c r="GE3" s="394"/>
      <c r="GF3" s="394"/>
      <c r="GG3" s="394"/>
      <c r="GH3" s="394"/>
      <c r="GI3" s="394"/>
      <c r="GJ3" s="394"/>
      <c r="GK3" s="394"/>
      <c r="GL3" s="394"/>
      <c r="GM3" s="394"/>
      <c r="GN3" s="394"/>
      <c r="GO3" s="394"/>
      <c r="GP3" s="394"/>
      <c r="GQ3" s="394"/>
      <c r="GR3" s="394"/>
      <c r="GS3" s="394"/>
      <c r="GT3" s="394"/>
      <c r="GU3" s="394"/>
      <c r="GV3" s="394"/>
      <c r="GW3" s="394"/>
      <c r="GX3" s="394"/>
      <c r="GY3" s="394"/>
      <c r="GZ3" s="394"/>
      <c r="HA3" s="394"/>
      <c r="HB3" s="394"/>
      <c r="HC3" s="394"/>
      <c r="HD3" s="394"/>
      <c r="HE3" s="394"/>
      <c r="HF3" s="394"/>
      <c r="HG3" s="394"/>
      <c r="HH3" s="394"/>
      <c r="HI3" s="394"/>
      <c r="HJ3" s="394"/>
      <c r="HK3" s="394"/>
      <c r="HL3" s="394"/>
      <c r="HM3" s="394"/>
      <c r="HN3" s="394"/>
      <c r="HO3" s="394"/>
      <c r="HP3" s="394"/>
      <c r="HQ3" s="394"/>
      <c r="HR3" s="394"/>
      <c r="HS3" s="394"/>
      <c r="HT3" s="394"/>
      <c r="HU3" s="394"/>
      <c r="HV3" s="394"/>
      <c r="HW3" s="394"/>
      <c r="HX3" s="394"/>
      <c r="HY3" s="394"/>
      <c r="HZ3" s="394"/>
      <c r="IA3" s="394"/>
      <c r="IB3" s="394"/>
      <c r="IC3" s="394"/>
      <c r="ID3" s="394"/>
      <c r="IE3" s="394"/>
      <c r="IF3" s="394"/>
      <c r="IG3" s="394"/>
      <c r="IH3" s="394"/>
      <c r="II3" s="394"/>
      <c r="IJ3" s="394"/>
      <c r="IK3" s="394"/>
      <c r="IL3" s="394"/>
      <c r="IM3" s="394"/>
      <c r="IN3" s="394"/>
      <c r="IO3" s="394"/>
      <c r="IP3" s="394"/>
      <c r="IQ3" s="394"/>
      <c r="IR3" s="394"/>
      <c r="IS3" s="394"/>
      <c r="IT3" s="394"/>
      <c r="IU3" s="394"/>
      <c r="IV3" s="394"/>
    </row>
    <row r="4" spans="1:256" ht="16.5" thickBot="1">
      <c r="A4" s="571" t="s">
        <v>249</v>
      </c>
      <c r="B4" s="572"/>
      <c r="C4" s="573"/>
      <c r="D4" s="397" t="s">
        <v>250</v>
      </c>
      <c r="E4" s="398" t="s">
        <v>251</v>
      </c>
      <c r="F4" s="397" t="s">
        <v>252</v>
      </c>
      <c r="G4" s="397" t="s">
        <v>250</v>
      </c>
      <c r="H4" s="397" t="s">
        <v>251</v>
      </c>
      <c r="I4" s="397" t="s">
        <v>252</v>
      </c>
      <c r="J4" s="397" t="s">
        <v>250</v>
      </c>
      <c r="K4" s="397" t="s">
        <v>251</v>
      </c>
      <c r="L4" s="396" t="s">
        <v>252</v>
      </c>
      <c r="M4" s="394"/>
      <c r="N4" s="394"/>
      <c r="O4" s="399" t="s">
        <v>253</v>
      </c>
      <c r="P4" s="399" t="s">
        <v>54</v>
      </c>
      <c r="Q4" s="399" t="s">
        <v>7</v>
      </c>
      <c r="R4" s="394"/>
      <c r="S4" s="395"/>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394"/>
      <c r="DG4" s="394"/>
      <c r="DH4" s="394"/>
      <c r="DI4" s="394"/>
      <c r="DJ4" s="394"/>
      <c r="DK4" s="394"/>
      <c r="DL4" s="394"/>
      <c r="DM4" s="394"/>
      <c r="DN4" s="394"/>
      <c r="DO4" s="394"/>
      <c r="DP4" s="394"/>
      <c r="DQ4" s="394"/>
      <c r="DR4" s="394"/>
      <c r="DS4" s="394"/>
      <c r="DT4" s="394"/>
      <c r="DU4" s="394"/>
      <c r="DV4" s="394"/>
      <c r="DW4" s="394"/>
      <c r="DX4" s="394"/>
      <c r="DY4" s="394"/>
      <c r="DZ4" s="394"/>
      <c r="EA4" s="394"/>
      <c r="EB4" s="394"/>
      <c r="EC4" s="394"/>
      <c r="ED4" s="394"/>
      <c r="EE4" s="394"/>
      <c r="EF4" s="394"/>
      <c r="EG4" s="394"/>
      <c r="EH4" s="394"/>
      <c r="EI4" s="394"/>
      <c r="EJ4" s="394"/>
      <c r="EK4" s="394"/>
      <c r="EL4" s="394"/>
      <c r="EM4" s="394"/>
      <c r="EN4" s="394"/>
      <c r="EO4" s="394"/>
      <c r="EP4" s="394"/>
      <c r="EQ4" s="394"/>
      <c r="ER4" s="394"/>
      <c r="ES4" s="394"/>
      <c r="ET4" s="394"/>
      <c r="EU4" s="394"/>
      <c r="EV4" s="394"/>
      <c r="EW4" s="394"/>
      <c r="EX4" s="394"/>
      <c r="EY4" s="394"/>
      <c r="EZ4" s="394"/>
      <c r="FA4" s="394"/>
      <c r="FB4" s="394"/>
      <c r="FC4" s="394"/>
      <c r="FD4" s="394"/>
      <c r="FE4" s="394"/>
      <c r="FF4" s="394"/>
      <c r="FG4" s="394"/>
      <c r="FH4" s="394"/>
      <c r="FI4" s="394"/>
      <c r="FJ4" s="394"/>
      <c r="FK4" s="394"/>
      <c r="FL4" s="394"/>
      <c r="FM4" s="394"/>
      <c r="FN4" s="394"/>
      <c r="FO4" s="394"/>
      <c r="FP4" s="394"/>
      <c r="FQ4" s="394"/>
      <c r="FR4" s="394"/>
      <c r="FS4" s="394"/>
      <c r="FT4" s="394"/>
      <c r="FU4" s="394"/>
      <c r="FV4" s="394"/>
      <c r="FW4" s="394"/>
      <c r="FX4" s="394"/>
      <c r="FY4" s="394"/>
      <c r="FZ4" s="394"/>
      <c r="GA4" s="394"/>
      <c r="GB4" s="394"/>
      <c r="GC4" s="394"/>
      <c r="GD4" s="394"/>
      <c r="GE4" s="394"/>
      <c r="GF4" s="394"/>
      <c r="GG4" s="394"/>
      <c r="GH4" s="394"/>
      <c r="GI4" s="394"/>
      <c r="GJ4" s="394"/>
      <c r="GK4" s="394"/>
      <c r="GL4" s="394"/>
      <c r="GM4" s="394"/>
      <c r="GN4" s="394"/>
      <c r="GO4" s="394"/>
      <c r="GP4" s="394"/>
      <c r="GQ4" s="394"/>
      <c r="GR4" s="394"/>
      <c r="GS4" s="394"/>
      <c r="GT4" s="394"/>
      <c r="GU4" s="394"/>
      <c r="GV4" s="394"/>
      <c r="GW4" s="394"/>
      <c r="GX4" s="394"/>
      <c r="GY4" s="394"/>
      <c r="GZ4" s="394"/>
      <c r="HA4" s="394"/>
      <c r="HB4" s="394"/>
      <c r="HC4" s="394"/>
      <c r="HD4" s="394"/>
      <c r="HE4" s="394"/>
      <c r="HF4" s="394"/>
      <c r="HG4" s="394"/>
      <c r="HH4" s="394"/>
      <c r="HI4" s="394"/>
      <c r="HJ4" s="394"/>
      <c r="HK4" s="394"/>
      <c r="HL4" s="394"/>
      <c r="HM4" s="394"/>
      <c r="HN4" s="394"/>
      <c r="HO4" s="394"/>
      <c r="HP4" s="394"/>
      <c r="HQ4" s="394"/>
      <c r="HR4" s="394"/>
      <c r="HS4" s="394"/>
      <c r="HT4" s="394"/>
      <c r="HU4" s="394"/>
      <c r="HV4" s="394"/>
      <c r="HW4" s="394"/>
      <c r="HX4" s="394"/>
      <c r="HY4" s="394"/>
      <c r="HZ4" s="394"/>
      <c r="IA4" s="394"/>
      <c r="IB4" s="394"/>
      <c r="IC4" s="394"/>
      <c r="ID4" s="394"/>
      <c r="IE4" s="394"/>
      <c r="IF4" s="394"/>
      <c r="IG4" s="394"/>
      <c r="IH4" s="394"/>
      <c r="II4" s="394"/>
      <c r="IJ4" s="394"/>
      <c r="IK4" s="394"/>
      <c r="IL4" s="394"/>
      <c r="IM4" s="394"/>
      <c r="IN4" s="394"/>
      <c r="IO4" s="394"/>
      <c r="IP4" s="394"/>
      <c r="IQ4" s="394"/>
      <c r="IR4" s="394"/>
      <c r="IS4" s="394"/>
      <c r="IT4" s="394"/>
      <c r="IU4" s="394"/>
      <c r="IV4" s="394"/>
    </row>
    <row r="5" spans="1:256" ht="15.75">
      <c r="A5" s="400"/>
      <c r="B5" s="401"/>
      <c r="C5" s="402"/>
      <c r="D5" s="403"/>
      <c r="E5" s="404"/>
      <c r="F5" s="403"/>
      <c r="G5" s="403"/>
      <c r="H5" s="403"/>
      <c r="I5" s="403"/>
      <c r="J5" s="403"/>
      <c r="K5" s="403"/>
      <c r="L5" s="405"/>
      <c r="M5" s="406"/>
      <c r="N5" s="406"/>
      <c r="O5" s="406"/>
      <c r="P5" s="406"/>
      <c r="Q5" s="406"/>
      <c r="R5" s="406"/>
      <c r="S5" s="407"/>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06"/>
      <c r="BV5" s="406"/>
      <c r="BW5" s="406"/>
      <c r="BX5" s="406"/>
      <c r="BY5" s="406"/>
      <c r="BZ5" s="406"/>
      <c r="CA5" s="406"/>
      <c r="CB5" s="406"/>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6"/>
      <c r="EN5" s="406"/>
      <c r="EO5" s="406"/>
      <c r="EP5" s="406"/>
      <c r="EQ5" s="406"/>
      <c r="ER5" s="406"/>
      <c r="ES5" s="406"/>
      <c r="ET5" s="406"/>
      <c r="EU5" s="406"/>
      <c r="EV5" s="406"/>
      <c r="EW5" s="406"/>
      <c r="EX5" s="406"/>
      <c r="EY5" s="406"/>
      <c r="EZ5" s="406"/>
      <c r="FA5" s="406"/>
      <c r="FB5" s="406"/>
      <c r="FC5" s="406"/>
      <c r="FD5" s="406"/>
      <c r="FE5" s="406"/>
      <c r="FF5" s="406"/>
      <c r="FG5" s="406"/>
      <c r="FH5" s="406"/>
      <c r="FI5" s="406"/>
      <c r="FJ5" s="406"/>
      <c r="FK5" s="406"/>
      <c r="FL5" s="406"/>
      <c r="FM5" s="406"/>
      <c r="FN5" s="406"/>
      <c r="FO5" s="406"/>
      <c r="FP5" s="406"/>
      <c r="FQ5" s="406"/>
      <c r="FR5" s="406"/>
      <c r="FS5" s="406"/>
      <c r="FT5" s="406"/>
      <c r="FU5" s="406"/>
      <c r="FV5" s="406"/>
      <c r="FW5" s="406"/>
      <c r="FX5" s="406"/>
      <c r="FY5" s="406"/>
      <c r="FZ5" s="406"/>
      <c r="GA5" s="406"/>
      <c r="GB5" s="406"/>
      <c r="GC5" s="406"/>
      <c r="GD5" s="406"/>
      <c r="GE5" s="406"/>
      <c r="GF5" s="406"/>
      <c r="GG5" s="406"/>
      <c r="GH5" s="406"/>
      <c r="GI5" s="406"/>
      <c r="GJ5" s="406"/>
      <c r="GK5" s="406"/>
      <c r="GL5" s="406"/>
      <c r="GM5" s="406"/>
      <c r="GN5" s="406"/>
      <c r="GO5" s="406"/>
      <c r="GP5" s="406"/>
      <c r="GQ5" s="406"/>
      <c r="GR5" s="406"/>
      <c r="GS5" s="406"/>
      <c r="GT5" s="406"/>
      <c r="GU5" s="406"/>
      <c r="GV5" s="406"/>
      <c r="GW5" s="406"/>
      <c r="GX5" s="406"/>
      <c r="GY5" s="406"/>
      <c r="GZ5" s="406"/>
      <c r="HA5" s="406"/>
      <c r="HB5" s="406"/>
      <c r="HC5" s="406"/>
      <c r="HD5" s="406"/>
      <c r="HE5" s="406"/>
      <c r="HF5" s="406"/>
      <c r="HG5" s="406"/>
      <c r="HH5" s="406"/>
      <c r="HI5" s="406"/>
      <c r="HJ5" s="406"/>
      <c r="HK5" s="406"/>
      <c r="HL5" s="406"/>
      <c r="HM5" s="406"/>
      <c r="HN5" s="406"/>
      <c r="HO5" s="406"/>
      <c r="HP5" s="406"/>
      <c r="HQ5" s="406"/>
      <c r="HR5" s="406"/>
      <c r="HS5" s="406"/>
      <c r="HT5" s="406"/>
      <c r="HU5" s="406"/>
      <c r="HV5" s="406"/>
      <c r="HW5" s="406"/>
      <c r="HX5" s="406"/>
      <c r="HY5" s="406"/>
      <c r="HZ5" s="406"/>
      <c r="IA5" s="406"/>
      <c r="IB5" s="406"/>
      <c r="IC5" s="406"/>
      <c r="ID5" s="406"/>
      <c r="IE5" s="406"/>
      <c r="IF5" s="406"/>
      <c r="IG5" s="406"/>
      <c r="IH5" s="406"/>
      <c r="II5" s="406"/>
      <c r="IJ5" s="406"/>
      <c r="IK5" s="406"/>
      <c r="IL5" s="406"/>
      <c r="IM5" s="406"/>
      <c r="IN5" s="406"/>
      <c r="IO5" s="406"/>
      <c r="IP5" s="406"/>
      <c r="IQ5" s="406"/>
      <c r="IR5" s="406"/>
      <c r="IS5" s="406"/>
      <c r="IT5" s="406"/>
      <c r="IU5" s="406"/>
      <c r="IV5" s="406"/>
    </row>
    <row r="6" spans="1:256" ht="15.75">
      <c r="A6" s="408" t="s">
        <v>254</v>
      </c>
      <c r="B6" s="409"/>
      <c r="C6" s="410"/>
      <c r="D6" s="411">
        <f>ROUND(+'NS(SC) Deferred Acct.'!X68,2)</f>
        <v>1.04</v>
      </c>
      <c r="E6" s="412">
        <v>1.64</v>
      </c>
      <c r="F6" s="413">
        <f>-1+D6/E6</f>
        <v>-0.36585365853658536</v>
      </c>
      <c r="G6" s="414">
        <f>ROUND(+'NS (KC) Deferred Acct.'!X64,2)</f>
        <v>1.13</v>
      </c>
      <c r="H6" s="412">
        <v>1.52</v>
      </c>
      <c r="I6" s="413">
        <f>-1+G6/H6</f>
        <v>-0.25657894736842113</v>
      </c>
      <c r="J6" s="414">
        <f>ROUND(+'Sea.(SS) Deferred Acct.'!X64,2)</f>
        <v>0.87</v>
      </c>
      <c r="K6" s="415">
        <v>1.4</v>
      </c>
      <c r="L6" s="413">
        <f>-1+J6/K6</f>
        <v>-0.37857142857142856</v>
      </c>
      <c r="M6" s="406"/>
      <c r="N6" s="406"/>
      <c r="O6" s="416">
        <f>+'2014-2015 RSA'!C125</f>
        <v>0.3733540849614257</v>
      </c>
      <c r="P6" s="416">
        <f>+'2014-2015 RSA'!D125</f>
        <v>0.6266459150385743</v>
      </c>
      <c r="Q6" s="416">
        <f>+P6+O6</f>
        <v>1</v>
      </c>
      <c r="R6" s="406"/>
      <c r="S6" s="407"/>
      <c r="T6" s="406"/>
      <c r="U6" s="417"/>
      <c r="V6" s="406"/>
      <c r="W6" s="417"/>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c r="HQ6" s="406"/>
      <c r="HR6" s="406"/>
      <c r="HS6" s="406"/>
      <c r="HT6" s="406"/>
      <c r="HU6" s="406"/>
      <c r="HV6" s="406"/>
      <c r="HW6" s="406"/>
      <c r="HX6" s="406"/>
      <c r="HY6" s="406"/>
      <c r="HZ6" s="406"/>
      <c r="IA6" s="406"/>
      <c r="IB6" s="406"/>
      <c r="IC6" s="406"/>
      <c r="ID6" s="406"/>
      <c r="IE6" s="406"/>
      <c r="IF6" s="406"/>
      <c r="IG6" s="406"/>
      <c r="IH6" s="406"/>
      <c r="II6" s="406"/>
      <c r="IJ6" s="406"/>
      <c r="IK6" s="406"/>
      <c r="IL6" s="406"/>
      <c r="IM6" s="406"/>
      <c r="IN6" s="406"/>
      <c r="IO6" s="406"/>
      <c r="IP6" s="406"/>
      <c r="IQ6" s="406"/>
      <c r="IR6" s="406"/>
      <c r="IS6" s="406"/>
      <c r="IT6" s="406"/>
      <c r="IU6" s="406"/>
      <c r="IV6" s="406"/>
    </row>
    <row r="7" spans="1:256" ht="15.75">
      <c r="A7" s="408"/>
      <c r="B7" s="409"/>
      <c r="C7" s="410" t="s">
        <v>153</v>
      </c>
      <c r="D7" s="411">
        <f>ROUND(+'NS(SC) Deferred Acct.'!X70,2)</f>
        <v>2.11</v>
      </c>
      <c r="E7" s="418">
        <v>2.66</v>
      </c>
      <c r="F7" s="413">
        <f>-1+D7/E7</f>
        <v>-0.20676691729323315</v>
      </c>
      <c r="G7" s="418"/>
      <c r="H7" s="418"/>
      <c r="I7" s="413"/>
      <c r="J7" s="418"/>
      <c r="K7" s="418"/>
      <c r="L7" s="413"/>
      <c r="M7" s="406"/>
      <c r="N7" s="406"/>
      <c r="O7" s="419">
        <f>+I6</f>
        <v>-0.25657894736842113</v>
      </c>
      <c r="P7" s="419">
        <f>+L6</f>
        <v>-0.37857142857142856</v>
      </c>
      <c r="Q7" s="416"/>
      <c r="R7" s="406"/>
      <c r="S7" s="407"/>
      <c r="T7" s="406"/>
      <c r="U7" s="417"/>
      <c r="V7" s="406"/>
      <c r="W7" s="417"/>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c r="ED7" s="406"/>
      <c r="EE7" s="406"/>
      <c r="EF7" s="406"/>
      <c r="EG7" s="406"/>
      <c r="EH7" s="406"/>
      <c r="EI7" s="406"/>
      <c r="EJ7" s="406"/>
      <c r="EK7" s="406"/>
      <c r="EL7" s="406"/>
      <c r="EM7" s="406"/>
      <c r="EN7" s="406"/>
      <c r="EO7" s="406"/>
      <c r="EP7" s="406"/>
      <c r="EQ7" s="406"/>
      <c r="ER7" s="406"/>
      <c r="ES7" s="406"/>
      <c r="ET7" s="406"/>
      <c r="EU7" s="406"/>
      <c r="EV7" s="406"/>
      <c r="EW7" s="406"/>
      <c r="EX7" s="406"/>
      <c r="EY7" s="406"/>
      <c r="EZ7" s="406"/>
      <c r="FA7" s="406"/>
      <c r="FB7" s="406"/>
      <c r="FC7" s="406"/>
      <c r="FD7" s="406"/>
      <c r="FE7" s="406"/>
      <c r="FF7" s="406"/>
      <c r="FG7" s="406"/>
      <c r="FH7" s="406"/>
      <c r="FI7" s="406"/>
      <c r="FJ7" s="406"/>
      <c r="FK7" s="406"/>
      <c r="FL7" s="406"/>
      <c r="FM7" s="406"/>
      <c r="FN7" s="406"/>
      <c r="FO7" s="406"/>
      <c r="FP7" s="406"/>
      <c r="FQ7" s="406"/>
      <c r="FR7" s="406"/>
      <c r="FS7" s="406"/>
      <c r="FT7" s="406"/>
      <c r="FU7" s="406"/>
      <c r="FV7" s="406"/>
      <c r="FW7" s="406"/>
      <c r="FX7" s="406"/>
      <c r="FY7" s="406"/>
      <c r="FZ7" s="406"/>
      <c r="GA7" s="406"/>
      <c r="GB7" s="406"/>
      <c r="GC7" s="406"/>
      <c r="GD7" s="406"/>
      <c r="GE7" s="406"/>
      <c r="GF7" s="406"/>
      <c r="GG7" s="406"/>
      <c r="GH7" s="406"/>
      <c r="GI7" s="406"/>
      <c r="GJ7" s="406"/>
      <c r="GK7" s="406"/>
      <c r="GL7" s="406"/>
      <c r="GM7" s="406"/>
      <c r="GN7" s="406"/>
      <c r="GO7" s="406"/>
      <c r="GP7" s="406"/>
      <c r="GQ7" s="406"/>
      <c r="GR7" s="406"/>
      <c r="GS7" s="406"/>
      <c r="GT7" s="406"/>
      <c r="GU7" s="406"/>
      <c r="GV7" s="406"/>
      <c r="GW7" s="406"/>
      <c r="GX7" s="406"/>
      <c r="GY7" s="406"/>
      <c r="GZ7" s="406"/>
      <c r="HA7" s="406"/>
      <c r="HB7" s="406"/>
      <c r="HC7" s="406"/>
      <c r="HD7" s="406"/>
      <c r="HE7" s="406"/>
      <c r="HF7" s="406"/>
      <c r="HG7" s="406"/>
      <c r="HH7" s="406"/>
      <c r="HI7" s="406"/>
      <c r="HJ7" s="406"/>
      <c r="HK7" s="406"/>
      <c r="HL7" s="406"/>
      <c r="HM7" s="406"/>
      <c r="HN7" s="406"/>
      <c r="HO7" s="406"/>
      <c r="HP7" s="406"/>
      <c r="HQ7" s="406"/>
      <c r="HR7" s="406"/>
      <c r="HS7" s="406"/>
      <c r="HT7" s="406"/>
      <c r="HU7" s="406"/>
      <c r="HV7" s="406"/>
      <c r="HW7" s="406"/>
      <c r="HX7" s="406"/>
      <c r="HY7" s="406"/>
      <c r="HZ7" s="406"/>
      <c r="IA7" s="406"/>
      <c r="IB7" s="406"/>
      <c r="IC7" s="406"/>
      <c r="ID7" s="406"/>
      <c r="IE7" s="406"/>
      <c r="IF7" s="406"/>
      <c r="IG7" s="406"/>
      <c r="IH7" s="406"/>
      <c r="II7" s="406"/>
      <c r="IJ7" s="406"/>
      <c r="IK7" s="406"/>
      <c r="IL7" s="406"/>
      <c r="IM7" s="406"/>
      <c r="IN7" s="406"/>
      <c r="IO7" s="406"/>
      <c r="IP7" s="406"/>
      <c r="IQ7" s="406"/>
      <c r="IR7" s="406"/>
      <c r="IS7" s="406"/>
      <c r="IT7" s="406"/>
      <c r="IU7" s="406"/>
      <c r="IV7" s="406"/>
    </row>
    <row r="8" spans="1:256" ht="15.75">
      <c r="A8" s="420" t="s">
        <v>255</v>
      </c>
      <c r="B8" s="409"/>
      <c r="C8" s="410"/>
      <c r="D8" s="421"/>
      <c r="E8" s="422"/>
      <c r="F8" s="421"/>
      <c r="G8" s="418"/>
      <c r="H8" s="418"/>
      <c r="I8" s="413"/>
      <c r="J8" s="418"/>
      <c r="K8" s="418"/>
      <c r="L8" s="413"/>
      <c r="M8" s="406"/>
      <c r="N8" s="406"/>
      <c r="O8" s="423">
        <f>+O6*O7</f>
        <v>-0.09579479811510268</v>
      </c>
      <c r="P8" s="423">
        <f>+P6*P7</f>
        <v>-0.2372302392646031</v>
      </c>
      <c r="Q8" s="423">
        <f>+P8+O8</f>
        <v>-0.3330250373797058</v>
      </c>
      <c r="R8" s="406"/>
      <c r="S8" s="407"/>
      <c r="T8" s="406"/>
      <c r="U8" s="417"/>
      <c r="V8" s="406"/>
      <c r="W8" s="417"/>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6"/>
      <c r="AY8" s="406"/>
      <c r="AZ8" s="406"/>
      <c r="BA8" s="406"/>
      <c r="BB8" s="406"/>
      <c r="BC8" s="406"/>
      <c r="BD8" s="406"/>
      <c r="BE8" s="406"/>
      <c r="BF8" s="406"/>
      <c r="BG8" s="406"/>
      <c r="BH8" s="406"/>
      <c r="BI8" s="406"/>
      <c r="BJ8" s="406"/>
      <c r="BK8" s="406"/>
      <c r="BL8" s="406"/>
      <c r="BM8" s="406"/>
      <c r="BN8" s="406"/>
      <c r="BO8" s="406"/>
      <c r="BP8" s="406"/>
      <c r="BQ8" s="406"/>
      <c r="BR8" s="406"/>
      <c r="BS8" s="406"/>
      <c r="BT8" s="406"/>
      <c r="BU8" s="406"/>
      <c r="BV8" s="406"/>
      <c r="BW8" s="406"/>
      <c r="BX8" s="406"/>
      <c r="BY8" s="406"/>
      <c r="BZ8" s="406"/>
      <c r="CA8" s="406"/>
      <c r="CB8" s="406"/>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6"/>
      <c r="FA8" s="406"/>
      <c r="FB8" s="406"/>
      <c r="FC8" s="406"/>
      <c r="FD8" s="406"/>
      <c r="FE8" s="406"/>
      <c r="FF8" s="406"/>
      <c r="FG8" s="406"/>
      <c r="FH8" s="406"/>
      <c r="FI8" s="406"/>
      <c r="FJ8" s="406"/>
      <c r="FK8" s="406"/>
      <c r="FL8" s="406"/>
      <c r="FM8" s="406"/>
      <c r="FN8" s="406"/>
      <c r="FO8" s="406"/>
      <c r="FP8" s="406"/>
      <c r="FQ8" s="406"/>
      <c r="FR8" s="406"/>
      <c r="FS8" s="406"/>
      <c r="FT8" s="406"/>
      <c r="FU8" s="406"/>
      <c r="FV8" s="406"/>
      <c r="FW8" s="406"/>
      <c r="FX8" s="406"/>
      <c r="FY8" s="406"/>
      <c r="FZ8" s="406"/>
      <c r="GA8" s="406"/>
      <c r="GB8" s="406"/>
      <c r="GC8" s="406"/>
      <c r="GD8" s="406"/>
      <c r="GE8" s="406"/>
      <c r="GF8" s="406"/>
      <c r="GG8" s="406"/>
      <c r="GH8" s="406"/>
      <c r="GI8" s="406"/>
      <c r="GJ8" s="406"/>
      <c r="GK8" s="406"/>
      <c r="GL8" s="406"/>
      <c r="GM8" s="406"/>
      <c r="GN8" s="406"/>
      <c r="GO8" s="406"/>
      <c r="GP8" s="406"/>
      <c r="GQ8" s="406"/>
      <c r="GR8" s="406"/>
      <c r="GS8" s="406"/>
      <c r="GT8" s="406"/>
      <c r="GU8" s="406"/>
      <c r="GV8" s="406"/>
      <c r="GW8" s="406"/>
      <c r="GX8" s="406"/>
      <c r="GY8" s="406"/>
      <c r="GZ8" s="406"/>
      <c r="HA8" s="406"/>
      <c r="HB8" s="406"/>
      <c r="HC8" s="406"/>
      <c r="HD8" s="406"/>
      <c r="HE8" s="406"/>
      <c r="HF8" s="406"/>
      <c r="HG8" s="406"/>
      <c r="HH8" s="406"/>
      <c r="HI8" s="406"/>
      <c r="HJ8" s="406"/>
      <c r="HK8" s="406"/>
      <c r="HL8" s="406"/>
      <c r="HM8" s="406"/>
      <c r="HN8" s="406"/>
      <c r="HO8" s="406"/>
      <c r="HP8" s="406"/>
      <c r="HQ8" s="406"/>
      <c r="HR8" s="406"/>
      <c r="HS8" s="406"/>
      <c r="HT8" s="406"/>
      <c r="HU8" s="406"/>
      <c r="HV8" s="406"/>
      <c r="HW8" s="406"/>
      <c r="HX8" s="406"/>
      <c r="HY8" s="406"/>
      <c r="HZ8" s="406"/>
      <c r="IA8" s="406"/>
      <c r="IB8" s="406"/>
      <c r="IC8" s="406"/>
      <c r="ID8" s="406"/>
      <c r="IE8" s="406"/>
      <c r="IF8" s="406"/>
      <c r="IG8" s="406"/>
      <c r="IH8" s="406"/>
      <c r="II8" s="406"/>
      <c r="IJ8" s="406"/>
      <c r="IK8" s="406"/>
      <c r="IL8" s="406"/>
      <c r="IM8" s="406"/>
      <c r="IN8" s="406"/>
      <c r="IO8" s="406"/>
      <c r="IP8" s="406"/>
      <c r="IQ8" s="406"/>
      <c r="IR8" s="406"/>
      <c r="IS8" s="406"/>
      <c r="IT8" s="406"/>
      <c r="IU8" s="406"/>
      <c r="IV8" s="406"/>
    </row>
    <row r="9" spans="1:256" ht="15.75">
      <c r="A9" s="420"/>
      <c r="B9" s="409" t="s">
        <v>256</v>
      </c>
      <c r="C9" s="410"/>
      <c r="D9" s="418">
        <f>+ROUND(E9*(1+$F$6),3)</f>
        <v>0.025</v>
      </c>
      <c r="E9" s="422">
        <v>0.04</v>
      </c>
      <c r="F9" s="413">
        <f>-1+D9/E9</f>
        <v>-0.375</v>
      </c>
      <c r="G9" s="418"/>
      <c r="H9" s="418"/>
      <c r="I9" s="413"/>
      <c r="J9" s="418"/>
      <c r="K9" s="412"/>
      <c r="L9" s="413"/>
      <c r="M9" s="406"/>
      <c r="N9" s="406"/>
      <c r="O9" s="406"/>
      <c r="P9" s="406"/>
      <c r="Q9" s="406"/>
      <c r="R9" s="406"/>
      <c r="S9" s="407"/>
      <c r="T9" s="406"/>
      <c r="U9" s="417"/>
      <c r="V9" s="406"/>
      <c r="W9" s="417"/>
      <c r="X9" s="424"/>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c r="FA9" s="406"/>
      <c r="FB9" s="406"/>
      <c r="FC9" s="406"/>
      <c r="FD9" s="406"/>
      <c r="FE9" s="406"/>
      <c r="FF9" s="406"/>
      <c r="FG9" s="406"/>
      <c r="FH9" s="406"/>
      <c r="FI9" s="406"/>
      <c r="FJ9" s="406"/>
      <c r="FK9" s="406"/>
      <c r="FL9" s="406"/>
      <c r="FM9" s="406"/>
      <c r="FN9" s="406"/>
      <c r="FO9" s="406"/>
      <c r="FP9" s="406"/>
      <c r="FQ9" s="406"/>
      <c r="FR9" s="406"/>
      <c r="FS9" s="406"/>
      <c r="FT9" s="406"/>
      <c r="FU9" s="406"/>
      <c r="FV9" s="406"/>
      <c r="FW9" s="406"/>
      <c r="FX9" s="406"/>
      <c r="FY9" s="406"/>
      <c r="FZ9" s="406"/>
      <c r="GA9" s="406"/>
      <c r="GB9" s="406"/>
      <c r="GC9" s="406"/>
      <c r="GD9" s="406"/>
      <c r="GE9" s="406"/>
      <c r="GF9" s="406"/>
      <c r="GG9" s="406"/>
      <c r="GH9" s="406"/>
      <c r="GI9" s="406"/>
      <c r="GJ9" s="406"/>
      <c r="GK9" s="406"/>
      <c r="GL9" s="406"/>
      <c r="GM9" s="406"/>
      <c r="GN9" s="406"/>
      <c r="GO9" s="406"/>
      <c r="GP9" s="406"/>
      <c r="GQ9" s="406"/>
      <c r="GR9" s="406"/>
      <c r="GS9" s="406"/>
      <c r="GT9" s="406"/>
      <c r="GU9" s="406"/>
      <c r="GV9" s="406"/>
      <c r="GW9" s="406"/>
      <c r="GX9" s="406"/>
      <c r="GY9" s="406"/>
      <c r="GZ9" s="406"/>
      <c r="HA9" s="406"/>
      <c r="HB9" s="406"/>
      <c r="HC9" s="406"/>
      <c r="HD9" s="406"/>
      <c r="HE9" s="406"/>
      <c r="HF9" s="406"/>
      <c r="HG9" s="406"/>
      <c r="HH9" s="406"/>
      <c r="HI9" s="406"/>
      <c r="HJ9" s="406"/>
      <c r="HK9" s="406"/>
      <c r="HL9" s="406"/>
      <c r="HM9" s="406"/>
      <c r="HN9" s="406"/>
      <c r="HO9" s="406"/>
      <c r="HP9" s="406"/>
      <c r="HQ9" s="406"/>
      <c r="HR9" s="406"/>
      <c r="HS9" s="406"/>
      <c r="HT9" s="406"/>
      <c r="HU9" s="406"/>
      <c r="HV9" s="406"/>
      <c r="HW9" s="406"/>
      <c r="HX9" s="406"/>
      <c r="HY9" s="406"/>
      <c r="HZ9" s="406"/>
      <c r="IA9" s="406"/>
      <c r="IB9" s="406"/>
      <c r="IC9" s="406"/>
      <c r="ID9" s="406"/>
      <c r="IE9" s="406"/>
      <c r="IF9" s="406"/>
      <c r="IG9" s="406"/>
      <c r="IH9" s="406"/>
      <c r="II9" s="406"/>
      <c r="IJ9" s="406"/>
      <c r="IK9" s="406"/>
      <c r="IL9" s="406"/>
      <c r="IM9" s="406"/>
      <c r="IN9" s="406"/>
      <c r="IO9" s="406"/>
      <c r="IP9" s="406"/>
      <c r="IQ9" s="406"/>
      <c r="IR9" s="406"/>
      <c r="IS9" s="406"/>
      <c r="IT9" s="406"/>
      <c r="IU9" s="406"/>
      <c r="IV9" s="406"/>
    </row>
    <row r="10" spans="1:256" ht="15.75">
      <c r="A10" s="425"/>
      <c r="B10" s="409" t="s">
        <v>257</v>
      </c>
      <c r="C10" s="426"/>
      <c r="D10" s="418">
        <f aca="true" t="shared" si="0" ref="D10:D20">+ROUND(E10*(1+$F$6),3)</f>
        <v>0.038</v>
      </c>
      <c r="E10" s="422">
        <v>0.06</v>
      </c>
      <c r="F10" s="413">
        <f>-1+D10/E10</f>
        <v>-0.3666666666666667</v>
      </c>
      <c r="G10" s="418">
        <f>ROUND(+H10*(1+$I$6),3)</f>
        <v>0.037</v>
      </c>
      <c r="H10" s="418">
        <v>0.05</v>
      </c>
      <c r="I10" s="413">
        <f>-1+G10/H10</f>
        <v>-0.2600000000000001</v>
      </c>
      <c r="J10" s="418">
        <f>ROUND(+K10*(1+$L$6),3)</f>
        <v>0.025</v>
      </c>
      <c r="K10" s="418">
        <v>0.04</v>
      </c>
      <c r="L10" s="413">
        <f>-1+J10/K10</f>
        <v>-0.375</v>
      </c>
      <c r="M10" s="406"/>
      <c r="N10" s="406"/>
      <c r="O10" s="406"/>
      <c r="P10" s="406"/>
      <c r="Q10" s="406"/>
      <c r="R10" s="406"/>
      <c r="S10" s="407"/>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c r="BW10" s="406"/>
      <c r="BX10" s="406"/>
      <c r="BY10" s="406"/>
      <c r="BZ10" s="406"/>
      <c r="CA10" s="406"/>
      <c r="CB10" s="406"/>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6"/>
      <c r="DJ10" s="406"/>
      <c r="DK10" s="406"/>
      <c r="DL10" s="406"/>
      <c r="DM10" s="406"/>
      <c r="DN10" s="406"/>
      <c r="DO10" s="406"/>
      <c r="DP10" s="406"/>
      <c r="DQ10" s="406"/>
      <c r="DR10" s="406"/>
      <c r="DS10" s="406"/>
      <c r="DT10" s="406"/>
      <c r="DU10" s="406"/>
      <c r="DV10" s="406"/>
      <c r="DW10" s="406"/>
      <c r="DX10" s="406"/>
      <c r="DY10" s="406"/>
      <c r="DZ10" s="406"/>
      <c r="EA10" s="406"/>
      <c r="EB10" s="406"/>
      <c r="EC10" s="406"/>
      <c r="ED10" s="406"/>
      <c r="EE10" s="406"/>
      <c r="EF10" s="406"/>
      <c r="EG10" s="406"/>
      <c r="EH10" s="406"/>
      <c r="EI10" s="406"/>
      <c r="EJ10" s="406"/>
      <c r="EK10" s="406"/>
      <c r="EL10" s="406"/>
      <c r="EM10" s="406"/>
      <c r="EN10" s="406"/>
      <c r="EO10" s="406"/>
      <c r="EP10" s="406"/>
      <c r="EQ10" s="406"/>
      <c r="ER10" s="406"/>
      <c r="ES10" s="406"/>
      <c r="ET10" s="406"/>
      <c r="EU10" s="406"/>
      <c r="EV10" s="406"/>
      <c r="EW10" s="406"/>
      <c r="EX10" s="406"/>
      <c r="EY10" s="406"/>
      <c r="EZ10" s="406"/>
      <c r="FA10" s="406"/>
      <c r="FB10" s="406"/>
      <c r="FC10" s="406"/>
      <c r="FD10" s="406"/>
      <c r="FE10" s="406"/>
      <c r="FF10" s="406"/>
      <c r="FG10" s="406"/>
      <c r="FH10" s="406"/>
      <c r="FI10" s="406"/>
      <c r="FJ10" s="406"/>
      <c r="FK10" s="406"/>
      <c r="FL10" s="406"/>
      <c r="FM10" s="406"/>
      <c r="FN10" s="406"/>
      <c r="FO10" s="406"/>
      <c r="FP10" s="406"/>
      <c r="FQ10" s="406"/>
      <c r="FR10" s="406"/>
      <c r="FS10" s="406"/>
      <c r="FT10" s="406"/>
      <c r="FU10" s="406"/>
      <c r="FV10" s="406"/>
      <c r="FW10" s="406"/>
      <c r="FX10" s="406"/>
      <c r="FY10" s="406"/>
      <c r="FZ10" s="406"/>
      <c r="GA10" s="406"/>
      <c r="GB10" s="406"/>
      <c r="GC10" s="406"/>
      <c r="GD10" s="406"/>
      <c r="GE10" s="406"/>
      <c r="GF10" s="406"/>
      <c r="GG10" s="406"/>
      <c r="GH10" s="406"/>
      <c r="GI10" s="406"/>
      <c r="GJ10" s="406"/>
      <c r="GK10" s="406"/>
      <c r="GL10" s="406"/>
      <c r="GM10" s="406"/>
      <c r="GN10" s="406"/>
      <c r="GO10" s="406"/>
      <c r="GP10" s="406"/>
      <c r="GQ10" s="406"/>
      <c r="GR10" s="406"/>
      <c r="GS10" s="406"/>
      <c r="GT10" s="406"/>
      <c r="GU10" s="406"/>
      <c r="GV10" s="406"/>
      <c r="GW10" s="406"/>
      <c r="GX10" s="406"/>
      <c r="GY10" s="406"/>
      <c r="GZ10" s="406"/>
      <c r="HA10" s="406"/>
      <c r="HB10" s="406"/>
      <c r="HC10" s="406"/>
      <c r="HD10" s="406"/>
      <c r="HE10" s="406"/>
      <c r="HF10" s="406"/>
      <c r="HG10" s="406"/>
      <c r="HH10" s="406"/>
      <c r="HI10" s="406"/>
      <c r="HJ10" s="406"/>
      <c r="HK10" s="406"/>
      <c r="HL10" s="406"/>
      <c r="HM10" s="406"/>
      <c r="HN10" s="406"/>
      <c r="HO10" s="406"/>
      <c r="HP10" s="406"/>
      <c r="HQ10" s="406"/>
      <c r="HR10" s="406"/>
      <c r="HS10" s="406"/>
      <c r="HT10" s="406"/>
      <c r="HU10" s="406"/>
      <c r="HV10" s="406"/>
      <c r="HW10" s="406"/>
      <c r="HX10" s="406"/>
      <c r="HY10" s="406"/>
      <c r="HZ10" s="406"/>
      <c r="IA10" s="406"/>
      <c r="IB10" s="406"/>
      <c r="IC10" s="406"/>
      <c r="ID10" s="406"/>
      <c r="IE10" s="406"/>
      <c r="IF10" s="406"/>
      <c r="IG10" s="406"/>
      <c r="IH10" s="406"/>
      <c r="II10" s="406"/>
      <c r="IJ10" s="406"/>
      <c r="IK10" s="406"/>
      <c r="IL10" s="406"/>
      <c r="IM10" s="406"/>
      <c r="IN10" s="406"/>
      <c r="IO10" s="406"/>
      <c r="IP10" s="406"/>
      <c r="IQ10" s="406"/>
      <c r="IR10" s="406"/>
      <c r="IS10" s="406"/>
      <c r="IT10" s="406"/>
      <c r="IU10" s="406"/>
      <c r="IV10" s="406"/>
    </row>
    <row r="11" spans="1:256" ht="15.75">
      <c r="A11" s="425"/>
      <c r="B11" s="409" t="s">
        <v>258</v>
      </c>
      <c r="C11" s="426"/>
      <c r="D11" s="418">
        <f t="shared" si="0"/>
        <v>0.038</v>
      </c>
      <c r="E11" s="422">
        <v>0.06</v>
      </c>
      <c r="F11" s="413">
        <f aca="true" t="shared" si="1" ref="F11:F20">-1+D11/E11</f>
        <v>-0.3666666666666667</v>
      </c>
      <c r="G11" s="418">
        <f aca="true" t="shared" si="2" ref="G11:G18">ROUND(+H11*(1+$I$6),3)</f>
        <v>0.037</v>
      </c>
      <c r="H11" s="418">
        <v>0.05</v>
      </c>
      <c r="I11" s="413">
        <f>-1+G11/H11</f>
        <v>-0.2600000000000001</v>
      </c>
      <c r="J11" s="418">
        <f aca="true" t="shared" si="3" ref="J11:J20">ROUND(+K11*(1+$L$6),3)</f>
        <v>0.025</v>
      </c>
      <c r="K11" s="418">
        <v>0.04</v>
      </c>
      <c r="L11" s="413">
        <f>-1+J11/K11</f>
        <v>-0.375</v>
      </c>
      <c r="M11" s="406"/>
      <c r="N11" s="406"/>
      <c r="O11" s="406"/>
      <c r="P11" s="406"/>
      <c r="Q11" s="406"/>
      <c r="R11" s="406"/>
      <c r="S11" s="407"/>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c r="BW11" s="406"/>
      <c r="BX11" s="406"/>
      <c r="BY11" s="406"/>
      <c r="BZ11" s="406"/>
      <c r="CA11" s="406"/>
      <c r="CB11" s="406"/>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6"/>
      <c r="EN11" s="406"/>
      <c r="EO11" s="406"/>
      <c r="EP11" s="406"/>
      <c r="EQ11" s="406"/>
      <c r="ER11" s="406"/>
      <c r="ES11" s="406"/>
      <c r="ET11" s="406"/>
      <c r="EU11" s="406"/>
      <c r="EV11" s="406"/>
      <c r="EW11" s="406"/>
      <c r="EX11" s="406"/>
      <c r="EY11" s="406"/>
      <c r="EZ11" s="406"/>
      <c r="FA11" s="406"/>
      <c r="FB11" s="406"/>
      <c r="FC11" s="406"/>
      <c r="FD11" s="406"/>
      <c r="FE11" s="406"/>
      <c r="FF11" s="406"/>
      <c r="FG11" s="406"/>
      <c r="FH11" s="406"/>
      <c r="FI11" s="406"/>
      <c r="FJ11" s="406"/>
      <c r="FK11" s="406"/>
      <c r="FL11" s="406"/>
      <c r="FM11" s="406"/>
      <c r="FN11" s="406"/>
      <c r="FO11" s="406"/>
      <c r="FP11" s="406"/>
      <c r="FQ11" s="406"/>
      <c r="FR11" s="406"/>
      <c r="FS11" s="406"/>
      <c r="FT11" s="406"/>
      <c r="FU11" s="406"/>
      <c r="FV11" s="406"/>
      <c r="FW11" s="406"/>
      <c r="FX11" s="406"/>
      <c r="FY11" s="406"/>
      <c r="FZ11" s="406"/>
      <c r="GA11" s="406"/>
      <c r="GB11" s="406"/>
      <c r="GC11" s="406"/>
      <c r="GD11" s="406"/>
      <c r="GE11" s="406"/>
      <c r="GF11" s="406"/>
      <c r="GG11" s="406"/>
      <c r="GH11" s="406"/>
      <c r="GI11" s="406"/>
      <c r="GJ11" s="406"/>
      <c r="GK11" s="406"/>
      <c r="GL11" s="406"/>
      <c r="GM11" s="406"/>
      <c r="GN11" s="406"/>
      <c r="GO11" s="406"/>
      <c r="GP11" s="406"/>
      <c r="GQ11" s="406"/>
      <c r="GR11" s="406"/>
      <c r="GS11" s="406"/>
      <c r="GT11" s="406"/>
      <c r="GU11" s="406"/>
      <c r="GV11" s="406"/>
      <c r="GW11" s="406"/>
      <c r="GX11" s="406"/>
      <c r="GY11" s="406"/>
      <c r="GZ11" s="406"/>
      <c r="HA11" s="406"/>
      <c r="HB11" s="406"/>
      <c r="HC11" s="406"/>
      <c r="HD11" s="406"/>
      <c r="HE11" s="406"/>
      <c r="HF11" s="406"/>
      <c r="HG11" s="406"/>
      <c r="HH11" s="406"/>
      <c r="HI11" s="406"/>
      <c r="HJ11" s="406"/>
      <c r="HK11" s="406"/>
      <c r="HL11" s="406"/>
      <c r="HM11" s="406"/>
      <c r="HN11" s="406"/>
      <c r="HO11" s="406"/>
      <c r="HP11" s="406"/>
      <c r="HQ11" s="406"/>
      <c r="HR11" s="406"/>
      <c r="HS11" s="406"/>
      <c r="HT11" s="406"/>
      <c r="HU11" s="406"/>
      <c r="HV11" s="406"/>
      <c r="HW11" s="406"/>
      <c r="HX11" s="406"/>
      <c r="HY11" s="406"/>
      <c r="HZ11" s="406"/>
      <c r="IA11" s="406"/>
      <c r="IB11" s="406"/>
      <c r="IC11" s="406"/>
      <c r="ID11" s="406"/>
      <c r="IE11" s="406"/>
      <c r="IF11" s="406"/>
      <c r="IG11" s="406"/>
      <c r="IH11" s="406"/>
      <c r="II11" s="406"/>
      <c r="IJ11" s="406"/>
      <c r="IK11" s="406"/>
      <c r="IL11" s="406"/>
      <c r="IM11" s="406"/>
      <c r="IN11" s="406"/>
      <c r="IO11" s="406"/>
      <c r="IP11" s="406"/>
      <c r="IQ11" s="406"/>
      <c r="IR11" s="406"/>
      <c r="IS11" s="406"/>
      <c r="IT11" s="406"/>
      <c r="IU11" s="406"/>
      <c r="IV11" s="406"/>
    </row>
    <row r="12" spans="1:256" ht="15.75">
      <c r="A12" s="425"/>
      <c r="B12" s="409" t="s">
        <v>259</v>
      </c>
      <c r="C12" s="426"/>
      <c r="D12" s="418">
        <f t="shared" si="0"/>
        <v>0.082</v>
      </c>
      <c r="E12" s="422">
        <v>0.13</v>
      </c>
      <c r="F12" s="413">
        <f t="shared" si="1"/>
        <v>-0.36923076923076925</v>
      </c>
      <c r="G12" s="418">
        <f t="shared" si="2"/>
        <v>0.067</v>
      </c>
      <c r="H12" s="418">
        <v>0.09</v>
      </c>
      <c r="I12" s="413">
        <f>-1+G12/H12</f>
        <v>-0.25555555555555554</v>
      </c>
      <c r="J12" s="418">
        <f t="shared" si="3"/>
        <v>0.05</v>
      </c>
      <c r="K12" s="418">
        <v>0.08</v>
      </c>
      <c r="L12" s="413">
        <f>-1+J12/K12</f>
        <v>-0.375</v>
      </c>
      <c r="M12" s="406"/>
      <c r="N12" s="406"/>
      <c r="O12" s="406"/>
      <c r="P12" s="406"/>
      <c r="Q12" s="406"/>
      <c r="R12" s="406"/>
      <c r="S12" s="407"/>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c r="BV12" s="406"/>
      <c r="BW12" s="406"/>
      <c r="BX12" s="406"/>
      <c r="BY12" s="406"/>
      <c r="BZ12" s="406"/>
      <c r="CA12" s="406"/>
      <c r="CB12" s="406"/>
      <c r="CC12" s="406"/>
      <c r="CD12" s="406"/>
      <c r="CE12" s="406"/>
      <c r="CF12" s="406"/>
      <c r="CG12" s="406"/>
      <c r="CH12" s="406"/>
      <c r="CI12" s="406"/>
      <c r="CJ12" s="406"/>
      <c r="CK12" s="406"/>
      <c r="CL12" s="406"/>
      <c r="CM12" s="406"/>
      <c r="CN12" s="406"/>
      <c r="CO12" s="406"/>
      <c r="CP12" s="406"/>
      <c r="CQ12" s="406"/>
      <c r="CR12" s="406"/>
      <c r="CS12" s="406"/>
      <c r="CT12" s="406"/>
      <c r="CU12" s="406"/>
      <c r="CV12" s="406"/>
      <c r="CW12" s="406"/>
      <c r="CX12" s="406"/>
      <c r="CY12" s="406"/>
      <c r="CZ12" s="406"/>
      <c r="DA12" s="406"/>
      <c r="DB12" s="406"/>
      <c r="DC12" s="406"/>
      <c r="DD12" s="406"/>
      <c r="DE12" s="406"/>
      <c r="DF12" s="406"/>
      <c r="DG12" s="406"/>
      <c r="DH12" s="406"/>
      <c r="DI12" s="406"/>
      <c r="DJ12" s="406"/>
      <c r="DK12" s="406"/>
      <c r="DL12" s="406"/>
      <c r="DM12" s="406"/>
      <c r="DN12" s="406"/>
      <c r="DO12" s="406"/>
      <c r="DP12" s="406"/>
      <c r="DQ12" s="406"/>
      <c r="DR12" s="406"/>
      <c r="DS12" s="406"/>
      <c r="DT12" s="406"/>
      <c r="DU12" s="406"/>
      <c r="DV12" s="406"/>
      <c r="DW12" s="406"/>
      <c r="DX12" s="406"/>
      <c r="DY12" s="406"/>
      <c r="DZ12" s="406"/>
      <c r="EA12" s="406"/>
      <c r="EB12" s="406"/>
      <c r="EC12" s="406"/>
      <c r="ED12" s="406"/>
      <c r="EE12" s="406"/>
      <c r="EF12" s="406"/>
      <c r="EG12" s="406"/>
      <c r="EH12" s="406"/>
      <c r="EI12" s="406"/>
      <c r="EJ12" s="406"/>
      <c r="EK12" s="406"/>
      <c r="EL12" s="406"/>
      <c r="EM12" s="406"/>
      <c r="EN12" s="406"/>
      <c r="EO12" s="406"/>
      <c r="EP12" s="406"/>
      <c r="EQ12" s="406"/>
      <c r="ER12" s="406"/>
      <c r="ES12" s="406"/>
      <c r="ET12" s="406"/>
      <c r="EU12" s="406"/>
      <c r="EV12" s="406"/>
      <c r="EW12" s="406"/>
      <c r="EX12" s="406"/>
      <c r="EY12" s="406"/>
      <c r="EZ12" s="406"/>
      <c r="FA12" s="406"/>
      <c r="FB12" s="406"/>
      <c r="FC12" s="406"/>
      <c r="FD12" s="406"/>
      <c r="FE12" s="406"/>
      <c r="FF12" s="406"/>
      <c r="FG12" s="406"/>
      <c r="FH12" s="406"/>
      <c r="FI12" s="406"/>
      <c r="FJ12" s="406"/>
      <c r="FK12" s="406"/>
      <c r="FL12" s="406"/>
      <c r="FM12" s="406"/>
      <c r="FN12" s="406"/>
      <c r="FO12" s="406"/>
      <c r="FP12" s="406"/>
      <c r="FQ12" s="406"/>
      <c r="FR12" s="406"/>
      <c r="FS12" s="406"/>
      <c r="FT12" s="406"/>
      <c r="FU12" s="406"/>
      <c r="FV12" s="406"/>
      <c r="FW12" s="406"/>
      <c r="FX12" s="406"/>
      <c r="FY12" s="406"/>
      <c r="FZ12" s="406"/>
      <c r="GA12" s="406"/>
      <c r="GB12" s="406"/>
      <c r="GC12" s="406"/>
      <c r="GD12" s="406"/>
      <c r="GE12" s="406"/>
      <c r="GF12" s="406"/>
      <c r="GG12" s="406"/>
      <c r="GH12" s="406"/>
      <c r="GI12" s="406"/>
      <c r="GJ12" s="406"/>
      <c r="GK12" s="406"/>
      <c r="GL12" s="406"/>
      <c r="GM12" s="406"/>
      <c r="GN12" s="406"/>
      <c r="GO12" s="406"/>
      <c r="GP12" s="406"/>
      <c r="GQ12" s="406"/>
      <c r="GR12" s="406"/>
      <c r="GS12" s="406"/>
      <c r="GT12" s="406"/>
      <c r="GU12" s="406"/>
      <c r="GV12" s="406"/>
      <c r="GW12" s="406"/>
      <c r="GX12" s="406"/>
      <c r="GY12" s="406"/>
      <c r="GZ12" s="406"/>
      <c r="HA12" s="406"/>
      <c r="HB12" s="406"/>
      <c r="HC12" s="406"/>
      <c r="HD12" s="406"/>
      <c r="HE12" s="406"/>
      <c r="HF12" s="406"/>
      <c r="HG12" s="406"/>
      <c r="HH12" s="406"/>
      <c r="HI12" s="406"/>
      <c r="HJ12" s="406"/>
      <c r="HK12" s="406"/>
      <c r="HL12" s="406"/>
      <c r="HM12" s="406"/>
      <c r="HN12" s="406"/>
      <c r="HO12" s="406"/>
      <c r="HP12" s="406"/>
      <c r="HQ12" s="406"/>
      <c r="HR12" s="406"/>
      <c r="HS12" s="406"/>
      <c r="HT12" s="406"/>
      <c r="HU12" s="406"/>
      <c r="HV12" s="406"/>
      <c r="HW12" s="406"/>
      <c r="HX12" s="406"/>
      <c r="HY12" s="406"/>
      <c r="HZ12" s="406"/>
      <c r="IA12" s="406"/>
      <c r="IB12" s="406"/>
      <c r="IC12" s="406"/>
      <c r="ID12" s="406"/>
      <c r="IE12" s="406"/>
      <c r="IF12" s="406"/>
      <c r="IG12" s="406"/>
      <c r="IH12" s="406"/>
      <c r="II12" s="406"/>
      <c r="IJ12" s="406"/>
      <c r="IK12" s="406"/>
      <c r="IL12" s="406"/>
      <c r="IM12" s="406"/>
      <c r="IN12" s="406"/>
      <c r="IO12" s="406"/>
      <c r="IP12" s="406"/>
      <c r="IQ12" s="406"/>
      <c r="IR12" s="406"/>
      <c r="IS12" s="406"/>
      <c r="IT12" s="406"/>
      <c r="IU12" s="406"/>
      <c r="IV12" s="406"/>
    </row>
    <row r="13" spans="1:256" ht="15.75">
      <c r="A13" s="425"/>
      <c r="B13" s="409" t="s">
        <v>260</v>
      </c>
      <c r="C13" s="410"/>
      <c r="D13" s="418">
        <f t="shared" si="0"/>
        <v>0.12</v>
      </c>
      <c r="E13" s="422">
        <v>0.19</v>
      </c>
      <c r="F13" s="413">
        <f t="shared" si="1"/>
        <v>-0.368421052631579</v>
      </c>
      <c r="G13" s="418">
        <f t="shared" si="2"/>
        <v>0.112</v>
      </c>
      <c r="H13" s="418">
        <v>0.15</v>
      </c>
      <c r="I13" s="413">
        <f>-1+G13/H13</f>
        <v>-0.2533333333333333</v>
      </c>
      <c r="J13" s="418">
        <f t="shared" si="3"/>
        <v>0.075</v>
      </c>
      <c r="K13" s="418">
        <v>0.12</v>
      </c>
      <c r="L13" s="413">
        <f>-1+J13/K13</f>
        <v>-0.375</v>
      </c>
      <c r="M13" s="406"/>
      <c r="N13" s="406"/>
      <c r="O13" s="406"/>
      <c r="P13" s="406"/>
      <c r="Q13" s="406"/>
      <c r="R13" s="406"/>
      <c r="S13" s="407"/>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406"/>
      <c r="CK13" s="406"/>
      <c r="CL13" s="406"/>
      <c r="CM13" s="406"/>
      <c r="CN13" s="406"/>
      <c r="CO13" s="406"/>
      <c r="CP13" s="406"/>
      <c r="CQ13" s="406"/>
      <c r="CR13" s="406"/>
      <c r="CS13" s="406"/>
      <c r="CT13" s="406"/>
      <c r="CU13" s="406"/>
      <c r="CV13" s="406"/>
      <c r="CW13" s="406"/>
      <c r="CX13" s="406"/>
      <c r="CY13" s="406"/>
      <c r="CZ13" s="406"/>
      <c r="DA13" s="406"/>
      <c r="DB13" s="406"/>
      <c r="DC13" s="406"/>
      <c r="DD13" s="406"/>
      <c r="DE13" s="406"/>
      <c r="DF13" s="406"/>
      <c r="DG13" s="406"/>
      <c r="DH13" s="406"/>
      <c r="DI13" s="406"/>
      <c r="DJ13" s="406"/>
      <c r="DK13" s="406"/>
      <c r="DL13" s="406"/>
      <c r="DM13" s="406"/>
      <c r="DN13" s="406"/>
      <c r="DO13" s="406"/>
      <c r="DP13" s="406"/>
      <c r="DQ13" s="406"/>
      <c r="DR13" s="406"/>
      <c r="DS13" s="406"/>
      <c r="DT13" s="406"/>
      <c r="DU13" s="406"/>
      <c r="DV13" s="406"/>
      <c r="DW13" s="406"/>
      <c r="DX13" s="406"/>
      <c r="DY13" s="406"/>
      <c r="DZ13" s="406"/>
      <c r="EA13" s="406"/>
      <c r="EB13" s="406"/>
      <c r="EC13" s="406"/>
      <c r="ED13" s="406"/>
      <c r="EE13" s="406"/>
      <c r="EF13" s="406"/>
      <c r="EG13" s="406"/>
      <c r="EH13" s="406"/>
      <c r="EI13" s="406"/>
      <c r="EJ13" s="406"/>
      <c r="EK13" s="406"/>
      <c r="EL13" s="406"/>
      <c r="EM13" s="406"/>
      <c r="EN13" s="406"/>
      <c r="EO13" s="406"/>
      <c r="EP13" s="406"/>
      <c r="EQ13" s="406"/>
      <c r="ER13" s="406"/>
      <c r="ES13" s="406"/>
      <c r="ET13" s="406"/>
      <c r="EU13" s="406"/>
      <c r="EV13" s="406"/>
      <c r="EW13" s="406"/>
      <c r="EX13" s="406"/>
      <c r="EY13" s="406"/>
      <c r="EZ13" s="406"/>
      <c r="FA13" s="406"/>
      <c r="FB13" s="406"/>
      <c r="FC13" s="406"/>
      <c r="FD13" s="406"/>
      <c r="FE13" s="406"/>
      <c r="FF13" s="406"/>
      <c r="FG13" s="406"/>
      <c r="FH13" s="406"/>
      <c r="FI13" s="406"/>
      <c r="FJ13" s="406"/>
      <c r="FK13" s="406"/>
      <c r="FL13" s="406"/>
      <c r="FM13" s="406"/>
      <c r="FN13" s="406"/>
      <c r="FO13" s="406"/>
      <c r="FP13" s="406"/>
      <c r="FQ13" s="406"/>
      <c r="FR13" s="406"/>
      <c r="FS13" s="406"/>
      <c r="FT13" s="406"/>
      <c r="FU13" s="406"/>
      <c r="FV13" s="406"/>
      <c r="FW13" s="406"/>
      <c r="FX13" s="406"/>
      <c r="FY13" s="406"/>
      <c r="FZ13" s="406"/>
      <c r="GA13" s="406"/>
      <c r="GB13" s="406"/>
      <c r="GC13" s="406"/>
      <c r="GD13" s="406"/>
      <c r="GE13" s="406"/>
      <c r="GF13" s="406"/>
      <c r="GG13" s="406"/>
      <c r="GH13" s="406"/>
      <c r="GI13" s="406"/>
      <c r="GJ13" s="406"/>
      <c r="GK13" s="406"/>
      <c r="GL13" s="406"/>
      <c r="GM13" s="406"/>
      <c r="GN13" s="406"/>
      <c r="GO13" s="406"/>
      <c r="GP13" s="406"/>
      <c r="GQ13" s="406"/>
      <c r="GR13" s="406"/>
      <c r="GS13" s="406"/>
      <c r="GT13" s="406"/>
      <c r="GU13" s="406"/>
      <c r="GV13" s="406"/>
      <c r="GW13" s="406"/>
      <c r="GX13" s="406"/>
      <c r="GY13" s="406"/>
      <c r="GZ13" s="406"/>
      <c r="HA13" s="406"/>
      <c r="HB13" s="406"/>
      <c r="HC13" s="406"/>
      <c r="HD13" s="406"/>
      <c r="HE13" s="406"/>
      <c r="HF13" s="406"/>
      <c r="HG13" s="406"/>
      <c r="HH13" s="406"/>
      <c r="HI13" s="406"/>
      <c r="HJ13" s="406"/>
      <c r="HK13" s="406"/>
      <c r="HL13" s="406"/>
      <c r="HM13" s="406"/>
      <c r="HN13" s="406"/>
      <c r="HO13" s="406"/>
      <c r="HP13" s="406"/>
      <c r="HQ13" s="406"/>
      <c r="HR13" s="406"/>
      <c r="HS13" s="406"/>
      <c r="HT13" s="406"/>
      <c r="HU13" s="406"/>
      <c r="HV13" s="406"/>
      <c r="HW13" s="406"/>
      <c r="HX13" s="406"/>
      <c r="HY13" s="406"/>
      <c r="HZ13" s="406"/>
      <c r="IA13" s="406"/>
      <c r="IB13" s="406"/>
      <c r="IC13" s="406"/>
      <c r="ID13" s="406"/>
      <c r="IE13" s="406"/>
      <c r="IF13" s="406"/>
      <c r="IG13" s="406"/>
      <c r="IH13" s="406"/>
      <c r="II13" s="406"/>
      <c r="IJ13" s="406"/>
      <c r="IK13" s="406"/>
      <c r="IL13" s="406"/>
      <c r="IM13" s="406"/>
      <c r="IN13" s="406"/>
      <c r="IO13" s="406"/>
      <c r="IP13" s="406"/>
      <c r="IQ13" s="406"/>
      <c r="IR13" s="406"/>
      <c r="IS13" s="406"/>
      <c r="IT13" s="406"/>
      <c r="IU13" s="406"/>
      <c r="IV13" s="406"/>
    </row>
    <row r="14" spans="1:256" ht="15.75">
      <c r="A14" s="425"/>
      <c r="B14" s="409" t="s">
        <v>261</v>
      </c>
      <c r="C14" s="410"/>
      <c r="D14" s="418">
        <f t="shared" si="0"/>
        <v>0.254</v>
      </c>
      <c r="E14" s="427">
        <v>0.4</v>
      </c>
      <c r="F14" s="413">
        <f t="shared" si="1"/>
        <v>-0.365</v>
      </c>
      <c r="G14" s="418">
        <f t="shared" si="2"/>
        <v>0.253</v>
      </c>
      <c r="H14" s="418">
        <v>0.34</v>
      </c>
      <c r="I14" s="413">
        <f aca="true" t="shared" si="4" ref="I14:I20">-1+G14/H14</f>
        <v>-0.25588235294117656</v>
      </c>
      <c r="J14" s="418">
        <f t="shared" si="3"/>
        <v>0.168</v>
      </c>
      <c r="K14" s="418">
        <v>0.27</v>
      </c>
      <c r="L14" s="413">
        <f aca="true" t="shared" si="5" ref="L14:L20">-1+J14/K14</f>
        <v>-0.37777777777777777</v>
      </c>
      <c r="M14" s="406"/>
      <c r="N14" s="406"/>
      <c r="O14" s="406"/>
      <c r="P14" s="406"/>
      <c r="Q14" s="406"/>
      <c r="R14" s="406"/>
      <c r="S14" s="407"/>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6"/>
      <c r="BO14" s="406"/>
      <c r="BP14" s="406"/>
      <c r="BQ14" s="406"/>
      <c r="BR14" s="406"/>
      <c r="BS14" s="406"/>
      <c r="BT14" s="406"/>
      <c r="BU14" s="406"/>
      <c r="BV14" s="406"/>
      <c r="BW14" s="406"/>
      <c r="BX14" s="406"/>
      <c r="BY14" s="406"/>
      <c r="BZ14" s="406"/>
      <c r="CA14" s="406"/>
      <c r="CB14" s="406"/>
      <c r="CC14" s="406"/>
      <c r="CD14" s="406"/>
      <c r="CE14" s="406"/>
      <c r="CF14" s="406"/>
      <c r="CG14" s="406"/>
      <c r="CH14" s="406"/>
      <c r="CI14" s="406"/>
      <c r="CJ14" s="406"/>
      <c r="CK14" s="406"/>
      <c r="CL14" s="406"/>
      <c r="CM14" s="406"/>
      <c r="CN14" s="406"/>
      <c r="CO14" s="406"/>
      <c r="CP14" s="406"/>
      <c r="CQ14" s="406"/>
      <c r="CR14" s="406"/>
      <c r="CS14" s="406"/>
      <c r="CT14" s="406"/>
      <c r="CU14" s="406"/>
      <c r="CV14" s="406"/>
      <c r="CW14" s="406"/>
      <c r="CX14" s="406"/>
      <c r="CY14" s="406"/>
      <c r="CZ14" s="406"/>
      <c r="DA14" s="406"/>
      <c r="DB14" s="406"/>
      <c r="DC14" s="406"/>
      <c r="DD14" s="406"/>
      <c r="DE14" s="406"/>
      <c r="DF14" s="406"/>
      <c r="DG14" s="406"/>
      <c r="DH14" s="406"/>
      <c r="DI14" s="406"/>
      <c r="DJ14" s="406"/>
      <c r="DK14" s="406"/>
      <c r="DL14" s="406"/>
      <c r="DM14" s="406"/>
      <c r="DN14" s="406"/>
      <c r="DO14" s="406"/>
      <c r="DP14" s="406"/>
      <c r="DQ14" s="406"/>
      <c r="DR14" s="406"/>
      <c r="DS14" s="406"/>
      <c r="DT14" s="406"/>
      <c r="DU14" s="406"/>
      <c r="DV14" s="406"/>
      <c r="DW14" s="406"/>
      <c r="DX14" s="406"/>
      <c r="DY14" s="406"/>
      <c r="DZ14" s="406"/>
      <c r="EA14" s="406"/>
      <c r="EB14" s="406"/>
      <c r="EC14" s="406"/>
      <c r="ED14" s="406"/>
      <c r="EE14" s="406"/>
      <c r="EF14" s="406"/>
      <c r="EG14" s="406"/>
      <c r="EH14" s="406"/>
      <c r="EI14" s="406"/>
      <c r="EJ14" s="406"/>
      <c r="EK14" s="406"/>
      <c r="EL14" s="406"/>
      <c r="EM14" s="406"/>
      <c r="EN14" s="406"/>
      <c r="EO14" s="406"/>
      <c r="EP14" s="406"/>
      <c r="EQ14" s="406"/>
      <c r="ER14" s="406"/>
      <c r="ES14" s="406"/>
      <c r="ET14" s="406"/>
      <c r="EU14" s="406"/>
      <c r="EV14" s="406"/>
      <c r="EW14" s="406"/>
      <c r="EX14" s="406"/>
      <c r="EY14" s="406"/>
      <c r="EZ14" s="406"/>
      <c r="FA14" s="406"/>
      <c r="FB14" s="406"/>
      <c r="FC14" s="406"/>
      <c r="FD14" s="406"/>
      <c r="FE14" s="406"/>
      <c r="FF14" s="406"/>
      <c r="FG14" s="406"/>
      <c r="FH14" s="406"/>
      <c r="FI14" s="406"/>
      <c r="FJ14" s="406"/>
      <c r="FK14" s="406"/>
      <c r="FL14" s="406"/>
      <c r="FM14" s="406"/>
      <c r="FN14" s="406"/>
      <c r="FO14" s="406"/>
      <c r="FP14" s="406"/>
      <c r="FQ14" s="406"/>
      <c r="FR14" s="406"/>
      <c r="FS14" s="406"/>
      <c r="FT14" s="406"/>
      <c r="FU14" s="406"/>
      <c r="FV14" s="406"/>
      <c r="FW14" s="406"/>
      <c r="FX14" s="406"/>
      <c r="FY14" s="406"/>
      <c r="FZ14" s="406"/>
      <c r="GA14" s="406"/>
      <c r="GB14" s="406"/>
      <c r="GC14" s="406"/>
      <c r="GD14" s="406"/>
      <c r="GE14" s="406"/>
      <c r="GF14" s="406"/>
      <c r="GG14" s="406"/>
      <c r="GH14" s="406"/>
      <c r="GI14" s="406"/>
      <c r="GJ14" s="406"/>
      <c r="GK14" s="406"/>
      <c r="GL14" s="406"/>
      <c r="GM14" s="406"/>
      <c r="GN14" s="406"/>
      <c r="GO14" s="406"/>
      <c r="GP14" s="406"/>
      <c r="GQ14" s="406"/>
      <c r="GR14" s="406"/>
      <c r="GS14" s="406"/>
      <c r="GT14" s="406"/>
      <c r="GU14" s="406"/>
      <c r="GV14" s="406"/>
      <c r="GW14" s="406"/>
      <c r="GX14" s="406"/>
      <c r="GY14" s="406"/>
      <c r="GZ14" s="406"/>
      <c r="HA14" s="406"/>
      <c r="HB14" s="406"/>
      <c r="HC14" s="406"/>
      <c r="HD14" s="406"/>
      <c r="HE14" s="406"/>
      <c r="HF14" s="406"/>
      <c r="HG14" s="406"/>
      <c r="HH14" s="406"/>
      <c r="HI14" s="406"/>
      <c r="HJ14" s="406"/>
      <c r="HK14" s="406"/>
      <c r="HL14" s="406"/>
      <c r="HM14" s="406"/>
      <c r="HN14" s="406"/>
      <c r="HO14" s="406"/>
      <c r="HP14" s="406"/>
      <c r="HQ14" s="406"/>
      <c r="HR14" s="406"/>
      <c r="HS14" s="406"/>
      <c r="HT14" s="406"/>
      <c r="HU14" s="406"/>
      <c r="HV14" s="406"/>
      <c r="HW14" s="406"/>
      <c r="HX14" s="406"/>
      <c r="HY14" s="406"/>
      <c r="HZ14" s="406"/>
      <c r="IA14" s="406"/>
      <c r="IB14" s="406"/>
      <c r="IC14" s="406"/>
      <c r="ID14" s="406"/>
      <c r="IE14" s="406"/>
      <c r="IF14" s="406"/>
      <c r="IG14" s="406"/>
      <c r="IH14" s="406"/>
      <c r="II14" s="406"/>
      <c r="IJ14" s="406"/>
      <c r="IK14" s="406"/>
      <c r="IL14" s="406"/>
      <c r="IM14" s="406"/>
      <c r="IN14" s="406"/>
      <c r="IO14" s="406"/>
      <c r="IP14" s="406"/>
      <c r="IQ14" s="406"/>
      <c r="IR14" s="406"/>
      <c r="IS14" s="406"/>
      <c r="IT14" s="406"/>
      <c r="IU14" s="406"/>
      <c r="IV14" s="406"/>
    </row>
    <row r="15" spans="1:256" ht="15.75">
      <c r="A15" s="425"/>
      <c r="B15" s="409" t="s">
        <v>262</v>
      </c>
      <c r="C15" s="410"/>
      <c r="D15" s="418">
        <f t="shared" si="0"/>
        <v>0.387</v>
      </c>
      <c r="E15" s="428">
        <v>0.61</v>
      </c>
      <c r="F15" s="413">
        <f t="shared" si="1"/>
        <v>-0.3655737704918033</v>
      </c>
      <c r="G15" s="418">
        <f t="shared" si="2"/>
        <v>0.372</v>
      </c>
      <c r="H15" s="418">
        <v>0.5</v>
      </c>
      <c r="I15" s="413">
        <f t="shared" si="4"/>
        <v>-0.256</v>
      </c>
      <c r="J15" s="418">
        <f t="shared" si="3"/>
        <v>0.255</v>
      </c>
      <c r="K15" s="418">
        <v>0.41</v>
      </c>
      <c r="L15" s="413">
        <f t="shared" si="5"/>
        <v>-0.3780487804878049</v>
      </c>
      <c r="M15" s="406"/>
      <c r="N15" s="406"/>
      <c r="O15" s="406"/>
      <c r="P15" s="406"/>
      <c r="Q15" s="406"/>
      <c r="R15" s="406"/>
      <c r="S15" s="407"/>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c r="BW15" s="406"/>
      <c r="BX15" s="406"/>
      <c r="BY15" s="406"/>
      <c r="BZ15" s="406"/>
      <c r="CA15" s="406"/>
      <c r="CB15" s="406"/>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6"/>
      <c r="DC15" s="406"/>
      <c r="DD15" s="406"/>
      <c r="DE15" s="406"/>
      <c r="DF15" s="406"/>
      <c r="DG15" s="406"/>
      <c r="DH15" s="406"/>
      <c r="DI15" s="406"/>
      <c r="DJ15" s="406"/>
      <c r="DK15" s="406"/>
      <c r="DL15" s="406"/>
      <c r="DM15" s="406"/>
      <c r="DN15" s="406"/>
      <c r="DO15" s="406"/>
      <c r="DP15" s="406"/>
      <c r="DQ15" s="406"/>
      <c r="DR15" s="406"/>
      <c r="DS15" s="406"/>
      <c r="DT15" s="406"/>
      <c r="DU15" s="406"/>
      <c r="DV15" s="406"/>
      <c r="DW15" s="406"/>
      <c r="DX15" s="406"/>
      <c r="DY15" s="406"/>
      <c r="DZ15" s="406"/>
      <c r="EA15" s="406"/>
      <c r="EB15" s="406"/>
      <c r="EC15" s="406"/>
      <c r="ED15" s="406"/>
      <c r="EE15" s="406"/>
      <c r="EF15" s="406"/>
      <c r="EG15" s="406"/>
      <c r="EH15" s="406"/>
      <c r="EI15" s="406"/>
      <c r="EJ15" s="406"/>
      <c r="EK15" s="406"/>
      <c r="EL15" s="406"/>
      <c r="EM15" s="406"/>
      <c r="EN15" s="406"/>
      <c r="EO15" s="406"/>
      <c r="EP15" s="406"/>
      <c r="EQ15" s="406"/>
      <c r="ER15" s="406"/>
      <c r="ES15" s="406"/>
      <c r="ET15" s="406"/>
      <c r="EU15" s="406"/>
      <c r="EV15" s="406"/>
      <c r="EW15" s="406"/>
      <c r="EX15" s="406"/>
      <c r="EY15" s="406"/>
      <c r="EZ15" s="406"/>
      <c r="FA15" s="406"/>
      <c r="FB15" s="406"/>
      <c r="FC15" s="406"/>
      <c r="FD15" s="406"/>
      <c r="FE15" s="406"/>
      <c r="FF15" s="406"/>
      <c r="FG15" s="406"/>
      <c r="FH15" s="406"/>
      <c r="FI15" s="406"/>
      <c r="FJ15" s="406"/>
      <c r="FK15" s="406"/>
      <c r="FL15" s="406"/>
      <c r="FM15" s="406"/>
      <c r="FN15" s="406"/>
      <c r="FO15" s="406"/>
      <c r="FP15" s="406"/>
      <c r="FQ15" s="406"/>
      <c r="FR15" s="406"/>
      <c r="FS15" s="406"/>
      <c r="FT15" s="406"/>
      <c r="FU15" s="406"/>
      <c r="FV15" s="406"/>
      <c r="FW15" s="406"/>
      <c r="FX15" s="406"/>
      <c r="FY15" s="406"/>
      <c r="FZ15" s="406"/>
      <c r="GA15" s="406"/>
      <c r="GB15" s="406"/>
      <c r="GC15" s="406"/>
      <c r="GD15" s="406"/>
      <c r="GE15" s="406"/>
      <c r="GF15" s="406"/>
      <c r="GG15" s="406"/>
      <c r="GH15" s="406"/>
      <c r="GI15" s="406"/>
      <c r="GJ15" s="406"/>
      <c r="GK15" s="406"/>
      <c r="GL15" s="406"/>
      <c r="GM15" s="406"/>
      <c r="GN15" s="406"/>
      <c r="GO15" s="406"/>
      <c r="GP15" s="406"/>
      <c r="GQ15" s="406"/>
      <c r="GR15" s="406"/>
      <c r="GS15" s="406"/>
      <c r="GT15" s="406"/>
      <c r="GU15" s="406"/>
      <c r="GV15" s="406"/>
      <c r="GW15" s="406"/>
      <c r="GX15" s="406"/>
      <c r="GY15" s="406"/>
      <c r="GZ15" s="406"/>
      <c r="HA15" s="406"/>
      <c r="HB15" s="406"/>
      <c r="HC15" s="406"/>
      <c r="HD15" s="406"/>
      <c r="HE15" s="406"/>
      <c r="HF15" s="406"/>
      <c r="HG15" s="406"/>
      <c r="HH15" s="406"/>
      <c r="HI15" s="406"/>
      <c r="HJ15" s="406"/>
      <c r="HK15" s="406"/>
      <c r="HL15" s="406"/>
      <c r="HM15" s="406"/>
      <c r="HN15" s="406"/>
      <c r="HO15" s="406"/>
      <c r="HP15" s="406"/>
      <c r="HQ15" s="406"/>
      <c r="HR15" s="406"/>
      <c r="HS15" s="406"/>
      <c r="HT15" s="406"/>
      <c r="HU15" s="406"/>
      <c r="HV15" s="406"/>
      <c r="HW15" s="406"/>
      <c r="HX15" s="406"/>
      <c r="HY15" s="406"/>
      <c r="HZ15" s="406"/>
      <c r="IA15" s="406"/>
      <c r="IB15" s="406"/>
      <c r="IC15" s="406"/>
      <c r="ID15" s="406"/>
      <c r="IE15" s="406"/>
      <c r="IF15" s="406"/>
      <c r="IG15" s="406"/>
      <c r="IH15" s="406"/>
      <c r="II15" s="406"/>
      <c r="IJ15" s="406"/>
      <c r="IK15" s="406"/>
      <c r="IL15" s="406"/>
      <c r="IM15" s="406"/>
      <c r="IN15" s="406"/>
      <c r="IO15" s="406"/>
      <c r="IP15" s="406"/>
      <c r="IQ15" s="406"/>
      <c r="IR15" s="406"/>
      <c r="IS15" s="406"/>
      <c r="IT15" s="406"/>
      <c r="IU15" s="406"/>
      <c r="IV15" s="406"/>
    </row>
    <row r="16" spans="1:256" ht="15.75">
      <c r="A16" s="425"/>
      <c r="B16" s="409" t="s">
        <v>263</v>
      </c>
      <c r="C16" s="410"/>
      <c r="D16" s="418">
        <f t="shared" si="0"/>
        <v>0.514</v>
      </c>
      <c r="E16" s="428">
        <v>0.81</v>
      </c>
      <c r="F16" s="413">
        <f t="shared" si="1"/>
        <v>-0.36543209876543215</v>
      </c>
      <c r="G16" s="418">
        <f t="shared" si="2"/>
        <v>0.498</v>
      </c>
      <c r="H16" s="418">
        <v>0.67</v>
      </c>
      <c r="I16" s="413">
        <f t="shared" si="4"/>
        <v>-0.25671641791044786</v>
      </c>
      <c r="J16" s="418">
        <f t="shared" si="3"/>
        <v>0.336</v>
      </c>
      <c r="K16" s="418">
        <v>0.54</v>
      </c>
      <c r="L16" s="413">
        <f t="shared" si="5"/>
        <v>-0.37777777777777777</v>
      </c>
      <c r="M16" s="406"/>
      <c r="N16" s="406"/>
      <c r="O16" s="406"/>
      <c r="P16" s="406"/>
      <c r="Q16" s="406"/>
      <c r="R16" s="406"/>
      <c r="S16" s="407"/>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6"/>
      <c r="BT16" s="406"/>
      <c r="BU16" s="406"/>
      <c r="BV16" s="406"/>
      <c r="BW16" s="406"/>
      <c r="BX16" s="406"/>
      <c r="BY16" s="406"/>
      <c r="BZ16" s="406"/>
      <c r="CA16" s="406"/>
      <c r="CB16" s="406"/>
      <c r="CC16" s="406"/>
      <c r="CD16" s="406"/>
      <c r="CE16" s="406"/>
      <c r="CF16" s="406"/>
      <c r="CG16" s="406"/>
      <c r="CH16" s="406"/>
      <c r="CI16" s="406"/>
      <c r="CJ16" s="406"/>
      <c r="CK16" s="406"/>
      <c r="CL16" s="406"/>
      <c r="CM16" s="406"/>
      <c r="CN16" s="406"/>
      <c r="CO16" s="406"/>
      <c r="CP16" s="406"/>
      <c r="CQ16" s="406"/>
      <c r="CR16" s="406"/>
      <c r="CS16" s="406"/>
      <c r="CT16" s="406"/>
      <c r="CU16" s="406"/>
      <c r="CV16" s="406"/>
      <c r="CW16" s="406"/>
      <c r="CX16" s="406"/>
      <c r="CY16" s="406"/>
      <c r="CZ16" s="406"/>
      <c r="DA16" s="406"/>
      <c r="DB16" s="406"/>
      <c r="DC16" s="406"/>
      <c r="DD16" s="406"/>
      <c r="DE16" s="406"/>
      <c r="DF16" s="406"/>
      <c r="DG16" s="406"/>
      <c r="DH16" s="406"/>
      <c r="DI16" s="406"/>
      <c r="DJ16" s="406"/>
      <c r="DK16" s="406"/>
      <c r="DL16" s="406"/>
      <c r="DM16" s="406"/>
      <c r="DN16" s="406"/>
      <c r="DO16" s="406"/>
      <c r="DP16" s="406"/>
      <c r="DQ16" s="406"/>
      <c r="DR16" s="406"/>
      <c r="DS16" s="406"/>
      <c r="DT16" s="406"/>
      <c r="DU16" s="406"/>
      <c r="DV16" s="406"/>
      <c r="DW16" s="406"/>
      <c r="DX16" s="406"/>
      <c r="DY16" s="406"/>
      <c r="DZ16" s="406"/>
      <c r="EA16" s="406"/>
      <c r="EB16" s="406"/>
      <c r="EC16" s="406"/>
      <c r="ED16" s="406"/>
      <c r="EE16" s="406"/>
      <c r="EF16" s="406"/>
      <c r="EG16" s="406"/>
      <c r="EH16" s="406"/>
      <c r="EI16" s="406"/>
      <c r="EJ16" s="406"/>
      <c r="EK16" s="406"/>
      <c r="EL16" s="406"/>
      <c r="EM16" s="406"/>
      <c r="EN16" s="406"/>
      <c r="EO16" s="406"/>
      <c r="EP16" s="406"/>
      <c r="EQ16" s="406"/>
      <c r="ER16" s="406"/>
      <c r="ES16" s="406"/>
      <c r="ET16" s="406"/>
      <c r="EU16" s="406"/>
      <c r="EV16" s="406"/>
      <c r="EW16" s="406"/>
      <c r="EX16" s="406"/>
      <c r="EY16" s="406"/>
      <c r="EZ16" s="406"/>
      <c r="FA16" s="406"/>
      <c r="FB16" s="406"/>
      <c r="FC16" s="406"/>
      <c r="FD16" s="406"/>
      <c r="FE16" s="406"/>
      <c r="FF16" s="406"/>
      <c r="FG16" s="406"/>
      <c r="FH16" s="406"/>
      <c r="FI16" s="406"/>
      <c r="FJ16" s="406"/>
      <c r="FK16" s="406"/>
      <c r="FL16" s="406"/>
      <c r="FM16" s="406"/>
      <c r="FN16" s="406"/>
      <c r="FO16" s="406"/>
      <c r="FP16" s="406"/>
      <c r="FQ16" s="406"/>
      <c r="FR16" s="406"/>
      <c r="FS16" s="406"/>
      <c r="FT16" s="406"/>
      <c r="FU16" s="406"/>
      <c r="FV16" s="406"/>
      <c r="FW16" s="406"/>
      <c r="FX16" s="406"/>
      <c r="FY16" s="406"/>
      <c r="FZ16" s="406"/>
      <c r="GA16" s="406"/>
      <c r="GB16" s="406"/>
      <c r="GC16" s="406"/>
      <c r="GD16" s="406"/>
      <c r="GE16" s="406"/>
      <c r="GF16" s="406"/>
      <c r="GG16" s="406"/>
      <c r="GH16" s="406"/>
      <c r="GI16" s="406"/>
      <c r="GJ16" s="406"/>
      <c r="GK16" s="406"/>
      <c r="GL16" s="406"/>
      <c r="GM16" s="406"/>
      <c r="GN16" s="406"/>
      <c r="GO16" s="406"/>
      <c r="GP16" s="406"/>
      <c r="GQ16" s="406"/>
      <c r="GR16" s="406"/>
      <c r="GS16" s="406"/>
      <c r="GT16" s="406"/>
      <c r="GU16" s="406"/>
      <c r="GV16" s="406"/>
      <c r="GW16" s="406"/>
      <c r="GX16" s="406"/>
      <c r="GY16" s="406"/>
      <c r="GZ16" s="406"/>
      <c r="HA16" s="406"/>
      <c r="HB16" s="406"/>
      <c r="HC16" s="406"/>
      <c r="HD16" s="406"/>
      <c r="HE16" s="406"/>
      <c r="HF16" s="406"/>
      <c r="HG16" s="406"/>
      <c r="HH16" s="406"/>
      <c r="HI16" s="406"/>
      <c r="HJ16" s="406"/>
      <c r="HK16" s="406"/>
      <c r="HL16" s="406"/>
      <c r="HM16" s="406"/>
      <c r="HN16" s="406"/>
      <c r="HO16" s="406"/>
      <c r="HP16" s="406"/>
      <c r="HQ16" s="406"/>
      <c r="HR16" s="406"/>
      <c r="HS16" s="406"/>
      <c r="HT16" s="406"/>
      <c r="HU16" s="406"/>
      <c r="HV16" s="406"/>
      <c r="HW16" s="406"/>
      <c r="HX16" s="406"/>
      <c r="HY16" s="406"/>
      <c r="HZ16" s="406"/>
      <c r="IA16" s="406"/>
      <c r="IB16" s="406"/>
      <c r="IC16" s="406"/>
      <c r="ID16" s="406"/>
      <c r="IE16" s="406"/>
      <c r="IF16" s="406"/>
      <c r="IG16" s="406"/>
      <c r="IH16" s="406"/>
      <c r="II16" s="406"/>
      <c r="IJ16" s="406"/>
      <c r="IK16" s="406"/>
      <c r="IL16" s="406"/>
      <c r="IM16" s="406"/>
      <c r="IN16" s="406"/>
      <c r="IO16" s="406"/>
      <c r="IP16" s="406"/>
      <c r="IQ16" s="406"/>
      <c r="IR16" s="406"/>
      <c r="IS16" s="406"/>
      <c r="IT16" s="406"/>
      <c r="IU16" s="406"/>
      <c r="IV16" s="406"/>
    </row>
    <row r="17" spans="1:256" ht="15.75">
      <c r="A17" s="425"/>
      <c r="B17" s="409" t="s">
        <v>264</v>
      </c>
      <c r="C17" s="410"/>
      <c r="D17" s="418">
        <f t="shared" si="0"/>
        <v>0.767</v>
      </c>
      <c r="E17" s="428">
        <v>1.21</v>
      </c>
      <c r="F17" s="413">
        <f t="shared" si="1"/>
        <v>-0.3661157024793388</v>
      </c>
      <c r="G17" s="418">
        <f t="shared" si="2"/>
        <v>0.751</v>
      </c>
      <c r="H17" s="418">
        <v>1.01</v>
      </c>
      <c r="I17" s="413">
        <f t="shared" si="4"/>
        <v>-0.25643564356435644</v>
      </c>
      <c r="J17" s="418">
        <f t="shared" si="3"/>
        <v>0.51</v>
      </c>
      <c r="K17" s="418">
        <v>0.82</v>
      </c>
      <c r="L17" s="413">
        <f t="shared" si="5"/>
        <v>-0.3780487804878049</v>
      </c>
      <c r="M17" s="406"/>
      <c r="N17" s="406"/>
      <c r="O17" s="406"/>
      <c r="P17" s="406"/>
      <c r="Q17" s="406"/>
      <c r="R17" s="406"/>
      <c r="S17" s="407"/>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c r="BZ17" s="406"/>
      <c r="CA17" s="406"/>
      <c r="CB17" s="406"/>
      <c r="CC17" s="406"/>
      <c r="CD17" s="406"/>
      <c r="CE17" s="406"/>
      <c r="CF17" s="406"/>
      <c r="CG17" s="406"/>
      <c r="CH17" s="406"/>
      <c r="CI17" s="406"/>
      <c r="CJ17" s="406"/>
      <c r="CK17" s="406"/>
      <c r="CL17" s="406"/>
      <c r="CM17" s="406"/>
      <c r="CN17" s="406"/>
      <c r="CO17" s="406"/>
      <c r="CP17" s="406"/>
      <c r="CQ17" s="406"/>
      <c r="CR17" s="406"/>
      <c r="CS17" s="406"/>
      <c r="CT17" s="406"/>
      <c r="CU17" s="406"/>
      <c r="CV17" s="406"/>
      <c r="CW17" s="406"/>
      <c r="CX17" s="406"/>
      <c r="CY17" s="406"/>
      <c r="CZ17" s="406"/>
      <c r="DA17" s="406"/>
      <c r="DB17" s="406"/>
      <c r="DC17" s="406"/>
      <c r="DD17" s="406"/>
      <c r="DE17" s="406"/>
      <c r="DF17" s="406"/>
      <c r="DG17" s="406"/>
      <c r="DH17" s="406"/>
      <c r="DI17" s="406"/>
      <c r="DJ17" s="406"/>
      <c r="DK17" s="406"/>
      <c r="DL17" s="406"/>
      <c r="DM17" s="406"/>
      <c r="DN17" s="406"/>
      <c r="DO17" s="406"/>
      <c r="DP17" s="406"/>
      <c r="DQ17" s="406"/>
      <c r="DR17" s="406"/>
      <c r="DS17" s="406"/>
      <c r="DT17" s="406"/>
      <c r="DU17" s="406"/>
      <c r="DV17" s="406"/>
      <c r="DW17" s="406"/>
      <c r="DX17" s="406"/>
      <c r="DY17" s="406"/>
      <c r="DZ17" s="406"/>
      <c r="EA17" s="406"/>
      <c r="EB17" s="406"/>
      <c r="EC17" s="406"/>
      <c r="ED17" s="406"/>
      <c r="EE17" s="406"/>
      <c r="EF17" s="406"/>
      <c r="EG17" s="406"/>
      <c r="EH17" s="406"/>
      <c r="EI17" s="406"/>
      <c r="EJ17" s="406"/>
      <c r="EK17" s="406"/>
      <c r="EL17" s="406"/>
      <c r="EM17" s="406"/>
      <c r="EN17" s="406"/>
      <c r="EO17" s="406"/>
      <c r="EP17" s="406"/>
      <c r="EQ17" s="406"/>
      <c r="ER17" s="406"/>
      <c r="ES17" s="406"/>
      <c r="ET17" s="406"/>
      <c r="EU17" s="406"/>
      <c r="EV17" s="406"/>
      <c r="EW17" s="406"/>
      <c r="EX17" s="406"/>
      <c r="EY17" s="406"/>
      <c r="EZ17" s="406"/>
      <c r="FA17" s="406"/>
      <c r="FB17" s="406"/>
      <c r="FC17" s="406"/>
      <c r="FD17" s="406"/>
      <c r="FE17" s="406"/>
      <c r="FF17" s="406"/>
      <c r="FG17" s="406"/>
      <c r="FH17" s="406"/>
      <c r="FI17" s="406"/>
      <c r="FJ17" s="406"/>
      <c r="FK17" s="406"/>
      <c r="FL17" s="406"/>
      <c r="FM17" s="406"/>
      <c r="FN17" s="406"/>
      <c r="FO17" s="406"/>
      <c r="FP17" s="406"/>
      <c r="FQ17" s="406"/>
      <c r="FR17" s="406"/>
      <c r="FS17" s="406"/>
      <c r="FT17" s="406"/>
      <c r="FU17" s="406"/>
      <c r="FV17" s="406"/>
      <c r="FW17" s="406"/>
      <c r="FX17" s="406"/>
      <c r="FY17" s="406"/>
      <c r="FZ17" s="406"/>
      <c r="GA17" s="406"/>
      <c r="GB17" s="406"/>
      <c r="GC17" s="406"/>
      <c r="GD17" s="406"/>
      <c r="GE17" s="406"/>
      <c r="GF17" s="406"/>
      <c r="GG17" s="406"/>
      <c r="GH17" s="406"/>
      <c r="GI17" s="406"/>
      <c r="GJ17" s="406"/>
      <c r="GK17" s="406"/>
      <c r="GL17" s="406"/>
      <c r="GM17" s="406"/>
      <c r="GN17" s="406"/>
      <c r="GO17" s="406"/>
      <c r="GP17" s="406"/>
      <c r="GQ17" s="406"/>
      <c r="GR17" s="406"/>
      <c r="GS17" s="406"/>
      <c r="GT17" s="406"/>
      <c r="GU17" s="406"/>
      <c r="GV17" s="406"/>
      <c r="GW17" s="406"/>
      <c r="GX17" s="406"/>
      <c r="GY17" s="406"/>
      <c r="GZ17" s="406"/>
      <c r="HA17" s="406"/>
      <c r="HB17" s="406"/>
      <c r="HC17" s="406"/>
      <c r="HD17" s="406"/>
      <c r="HE17" s="406"/>
      <c r="HF17" s="406"/>
      <c r="HG17" s="406"/>
      <c r="HH17" s="406"/>
      <c r="HI17" s="406"/>
      <c r="HJ17" s="406"/>
      <c r="HK17" s="406"/>
      <c r="HL17" s="406"/>
      <c r="HM17" s="406"/>
      <c r="HN17" s="406"/>
      <c r="HO17" s="406"/>
      <c r="HP17" s="406"/>
      <c r="HQ17" s="406"/>
      <c r="HR17" s="406"/>
      <c r="HS17" s="406"/>
      <c r="HT17" s="406"/>
      <c r="HU17" s="406"/>
      <c r="HV17" s="406"/>
      <c r="HW17" s="406"/>
      <c r="HX17" s="406"/>
      <c r="HY17" s="406"/>
      <c r="HZ17" s="406"/>
      <c r="IA17" s="406"/>
      <c r="IB17" s="406"/>
      <c r="IC17" s="406"/>
      <c r="ID17" s="406"/>
      <c r="IE17" s="406"/>
      <c r="IF17" s="406"/>
      <c r="IG17" s="406"/>
      <c r="IH17" s="406"/>
      <c r="II17" s="406"/>
      <c r="IJ17" s="406"/>
      <c r="IK17" s="406"/>
      <c r="IL17" s="406"/>
      <c r="IM17" s="406"/>
      <c r="IN17" s="406"/>
      <c r="IO17" s="406"/>
      <c r="IP17" s="406"/>
      <c r="IQ17" s="406"/>
      <c r="IR17" s="406"/>
      <c r="IS17" s="406"/>
      <c r="IT17" s="406"/>
      <c r="IU17" s="406"/>
      <c r="IV17" s="406"/>
    </row>
    <row r="18" spans="1:256" ht="15.75">
      <c r="A18" s="425"/>
      <c r="B18" s="409" t="s">
        <v>265</v>
      </c>
      <c r="C18" s="410"/>
      <c r="D18" s="418">
        <f t="shared" si="0"/>
        <v>1.021</v>
      </c>
      <c r="E18" s="428">
        <v>1.61</v>
      </c>
      <c r="F18" s="413">
        <f t="shared" si="1"/>
        <v>-0.3658385093167703</v>
      </c>
      <c r="G18" s="418">
        <f t="shared" si="2"/>
        <v>0.996</v>
      </c>
      <c r="H18" s="418">
        <v>1.34</v>
      </c>
      <c r="I18" s="413">
        <f t="shared" si="4"/>
        <v>-0.25671641791044786</v>
      </c>
      <c r="J18" s="418">
        <f t="shared" si="3"/>
        <v>0.677</v>
      </c>
      <c r="K18" s="418">
        <v>1.09</v>
      </c>
      <c r="L18" s="413">
        <f t="shared" si="5"/>
        <v>-0.37889908256880733</v>
      </c>
      <c r="M18" s="406"/>
      <c r="N18" s="406"/>
      <c r="O18" s="406"/>
      <c r="P18" s="406"/>
      <c r="Q18" s="406"/>
      <c r="R18" s="406"/>
      <c r="S18" s="407"/>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6"/>
      <c r="DQ18" s="406"/>
      <c r="DR18" s="406"/>
      <c r="DS18" s="406"/>
      <c r="DT18" s="406"/>
      <c r="DU18" s="406"/>
      <c r="DV18" s="406"/>
      <c r="DW18" s="406"/>
      <c r="DX18" s="406"/>
      <c r="DY18" s="406"/>
      <c r="DZ18" s="406"/>
      <c r="EA18" s="406"/>
      <c r="EB18" s="406"/>
      <c r="EC18" s="406"/>
      <c r="ED18" s="406"/>
      <c r="EE18" s="406"/>
      <c r="EF18" s="406"/>
      <c r="EG18" s="406"/>
      <c r="EH18" s="406"/>
      <c r="EI18" s="406"/>
      <c r="EJ18" s="406"/>
      <c r="EK18" s="406"/>
      <c r="EL18" s="406"/>
      <c r="EM18" s="406"/>
      <c r="EN18" s="406"/>
      <c r="EO18" s="406"/>
      <c r="EP18" s="406"/>
      <c r="EQ18" s="406"/>
      <c r="ER18" s="406"/>
      <c r="ES18" s="406"/>
      <c r="ET18" s="406"/>
      <c r="EU18" s="406"/>
      <c r="EV18" s="406"/>
      <c r="EW18" s="406"/>
      <c r="EX18" s="406"/>
      <c r="EY18" s="406"/>
      <c r="EZ18" s="406"/>
      <c r="FA18" s="406"/>
      <c r="FB18" s="406"/>
      <c r="FC18" s="406"/>
      <c r="FD18" s="406"/>
      <c r="FE18" s="406"/>
      <c r="FF18" s="406"/>
      <c r="FG18" s="406"/>
      <c r="FH18" s="406"/>
      <c r="FI18" s="406"/>
      <c r="FJ18" s="406"/>
      <c r="FK18" s="406"/>
      <c r="FL18" s="406"/>
      <c r="FM18" s="406"/>
      <c r="FN18" s="406"/>
      <c r="FO18" s="406"/>
      <c r="FP18" s="406"/>
      <c r="FQ18" s="406"/>
      <c r="FR18" s="406"/>
      <c r="FS18" s="406"/>
      <c r="FT18" s="406"/>
      <c r="FU18" s="406"/>
      <c r="FV18" s="406"/>
      <c r="FW18" s="406"/>
      <c r="FX18" s="406"/>
      <c r="FY18" s="406"/>
      <c r="FZ18" s="406"/>
      <c r="GA18" s="406"/>
      <c r="GB18" s="406"/>
      <c r="GC18" s="406"/>
      <c r="GD18" s="406"/>
      <c r="GE18" s="406"/>
      <c r="GF18" s="406"/>
      <c r="GG18" s="406"/>
      <c r="GH18" s="406"/>
      <c r="GI18" s="406"/>
      <c r="GJ18" s="406"/>
      <c r="GK18" s="406"/>
      <c r="GL18" s="406"/>
      <c r="GM18" s="406"/>
      <c r="GN18" s="406"/>
      <c r="GO18" s="406"/>
      <c r="GP18" s="406"/>
      <c r="GQ18" s="406"/>
      <c r="GR18" s="406"/>
      <c r="GS18" s="406"/>
      <c r="GT18" s="406"/>
      <c r="GU18" s="406"/>
      <c r="GV18" s="406"/>
      <c r="GW18" s="406"/>
      <c r="GX18" s="406"/>
      <c r="GY18" s="406"/>
      <c r="GZ18" s="406"/>
      <c r="HA18" s="406"/>
      <c r="HB18" s="406"/>
      <c r="HC18" s="406"/>
      <c r="HD18" s="406"/>
      <c r="HE18" s="406"/>
      <c r="HF18" s="406"/>
      <c r="HG18" s="406"/>
      <c r="HH18" s="406"/>
      <c r="HI18" s="406"/>
      <c r="HJ18" s="406"/>
      <c r="HK18" s="406"/>
      <c r="HL18" s="406"/>
      <c r="HM18" s="406"/>
      <c r="HN18" s="406"/>
      <c r="HO18" s="406"/>
      <c r="HP18" s="406"/>
      <c r="HQ18" s="406"/>
      <c r="HR18" s="406"/>
      <c r="HS18" s="406"/>
      <c r="HT18" s="406"/>
      <c r="HU18" s="406"/>
      <c r="HV18" s="406"/>
      <c r="HW18" s="406"/>
      <c r="HX18" s="406"/>
      <c r="HY18" s="406"/>
      <c r="HZ18" s="406"/>
      <c r="IA18" s="406"/>
      <c r="IB18" s="406"/>
      <c r="IC18" s="406"/>
      <c r="ID18" s="406"/>
      <c r="IE18" s="406"/>
      <c r="IF18" s="406"/>
      <c r="IG18" s="406"/>
      <c r="IH18" s="406"/>
      <c r="II18" s="406"/>
      <c r="IJ18" s="406"/>
      <c r="IK18" s="406"/>
      <c r="IL18" s="406"/>
      <c r="IM18" s="406"/>
      <c r="IN18" s="406"/>
      <c r="IO18" s="406"/>
      <c r="IP18" s="406"/>
      <c r="IQ18" s="406"/>
      <c r="IR18" s="406"/>
      <c r="IS18" s="406"/>
      <c r="IT18" s="406"/>
      <c r="IU18" s="406"/>
      <c r="IV18" s="406"/>
    </row>
    <row r="19" spans="1:256" ht="15.75">
      <c r="A19" s="425"/>
      <c r="B19" s="409" t="s">
        <v>266</v>
      </c>
      <c r="C19" s="410"/>
      <c r="D19" s="418">
        <f t="shared" si="0"/>
        <v>1.535</v>
      </c>
      <c r="E19" s="428">
        <v>2.42</v>
      </c>
      <c r="F19" s="413">
        <f t="shared" si="1"/>
        <v>-0.36570247933884303</v>
      </c>
      <c r="G19" s="418">
        <f>ROUND(+H19*(1+$I$6),1)</f>
        <v>1.5</v>
      </c>
      <c r="H19" s="418">
        <v>2.01</v>
      </c>
      <c r="I19" s="413">
        <f t="shared" si="4"/>
        <v>-0.25373134328358204</v>
      </c>
      <c r="J19" s="418">
        <f>ROUND(+K19*(1+$L$6),3)</f>
        <v>1.013</v>
      </c>
      <c r="K19" s="418">
        <v>1.63</v>
      </c>
      <c r="L19" s="413">
        <f t="shared" si="5"/>
        <v>-0.3785276073619632</v>
      </c>
      <c r="M19" s="406"/>
      <c r="N19" s="406"/>
      <c r="O19" s="406"/>
      <c r="P19" s="406"/>
      <c r="Q19" s="406"/>
      <c r="R19" s="406"/>
      <c r="S19" s="407"/>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c r="BR19" s="406"/>
      <c r="BS19" s="406"/>
      <c r="BT19" s="406"/>
      <c r="BU19" s="406"/>
      <c r="BV19" s="406"/>
      <c r="BW19" s="406"/>
      <c r="BX19" s="406"/>
      <c r="BY19" s="406"/>
      <c r="BZ19" s="406"/>
      <c r="CA19" s="406"/>
      <c r="CB19" s="406"/>
      <c r="CC19" s="406"/>
      <c r="CD19" s="406"/>
      <c r="CE19" s="406"/>
      <c r="CF19" s="406"/>
      <c r="CG19" s="406"/>
      <c r="CH19" s="406"/>
      <c r="CI19" s="406"/>
      <c r="CJ19" s="406"/>
      <c r="CK19" s="406"/>
      <c r="CL19" s="406"/>
      <c r="CM19" s="406"/>
      <c r="CN19" s="406"/>
      <c r="CO19" s="406"/>
      <c r="CP19" s="406"/>
      <c r="CQ19" s="406"/>
      <c r="CR19" s="406"/>
      <c r="CS19" s="406"/>
      <c r="CT19" s="406"/>
      <c r="CU19" s="406"/>
      <c r="CV19" s="406"/>
      <c r="CW19" s="406"/>
      <c r="CX19" s="406"/>
      <c r="CY19" s="406"/>
      <c r="CZ19" s="406"/>
      <c r="DA19" s="406"/>
      <c r="DB19" s="406"/>
      <c r="DC19" s="406"/>
      <c r="DD19" s="406"/>
      <c r="DE19" s="406"/>
      <c r="DF19" s="406"/>
      <c r="DG19" s="406"/>
      <c r="DH19" s="406"/>
      <c r="DI19" s="406"/>
      <c r="DJ19" s="406"/>
      <c r="DK19" s="406"/>
      <c r="DL19" s="406"/>
      <c r="DM19" s="406"/>
      <c r="DN19" s="406"/>
      <c r="DO19" s="406"/>
      <c r="DP19" s="406"/>
      <c r="DQ19" s="406"/>
      <c r="DR19" s="406"/>
      <c r="DS19" s="406"/>
      <c r="DT19" s="406"/>
      <c r="DU19" s="406"/>
      <c r="DV19" s="406"/>
      <c r="DW19" s="406"/>
      <c r="DX19" s="406"/>
      <c r="DY19" s="406"/>
      <c r="DZ19" s="406"/>
      <c r="EA19" s="406"/>
      <c r="EB19" s="406"/>
      <c r="EC19" s="406"/>
      <c r="ED19" s="406"/>
      <c r="EE19" s="406"/>
      <c r="EF19" s="406"/>
      <c r="EG19" s="406"/>
      <c r="EH19" s="406"/>
      <c r="EI19" s="406"/>
      <c r="EJ19" s="406"/>
      <c r="EK19" s="406"/>
      <c r="EL19" s="406"/>
      <c r="EM19" s="406"/>
      <c r="EN19" s="406"/>
      <c r="EO19" s="406"/>
      <c r="EP19" s="406"/>
      <c r="EQ19" s="406"/>
      <c r="ER19" s="406"/>
      <c r="ES19" s="406"/>
      <c r="ET19" s="406"/>
      <c r="EU19" s="406"/>
      <c r="EV19" s="406"/>
      <c r="EW19" s="406"/>
      <c r="EX19" s="406"/>
      <c r="EY19" s="406"/>
      <c r="EZ19" s="406"/>
      <c r="FA19" s="406"/>
      <c r="FB19" s="406"/>
      <c r="FC19" s="406"/>
      <c r="FD19" s="406"/>
      <c r="FE19" s="406"/>
      <c r="FF19" s="406"/>
      <c r="FG19" s="406"/>
      <c r="FH19" s="406"/>
      <c r="FI19" s="406"/>
      <c r="FJ19" s="406"/>
      <c r="FK19" s="406"/>
      <c r="FL19" s="406"/>
      <c r="FM19" s="406"/>
      <c r="FN19" s="406"/>
      <c r="FO19" s="406"/>
      <c r="FP19" s="406"/>
      <c r="FQ19" s="406"/>
      <c r="FR19" s="406"/>
      <c r="FS19" s="406"/>
      <c r="FT19" s="406"/>
      <c r="FU19" s="406"/>
      <c r="FV19" s="406"/>
      <c r="FW19" s="406"/>
      <c r="FX19" s="406"/>
      <c r="FY19" s="406"/>
      <c r="FZ19" s="406"/>
      <c r="GA19" s="406"/>
      <c r="GB19" s="406"/>
      <c r="GC19" s="406"/>
      <c r="GD19" s="406"/>
      <c r="GE19" s="406"/>
      <c r="GF19" s="406"/>
      <c r="GG19" s="406"/>
      <c r="GH19" s="406"/>
      <c r="GI19" s="406"/>
      <c r="GJ19" s="406"/>
      <c r="GK19" s="406"/>
      <c r="GL19" s="406"/>
      <c r="GM19" s="406"/>
      <c r="GN19" s="406"/>
      <c r="GO19" s="406"/>
      <c r="GP19" s="406"/>
      <c r="GQ19" s="406"/>
      <c r="GR19" s="406"/>
      <c r="GS19" s="406"/>
      <c r="GT19" s="406"/>
      <c r="GU19" s="406"/>
      <c r="GV19" s="406"/>
      <c r="GW19" s="406"/>
      <c r="GX19" s="406"/>
      <c r="GY19" s="406"/>
      <c r="GZ19" s="406"/>
      <c r="HA19" s="406"/>
      <c r="HB19" s="406"/>
      <c r="HC19" s="406"/>
      <c r="HD19" s="406"/>
      <c r="HE19" s="406"/>
      <c r="HF19" s="406"/>
      <c r="HG19" s="406"/>
      <c r="HH19" s="406"/>
      <c r="HI19" s="406"/>
      <c r="HJ19" s="406"/>
      <c r="HK19" s="406"/>
      <c r="HL19" s="406"/>
      <c r="HM19" s="406"/>
      <c r="HN19" s="406"/>
      <c r="HO19" s="406"/>
      <c r="HP19" s="406"/>
      <c r="HQ19" s="406"/>
      <c r="HR19" s="406"/>
      <c r="HS19" s="406"/>
      <c r="HT19" s="406"/>
      <c r="HU19" s="406"/>
      <c r="HV19" s="406"/>
      <c r="HW19" s="406"/>
      <c r="HX19" s="406"/>
      <c r="HY19" s="406"/>
      <c r="HZ19" s="406"/>
      <c r="IA19" s="406"/>
      <c r="IB19" s="406"/>
      <c r="IC19" s="406"/>
      <c r="ID19" s="406"/>
      <c r="IE19" s="406"/>
      <c r="IF19" s="406"/>
      <c r="IG19" s="406"/>
      <c r="IH19" s="406"/>
      <c r="II19" s="406"/>
      <c r="IJ19" s="406"/>
      <c r="IK19" s="406"/>
      <c r="IL19" s="406"/>
      <c r="IM19" s="406"/>
      <c r="IN19" s="406"/>
      <c r="IO19" s="406"/>
      <c r="IP19" s="406"/>
      <c r="IQ19" s="406"/>
      <c r="IR19" s="406"/>
      <c r="IS19" s="406"/>
      <c r="IT19" s="406"/>
      <c r="IU19" s="406"/>
      <c r="IV19" s="406"/>
    </row>
    <row r="20" spans="1:256" ht="15.75">
      <c r="A20" s="425"/>
      <c r="B20" s="409" t="s">
        <v>267</v>
      </c>
      <c r="C20" s="410"/>
      <c r="D20" s="418">
        <f t="shared" si="0"/>
        <v>2.048</v>
      </c>
      <c r="E20" s="428">
        <v>3.23</v>
      </c>
      <c r="F20" s="413">
        <f t="shared" si="1"/>
        <v>-0.3659442724458204</v>
      </c>
      <c r="G20" s="418">
        <f>ROUND(+H20*(1+$I$6),1)</f>
        <v>2</v>
      </c>
      <c r="H20" s="418">
        <v>2.68</v>
      </c>
      <c r="I20" s="413">
        <f t="shared" si="4"/>
        <v>-0.25373134328358216</v>
      </c>
      <c r="J20" s="418">
        <f t="shared" si="3"/>
        <v>1.349</v>
      </c>
      <c r="K20" s="418">
        <v>2.17</v>
      </c>
      <c r="L20" s="413">
        <f t="shared" si="5"/>
        <v>-0.37834101382488483</v>
      </c>
      <c r="M20" s="406"/>
      <c r="N20" s="406"/>
      <c r="O20" s="406"/>
      <c r="P20" s="406"/>
      <c r="Q20" s="406"/>
      <c r="R20" s="406"/>
      <c r="S20" s="407"/>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c r="BR20" s="406"/>
      <c r="BS20" s="406"/>
      <c r="BT20" s="406"/>
      <c r="BU20" s="406"/>
      <c r="BV20" s="406"/>
      <c r="BW20" s="406"/>
      <c r="BX20" s="406"/>
      <c r="BY20" s="406"/>
      <c r="BZ20" s="406"/>
      <c r="CA20" s="406"/>
      <c r="CB20" s="406"/>
      <c r="CC20" s="406"/>
      <c r="CD20" s="406"/>
      <c r="CE20" s="406"/>
      <c r="CF20" s="406"/>
      <c r="CG20" s="406"/>
      <c r="CH20" s="406"/>
      <c r="CI20" s="406"/>
      <c r="CJ20" s="406"/>
      <c r="CK20" s="406"/>
      <c r="CL20" s="406"/>
      <c r="CM20" s="406"/>
      <c r="CN20" s="406"/>
      <c r="CO20" s="406"/>
      <c r="CP20" s="406"/>
      <c r="CQ20" s="406"/>
      <c r="CR20" s="406"/>
      <c r="CS20" s="406"/>
      <c r="CT20" s="406"/>
      <c r="CU20" s="406"/>
      <c r="CV20" s="406"/>
      <c r="CW20" s="406"/>
      <c r="CX20" s="406"/>
      <c r="CY20" s="406"/>
      <c r="CZ20" s="406"/>
      <c r="DA20" s="406"/>
      <c r="DB20" s="406"/>
      <c r="DC20" s="406"/>
      <c r="DD20" s="406"/>
      <c r="DE20" s="406"/>
      <c r="DF20" s="406"/>
      <c r="DG20" s="406"/>
      <c r="DH20" s="406"/>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c r="FA20" s="406"/>
      <c r="FB20" s="406"/>
      <c r="FC20" s="406"/>
      <c r="FD20" s="406"/>
      <c r="FE20" s="406"/>
      <c r="FF20" s="406"/>
      <c r="FG20" s="406"/>
      <c r="FH20" s="406"/>
      <c r="FI20" s="406"/>
      <c r="FJ20" s="406"/>
      <c r="FK20" s="406"/>
      <c r="FL20" s="406"/>
      <c r="FM20" s="406"/>
      <c r="FN20" s="406"/>
      <c r="FO20" s="406"/>
      <c r="FP20" s="406"/>
      <c r="FQ20" s="406"/>
      <c r="FR20" s="406"/>
      <c r="FS20" s="406"/>
      <c r="FT20" s="406"/>
      <c r="FU20" s="406"/>
      <c r="FV20" s="406"/>
      <c r="FW20" s="406"/>
      <c r="FX20" s="406"/>
      <c r="FY20" s="406"/>
      <c r="FZ20" s="406"/>
      <c r="GA20" s="406"/>
      <c r="GB20" s="406"/>
      <c r="GC20" s="406"/>
      <c r="GD20" s="406"/>
      <c r="GE20" s="406"/>
      <c r="GF20" s="406"/>
      <c r="GG20" s="406"/>
      <c r="GH20" s="406"/>
      <c r="GI20" s="406"/>
      <c r="GJ20" s="406"/>
      <c r="GK20" s="406"/>
      <c r="GL20" s="406"/>
      <c r="GM20" s="406"/>
      <c r="GN20" s="406"/>
      <c r="GO20" s="406"/>
      <c r="GP20" s="406"/>
      <c r="GQ20" s="406"/>
      <c r="GR20" s="406"/>
      <c r="GS20" s="406"/>
      <c r="GT20" s="406"/>
      <c r="GU20" s="406"/>
      <c r="GV20" s="406"/>
      <c r="GW20" s="406"/>
      <c r="GX20" s="406"/>
      <c r="GY20" s="406"/>
      <c r="GZ20" s="406"/>
      <c r="HA20" s="406"/>
      <c r="HB20" s="406"/>
      <c r="HC20" s="406"/>
      <c r="HD20" s="406"/>
      <c r="HE20" s="406"/>
      <c r="HF20" s="406"/>
      <c r="HG20" s="406"/>
      <c r="HH20" s="406"/>
      <c r="HI20" s="406"/>
      <c r="HJ20" s="406"/>
      <c r="HK20" s="406"/>
      <c r="HL20" s="406"/>
      <c r="HM20" s="406"/>
      <c r="HN20" s="406"/>
      <c r="HO20" s="406"/>
      <c r="HP20" s="406"/>
      <c r="HQ20" s="406"/>
      <c r="HR20" s="406"/>
      <c r="HS20" s="406"/>
      <c r="HT20" s="406"/>
      <c r="HU20" s="406"/>
      <c r="HV20" s="406"/>
      <c r="HW20" s="406"/>
      <c r="HX20" s="406"/>
      <c r="HY20" s="406"/>
      <c r="HZ20" s="406"/>
      <c r="IA20" s="406"/>
      <c r="IB20" s="406"/>
      <c r="IC20" s="406"/>
      <c r="ID20" s="406"/>
      <c r="IE20" s="406"/>
      <c r="IF20" s="406"/>
      <c r="IG20" s="406"/>
      <c r="IH20" s="406"/>
      <c r="II20" s="406"/>
      <c r="IJ20" s="406"/>
      <c r="IK20" s="406"/>
      <c r="IL20" s="406"/>
      <c r="IM20" s="406"/>
      <c r="IN20" s="406"/>
      <c r="IO20" s="406"/>
      <c r="IP20" s="406"/>
      <c r="IQ20" s="406"/>
      <c r="IR20" s="406"/>
      <c r="IS20" s="406"/>
      <c r="IT20" s="406"/>
      <c r="IU20" s="406"/>
      <c r="IV20" s="406"/>
    </row>
    <row r="21" spans="1:256" ht="15.75">
      <c r="A21" s="425"/>
      <c r="B21" s="409" t="s">
        <v>268</v>
      </c>
      <c r="C21" s="410"/>
      <c r="D21" s="421"/>
      <c r="E21" s="418"/>
      <c r="F21" s="421"/>
      <c r="G21" s="418">
        <f>ROUND(+H21*(1+$I$6),1)</f>
        <v>4</v>
      </c>
      <c r="H21" s="418">
        <v>5.37</v>
      </c>
      <c r="I21" s="413">
        <f>+I20</f>
        <v>-0.25373134328358216</v>
      </c>
      <c r="J21" s="418"/>
      <c r="K21" s="418"/>
      <c r="L21" s="413"/>
      <c r="M21" s="406"/>
      <c r="N21" s="406"/>
      <c r="O21" s="406"/>
      <c r="P21" s="406"/>
      <c r="Q21" s="406"/>
      <c r="R21" s="406"/>
      <c r="S21" s="407"/>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406"/>
      <c r="BB21" s="406"/>
      <c r="BC21" s="406"/>
      <c r="BD21" s="406"/>
      <c r="BE21" s="406"/>
      <c r="BF21" s="406"/>
      <c r="BG21" s="406"/>
      <c r="BH21" s="406"/>
      <c r="BI21" s="406"/>
      <c r="BJ21" s="406"/>
      <c r="BK21" s="406"/>
      <c r="BL21" s="406"/>
      <c r="BM21" s="406"/>
      <c r="BN21" s="406"/>
      <c r="BO21" s="406"/>
      <c r="BP21" s="406"/>
      <c r="BQ21" s="406"/>
      <c r="BR21" s="406"/>
      <c r="BS21" s="406"/>
      <c r="BT21" s="406"/>
      <c r="BU21" s="406"/>
      <c r="BV21" s="406"/>
      <c r="BW21" s="406"/>
      <c r="BX21" s="406"/>
      <c r="BY21" s="406"/>
      <c r="BZ21" s="406"/>
      <c r="CA21" s="406"/>
      <c r="CB21" s="406"/>
      <c r="CC21" s="406"/>
      <c r="CD21" s="406"/>
      <c r="CE21" s="406"/>
      <c r="CF21" s="406"/>
      <c r="CG21" s="406"/>
      <c r="CH21" s="406"/>
      <c r="CI21" s="406"/>
      <c r="CJ21" s="406"/>
      <c r="CK21" s="406"/>
      <c r="CL21" s="406"/>
      <c r="CM21" s="406"/>
      <c r="CN21" s="406"/>
      <c r="CO21" s="406"/>
      <c r="CP21" s="406"/>
      <c r="CQ21" s="406"/>
      <c r="CR21" s="406"/>
      <c r="CS21" s="406"/>
      <c r="CT21" s="406"/>
      <c r="CU21" s="406"/>
      <c r="CV21" s="406"/>
      <c r="CW21" s="406"/>
      <c r="CX21" s="406"/>
      <c r="CY21" s="406"/>
      <c r="CZ21" s="406"/>
      <c r="DA21" s="406"/>
      <c r="DB21" s="406"/>
      <c r="DC21" s="406"/>
      <c r="DD21" s="406"/>
      <c r="DE21" s="406"/>
      <c r="DF21" s="406"/>
      <c r="DG21" s="406"/>
      <c r="DH21" s="406"/>
      <c r="DI21" s="406"/>
      <c r="DJ21" s="406"/>
      <c r="DK21" s="406"/>
      <c r="DL21" s="406"/>
      <c r="DM21" s="406"/>
      <c r="DN21" s="406"/>
      <c r="DO21" s="406"/>
      <c r="DP21" s="406"/>
      <c r="DQ21" s="406"/>
      <c r="DR21" s="406"/>
      <c r="DS21" s="406"/>
      <c r="DT21" s="406"/>
      <c r="DU21" s="406"/>
      <c r="DV21" s="406"/>
      <c r="DW21" s="406"/>
      <c r="DX21" s="406"/>
      <c r="DY21" s="406"/>
      <c r="DZ21" s="406"/>
      <c r="EA21" s="406"/>
      <c r="EB21" s="406"/>
      <c r="EC21" s="406"/>
      <c r="ED21" s="406"/>
      <c r="EE21" s="406"/>
      <c r="EF21" s="406"/>
      <c r="EG21" s="406"/>
      <c r="EH21" s="406"/>
      <c r="EI21" s="406"/>
      <c r="EJ21" s="406"/>
      <c r="EK21" s="406"/>
      <c r="EL21" s="406"/>
      <c r="EM21" s="406"/>
      <c r="EN21" s="406"/>
      <c r="EO21" s="406"/>
      <c r="EP21" s="406"/>
      <c r="EQ21" s="406"/>
      <c r="ER21" s="406"/>
      <c r="ES21" s="406"/>
      <c r="ET21" s="406"/>
      <c r="EU21" s="406"/>
      <c r="EV21" s="406"/>
      <c r="EW21" s="406"/>
      <c r="EX21" s="406"/>
      <c r="EY21" s="406"/>
      <c r="EZ21" s="406"/>
      <c r="FA21" s="406"/>
      <c r="FB21" s="406"/>
      <c r="FC21" s="406"/>
      <c r="FD21" s="406"/>
      <c r="FE21" s="406"/>
      <c r="FF21" s="406"/>
      <c r="FG21" s="406"/>
      <c r="FH21" s="406"/>
      <c r="FI21" s="406"/>
      <c r="FJ21" s="406"/>
      <c r="FK21" s="406"/>
      <c r="FL21" s="406"/>
      <c r="FM21" s="406"/>
      <c r="FN21" s="406"/>
      <c r="FO21" s="406"/>
      <c r="FP21" s="406"/>
      <c r="FQ21" s="406"/>
      <c r="FR21" s="406"/>
      <c r="FS21" s="406"/>
      <c r="FT21" s="406"/>
      <c r="FU21" s="406"/>
      <c r="FV21" s="406"/>
      <c r="FW21" s="406"/>
      <c r="FX21" s="406"/>
      <c r="FY21" s="406"/>
      <c r="FZ21" s="406"/>
      <c r="GA21" s="406"/>
      <c r="GB21" s="406"/>
      <c r="GC21" s="406"/>
      <c r="GD21" s="406"/>
      <c r="GE21" s="406"/>
      <c r="GF21" s="406"/>
      <c r="GG21" s="406"/>
      <c r="GH21" s="406"/>
      <c r="GI21" s="406"/>
      <c r="GJ21" s="406"/>
      <c r="GK21" s="406"/>
      <c r="GL21" s="406"/>
      <c r="GM21" s="406"/>
      <c r="GN21" s="406"/>
      <c r="GO21" s="406"/>
      <c r="GP21" s="406"/>
      <c r="GQ21" s="406"/>
      <c r="GR21" s="406"/>
      <c r="GS21" s="406"/>
      <c r="GT21" s="406"/>
      <c r="GU21" s="406"/>
      <c r="GV21" s="406"/>
      <c r="GW21" s="406"/>
      <c r="GX21" s="406"/>
      <c r="GY21" s="406"/>
      <c r="GZ21" s="406"/>
      <c r="HA21" s="406"/>
      <c r="HB21" s="406"/>
      <c r="HC21" s="406"/>
      <c r="HD21" s="406"/>
      <c r="HE21" s="406"/>
      <c r="HF21" s="406"/>
      <c r="HG21" s="406"/>
      <c r="HH21" s="406"/>
      <c r="HI21" s="406"/>
      <c r="HJ21" s="406"/>
      <c r="HK21" s="406"/>
      <c r="HL21" s="406"/>
      <c r="HM21" s="406"/>
      <c r="HN21" s="406"/>
      <c r="HO21" s="406"/>
      <c r="HP21" s="406"/>
      <c r="HQ21" s="406"/>
      <c r="HR21" s="406"/>
      <c r="HS21" s="406"/>
      <c r="HT21" s="406"/>
      <c r="HU21" s="406"/>
      <c r="HV21" s="406"/>
      <c r="HW21" s="406"/>
      <c r="HX21" s="406"/>
      <c r="HY21" s="406"/>
      <c r="HZ21" s="406"/>
      <c r="IA21" s="406"/>
      <c r="IB21" s="406"/>
      <c r="IC21" s="406"/>
      <c r="ID21" s="406"/>
      <c r="IE21" s="406"/>
      <c r="IF21" s="406"/>
      <c r="IG21" s="406"/>
      <c r="IH21" s="406"/>
      <c r="II21" s="406"/>
      <c r="IJ21" s="406"/>
      <c r="IK21" s="406"/>
      <c r="IL21" s="406"/>
      <c r="IM21" s="406"/>
      <c r="IN21" s="406"/>
      <c r="IO21" s="406"/>
      <c r="IP21" s="406"/>
      <c r="IQ21" s="406"/>
      <c r="IR21" s="406"/>
      <c r="IS21" s="406"/>
      <c r="IT21" s="406"/>
      <c r="IU21" s="406"/>
      <c r="IV21" s="406"/>
    </row>
    <row r="22" spans="1:256" ht="15.75">
      <c r="A22" s="425"/>
      <c r="B22" s="409"/>
      <c r="C22" s="410"/>
      <c r="D22" s="421"/>
      <c r="E22" s="418"/>
      <c r="F22" s="421"/>
      <c r="G22" s="418"/>
      <c r="H22" s="418"/>
      <c r="I22" s="413"/>
      <c r="J22" s="418"/>
      <c r="K22" s="418"/>
      <c r="L22" s="413"/>
      <c r="M22" s="406"/>
      <c r="N22" s="406"/>
      <c r="O22" s="406"/>
      <c r="P22" s="406"/>
      <c r="Q22" s="406"/>
      <c r="R22" s="406"/>
      <c r="S22" s="407"/>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c r="AX22" s="406"/>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c r="BV22" s="406"/>
      <c r="BW22" s="406"/>
      <c r="BX22" s="406"/>
      <c r="BY22" s="406"/>
      <c r="BZ22" s="406"/>
      <c r="CA22" s="406"/>
      <c r="CB22" s="406"/>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c r="EL22" s="406"/>
      <c r="EM22" s="406"/>
      <c r="EN22" s="406"/>
      <c r="EO22" s="406"/>
      <c r="EP22" s="406"/>
      <c r="EQ22" s="406"/>
      <c r="ER22" s="406"/>
      <c r="ES22" s="406"/>
      <c r="ET22" s="406"/>
      <c r="EU22" s="406"/>
      <c r="EV22" s="406"/>
      <c r="EW22" s="406"/>
      <c r="EX22" s="406"/>
      <c r="EY22" s="406"/>
      <c r="EZ22" s="406"/>
      <c r="FA22" s="406"/>
      <c r="FB22" s="406"/>
      <c r="FC22" s="406"/>
      <c r="FD22" s="406"/>
      <c r="FE22" s="406"/>
      <c r="FF22" s="406"/>
      <c r="FG22" s="406"/>
      <c r="FH22" s="406"/>
      <c r="FI22" s="406"/>
      <c r="FJ22" s="406"/>
      <c r="FK22" s="406"/>
      <c r="FL22" s="406"/>
      <c r="FM22" s="406"/>
      <c r="FN22" s="406"/>
      <c r="FO22" s="406"/>
      <c r="FP22" s="406"/>
      <c r="FQ22" s="406"/>
      <c r="FR22" s="406"/>
      <c r="FS22" s="406"/>
      <c r="FT22" s="406"/>
      <c r="FU22" s="406"/>
      <c r="FV22" s="406"/>
      <c r="FW22" s="406"/>
      <c r="FX22" s="406"/>
      <c r="FY22" s="406"/>
      <c r="FZ22" s="406"/>
      <c r="GA22" s="406"/>
      <c r="GB22" s="406"/>
      <c r="GC22" s="406"/>
      <c r="GD22" s="406"/>
      <c r="GE22" s="406"/>
      <c r="GF22" s="406"/>
      <c r="GG22" s="406"/>
      <c r="GH22" s="406"/>
      <c r="GI22" s="406"/>
      <c r="GJ22" s="406"/>
      <c r="GK22" s="406"/>
      <c r="GL22" s="406"/>
      <c r="GM22" s="406"/>
      <c r="GN22" s="406"/>
      <c r="GO22" s="406"/>
      <c r="GP22" s="406"/>
      <c r="GQ22" s="406"/>
      <c r="GR22" s="406"/>
      <c r="GS22" s="406"/>
      <c r="GT22" s="406"/>
      <c r="GU22" s="406"/>
      <c r="GV22" s="406"/>
      <c r="GW22" s="406"/>
      <c r="GX22" s="406"/>
      <c r="GY22" s="406"/>
      <c r="GZ22" s="406"/>
      <c r="HA22" s="406"/>
      <c r="HB22" s="406"/>
      <c r="HC22" s="406"/>
      <c r="HD22" s="406"/>
      <c r="HE22" s="406"/>
      <c r="HF22" s="406"/>
      <c r="HG22" s="406"/>
      <c r="HH22" s="406"/>
      <c r="HI22" s="406"/>
      <c r="HJ22" s="406"/>
      <c r="HK22" s="406"/>
      <c r="HL22" s="406"/>
      <c r="HM22" s="406"/>
      <c r="HN22" s="406"/>
      <c r="HO22" s="406"/>
      <c r="HP22" s="406"/>
      <c r="HQ22" s="406"/>
      <c r="HR22" s="406"/>
      <c r="HS22" s="406"/>
      <c r="HT22" s="406"/>
      <c r="HU22" s="406"/>
      <c r="HV22" s="406"/>
      <c r="HW22" s="406"/>
      <c r="HX22" s="406"/>
      <c r="HY22" s="406"/>
      <c r="HZ22" s="406"/>
      <c r="IA22" s="406"/>
      <c r="IB22" s="406"/>
      <c r="IC22" s="406"/>
      <c r="ID22" s="406"/>
      <c r="IE22" s="406"/>
      <c r="IF22" s="406"/>
      <c r="IG22" s="406"/>
      <c r="IH22" s="406"/>
      <c r="II22" s="406"/>
      <c r="IJ22" s="406"/>
      <c r="IK22" s="406"/>
      <c r="IL22" s="406"/>
      <c r="IM22" s="406"/>
      <c r="IN22" s="406"/>
      <c r="IO22" s="406"/>
      <c r="IP22" s="406"/>
      <c r="IQ22" s="406"/>
      <c r="IR22" s="406"/>
      <c r="IS22" s="406"/>
      <c r="IT22" s="406"/>
      <c r="IU22" s="406"/>
      <c r="IV22" s="406"/>
    </row>
    <row r="23" spans="1:256" ht="15.75">
      <c r="A23" s="420" t="s">
        <v>269</v>
      </c>
      <c r="B23" s="409"/>
      <c r="C23" s="410"/>
      <c r="D23" s="421"/>
      <c r="E23" s="418"/>
      <c r="F23" s="421"/>
      <c r="G23" s="418"/>
      <c r="H23" s="418"/>
      <c r="I23" s="413"/>
      <c r="J23" s="418"/>
      <c r="K23" s="418"/>
      <c r="L23" s="413"/>
      <c r="M23" s="406"/>
      <c r="N23" s="406"/>
      <c r="O23" s="406"/>
      <c r="P23" s="406"/>
      <c r="Q23" s="406"/>
      <c r="R23" s="406"/>
      <c r="S23" s="407"/>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406"/>
      <c r="BB23" s="406"/>
      <c r="BC23" s="406"/>
      <c r="BD23" s="406"/>
      <c r="BE23" s="406"/>
      <c r="BF23" s="406"/>
      <c r="BG23" s="406"/>
      <c r="BH23" s="406"/>
      <c r="BI23" s="406"/>
      <c r="BJ23" s="406"/>
      <c r="BK23" s="406"/>
      <c r="BL23" s="406"/>
      <c r="BM23" s="406"/>
      <c r="BN23" s="406"/>
      <c r="BO23" s="406"/>
      <c r="BP23" s="406"/>
      <c r="BQ23" s="406"/>
      <c r="BR23" s="406"/>
      <c r="BS23" s="406"/>
      <c r="BT23" s="406"/>
      <c r="BU23" s="406"/>
      <c r="BV23" s="406"/>
      <c r="BW23" s="406"/>
      <c r="BX23" s="406"/>
      <c r="BY23" s="406"/>
      <c r="BZ23" s="406"/>
      <c r="CA23" s="406"/>
      <c r="CB23" s="406"/>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c r="EL23" s="406"/>
      <c r="EM23" s="406"/>
      <c r="EN23" s="406"/>
      <c r="EO23" s="406"/>
      <c r="EP23" s="406"/>
      <c r="EQ23" s="406"/>
      <c r="ER23" s="406"/>
      <c r="ES23" s="406"/>
      <c r="ET23" s="406"/>
      <c r="EU23" s="406"/>
      <c r="EV23" s="406"/>
      <c r="EW23" s="406"/>
      <c r="EX23" s="406"/>
      <c r="EY23" s="406"/>
      <c r="EZ23" s="406"/>
      <c r="FA23" s="406"/>
      <c r="FB23" s="406"/>
      <c r="FC23" s="406"/>
      <c r="FD23" s="406"/>
      <c r="FE23" s="406"/>
      <c r="FF23" s="406"/>
      <c r="FG23" s="406"/>
      <c r="FH23" s="406"/>
      <c r="FI23" s="406"/>
      <c r="FJ23" s="406"/>
      <c r="FK23" s="406"/>
      <c r="FL23" s="406"/>
      <c r="FM23" s="406"/>
      <c r="FN23" s="406"/>
      <c r="FO23" s="406"/>
      <c r="FP23" s="406"/>
      <c r="FQ23" s="406"/>
      <c r="FR23" s="406"/>
      <c r="FS23" s="406"/>
      <c r="FT23" s="406"/>
      <c r="FU23" s="406"/>
      <c r="FV23" s="406"/>
      <c r="FW23" s="406"/>
      <c r="FX23" s="406"/>
      <c r="FY23" s="406"/>
      <c r="FZ23" s="406"/>
      <c r="GA23" s="406"/>
      <c r="GB23" s="406"/>
      <c r="GC23" s="406"/>
      <c r="GD23" s="406"/>
      <c r="GE23" s="406"/>
      <c r="GF23" s="406"/>
      <c r="GG23" s="406"/>
      <c r="GH23" s="406"/>
      <c r="GI23" s="406"/>
      <c r="GJ23" s="406"/>
      <c r="GK23" s="406"/>
      <c r="GL23" s="406"/>
      <c r="GM23" s="406"/>
      <c r="GN23" s="406"/>
      <c r="GO23" s="406"/>
      <c r="GP23" s="406"/>
      <c r="GQ23" s="406"/>
      <c r="GR23" s="406"/>
      <c r="GS23" s="406"/>
      <c r="GT23" s="406"/>
      <c r="GU23" s="406"/>
      <c r="GV23" s="406"/>
      <c r="GW23" s="406"/>
      <c r="GX23" s="406"/>
      <c r="GY23" s="406"/>
      <c r="GZ23" s="406"/>
      <c r="HA23" s="406"/>
      <c r="HB23" s="406"/>
      <c r="HC23" s="406"/>
      <c r="HD23" s="406"/>
      <c r="HE23" s="406"/>
      <c r="HF23" s="406"/>
      <c r="HG23" s="406"/>
      <c r="HH23" s="406"/>
      <c r="HI23" s="406"/>
      <c r="HJ23" s="406"/>
      <c r="HK23" s="406"/>
      <c r="HL23" s="406"/>
      <c r="HM23" s="406"/>
      <c r="HN23" s="406"/>
      <c r="HO23" s="406"/>
      <c r="HP23" s="406"/>
      <c r="HQ23" s="406"/>
      <c r="HR23" s="406"/>
      <c r="HS23" s="406"/>
      <c r="HT23" s="406"/>
      <c r="HU23" s="406"/>
      <c r="HV23" s="406"/>
      <c r="HW23" s="406"/>
      <c r="HX23" s="406"/>
      <c r="HY23" s="406"/>
      <c r="HZ23" s="406"/>
      <c r="IA23" s="406"/>
      <c r="IB23" s="406"/>
      <c r="IC23" s="406"/>
      <c r="ID23" s="406"/>
      <c r="IE23" s="406"/>
      <c r="IF23" s="406"/>
      <c r="IG23" s="406"/>
      <c r="IH23" s="406"/>
      <c r="II23" s="406"/>
      <c r="IJ23" s="406"/>
      <c r="IK23" s="406"/>
      <c r="IL23" s="406"/>
      <c r="IM23" s="406"/>
      <c r="IN23" s="406"/>
      <c r="IO23" s="406"/>
      <c r="IP23" s="406"/>
      <c r="IQ23" s="406"/>
      <c r="IR23" s="406"/>
      <c r="IS23" s="406"/>
      <c r="IT23" s="406"/>
      <c r="IU23" s="406"/>
      <c r="IV23" s="406"/>
    </row>
    <row r="24" spans="1:256" ht="15.75">
      <c r="A24" s="420"/>
      <c r="B24" s="409" t="s">
        <v>256</v>
      </c>
      <c r="C24" s="410"/>
      <c r="D24" s="429">
        <f>ROUND(+E24+E24*F$7,3)</f>
        <v>0.04</v>
      </c>
      <c r="E24" s="418">
        <v>0.05</v>
      </c>
      <c r="F24" s="413">
        <f>+F9</f>
        <v>-0.375</v>
      </c>
      <c r="G24" s="418"/>
      <c r="H24" s="418"/>
      <c r="I24" s="413"/>
      <c r="J24" s="418"/>
      <c r="K24" s="418"/>
      <c r="L24" s="413"/>
      <c r="M24" s="406"/>
      <c r="N24" s="406"/>
      <c r="O24" s="406"/>
      <c r="P24" s="406"/>
      <c r="Q24" s="406"/>
      <c r="R24" s="406"/>
      <c r="S24" s="407"/>
      <c r="T24" s="406"/>
      <c r="U24" s="406"/>
      <c r="V24" s="406"/>
      <c r="W24" s="406"/>
      <c r="X24" s="406"/>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6"/>
      <c r="BF24" s="406"/>
      <c r="BG24" s="406"/>
      <c r="BH24" s="406"/>
      <c r="BI24" s="406"/>
      <c r="BJ24" s="406"/>
      <c r="BK24" s="406"/>
      <c r="BL24" s="406"/>
      <c r="BM24" s="406"/>
      <c r="BN24" s="406"/>
      <c r="BO24" s="406"/>
      <c r="BP24" s="406"/>
      <c r="BQ24" s="406"/>
      <c r="BR24" s="406"/>
      <c r="BS24" s="406"/>
      <c r="BT24" s="406"/>
      <c r="BU24" s="406"/>
      <c r="BV24" s="406"/>
      <c r="BW24" s="406"/>
      <c r="BX24" s="406"/>
      <c r="BY24" s="406"/>
      <c r="BZ24" s="406"/>
      <c r="CA24" s="406"/>
      <c r="CB24" s="406"/>
      <c r="CC24" s="406"/>
      <c r="CD24" s="406"/>
      <c r="CE24" s="406"/>
      <c r="CF24" s="406"/>
      <c r="CG24" s="406"/>
      <c r="CH24" s="406"/>
      <c r="CI24" s="406"/>
      <c r="CJ24" s="406"/>
      <c r="CK24" s="406"/>
      <c r="CL24" s="406"/>
      <c r="CM24" s="406"/>
      <c r="CN24" s="406"/>
      <c r="CO24" s="406"/>
      <c r="CP24" s="406"/>
      <c r="CQ24" s="406"/>
      <c r="CR24" s="406"/>
      <c r="CS24" s="406"/>
      <c r="CT24" s="406"/>
      <c r="CU24" s="406"/>
      <c r="CV24" s="406"/>
      <c r="CW24" s="406"/>
      <c r="CX24" s="406"/>
      <c r="CY24" s="406"/>
      <c r="CZ24" s="406"/>
      <c r="DA24" s="406"/>
      <c r="DB24" s="406"/>
      <c r="DC24" s="406"/>
      <c r="DD24" s="406"/>
      <c r="DE24" s="406"/>
      <c r="DF24" s="406"/>
      <c r="DG24" s="406"/>
      <c r="DH24" s="406"/>
      <c r="DI24" s="406"/>
      <c r="DJ24" s="406"/>
      <c r="DK24" s="406"/>
      <c r="DL24" s="406"/>
      <c r="DM24" s="406"/>
      <c r="DN24" s="406"/>
      <c r="DO24" s="406"/>
      <c r="DP24" s="406"/>
      <c r="DQ24" s="406"/>
      <c r="DR24" s="406"/>
      <c r="DS24" s="406"/>
      <c r="DT24" s="406"/>
      <c r="DU24" s="406"/>
      <c r="DV24" s="406"/>
      <c r="DW24" s="406"/>
      <c r="DX24" s="406"/>
      <c r="DY24" s="406"/>
      <c r="DZ24" s="406"/>
      <c r="EA24" s="406"/>
      <c r="EB24" s="406"/>
      <c r="EC24" s="406"/>
      <c r="ED24" s="406"/>
      <c r="EE24" s="406"/>
      <c r="EF24" s="406"/>
      <c r="EG24" s="406"/>
      <c r="EH24" s="406"/>
      <c r="EI24" s="406"/>
      <c r="EJ24" s="406"/>
      <c r="EK24" s="406"/>
      <c r="EL24" s="406"/>
      <c r="EM24" s="406"/>
      <c r="EN24" s="406"/>
      <c r="EO24" s="406"/>
      <c r="EP24" s="406"/>
      <c r="EQ24" s="406"/>
      <c r="ER24" s="406"/>
      <c r="ES24" s="406"/>
      <c r="ET24" s="406"/>
      <c r="EU24" s="406"/>
      <c r="EV24" s="406"/>
      <c r="EW24" s="406"/>
      <c r="EX24" s="406"/>
      <c r="EY24" s="406"/>
      <c r="EZ24" s="406"/>
      <c r="FA24" s="406"/>
      <c r="FB24" s="406"/>
      <c r="FC24" s="406"/>
      <c r="FD24" s="406"/>
      <c r="FE24" s="406"/>
      <c r="FF24" s="406"/>
      <c r="FG24" s="406"/>
      <c r="FH24" s="406"/>
      <c r="FI24" s="406"/>
      <c r="FJ24" s="406"/>
      <c r="FK24" s="406"/>
      <c r="FL24" s="406"/>
      <c r="FM24" s="406"/>
      <c r="FN24" s="406"/>
      <c r="FO24" s="406"/>
      <c r="FP24" s="406"/>
      <c r="FQ24" s="406"/>
      <c r="FR24" s="406"/>
      <c r="FS24" s="406"/>
      <c r="FT24" s="406"/>
      <c r="FU24" s="406"/>
      <c r="FV24" s="406"/>
      <c r="FW24" s="406"/>
      <c r="FX24" s="406"/>
      <c r="FY24" s="406"/>
      <c r="FZ24" s="406"/>
      <c r="GA24" s="406"/>
      <c r="GB24" s="406"/>
      <c r="GC24" s="406"/>
      <c r="GD24" s="406"/>
      <c r="GE24" s="406"/>
      <c r="GF24" s="406"/>
      <c r="GG24" s="406"/>
      <c r="GH24" s="406"/>
      <c r="GI24" s="406"/>
      <c r="GJ24" s="406"/>
      <c r="GK24" s="406"/>
      <c r="GL24" s="406"/>
      <c r="GM24" s="406"/>
      <c r="GN24" s="406"/>
      <c r="GO24" s="406"/>
      <c r="GP24" s="406"/>
      <c r="GQ24" s="406"/>
      <c r="GR24" s="406"/>
      <c r="GS24" s="406"/>
      <c r="GT24" s="406"/>
      <c r="GU24" s="406"/>
      <c r="GV24" s="406"/>
      <c r="GW24" s="406"/>
      <c r="GX24" s="406"/>
      <c r="GY24" s="406"/>
      <c r="GZ24" s="406"/>
      <c r="HA24" s="406"/>
      <c r="HB24" s="406"/>
      <c r="HC24" s="406"/>
      <c r="HD24" s="406"/>
      <c r="HE24" s="406"/>
      <c r="HF24" s="406"/>
      <c r="HG24" s="406"/>
      <c r="HH24" s="406"/>
      <c r="HI24" s="406"/>
      <c r="HJ24" s="406"/>
      <c r="HK24" s="406"/>
      <c r="HL24" s="406"/>
      <c r="HM24" s="406"/>
      <c r="HN24" s="406"/>
      <c r="HO24" s="406"/>
      <c r="HP24" s="406"/>
      <c r="HQ24" s="406"/>
      <c r="HR24" s="406"/>
      <c r="HS24" s="406"/>
      <c r="HT24" s="406"/>
      <c r="HU24" s="406"/>
      <c r="HV24" s="406"/>
      <c r="HW24" s="406"/>
      <c r="HX24" s="406"/>
      <c r="HY24" s="406"/>
      <c r="HZ24" s="406"/>
      <c r="IA24" s="406"/>
      <c r="IB24" s="406"/>
      <c r="IC24" s="406"/>
      <c r="ID24" s="406"/>
      <c r="IE24" s="406"/>
      <c r="IF24" s="406"/>
      <c r="IG24" s="406"/>
      <c r="IH24" s="406"/>
      <c r="II24" s="406"/>
      <c r="IJ24" s="406"/>
      <c r="IK24" s="406"/>
      <c r="IL24" s="406"/>
      <c r="IM24" s="406"/>
      <c r="IN24" s="406"/>
      <c r="IO24" s="406"/>
      <c r="IP24" s="406"/>
      <c r="IQ24" s="406"/>
      <c r="IR24" s="406"/>
      <c r="IS24" s="406"/>
      <c r="IT24" s="406"/>
      <c r="IU24" s="406"/>
      <c r="IV24" s="406"/>
    </row>
    <row r="25" spans="1:256" ht="15.75">
      <c r="A25" s="425"/>
      <c r="B25" s="409" t="s">
        <v>257</v>
      </c>
      <c r="C25" s="426"/>
      <c r="D25" s="429">
        <f aca="true" t="shared" si="6" ref="D25:D35">ROUND(+E25+E25*F$7,3)</f>
        <v>0.063</v>
      </c>
      <c r="E25" s="418">
        <v>0.08</v>
      </c>
      <c r="F25" s="413">
        <f>-1+D25/E25</f>
        <v>-0.21250000000000002</v>
      </c>
      <c r="G25" s="418"/>
      <c r="H25" s="418"/>
      <c r="I25" s="413"/>
      <c r="J25" s="418"/>
      <c r="K25" s="418"/>
      <c r="L25" s="413"/>
      <c r="M25" s="406"/>
      <c r="N25" s="406"/>
      <c r="O25" s="406"/>
      <c r="P25" s="406"/>
      <c r="Q25" s="406"/>
      <c r="R25" s="406"/>
      <c r="S25" s="407"/>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c r="FA25" s="406"/>
      <c r="FB25" s="406"/>
      <c r="FC25" s="406"/>
      <c r="FD25" s="406"/>
      <c r="FE25" s="406"/>
      <c r="FF25" s="406"/>
      <c r="FG25" s="406"/>
      <c r="FH25" s="406"/>
      <c r="FI25" s="406"/>
      <c r="FJ25" s="406"/>
      <c r="FK25" s="406"/>
      <c r="FL25" s="406"/>
      <c r="FM25" s="406"/>
      <c r="FN25" s="406"/>
      <c r="FO25" s="406"/>
      <c r="FP25" s="406"/>
      <c r="FQ25" s="406"/>
      <c r="FR25" s="406"/>
      <c r="FS25" s="406"/>
      <c r="FT25" s="406"/>
      <c r="FU25" s="406"/>
      <c r="FV25" s="406"/>
      <c r="FW25" s="406"/>
      <c r="FX25" s="406"/>
      <c r="FY25" s="406"/>
      <c r="FZ25" s="406"/>
      <c r="GA25" s="406"/>
      <c r="GB25" s="406"/>
      <c r="GC25" s="406"/>
      <c r="GD25" s="406"/>
      <c r="GE25" s="406"/>
      <c r="GF25" s="406"/>
      <c r="GG25" s="406"/>
      <c r="GH25" s="406"/>
      <c r="GI25" s="406"/>
      <c r="GJ25" s="406"/>
      <c r="GK25" s="406"/>
      <c r="GL25" s="406"/>
      <c r="GM25" s="406"/>
      <c r="GN25" s="406"/>
      <c r="GO25" s="406"/>
      <c r="GP25" s="406"/>
      <c r="GQ25" s="406"/>
      <c r="GR25" s="406"/>
      <c r="GS25" s="406"/>
      <c r="GT25" s="406"/>
      <c r="GU25" s="406"/>
      <c r="GV25" s="406"/>
      <c r="GW25" s="406"/>
      <c r="GX25" s="406"/>
      <c r="GY25" s="406"/>
      <c r="GZ25" s="406"/>
      <c r="HA25" s="406"/>
      <c r="HB25" s="406"/>
      <c r="HC25" s="406"/>
      <c r="HD25" s="406"/>
      <c r="HE25" s="406"/>
      <c r="HF25" s="406"/>
      <c r="HG25" s="406"/>
      <c r="HH25" s="406"/>
      <c r="HI25" s="406"/>
      <c r="HJ25" s="406"/>
      <c r="HK25" s="406"/>
      <c r="HL25" s="406"/>
      <c r="HM25" s="406"/>
      <c r="HN25" s="406"/>
      <c r="HO25" s="406"/>
      <c r="HP25" s="406"/>
      <c r="HQ25" s="406"/>
      <c r="HR25" s="406"/>
      <c r="HS25" s="406"/>
      <c r="HT25" s="406"/>
      <c r="HU25" s="406"/>
      <c r="HV25" s="406"/>
      <c r="HW25" s="406"/>
      <c r="HX25" s="406"/>
      <c r="HY25" s="406"/>
      <c r="HZ25" s="406"/>
      <c r="IA25" s="406"/>
      <c r="IB25" s="406"/>
      <c r="IC25" s="406"/>
      <c r="ID25" s="406"/>
      <c r="IE25" s="406"/>
      <c r="IF25" s="406"/>
      <c r="IG25" s="406"/>
      <c r="IH25" s="406"/>
      <c r="II25" s="406"/>
      <c r="IJ25" s="406"/>
      <c r="IK25" s="406"/>
      <c r="IL25" s="406"/>
      <c r="IM25" s="406"/>
      <c r="IN25" s="406"/>
      <c r="IO25" s="406"/>
      <c r="IP25" s="406"/>
      <c r="IQ25" s="406"/>
      <c r="IR25" s="406"/>
      <c r="IS25" s="406"/>
      <c r="IT25" s="406"/>
      <c r="IU25" s="406"/>
      <c r="IV25" s="406"/>
    </row>
    <row r="26" spans="1:256" ht="15.75">
      <c r="A26" s="425"/>
      <c r="B26" s="409" t="s">
        <v>258</v>
      </c>
      <c r="C26" s="426"/>
      <c r="D26" s="429">
        <f t="shared" si="6"/>
        <v>0.063</v>
      </c>
      <c r="E26" s="418">
        <v>0.08</v>
      </c>
      <c r="F26" s="413">
        <f>-1+D26/E26</f>
        <v>-0.21250000000000002</v>
      </c>
      <c r="G26" s="418"/>
      <c r="H26" s="418"/>
      <c r="I26" s="413"/>
      <c r="J26" s="418"/>
      <c r="K26" s="418"/>
      <c r="L26" s="413"/>
      <c r="M26" s="406"/>
      <c r="N26" s="406"/>
      <c r="O26" s="406"/>
      <c r="P26" s="406"/>
      <c r="Q26" s="406"/>
      <c r="R26" s="406"/>
      <c r="S26" s="407"/>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06"/>
      <c r="EL26" s="406"/>
      <c r="EM26" s="406"/>
      <c r="EN26" s="406"/>
      <c r="EO26" s="406"/>
      <c r="EP26" s="406"/>
      <c r="EQ26" s="406"/>
      <c r="ER26" s="406"/>
      <c r="ES26" s="406"/>
      <c r="ET26" s="406"/>
      <c r="EU26" s="406"/>
      <c r="EV26" s="406"/>
      <c r="EW26" s="406"/>
      <c r="EX26" s="406"/>
      <c r="EY26" s="406"/>
      <c r="EZ26" s="406"/>
      <c r="FA26" s="406"/>
      <c r="FB26" s="406"/>
      <c r="FC26" s="406"/>
      <c r="FD26" s="406"/>
      <c r="FE26" s="406"/>
      <c r="FF26" s="406"/>
      <c r="FG26" s="406"/>
      <c r="FH26" s="406"/>
      <c r="FI26" s="406"/>
      <c r="FJ26" s="406"/>
      <c r="FK26" s="406"/>
      <c r="FL26" s="406"/>
      <c r="FM26" s="406"/>
      <c r="FN26" s="406"/>
      <c r="FO26" s="406"/>
      <c r="FP26" s="406"/>
      <c r="FQ26" s="406"/>
      <c r="FR26" s="406"/>
      <c r="FS26" s="406"/>
      <c r="FT26" s="406"/>
      <c r="FU26" s="406"/>
      <c r="FV26" s="406"/>
      <c r="FW26" s="406"/>
      <c r="FX26" s="406"/>
      <c r="FY26" s="406"/>
      <c r="FZ26" s="406"/>
      <c r="GA26" s="406"/>
      <c r="GB26" s="406"/>
      <c r="GC26" s="406"/>
      <c r="GD26" s="406"/>
      <c r="GE26" s="406"/>
      <c r="GF26" s="406"/>
      <c r="GG26" s="406"/>
      <c r="GH26" s="406"/>
      <c r="GI26" s="406"/>
      <c r="GJ26" s="406"/>
      <c r="GK26" s="406"/>
      <c r="GL26" s="406"/>
      <c r="GM26" s="406"/>
      <c r="GN26" s="406"/>
      <c r="GO26" s="406"/>
      <c r="GP26" s="406"/>
      <c r="GQ26" s="406"/>
      <c r="GR26" s="406"/>
      <c r="GS26" s="406"/>
      <c r="GT26" s="406"/>
      <c r="GU26" s="406"/>
      <c r="GV26" s="406"/>
      <c r="GW26" s="406"/>
      <c r="GX26" s="406"/>
      <c r="GY26" s="406"/>
      <c r="GZ26" s="406"/>
      <c r="HA26" s="406"/>
      <c r="HB26" s="406"/>
      <c r="HC26" s="406"/>
      <c r="HD26" s="406"/>
      <c r="HE26" s="406"/>
      <c r="HF26" s="406"/>
      <c r="HG26" s="406"/>
      <c r="HH26" s="406"/>
      <c r="HI26" s="406"/>
      <c r="HJ26" s="406"/>
      <c r="HK26" s="406"/>
      <c r="HL26" s="406"/>
      <c r="HM26" s="406"/>
      <c r="HN26" s="406"/>
      <c r="HO26" s="406"/>
      <c r="HP26" s="406"/>
      <c r="HQ26" s="406"/>
      <c r="HR26" s="406"/>
      <c r="HS26" s="406"/>
      <c r="HT26" s="406"/>
      <c r="HU26" s="406"/>
      <c r="HV26" s="406"/>
      <c r="HW26" s="406"/>
      <c r="HX26" s="406"/>
      <c r="HY26" s="406"/>
      <c r="HZ26" s="406"/>
      <c r="IA26" s="406"/>
      <c r="IB26" s="406"/>
      <c r="IC26" s="406"/>
      <c r="ID26" s="406"/>
      <c r="IE26" s="406"/>
      <c r="IF26" s="406"/>
      <c r="IG26" s="406"/>
      <c r="IH26" s="406"/>
      <c r="II26" s="406"/>
      <c r="IJ26" s="406"/>
      <c r="IK26" s="406"/>
      <c r="IL26" s="406"/>
      <c r="IM26" s="406"/>
      <c r="IN26" s="406"/>
      <c r="IO26" s="406"/>
      <c r="IP26" s="406"/>
      <c r="IQ26" s="406"/>
      <c r="IR26" s="406"/>
      <c r="IS26" s="406"/>
      <c r="IT26" s="406"/>
      <c r="IU26" s="406"/>
      <c r="IV26" s="406"/>
    </row>
    <row r="27" spans="1:256" ht="15.75">
      <c r="A27" s="425"/>
      <c r="B27" s="409" t="s">
        <v>259</v>
      </c>
      <c r="C27" s="426"/>
      <c r="D27" s="429">
        <f t="shared" si="6"/>
        <v>0.127</v>
      </c>
      <c r="E27" s="418">
        <v>0.16</v>
      </c>
      <c r="F27" s="413">
        <f>-1+D27/E27</f>
        <v>-0.20625000000000004</v>
      </c>
      <c r="G27" s="418"/>
      <c r="H27" s="418"/>
      <c r="I27" s="413"/>
      <c r="J27" s="418"/>
      <c r="K27" s="418"/>
      <c r="L27" s="413"/>
      <c r="M27" s="406"/>
      <c r="N27" s="406"/>
      <c r="O27" s="406"/>
      <c r="P27" s="406"/>
      <c r="Q27" s="406"/>
      <c r="R27" s="406"/>
      <c r="S27" s="407"/>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06"/>
      <c r="EN27" s="406"/>
      <c r="EO27" s="406"/>
      <c r="EP27" s="406"/>
      <c r="EQ27" s="406"/>
      <c r="ER27" s="406"/>
      <c r="ES27" s="406"/>
      <c r="ET27" s="406"/>
      <c r="EU27" s="406"/>
      <c r="EV27" s="406"/>
      <c r="EW27" s="406"/>
      <c r="EX27" s="406"/>
      <c r="EY27" s="406"/>
      <c r="EZ27" s="406"/>
      <c r="FA27" s="406"/>
      <c r="FB27" s="406"/>
      <c r="FC27" s="406"/>
      <c r="FD27" s="406"/>
      <c r="FE27" s="406"/>
      <c r="FF27" s="406"/>
      <c r="FG27" s="406"/>
      <c r="FH27" s="406"/>
      <c r="FI27" s="406"/>
      <c r="FJ27" s="406"/>
      <c r="FK27" s="406"/>
      <c r="FL27" s="406"/>
      <c r="FM27" s="406"/>
      <c r="FN27" s="406"/>
      <c r="FO27" s="406"/>
      <c r="FP27" s="406"/>
      <c r="FQ27" s="406"/>
      <c r="FR27" s="406"/>
      <c r="FS27" s="406"/>
      <c r="FT27" s="406"/>
      <c r="FU27" s="406"/>
      <c r="FV27" s="406"/>
      <c r="FW27" s="406"/>
      <c r="FX27" s="406"/>
      <c r="FY27" s="406"/>
      <c r="FZ27" s="406"/>
      <c r="GA27" s="406"/>
      <c r="GB27" s="406"/>
      <c r="GC27" s="406"/>
      <c r="GD27" s="406"/>
      <c r="GE27" s="406"/>
      <c r="GF27" s="406"/>
      <c r="GG27" s="406"/>
      <c r="GH27" s="406"/>
      <c r="GI27" s="406"/>
      <c r="GJ27" s="406"/>
      <c r="GK27" s="406"/>
      <c r="GL27" s="406"/>
      <c r="GM27" s="406"/>
      <c r="GN27" s="406"/>
      <c r="GO27" s="406"/>
      <c r="GP27" s="406"/>
      <c r="GQ27" s="406"/>
      <c r="GR27" s="406"/>
      <c r="GS27" s="406"/>
      <c r="GT27" s="406"/>
      <c r="GU27" s="406"/>
      <c r="GV27" s="406"/>
      <c r="GW27" s="406"/>
      <c r="GX27" s="406"/>
      <c r="GY27" s="406"/>
      <c r="GZ27" s="406"/>
      <c r="HA27" s="406"/>
      <c r="HB27" s="406"/>
      <c r="HC27" s="406"/>
      <c r="HD27" s="406"/>
      <c r="HE27" s="406"/>
      <c r="HF27" s="406"/>
      <c r="HG27" s="406"/>
      <c r="HH27" s="406"/>
      <c r="HI27" s="406"/>
      <c r="HJ27" s="406"/>
      <c r="HK27" s="406"/>
      <c r="HL27" s="406"/>
      <c r="HM27" s="406"/>
      <c r="HN27" s="406"/>
      <c r="HO27" s="406"/>
      <c r="HP27" s="406"/>
      <c r="HQ27" s="406"/>
      <c r="HR27" s="406"/>
      <c r="HS27" s="406"/>
      <c r="HT27" s="406"/>
      <c r="HU27" s="406"/>
      <c r="HV27" s="406"/>
      <c r="HW27" s="406"/>
      <c r="HX27" s="406"/>
      <c r="HY27" s="406"/>
      <c r="HZ27" s="406"/>
      <c r="IA27" s="406"/>
      <c r="IB27" s="406"/>
      <c r="IC27" s="406"/>
      <c r="ID27" s="406"/>
      <c r="IE27" s="406"/>
      <c r="IF27" s="406"/>
      <c r="IG27" s="406"/>
      <c r="IH27" s="406"/>
      <c r="II27" s="406"/>
      <c r="IJ27" s="406"/>
      <c r="IK27" s="406"/>
      <c r="IL27" s="406"/>
      <c r="IM27" s="406"/>
      <c r="IN27" s="406"/>
      <c r="IO27" s="406"/>
      <c r="IP27" s="406"/>
      <c r="IQ27" s="406"/>
      <c r="IR27" s="406"/>
      <c r="IS27" s="406"/>
      <c r="IT27" s="406"/>
      <c r="IU27" s="406"/>
      <c r="IV27" s="406"/>
    </row>
    <row r="28" spans="1:256" ht="15.75">
      <c r="A28" s="425"/>
      <c r="B28" s="409" t="s">
        <v>260</v>
      </c>
      <c r="C28" s="410"/>
      <c r="D28" s="429">
        <f t="shared" si="6"/>
        <v>0.198</v>
      </c>
      <c r="E28" s="418">
        <v>0.25</v>
      </c>
      <c r="F28" s="413">
        <f>-1+D28/E28</f>
        <v>-0.20799999999999996</v>
      </c>
      <c r="G28" s="418"/>
      <c r="H28" s="418"/>
      <c r="I28" s="413"/>
      <c r="J28" s="418"/>
      <c r="K28" s="418"/>
      <c r="L28" s="413"/>
      <c r="M28" s="406"/>
      <c r="N28" s="406"/>
      <c r="O28" s="406"/>
      <c r="P28" s="406"/>
      <c r="Q28" s="406"/>
      <c r="R28" s="406"/>
      <c r="S28" s="407"/>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6"/>
      <c r="BR28" s="406"/>
      <c r="BS28" s="406"/>
      <c r="BT28" s="406"/>
      <c r="BU28" s="406"/>
      <c r="BV28" s="406"/>
      <c r="BW28" s="406"/>
      <c r="BX28" s="406"/>
      <c r="BY28" s="406"/>
      <c r="BZ28" s="406"/>
      <c r="CA28" s="406"/>
      <c r="CB28" s="406"/>
      <c r="CC28" s="406"/>
      <c r="CD28" s="406"/>
      <c r="CE28" s="406"/>
      <c r="CF28" s="406"/>
      <c r="CG28" s="406"/>
      <c r="CH28" s="406"/>
      <c r="CI28" s="406"/>
      <c r="CJ28" s="406"/>
      <c r="CK28" s="406"/>
      <c r="CL28" s="406"/>
      <c r="CM28" s="406"/>
      <c r="CN28" s="406"/>
      <c r="CO28" s="406"/>
      <c r="CP28" s="406"/>
      <c r="CQ28" s="406"/>
      <c r="CR28" s="406"/>
      <c r="CS28" s="406"/>
      <c r="CT28" s="406"/>
      <c r="CU28" s="406"/>
      <c r="CV28" s="406"/>
      <c r="CW28" s="406"/>
      <c r="CX28" s="406"/>
      <c r="CY28" s="406"/>
      <c r="CZ28" s="406"/>
      <c r="DA28" s="406"/>
      <c r="DB28" s="406"/>
      <c r="DC28" s="406"/>
      <c r="DD28" s="406"/>
      <c r="DE28" s="406"/>
      <c r="DF28" s="406"/>
      <c r="DG28" s="406"/>
      <c r="DH28" s="406"/>
      <c r="DI28" s="406"/>
      <c r="DJ28" s="406"/>
      <c r="DK28" s="406"/>
      <c r="DL28" s="406"/>
      <c r="DM28" s="406"/>
      <c r="DN28" s="406"/>
      <c r="DO28" s="406"/>
      <c r="DP28" s="406"/>
      <c r="DQ28" s="406"/>
      <c r="DR28" s="406"/>
      <c r="DS28" s="406"/>
      <c r="DT28" s="406"/>
      <c r="DU28" s="406"/>
      <c r="DV28" s="406"/>
      <c r="DW28" s="406"/>
      <c r="DX28" s="406"/>
      <c r="DY28" s="406"/>
      <c r="DZ28" s="406"/>
      <c r="EA28" s="406"/>
      <c r="EB28" s="406"/>
      <c r="EC28" s="406"/>
      <c r="ED28" s="406"/>
      <c r="EE28" s="406"/>
      <c r="EF28" s="406"/>
      <c r="EG28" s="406"/>
      <c r="EH28" s="406"/>
      <c r="EI28" s="406"/>
      <c r="EJ28" s="406"/>
      <c r="EK28" s="406"/>
      <c r="EL28" s="406"/>
      <c r="EM28" s="406"/>
      <c r="EN28" s="406"/>
      <c r="EO28" s="406"/>
      <c r="EP28" s="406"/>
      <c r="EQ28" s="406"/>
      <c r="ER28" s="406"/>
      <c r="ES28" s="406"/>
      <c r="ET28" s="406"/>
      <c r="EU28" s="406"/>
      <c r="EV28" s="406"/>
      <c r="EW28" s="406"/>
      <c r="EX28" s="406"/>
      <c r="EY28" s="406"/>
      <c r="EZ28" s="406"/>
      <c r="FA28" s="406"/>
      <c r="FB28" s="406"/>
      <c r="FC28" s="406"/>
      <c r="FD28" s="406"/>
      <c r="FE28" s="406"/>
      <c r="FF28" s="406"/>
      <c r="FG28" s="406"/>
      <c r="FH28" s="406"/>
      <c r="FI28" s="406"/>
      <c r="FJ28" s="406"/>
      <c r="FK28" s="406"/>
      <c r="FL28" s="406"/>
      <c r="FM28" s="406"/>
      <c r="FN28" s="406"/>
      <c r="FO28" s="406"/>
      <c r="FP28" s="406"/>
      <c r="FQ28" s="406"/>
      <c r="FR28" s="406"/>
      <c r="FS28" s="406"/>
      <c r="FT28" s="406"/>
      <c r="FU28" s="406"/>
      <c r="FV28" s="406"/>
      <c r="FW28" s="406"/>
      <c r="FX28" s="406"/>
      <c r="FY28" s="406"/>
      <c r="FZ28" s="406"/>
      <c r="GA28" s="406"/>
      <c r="GB28" s="406"/>
      <c r="GC28" s="406"/>
      <c r="GD28" s="406"/>
      <c r="GE28" s="406"/>
      <c r="GF28" s="406"/>
      <c r="GG28" s="406"/>
      <c r="GH28" s="406"/>
      <c r="GI28" s="406"/>
      <c r="GJ28" s="406"/>
      <c r="GK28" s="406"/>
      <c r="GL28" s="406"/>
      <c r="GM28" s="406"/>
      <c r="GN28" s="406"/>
      <c r="GO28" s="406"/>
      <c r="GP28" s="406"/>
      <c r="GQ28" s="406"/>
      <c r="GR28" s="406"/>
      <c r="GS28" s="406"/>
      <c r="GT28" s="406"/>
      <c r="GU28" s="406"/>
      <c r="GV28" s="406"/>
      <c r="GW28" s="406"/>
      <c r="GX28" s="406"/>
      <c r="GY28" s="406"/>
      <c r="GZ28" s="406"/>
      <c r="HA28" s="406"/>
      <c r="HB28" s="406"/>
      <c r="HC28" s="406"/>
      <c r="HD28" s="406"/>
      <c r="HE28" s="406"/>
      <c r="HF28" s="406"/>
      <c r="HG28" s="406"/>
      <c r="HH28" s="406"/>
      <c r="HI28" s="406"/>
      <c r="HJ28" s="406"/>
      <c r="HK28" s="406"/>
      <c r="HL28" s="406"/>
      <c r="HM28" s="406"/>
      <c r="HN28" s="406"/>
      <c r="HO28" s="406"/>
      <c r="HP28" s="406"/>
      <c r="HQ28" s="406"/>
      <c r="HR28" s="406"/>
      <c r="HS28" s="406"/>
      <c r="HT28" s="406"/>
      <c r="HU28" s="406"/>
      <c r="HV28" s="406"/>
      <c r="HW28" s="406"/>
      <c r="HX28" s="406"/>
      <c r="HY28" s="406"/>
      <c r="HZ28" s="406"/>
      <c r="IA28" s="406"/>
      <c r="IB28" s="406"/>
      <c r="IC28" s="406"/>
      <c r="ID28" s="406"/>
      <c r="IE28" s="406"/>
      <c r="IF28" s="406"/>
      <c r="IG28" s="406"/>
      <c r="IH28" s="406"/>
      <c r="II28" s="406"/>
      <c r="IJ28" s="406"/>
      <c r="IK28" s="406"/>
      <c r="IL28" s="406"/>
      <c r="IM28" s="406"/>
      <c r="IN28" s="406"/>
      <c r="IO28" s="406"/>
      <c r="IP28" s="406"/>
      <c r="IQ28" s="406"/>
      <c r="IR28" s="406"/>
      <c r="IS28" s="406"/>
      <c r="IT28" s="406"/>
      <c r="IU28" s="406"/>
      <c r="IV28" s="406"/>
    </row>
    <row r="29" spans="1:256" ht="15.75">
      <c r="A29" s="425"/>
      <c r="B29" s="409" t="s">
        <v>261</v>
      </c>
      <c r="C29" s="410"/>
      <c r="D29" s="429">
        <f t="shared" si="6"/>
        <v>0.524</v>
      </c>
      <c r="E29" s="422">
        <v>0.66</v>
      </c>
      <c r="F29" s="413">
        <f aca="true" t="shared" si="7" ref="F29:F35">-1+D29/E29</f>
        <v>-0.20606060606060606</v>
      </c>
      <c r="G29" s="418"/>
      <c r="H29" s="418"/>
      <c r="I29" s="413"/>
      <c r="J29" s="418"/>
      <c r="K29" s="418"/>
      <c r="L29" s="413"/>
      <c r="M29" s="406"/>
      <c r="N29" s="406"/>
      <c r="O29" s="406"/>
      <c r="P29" s="406"/>
      <c r="Q29" s="406"/>
      <c r="R29" s="406"/>
      <c r="S29" s="407"/>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406"/>
      <c r="BY29" s="406"/>
      <c r="BZ29" s="406"/>
      <c r="CA29" s="406"/>
      <c r="CB29" s="406"/>
      <c r="CC29" s="406"/>
      <c r="CD29" s="406"/>
      <c r="CE29" s="406"/>
      <c r="CF29" s="406"/>
      <c r="CG29" s="406"/>
      <c r="CH29" s="406"/>
      <c r="CI29" s="406"/>
      <c r="CJ29" s="406"/>
      <c r="CK29" s="406"/>
      <c r="CL29" s="406"/>
      <c r="CM29" s="406"/>
      <c r="CN29" s="406"/>
      <c r="CO29" s="406"/>
      <c r="CP29" s="406"/>
      <c r="CQ29" s="406"/>
      <c r="CR29" s="406"/>
      <c r="CS29" s="406"/>
      <c r="CT29" s="406"/>
      <c r="CU29" s="406"/>
      <c r="CV29" s="406"/>
      <c r="CW29" s="406"/>
      <c r="CX29" s="406"/>
      <c r="CY29" s="406"/>
      <c r="CZ29" s="406"/>
      <c r="DA29" s="406"/>
      <c r="DB29" s="406"/>
      <c r="DC29" s="406"/>
      <c r="DD29" s="406"/>
      <c r="DE29" s="406"/>
      <c r="DF29" s="406"/>
      <c r="DG29" s="406"/>
      <c r="DH29" s="406"/>
      <c r="DI29" s="406"/>
      <c r="DJ29" s="406"/>
      <c r="DK29" s="406"/>
      <c r="DL29" s="406"/>
      <c r="DM29" s="406"/>
      <c r="DN29" s="406"/>
      <c r="DO29" s="406"/>
      <c r="DP29" s="406"/>
      <c r="DQ29" s="406"/>
      <c r="DR29" s="406"/>
      <c r="DS29" s="406"/>
      <c r="DT29" s="406"/>
      <c r="DU29" s="406"/>
      <c r="DV29" s="406"/>
      <c r="DW29" s="406"/>
      <c r="DX29" s="406"/>
      <c r="DY29" s="406"/>
      <c r="DZ29" s="406"/>
      <c r="EA29" s="406"/>
      <c r="EB29" s="406"/>
      <c r="EC29" s="406"/>
      <c r="ED29" s="406"/>
      <c r="EE29" s="406"/>
      <c r="EF29" s="406"/>
      <c r="EG29" s="406"/>
      <c r="EH29" s="406"/>
      <c r="EI29" s="406"/>
      <c r="EJ29" s="406"/>
      <c r="EK29" s="406"/>
      <c r="EL29" s="406"/>
      <c r="EM29" s="406"/>
      <c r="EN29" s="406"/>
      <c r="EO29" s="406"/>
      <c r="EP29" s="406"/>
      <c r="EQ29" s="406"/>
      <c r="ER29" s="406"/>
      <c r="ES29" s="406"/>
      <c r="ET29" s="406"/>
      <c r="EU29" s="406"/>
      <c r="EV29" s="406"/>
      <c r="EW29" s="406"/>
      <c r="EX29" s="406"/>
      <c r="EY29" s="406"/>
      <c r="EZ29" s="406"/>
      <c r="FA29" s="406"/>
      <c r="FB29" s="406"/>
      <c r="FC29" s="406"/>
      <c r="FD29" s="406"/>
      <c r="FE29" s="406"/>
      <c r="FF29" s="406"/>
      <c r="FG29" s="406"/>
      <c r="FH29" s="406"/>
      <c r="FI29" s="406"/>
      <c r="FJ29" s="406"/>
      <c r="FK29" s="406"/>
      <c r="FL29" s="406"/>
      <c r="FM29" s="406"/>
      <c r="FN29" s="406"/>
      <c r="FO29" s="406"/>
      <c r="FP29" s="406"/>
      <c r="FQ29" s="406"/>
      <c r="FR29" s="406"/>
      <c r="FS29" s="406"/>
      <c r="FT29" s="406"/>
      <c r="FU29" s="406"/>
      <c r="FV29" s="406"/>
      <c r="FW29" s="406"/>
      <c r="FX29" s="406"/>
      <c r="FY29" s="406"/>
      <c r="FZ29" s="406"/>
      <c r="GA29" s="406"/>
      <c r="GB29" s="406"/>
      <c r="GC29" s="406"/>
      <c r="GD29" s="406"/>
      <c r="GE29" s="406"/>
      <c r="GF29" s="406"/>
      <c r="GG29" s="406"/>
      <c r="GH29" s="406"/>
      <c r="GI29" s="406"/>
      <c r="GJ29" s="406"/>
      <c r="GK29" s="406"/>
      <c r="GL29" s="406"/>
      <c r="GM29" s="406"/>
      <c r="GN29" s="406"/>
      <c r="GO29" s="406"/>
      <c r="GP29" s="406"/>
      <c r="GQ29" s="406"/>
      <c r="GR29" s="406"/>
      <c r="GS29" s="406"/>
      <c r="GT29" s="406"/>
      <c r="GU29" s="406"/>
      <c r="GV29" s="406"/>
      <c r="GW29" s="406"/>
      <c r="GX29" s="406"/>
      <c r="GY29" s="406"/>
      <c r="GZ29" s="406"/>
      <c r="HA29" s="406"/>
      <c r="HB29" s="406"/>
      <c r="HC29" s="406"/>
      <c r="HD29" s="406"/>
      <c r="HE29" s="406"/>
      <c r="HF29" s="406"/>
      <c r="HG29" s="406"/>
      <c r="HH29" s="406"/>
      <c r="HI29" s="406"/>
      <c r="HJ29" s="406"/>
      <c r="HK29" s="406"/>
      <c r="HL29" s="406"/>
      <c r="HM29" s="406"/>
      <c r="HN29" s="406"/>
      <c r="HO29" s="406"/>
      <c r="HP29" s="406"/>
      <c r="HQ29" s="406"/>
      <c r="HR29" s="406"/>
      <c r="HS29" s="406"/>
      <c r="HT29" s="406"/>
      <c r="HU29" s="406"/>
      <c r="HV29" s="406"/>
      <c r="HW29" s="406"/>
      <c r="HX29" s="406"/>
      <c r="HY29" s="406"/>
      <c r="HZ29" s="406"/>
      <c r="IA29" s="406"/>
      <c r="IB29" s="406"/>
      <c r="IC29" s="406"/>
      <c r="ID29" s="406"/>
      <c r="IE29" s="406"/>
      <c r="IF29" s="406"/>
      <c r="IG29" s="406"/>
      <c r="IH29" s="406"/>
      <c r="II29" s="406"/>
      <c r="IJ29" s="406"/>
      <c r="IK29" s="406"/>
      <c r="IL29" s="406"/>
      <c r="IM29" s="406"/>
      <c r="IN29" s="406"/>
      <c r="IO29" s="406"/>
      <c r="IP29" s="406"/>
      <c r="IQ29" s="406"/>
      <c r="IR29" s="406"/>
      <c r="IS29" s="406"/>
      <c r="IT29" s="406"/>
      <c r="IU29" s="406"/>
      <c r="IV29" s="406"/>
    </row>
    <row r="30" spans="1:256" ht="15.75">
      <c r="A30" s="425"/>
      <c r="B30" s="409" t="s">
        <v>262</v>
      </c>
      <c r="C30" s="410"/>
      <c r="D30" s="429">
        <f t="shared" si="6"/>
        <v>0.793</v>
      </c>
      <c r="E30" s="428">
        <v>1</v>
      </c>
      <c r="F30" s="413">
        <f t="shared" si="7"/>
        <v>-0.20699999999999996</v>
      </c>
      <c r="G30" s="418"/>
      <c r="H30" s="418"/>
      <c r="I30" s="413"/>
      <c r="J30" s="418"/>
      <c r="K30" s="418"/>
      <c r="L30" s="413"/>
      <c r="M30" s="406"/>
      <c r="N30" s="406"/>
      <c r="O30" s="406"/>
      <c r="P30" s="406"/>
      <c r="Q30" s="406"/>
      <c r="R30" s="406"/>
      <c r="S30" s="407"/>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s="406"/>
      <c r="DC30" s="406"/>
      <c r="DD30" s="406"/>
      <c r="DE30" s="406"/>
      <c r="DF30" s="406"/>
      <c r="DG30" s="406"/>
      <c r="DH30" s="406"/>
      <c r="DI30" s="406"/>
      <c r="DJ30" s="406"/>
      <c r="DK30" s="406"/>
      <c r="DL30" s="406"/>
      <c r="DM30" s="406"/>
      <c r="DN30" s="406"/>
      <c r="DO30" s="406"/>
      <c r="DP30" s="406"/>
      <c r="DQ30" s="406"/>
      <c r="DR30" s="406"/>
      <c r="DS30" s="406"/>
      <c r="DT30" s="406"/>
      <c r="DU30" s="406"/>
      <c r="DV30" s="406"/>
      <c r="DW30" s="406"/>
      <c r="DX30" s="406"/>
      <c r="DY30" s="406"/>
      <c r="DZ30" s="406"/>
      <c r="EA30" s="406"/>
      <c r="EB30" s="406"/>
      <c r="EC30" s="406"/>
      <c r="ED30" s="406"/>
      <c r="EE30" s="406"/>
      <c r="EF30" s="406"/>
      <c r="EG30" s="406"/>
      <c r="EH30" s="406"/>
      <c r="EI30" s="406"/>
      <c r="EJ30" s="406"/>
      <c r="EK30" s="406"/>
      <c r="EL30" s="406"/>
      <c r="EM30" s="406"/>
      <c r="EN30" s="406"/>
      <c r="EO30" s="406"/>
      <c r="EP30" s="406"/>
      <c r="EQ30" s="406"/>
      <c r="ER30" s="406"/>
      <c r="ES30" s="406"/>
      <c r="ET30" s="406"/>
      <c r="EU30" s="406"/>
      <c r="EV30" s="406"/>
      <c r="EW30" s="406"/>
      <c r="EX30" s="406"/>
      <c r="EY30" s="406"/>
      <c r="EZ30" s="406"/>
      <c r="FA30" s="406"/>
      <c r="FB30" s="406"/>
      <c r="FC30" s="406"/>
      <c r="FD30" s="406"/>
      <c r="FE30" s="406"/>
      <c r="FF30" s="406"/>
      <c r="FG30" s="406"/>
      <c r="FH30" s="406"/>
      <c r="FI30" s="406"/>
      <c r="FJ30" s="406"/>
      <c r="FK30" s="406"/>
      <c r="FL30" s="406"/>
      <c r="FM30" s="406"/>
      <c r="FN30" s="406"/>
      <c r="FO30" s="406"/>
      <c r="FP30" s="406"/>
      <c r="FQ30" s="406"/>
      <c r="FR30" s="406"/>
      <c r="FS30" s="406"/>
      <c r="FT30" s="406"/>
      <c r="FU30" s="406"/>
      <c r="FV30" s="406"/>
      <c r="FW30" s="406"/>
      <c r="FX30" s="406"/>
      <c r="FY30" s="406"/>
      <c r="FZ30" s="406"/>
      <c r="GA30" s="406"/>
      <c r="GB30" s="406"/>
      <c r="GC30" s="406"/>
      <c r="GD30" s="406"/>
      <c r="GE30" s="406"/>
      <c r="GF30" s="406"/>
      <c r="GG30" s="406"/>
      <c r="GH30" s="406"/>
      <c r="GI30" s="406"/>
      <c r="GJ30" s="406"/>
      <c r="GK30" s="406"/>
      <c r="GL30" s="406"/>
      <c r="GM30" s="406"/>
      <c r="GN30" s="406"/>
      <c r="GO30" s="406"/>
      <c r="GP30" s="406"/>
      <c r="GQ30" s="406"/>
      <c r="GR30" s="406"/>
      <c r="GS30" s="406"/>
      <c r="GT30" s="406"/>
      <c r="GU30" s="406"/>
      <c r="GV30" s="406"/>
      <c r="GW30" s="406"/>
      <c r="GX30" s="406"/>
      <c r="GY30" s="406"/>
      <c r="GZ30" s="406"/>
      <c r="HA30" s="406"/>
      <c r="HB30" s="406"/>
      <c r="HC30" s="406"/>
      <c r="HD30" s="406"/>
      <c r="HE30" s="406"/>
      <c r="HF30" s="406"/>
      <c r="HG30" s="406"/>
      <c r="HH30" s="406"/>
      <c r="HI30" s="406"/>
      <c r="HJ30" s="406"/>
      <c r="HK30" s="406"/>
      <c r="HL30" s="406"/>
      <c r="HM30" s="406"/>
      <c r="HN30" s="406"/>
      <c r="HO30" s="406"/>
      <c r="HP30" s="406"/>
      <c r="HQ30" s="406"/>
      <c r="HR30" s="406"/>
      <c r="HS30" s="406"/>
      <c r="HT30" s="406"/>
      <c r="HU30" s="406"/>
      <c r="HV30" s="406"/>
      <c r="HW30" s="406"/>
      <c r="HX30" s="406"/>
      <c r="HY30" s="406"/>
      <c r="HZ30" s="406"/>
      <c r="IA30" s="406"/>
      <c r="IB30" s="406"/>
      <c r="IC30" s="406"/>
      <c r="ID30" s="406"/>
      <c r="IE30" s="406"/>
      <c r="IF30" s="406"/>
      <c r="IG30" s="406"/>
      <c r="IH30" s="406"/>
      <c r="II30" s="406"/>
      <c r="IJ30" s="406"/>
      <c r="IK30" s="406"/>
      <c r="IL30" s="406"/>
      <c r="IM30" s="406"/>
      <c r="IN30" s="406"/>
      <c r="IO30" s="406"/>
      <c r="IP30" s="406"/>
      <c r="IQ30" s="406"/>
      <c r="IR30" s="406"/>
      <c r="IS30" s="406"/>
      <c r="IT30" s="406"/>
      <c r="IU30" s="406"/>
      <c r="IV30" s="406"/>
    </row>
    <row r="31" spans="1:256" ht="15.75">
      <c r="A31" s="425"/>
      <c r="B31" s="409" t="s">
        <v>263</v>
      </c>
      <c r="C31" s="410"/>
      <c r="D31" s="429">
        <f t="shared" si="6"/>
        <v>1.047</v>
      </c>
      <c r="E31" s="428">
        <v>1.32</v>
      </c>
      <c r="F31" s="413">
        <f t="shared" si="7"/>
        <v>-0.2068181818181819</v>
      </c>
      <c r="G31" s="418"/>
      <c r="H31" s="418"/>
      <c r="I31" s="413"/>
      <c r="J31" s="418"/>
      <c r="K31" s="418"/>
      <c r="L31" s="413"/>
      <c r="M31" s="406"/>
      <c r="N31" s="406"/>
      <c r="O31" s="406"/>
      <c r="P31" s="406"/>
      <c r="Q31" s="406"/>
      <c r="R31" s="406"/>
      <c r="S31" s="407"/>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c r="CO31" s="406"/>
      <c r="CP31" s="406"/>
      <c r="CQ31" s="406"/>
      <c r="CR31" s="406"/>
      <c r="CS31" s="406"/>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c r="EN31" s="406"/>
      <c r="EO31" s="406"/>
      <c r="EP31" s="406"/>
      <c r="EQ31" s="406"/>
      <c r="ER31" s="406"/>
      <c r="ES31" s="406"/>
      <c r="ET31" s="406"/>
      <c r="EU31" s="406"/>
      <c r="EV31" s="406"/>
      <c r="EW31" s="406"/>
      <c r="EX31" s="406"/>
      <c r="EY31" s="406"/>
      <c r="EZ31" s="406"/>
      <c r="FA31" s="406"/>
      <c r="FB31" s="406"/>
      <c r="FC31" s="406"/>
      <c r="FD31" s="406"/>
      <c r="FE31" s="406"/>
      <c r="FF31" s="406"/>
      <c r="FG31" s="406"/>
      <c r="FH31" s="406"/>
      <c r="FI31" s="406"/>
      <c r="FJ31" s="406"/>
      <c r="FK31" s="406"/>
      <c r="FL31" s="406"/>
      <c r="FM31" s="406"/>
      <c r="FN31" s="406"/>
      <c r="FO31" s="406"/>
      <c r="FP31" s="406"/>
      <c r="FQ31" s="406"/>
      <c r="FR31" s="406"/>
      <c r="FS31" s="406"/>
      <c r="FT31" s="406"/>
      <c r="FU31" s="406"/>
      <c r="FV31" s="406"/>
      <c r="FW31" s="406"/>
      <c r="FX31" s="406"/>
      <c r="FY31" s="406"/>
      <c r="FZ31" s="406"/>
      <c r="GA31" s="406"/>
      <c r="GB31" s="406"/>
      <c r="GC31" s="406"/>
      <c r="GD31" s="406"/>
      <c r="GE31" s="406"/>
      <c r="GF31" s="406"/>
      <c r="GG31" s="406"/>
      <c r="GH31" s="406"/>
      <c r="GI31" s="406"/>
      <c r="GJ31" s="406"/>
      <c r="GK31" s="406"/>
      <c r="GL31" s="406"/>
      <c r="GM31" s="406"/>
      <c r="GN31" s="406"/>
      <c r="GO31" s="406"/>
      <c r="GP31" s="406"/>
      <c r="GQ31" s="406"/>
      <c r="GR31" s="406"/>
      <c r="GS31" s="406"/>
      <c r="GT31" s="406"/>
      <c r="GU31" s="406"/>
      <c r="GV31" s="406"/>
      <c r="GW31" s="406"/>
      <c r="GX31" s="406"/>
      <c r="GY31" s="406"/>
      <c r="GZ31" s="406"/>
      <c r="HA31" s="406"/>
      <c r="HB31" s="406"/>
      <c r="HC31" s="406"/>
      <c r="HD31" s="406"/>
      <c r="HE31" s="406"/>
      <c r="HF31" s="406"/>
      <c r="HG31" s="406"/>
      <c r="HH31" s="406"/>
      <c r="HI31" s="406"/>
      <c r="HJ31" s="406"/>
      <c r="HK31" s="406"/>
      <c r="HL31" s="406"/>
      <c r="HM31" s="406"/>
      <c r="HN31" s="406"/>
      <c r="HO31" s="406"/>
      <c r="HP31" s="406"/>
      <c r="HQ31" s="406"/>
      <c r="HR31" s="406"/>
      <c r="HS31" s="406"/>
      <c r="HT31" s="406"/>
      <c r="HU31" s="406"/>
      <c r="HV31" s="406"/>
      <c r="HW31" s="406"/>
      <c r="HX31" s="406"/>
      <c r="HY31" s="406"/>
      <c r="HZ31" s="406"/>
      <c r="IA31" s="406"/>
      <c r="IB31" s="406"/>
      <c r="IC31" s="406"/>
      <c r="ID31" s="406"/>
      <c r="IE31" s="406"/>
      <c r="IF31" s="406"/>
      <c r="IG31" s="406"/>
      <c r="IH31" s="406"/>
      <c r="II31" s="406"/>
      <c r="IJ31" s="406"/>
      <c r="IK31" s="406"/>
      <c r="IL31" s="406"/>
      <c r="IM31" s="406"/>
      <c r="IN31" s="406"/>
      <c r="IO31" s="406"/>
      <c r="IP31" s="406"/>
      <c r="IQ31" s="406"/>
      <c r="IR31" s="406"/>
      <c r="IS31" s="406"/>
      <c r="IT31" s="406"/>
      <c r="IU31" s="406"/>
      <c r="IV31" s="406"/>
    </row>
    <row r="32" spans="1:256" ht="15.75">
      <c r="A32" s="425"/>
      <c r="B32" s="409" t="s">
        <v>264</v>
      </c>
      <c r="C32" s="410"/>
      <c r="D32" s="429">
        <f t="shared" si="6"/>
        <v>1.571</v>
      </c>
      <c r="E32" s="428">
        <v>1.98</v>
      </c>
      <c r="F32" s="413">
        <f t="shared" si="7"/>
        <v>-0.20656565656565662</v>
      </c>
      <c r="G32" s="418"/>
      <c r="H32" s="418"/>
      <c r="I32" s="413"/>
      <c r="J32" s="418"/>
      <c r="K32" s="418"/>
      <c r="L32" s="413"/>
      <c r="M32" s="406"/>
      <c r="N32" s="406"/>
      <c r="O32" s="406"/>
      <c r="P32" s="406"/>
      <c r="Q32" s="406"/>
      <c r="R32" s="406"/>
      <c r="S32" s="407"/>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c r="CA32" s="406"/>
      <c r="CB32" s="406"/>
      <c r="CC32" s="406"/>
      <c r="CD32" s="406"/>
      <c r="CE32" s="406"/>
      <c r="CF32" s="406"/>
      <c r="CG32" s="406"/>
      <c r="CH32" s="406"/>
      <c r="CI32" s="406"/>
      <c r="CJ32" s="406"/>
      <c r="CK32" s="406"/>
      <c r="CL32" s="406"/>
      <c r="CM32" s="406"/>
      <c r="CN32" s="406"/>
      <c r="CO32" s="406"/>
      <c r="CP32" s="406"/>
      <c r="CQ32" s="406"/>
      <c r="CR32" s="406"/>
      <c r="CS32" s="406"/>
      <c r="CT32" s="406"/>
      <c r="CU32" s="406"/>
      <c r="CV32" s="406"/>
      <c r="CW32" s="406"/>
      <c r="CX32" s="406"/>
      <c r="CY32" s="406"/>
      <c r="CZ32" s="406"/>
      <c r="DA32" s="406"/>
      <c r="DB32" s="406"/>
      <c r="DC32" s="406"/>
      <c r="DD32" s="406"/>
      <c r="DE32" s="406"/>
      <c r="DF32" s="406"/>
      <c r="DG32" s="406"/>
      <c r="DH32" s="406"/>
      <c r="DI32" s="406"/>
      <c r="DJ32" s="406"/>
      <c r="DK32" s="406"/>
      <c r="DL32" s="406"/>
      <c r="DM32" s="406"/>
      <c r="DN32" s="406"/>
      <c r="DO32" s="406"/>
      <c r="DP32" s="406"/>
      <c r="DQ32" s="406"/>
      <c r="DR32" s="406"/>
      <c r="DS32" s="406"/>
      <c r="DT32" s="406"/>
      <c r="DU32" s="406"/>
      <c r="DV32" s="406"/>
      <c r="DW32" s="406"/>
      <c r="DX32" s="406"/>
      <c r="DY32" s="406"/>
      <c r="DZ32" s="406"/>
      <c r="EA32" s="406"/>
      <c r="EB32" s="406"/>
      <c r="EC32" s="406"/>
      <c r="ED32" s="406"/>
      <c r="EE32" s="406"/>
      <c r="EF32" s="406"/>
      <c r="EG32" s="406"/>
      <c r="EH32" s="406"/>
      <c r="EI32" s="406"/>
      <c r="EJ32" s="406"/>
      <c r="EK32" s="406"/>
      <c r="EL32" s="406"/>
      <c r="EM32" s="406"/>
      <c r="EN32" s="406"/>
      <c r="EO32" s="406"/>
      <c r="EP32" s="406"/>
      <c r="EQ32" s="406"/>
      <c r="ER32" s="406"/>
      <c r="ES32" s="406"/>
      <c r="ET32" s="406"/>
      <c r="EU32" s="406"/>
      <c r="EV32" s="406"/>
      <c r="EW32" s="406"/>
      <c r="EX32" s="406"/>
      <c r="EY32" s="406"/>
      <c r="EZ32" s="406"/>
      <c r="FA32" s="406"/>
      <c r="FB32" s="406"/>
      <c r="FC32" s="406"/>
      <c r="FD32" s="406"/>
      <c r="FE32" s="406"/>
      <c r="FF32" s="406"/>
      <c r="FG32" s="406"/>
      <c r="FH32" s="406"/>
      <c r="FI32" s="406"/>
      <c r="FJ32" s="406"/>
      <c r="FK32" s="406"/>
      <c r="FL32" s="406"/>
      <c r="FM32" s="406"/>
      <c r="FN32" s="406"/>
      <c r="FO32" s="406"/>
      <c r="FP32" s="406"/>
      <c r="FQ32" s="406"/>
      <c r="FR32" s="406"/>
      <c r="FS32" s="406"/>
      <c r="FT32" s="406"/>
      <c r="FU32" s="406"/>
      <c r="FV32" s="406"/>
      <c r="FW32" s="406"/>
      <c r="FX32" s="406"/>
      <c r="FY32" s="406"/>
      <c r="FZ32" s="406"/>
      <c r="GA32" s="406"/>
      <c r="GB32" s="406"/>
      <c r="GC32" s="406"/>
      <c r="GD32" s="406"/>
      <c r="GE32" s="406"/>
      <c r="GF32" s="406"/>
      <c r="GG32" s="406"/>
      <c r="GH32" s="406"/>
      <c r="GI32" s="406"/>
      <c r="GJ32" s="406"/>
      <c r="GK32" s="406"/>
      <c r="GL32" s="406"/>
      <c r="GM32" s="406"/>
      <c r="GN32" s="406"/>
      <c r="GO32" s="406"/>
      <c r="GP32" s="406"/>
      <c r="GQ32" s="406"/>
      <c r="GR32" s="406"/>
      <c r="GS32" s="406"/>
      <c r="GT32" s="406"/>
      <c r="GU32" s="406"/>
      <c r="GV32" s="406"/>
      <c r="GW32" s="406"/>
      <c r="GX32" s="406"/>
      <c r="GY32" s="406"/>
      <c r="GZ32" s="406"/>
      <c r="HA32" s="406"/>
      <c r="HB32" s="406"/>
      <c r="HC32" s="406"/>
      <c r="HD32" s="406"/>
      <c r="HE32" s="406"/>
      <c r="HF32" s="406"/>
      <c r="HG32" s="406"/>
      <c r="HH32" s="406"/>
      <c r="HI32" s="406"/>
      <c r="HJ32" s="406"/>
      <c r="HK32" s="406"/>
      <c r="HL32" s="406"/>
      <c r="HM32" s="406"/>
      <c r="HN32" s="406"/>
      <c r="HO32" s="406"/>
      <c r="HP32" s="406"/>
      <c r="HQ32" s="406"/>
      <c r="HR32" s="406"/>
      <c r="HS32" s="406"/>
      <c r="HT32" s="406"/>
      <c r="HU32" s="406"/>
      <c r="HV32" s="406"/>
      <c r="HW32" s="406"/>
      <c r="HX32" s="406"/>
      <c r="HY32" s="406"/>
      <c r="HZ32" s="406"/>
      <c r="IA32" s="406"/>
      <c r="IB32" s="406"/>
      <c r="IC32" s="406"/>
      <c r="ID32" s="406"/>
      <c r="IE32" s="406"/>
      <c r="IF32" s="406"/>
      <c r="IG32" s="406"/>
      <c r="IH32" s="406"/>
      <c r="II32" s="406"/>
      <c r="IJ32" s="406"/>
      <c r="IK32" s="406"/>
      <c r="IL32" s="406"/>
      <c r="IM32" s="406"/>
      <c r="IN32" s="406"/>
      <c r="IO32" s="406"/>
      <c r="IP32" s="406"/>
      <c r="IQ32" s="406"/>
      <c r="IR32" s="406"/>
      <c r="IS32" s="406"/>
      <c r="IT32" s="406"/>
      <c r="IU32" s="406"/>
      <c r="IV32" s="406"/>
    </row>
    <row r="33" spans="1:256" ht="15.75">
      <c r="A33" s="425"/>
      <c r="B33" s="409" t="s">
        <v>265</v>
      </c>
      <c r="C33" s="410"/>
      <c r="D33" s="429">
        <f t="shared" si="6"/>
        <v>2.094</v>
      </c>
      <c r="E33" s="428">
        <v>2.64</v>
      </c>
      <c r="F33" s="413">
        <f t="shared" si="7"/>
        <v>-0.2068181818181819</v>
      </c>
      <c r="G33" s="418"/>
      <c r="H33" s="418"/>
      <c r="I33" s="413"/>
      <c r="J33" s="418"/>
      <c r="K33" s="418"/>
      <c r="L33" s="413"/>
      <c r="M33" s="406"/>
      <c r="N33" s="406"/>
      <c r="O33" s="406"/>
      <c r="P33" s="406"/>
      <c r="Q33" s="406"/>
      <c r="R33" s="406"/>
      <c r="S33" s="407"/>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c r="CO33" s="406"/>
      <c r="CP33" s="406"/>
      <c r="CQ33" s="406"/>
      <c r="CR33" s="406"/>
      <c r="CS33" s="406"/>
      <c r="CT33" s="406"/>
      <c r="CU33" s="406"/>
      <c r="CV33" s="406"/>
      <c r="CW33" s="406"/>
      <c r="CX33" s="406"/>
      <c r="CY33" s="406"/>
      <c r="CZ33" s="406"/>
      <c r="DA33" s="406"/>
      <c r="DB33" s="406"/>
      <c r="DC33" s="406"/>
      <c r="DD33" s="406"/>
      <c r="DE33" s="406"/>
      <c r="DF33" s="406"/>
      <c r="DG33" s="406"/>
      <c r="DH33" s="406"/>
      <c r="DI33" s="406"/>
      <c r="DJ33" s="406"/>
      <c r="DK33" s="406"/>
      <c r="DL33" s="406"/>
      <c r="DM33" s="406"/>
      <c r="DN33" s="406"/>
      <c r="DO33" s="406"/>
      <c r="DP33" s="406"/>
      <c r="DQ33" s="406"/>
      <c r="DR33" s="406"/>
      <c r="DS33" s="406"/>
      <c r="DT33" s="406"/>
      <c r="DU33" s="406"/>
      <c r="DV33" s="406"/>
      <c r="DW33" s="406"/>
      <c r="DX33" s="406"/>
      <c r="DY33" s="406"/>
      <c r="DZ33" s="406"/>
      <c r="EA33" s="406"/>
      <c r="EB33" s="406"/>
      <c r="EC33" s="406"/>
      <c r="ED33" s="406"/>
      <c r="EE33" s="406"/>
      <c r="EF33" s="406"/>
      <c r="EG33" s="406"/>
      <c r="EH33" s="406"/>
      <c r="EI33" s="406"/>
      <c r="EJ33" s="406"/>
      <c r="EK33" s="406"/>
      <c r="EL33" s="406"/>
      <c r="EM33" s="406"/>
      <c r="EN33" s="406"/>
      <c r="EO33" s="406"/>
      <c r="EP33" s="406"/>
      <c r="EQ33" s="406"/>
      <c r="ER33" s="406"/>
      <c r="ES33" s="406"/>
      <c r="ET33" s="406"/>
      <c r="EU33" s="406"/>
      <c r="EV33" s="406"/>
      <c r="EW33" s="406"/>
      <c r="EX33" s="406"/>
      <c r="EY33" s="406"/>
      <c r="EZ33" s="406"/>
      <c r="FA33" s="406"/>
      <c r="FB33" s="406"/>
      <c r="FC33" s="406"/>
      <c r="FD33" s="406"/>
      <c r="FE33" s="406"/>
      <c r="FF33" s="406"/>
      <c r="FG33" s="406"/>
      <c r="FH33" s="406"/>
      <c r="FI33" s="406"/>
      <c r="FJ33" s="406"/>
      <c r="FK33" s="406"/>
      <c r="FL33" s="406"/>
      <c r="FM33" s="406"/>
      <c r="FN33" s="406"/>
      <c r="FO33" s="406"/>
      <c r="FP33" s="406"/>
      <c r="FQ33" s="406"/>
      <c r="FR33" s="406"/>
      <c r="FS33" s="406"/>
      <c r="FT33" s="406"/>
      <c r="FU33" s="406"/>
      <c r="FV33" s="406"/>
      <c r="FW33" s="406"/>
      <c r="FX33" s="406"/>
      <c r="FY33" s="406"/>
      <c r="FZ33" s="406"/>
      <c r="GA33" s="406"/>
      <c r="GB33" s="406"/>
      <c r="GC33" s="406"/>
      <c r="GD33" s="406"/>
      <c r="GE33" s="406"/>
      <c r="GF33" s="406"/>
      <c r="GG33" s="406"/>
      <c r="GH33" s="406"/>
      <c r="GI33" s="406"/>
      <c r="GJ33" s="406"/>
      <c r="GK33" s="406"/>
      <c r="GL33" s="406"/>
      <c r="GM33" s="406"/>
      <c r="GN33" s="406"/>
      <c r="GO33" s="406"/>
      <c r="GP33" s="406"/>
      <c r="GQ33" s="406"/>
      <c r="GR33" s="406"/>
      <c r="GS33" s="406"/>
      <c r="GT33" s="406"/>
      <c r="GU33" s="406"/>
      <c r="GV33" s="406"/>
      <c r="GW33" s="406"/>
      <c r="GX33" s="406"/>
      <c r="GY33" s="406"/>
      <c r="GZ33" s="406"/>
      <c r="HA33" s="406"/>
      <c r="HB33" s="406"/>
      <c r="HC33" s="406"/>
      <c r="HD33" s="406"/>
      <c r="HE33" s="406"/>
      <c r="HF33" s="406"/>
      <c r="HG33" s="406"/>
      <c r="HH33" s="406"/>
      <c r="HI33" s="406"/>
      <c r="HJ33" s="406"/>
      <c r="HK33" s="406"/>
      <c r="HL33" s="406"/>
      <c r="HM33" s="406"/>
      <c r="HN33" s="406"/>
      <c r="HO33" s="406"/>
      <c r="HP33" s="406"/>
      <c r="HQ33" s="406"/>
      <c r="HR33" s="406"/>
      <c r="HS33" s="406"/>
      <c r="HT33" s="406"/>
      <c r="HU33" s="406"/>
      <c r="HV33" s="406"/>
      <c r="HW33" s="406"/>
      <c r="HX33" s="406"/>
      <c r="HY33" s="406"/>
      <c r="HZ33" s="406"/>
      <c r="IA33" s="406"/>
      <c r="IB33" s="406"/>
      <c r="IC33" s="406"/>
      <c r="ID33" s="406"/>
      <c r="IE33" s="406"/>
      <c r="IF33" s="406"/>
      <c r="IG33" s="406"/>
      <c r="IH33" s="406"/>
      <c r="II33" s="406"/>
      <c r="IJ33" s="406"/>
      <c r="IK33" s="406"/>
      <c r="IL33" s="406"/>
      <c r="IM33" s="406"/>
      <c r="IN33" s="406"/>
      <c r="IO33" s="406"/>
      <c r="IP33" s="406"/>
      <c r="IQ33" s="406"/>
      <c r="IR33" s="406"/>
      <c r="IS33" s="406"/>
      <c r="IT33" s="406"/>
      <c r="IU33" s="406"/>
      <c r="IV33" s="406"/>
    </row>
    <row r="34" spans="1:256" ht="15.75">
      <c r="A34" s="425"/>
      <c r="B34" s="409" t="s">
        <v>266</v>
      </c>
      <c r="C34" s="410"/>
      <c r="D34" s="429">
        <f t="shared" si="6"/>
        <v>3.141</v>
      </c>
      <c r="E34" s="428">
        <v>3.96</v>
      </c>
      <c r="F34" s="413">
        <f t="shared" si="7"/>
        <v>-0.2068181818181818</v>
      </c>
      <c r="G34" s="418"/>
      <c r="H34" s="418"/>
      <c r="I34" s="413"/>
      <c r="J34" s="418"/>
      <c r="K34" s="418"/>
      <c r="L34" s="413"/>
      <c r="M34" s="406"/>
      <c r="N34" s="406"/>
      <c r="O34" s="406"/>
      <c r="P34" s="406"/>
      <c r="Q34" s="406"/>
      <c r="R34" s="406"/>
      <c r="S34" s="407"/>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c r="CO34" s="406"/>
      <c r="CP34" s="406"/>
      <c r="CQ34" s="406"/>
      <c r="CR34" s="406"/>
      <c r="CS34" s="406"/>
      <c r="CT34" s="406"/>
      <c r="CU34" s="406"/>
      <c r="CV34" s="406"/>
      <c r="CW34" s="406"/>
      <c r="CX34" s="406"/>
      <c r="CY34" s="406"/>
      <c r="CZ34" s="406"/>
      <c r="DA34" s="406"/>
      <c r="DB34" s="406"/>
      <c r="DC34" s="406"/>
      <c r="DD34" s="406"/>
      <c r="DE34" s="406"/>
      <c r="DF34" s="406"/>
      <c r="DG34" s="406"/>
      <c r="DH34" s="406"/>
      <c r="DI34" s="406"/>
      <c r="DJ34" s="406"/>
      <c r="DK34" s="406"/>
      <c r="DL34" s="406"/>
      <c r="DM34" s="406"/>
      <c r="DN34" s="406"/>
      <c r="DO34" s="406"/>
      <c r="DP34" s="406"/>
      <c r="DQ34" s="406"/>
      <c r="DR34" s="406"/>
      <c r="DS34" s="406"/>
      <c r="DT34" s="406"/>
      <c r="DU34" s="406"/>
      <c r="DV34" s="406"/>
      <c r="DW34" s="406"/>
      <c r="DX34" s="406"/>
      <c r="DY34" s="406"/>
      <c r="DZ34" s="406"/>
      <c r="EA34" s="406"/>
      <c r="EB34" s="406"/>
      <c r="EC34" s="406"/>
      <c r="ED34" s="406"/>
      <c r="EE34" s="406"/>
      <c r="EF34" s="406"/>
      <c r="EG34" s="406"/>
      <c r="EH34" s="406"/>
      <c r="EI34" s="406"/>
      <c r="EJ34" s="406"/>
      <c r="EK34" s="406"/>
      <c r="EL34" s="406"/>
      <c r="EM34" s="406"/>
      <c r="EN34" s="406"/>
      <c r="EO34" s="406"/>
      <c r="EP34" s="406"/>
      <c r="EQ34" s="406"/>
      <c r="ER34" s="406"/>
      <c r="ES34" s="406"/>
      <c r="ET34" s="406"/>
      <c r="EU34" s="406"/>
      <c r="EV34" s="406"/>
      <c r="EW34" s="406"/>
      <c r="EX34" s="406"/>
      <c r="EY34" s="406"/>
      <c r="EZ34" s="406"/>
      <c r="FA34" s="406"/>
      <c r="FB34" s="406"/>
      <c r="FC34" s="406"/>
      <c r="FD34" s="406"/>
      <c r="FE34" s="406"/>
      <c r="FF34" s="406"/>
      <c r="FG34" s="406"/>
      <c r="FH34" s="406"/>
      <c r="FI34" s="406"/>
      <c r="FJ34" s="406"/>
      <c r="FK34" s="406"/>
      <c r="FL34" s="406"/>
      <c r="FM34" s="406"/>
      <c r="FN34" s="406"/>
      <c r="FO34" s="406"/>
      <c r="FP34" s="406"/>
      <c r="FQ34" s="406"/>
      <c r="FR34" s="406"/>
      <c r="FS34" s="406"/>
      <c r="FT34" s="406"/>
      <c r="FU34" s="406"/>
      <c r="FV34" s="406"/>
      <c r="FW34" s="406"/>
      <c r="FX34" s="406"/>
      <c r="FY34" s="406"/>
      <c r="FZ34" s="406"/>
      <c r="GA34" s="406"/>
      <c r="GB34" s="406"/>
      <c r="GC34" s="406"/>
      <c r="GD34" s="406"/>
      <c r="GE34" s="406"/>
      <c r="GF34" s="406"/>
      <c r="GG34" s="406"/>
      <c r="GH34" s="406"/>
      <c r="GI34" s="406"/>
      <c r="GJ34" s="406"/>
      <c r="GK34" s="406"/>
      <c r="GL34" s="406"/>
      <c r="GM34" s="406"/>
      <c r="GN34" s="406"/>
      <c r="GO34" s="406"/>
      <c r="GP34" s="406"/>
      <c r="GQ34" s="406"/>
      <c r="GR34" s="406"/>
      <c r="GS34" s="406"/>
      <c r="GT34" s="406"/>
      <c r="GU34" s="406"/>
      <c r="GV34" s="406"/>
      <c r="GW34" s="406"/>
      <c r="GX34" s="406"/>
      <c r="GY34" s="406"/>
      <c r="GZ34" s="406"/>
      <c r="HA34" s="406"/>
      <c r="HB34" s="406"/>
      <c r="HC34" s="406"/>
      <c r="HD34" s="406"/>
      <c r="HE34" s="406"/>
      <c r="HF34" s="406"/>
      <c r="HG34" s="406"/>
      <c r="HH34" s="406"/>
      <c r="HI34" s="406"/>
      <c r="HJ34" s="406"/>
      <c r="HK34" s="406"/>
      <c r="HL34" s="406"/>
      <c r="HM34" s="406"/>
      <c r="HN34" s="406"/>
      <c r="HO34" s="406"/>
      <c r="HP34" s="406"/>
      <c r="HQ34" s="406"/>
      <c r="HR34" s="406"/>
      <c r="HS34" s="406"/>
      <c r="HT34" s="406"/>
      <c r="HU34" s="406"/>
      <c r="HV34" s="406"/>
      <c r="HW34" s="406"/>
      <c r="HX34" s="406"/>
      <c r="HY34" s="406"/>
      <c r="HZ34" s="406"/>
      <c r="IA34" s="406"/>
      <c r="IB34" s="406"/>
      <c r="IC34" s="406"/>
      <c r="ID34" s="406"/>
      <c r="IE34" s="406"/>
      <c r="IF34" s="406"/>
      <c r="IG34" s="406"/>
      <c r="IH34" s="406"/>
      <c r="II34" s="406"/>
      <c r="IJ34" s="406"/>
      <c r="IK34" s="406"/>
      <c r="IL34" s="406"/>
      <c r="IM34" s="406"/>
      <c r="IN34" s="406"/>
      <c r="IO34" s="406"/>
      <c r="IP34" s="406"/>
      <c r="IQ34" s="406"/>
      <c r="IR34" s="406"/>
      <c r="IS34" s="406"/>
      <c r="IT34" s="406"/>
      <c r="IU34" s="406"/>
      <c r="IV34" s="406"/>
    </row>
    <row r="35" spans="1:256" ht="15.75">
      <c r="A35" s="425"/>
      <c r="B35" s="409" t="s">
        <v>267</v>
      </c>
      <c r="C35" s="410"/>
      <c r="D35" s="429">
        <f t="shared" si="6"/>
        <v>4.188</v>
      </c>
      <c r="E35" s="428">
        <v>5.28</v>
      </c>
      <c r="F35" s="413">
        <f t="shared" si="7"/>
        <v>-0.2068181818181819</v>
      </c>
      <c r="G35" s="418"/>
      <c r="H35" s="418"/>
      <c r="I35" s="413"/>
      <c r="J35" s="418"/>
      <c r="K35" s="418"/>
      <c r="L35" s="413"/>
      <c r="M35" s="406"/>
      <c r="N35" s="406"/>
      <c r="O35" s="406"/>
      <c r="P35" s="406"/>
      <c r="Q35" s="406"/>
      <c r="R35" s="406"/>
      <c r="S35" s="407"/>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c r="CO35" s="406"/>
      <c r="CP35" s="406"/>
      <c r="CQ35" s="406"/>
      <c r="CR35" s="406"/>
      <c r="CS35" s="406"/>
      <c r="CT35" s="406"/>
      <c r="CU35" s="406"/>
      <c r="CV35" s="406"/>
      <c r="CW35" s="406"/>
      <c r="CX35" s="406"/>
      <c r="CY35" s="406"/>
      <c r="CZ35" s="406"/>
      <c r="DA35" s="406"/>
      <c r="DB35" s="406"/>
      <c r="DC35" s="406"/>
      <c r="DD35" s="406"/>
      <c r="DE35" s="406"/>
      <c r="DF35" s="406"/>
      <c r="DG35" s="406"/>
      <c r="DH35" s="406"/>
      <c r="DI35" s="406"/>
      <c r="DJ35" s="406"/>
      <c r="DK35" s="406"/>
      <c r="DL35" s="406"/>
      <c r="DM35" s="406"/>
      <c r="DN35" s="406"/>
      <c r="DO35" s="406"/>
      <c r="DP35" s="406"/>
      <c r="DQ35" s="406"/>
      <c r="DR35" s="406"/>
      <c r="DS35" s="406"/>
      <c r="DT35" s="406"/>
      <c r="DU35" s="406"/>
      <c r="DV35" s="406"/>
      <c r="DW35" s="406"/>
      <c r="DX35" s="406"/>
      <c r="DY35" s="406"/>
      <c r="DZ35" s="406"/>
      <c r="EA35" s="406"/>
      <c r="EB35" s="406"/>
      <c r="EC35" s="406"/>
      <c r="ED35" s="406"/>
      <c r="EE35" s="406"/>
      <c r="EF35" s="406"/>
      <c r="EG35" s="406"/>
      <c r="EH35" s="406"/>
      <c r="EI35" s="406"/>
      <c r="EJ35" s="406"/>
      <c r="EK35" s="406"/>
      <c r="EL35" s="406"/>
      <c r="EM35" s="406"/>
      <c r="EN35" s="406"/>
      <c r="EO35" s="406"/>
      <c r="EP35" s="406"/>
      <c r="EQ35" s="406"/>
      <c r="ER35" s="406"/>
      <c r="ES35" s="406"/>
      <c r="ET35" s="406"/>
      <c r="EU35" s="406"/>
      <c r="EV35" s="406"/>
      <c r="EW35" s="406"/>
      <c r="EX35" s="406"/>
      <c r="EY35" s="406"/>
      <c r="EZ35" s="406"/>
      <c r="FA35" s="406"/>
      <c r="FB35" s="406"/>
      <c r="FC35" s="406"/>
      <c r="FD35" s="406"/>
      <c r="FE35" s="406"/>
      <c r="FF35" s="406"/>
      <c r="FG35" s="406"/>
      <c r="FH35" s="406"/>
      <c r="FI35" s="406"/>
      <c r="FJ35" s="406"/>
      <c r="FK35" s="406"/>
      <c r="FL35" s="406"/>
      <c r="FM35" s="406"/>
      <c r="FN35" s="406"/>
      <c r="FO35" s="406"/>
      <c r="FP35" s="406"/>
      <c r="FQ35" s="406"/>
      <c r="FR35" s="406"/>
      <c r="FS35" s="406"/>
      <c r="FT35" s="406"/>
      <c r="FU35" s="406"/>
      <c r="FV35" s="406"/>
      <c r="FW35" s="406"/>
      <c r="FX35" s="406"/>
      <c r="FY35" s="406"/>
      <c r="FZ35" s="406"/>
      <c r="GA35" s="406"/>
      <c r="GB35" s="406"/>
      <c r="GC35" s="406"/>
      <c r="GD35" s="406"/>
      <c r="GE35" s="406"/>
      <c r="GF35" s="406"/>
      <c r="GG35" s="406"/>
      <c r="GH35" s="406"/>
      <c r="GI35" s="406"/>
      <c r="GJ35" s="406"/>
      <c r="GK35" s="406"/>
      <c r="GL35" s="406"/>
      <c r="GM35" s="406"/>
      <c r="GN35" s="406"/>
      <c r="GO35" s="406"/>
      <c r="GP35" s="406"/>
      <c r="GQ35" s="406"/>
      <c r="GR35" s="406"/>
      <c r="GS35" s="406"/>
      <c r="GT35" s="406"/>
      <c r="GU35" s="406"/>
      <c r="GV35" s="406"/>
      <c r="GW35" s="406"/>
      <c r="GX35" s="406"/>
      <c r="GY35" s="406"/>
      <c r="GZ35" s="406"/>
      <c r="HA35" s="406"/>
      <c r="HB35" s="406"/>
      <c r="HC35" s="406"/>
      <c r="HD35" s="406"/>
      <c r="HE35" s="406"/>
      <c r="HF35" s="406"/>
      <c r="HG35" s="406"/>
      <c r="HH35" s="406"/>
      <c r="HI35" s="406"/>
      <c r="HJ35" s="406"/>
      <c r="HK35" s="406"/>
      <c r="HL35" s="406"/>
      <c r="HM35" s="406"/>
      <c r="HN35" s="406"/>
      <c r="HO35" s="406"/>
      <c r="HP35" s="406"/>
      <c r="HQ35" s="406"/>
      <c r="HR35" s="406"/>
      <c r="HS35" s="406"/>
      <c r="HT35" s="406"/>
      <c r="HU35" s="406"/>
      <c r="HV35" s="406"/>
      <c r="HW35" s="406"/>
      <c r="HX35" s="406"/>
      <c r="HY35" s="406"/>
      <c r="HZ35" s="406"/>
      <c r="IA35" s="406"/>
      <c r="IB35" s="406"/>
      <c r="IC35" s="406"/>
      <c r="ID35" s="406"/>
      <c r="IE35" s="406"/>
      <c r="IF35" s="406"/>
      <c r="IG35" s="406"/>
      <c r="IH35" s="406"/>
      <c r="II35" s="406"/>
      <c r="IJ35" s="406"/>
      <c r="IK35" s="406"/>
      <c r="IL35" s="406"/>
      <c r="IM35" s="406"/>
      <c r="IN35" s="406"/>
      <c r="IO35" s="406"/>
      <c r="IP35" s="406"/>
      <c r="IQ35" s="406"/>
      <c r="IR35" s="406"/>
      <c r="IS35" s="406"/>
      <c r="IT35" s="406"/>
      <c r="IU35" s="406"/>
      <c r="IV35" s="406"/>
    </row>
    <row r="36" spans="1:256" ht="15.75">
      <c r="A36" s="425"/>
      <c r="B36" s="409"/>
      <c r="C36" s="410"/>
      <c r="D36" s="421"/>
      <c r="E36" s="418"/>
      <c r="F36" s="421"/>
      <c r="G36" s="418"/>
      <c r="H36" s="422"/>
      <c r="I36" s="413"/>
      <c r="J36" s="418"/>
      <c r="K36" s="422"/>
      <c r="L36" s="413"/>
      <c r="M36" s="406"/>
      <c r="N36" s="406"/>
      <c r="O36" s="406"/>
      <c r="P36" s="406"/>
      <c r="Q36" s="406"/>
      <c r="R36" s="406"/>
      <c r="S36" s="407"/>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406"/>
      <c r="CN36" s="406"/>
      <c r="CO36" s="406"/>
      <c r="CP36" s="406"/>
      <c r="CQ36" s="406"/>
      <c r="CR36" s="406"/>
      <c r="CS36" s="406"/>
      <c r="CT36" s="406"/>
      <c r="CU36" s="406"/>
      <c r="CV36" s="406"/>
      <c r="CW36" s="406"/>
      <c r="CX36" s="406"/>
      <c r="CY36" s="406"/>
      <c r="CZ36" s="406"/>
      <c r="DA36" s="406"/>
      <c r="DB36" s="406"/>
      <c r="DC36" s="406"/>
      <c r="DD36" s="406"/>
      <c r="DE36" s="406"/>
      <c r="DF36" s="406"/>
      <c r="DG36" s="406"/>
      <c r="DH36" s="406"/>
      <c r="DI36" s="406"/>
      <c r="DJ36" s="406"/>
      <c r="DK36" s="406"/>
      <c r="DL36" s="406"/>
      <c r="DM36" s="406"/>
      <c r="DN36" s="406"/>
      <c r="DO36" s="406"/>
      <c r="DP36" s="406"/>
      <c r="DQ36" s="406"/>
      <c r="DR36" s="406"/>
      <c r="DS36" s="406"/>
      <c r="DT36" s="406"/>
      <c r="DU36" s="406"/>
      <c r="DV36" s="406"/>
      <c r="DW36" s="406"/>
      <c r="DX36" s="406"/>
      <c r="DY36" s="406"/>
      <c r="DZ36" s="406"/>
      <c r="EA36" s="406"/>
      <c r="EB36" s="406"/>
      <c r="EC36" s="406"/>
      <c r="ED36" s="406"/>
      <c r="EE36" s="406"/>
      <c r="EF36" s="406"/>
      <c r="EG36" s="406"/>
      <c r="EH36" s="406"/>
      <c r="EI36" s="406"/>
      <c r="EJ36" s="406"/>
      <c r="EK36" s="406"/>
      <c r="EL36" s="406"/>
      <c r="EM36" s="406"/>
      <c r="EN36" s="406"/>
      <c r="EO36" s="406"/>
      <c r="EP36" s="406"/>
      <c r="EQ36" s="406"/>
      <c r="ER36" s="406"/>
      <c r="ES36" s="406"/>
      <c r="ET36" s="406"/>
      <c r="EU36" s="406"/>
      <c r="EV36" s="406"/>
      <c r="EW36" s="406"/>
      <c r="EX36" s="406"/>
      <c r="EY36" s="406"/>
      <c r="EZ36" s="406"/>
      <c r="FA36" s="406"/>
      <c r="FB36" s="406"/>
      <c r="FC36" s="406"/>
      <c r="FD36" s="406"/>
      <c r="FE36" s="406"/>
      <c r="FF36" s="406"/>
      <c r="FG36" s="406"/>
      <c r="FH36" s="406"/>
      <c r="FI36" s="406"/>
      <c r="FJ36" s="406"/>
      <c r="FK36" s="406"/>
      <c r="FL36" s="406"/>
      <c r="FM36" s="406"/>
      <c r="FN36" s="406"/>
      <c r="FO36" s="406"/>
      <c r="FP36" s="406"/>
      <c r="FQ36" s="406"/>
      <c r="FR36" s="406"/>
      <c r="FS36" s="406"/>
      <c r="FT36" s="406"/>
      <c r="FU36" s="406"/>
      <c r="FV36" s="406"/>
      <c r="FW36" s="406"/>
      <c r="FX36" s="406"/>
      <c r="FY36" s="406"/>
      <c r="FZ36" s="406"/>
      <c r="GA36" s="406"/>
      <c r="GB36" s="406"/>
      <c r="GC36" s="406"/>
      <c r="GD36" s="406"/>
      <c r="GE36" s="406"/>
      <c r="GF36" s="406"/>
      <c r="GG36" s="406"/>
      <c r="GH36" s="406"/>
      <c r="GI36" s="406"/>
      <c r="GJ36" s="406"/>
      <c r="GK36" s="406"/>
      <c r="GL36" s="406"/>
      <c r="GM36" s="406"/>
      <c r="GN36" s="406"/>
      <c r="GO36" s="406"/>
      <c r="GP36" s="406"/>
      <c r="GQ36" s="406"/>
      <c r="GR36" s="406"/>
      <c r="GS36" s="406"/>
      <c r="GT36" s="406"/>
      <c r="GU36" s="406"/>
      <c r="GV36" s="406"/>
      <c r="GW36" s="406"/>
      <c r="GX36" s="406"/>
      <c r="GY36" s="406"/>
      <c r="GZ36" s="406"/>
      <c r="HA36" s="406"/>
      <c r="HB36" s="406"/>
      <c r="HC36" s="406"/>
      <c r="HD36" s="406"/>
      <c r="HE36" s="406"/>
      <c r="HF36" s="406"/>
      <c r="HG36" s="406"/>
      <c r="HH36" s="406"/>
      <c r="HI36" s="406"/>
      <c r="HJ36" s="406"/>
      <c r="HK36" s="406"/>
      <c r="HL36" s="406"/>
      <c r="HM36" s="406"/>
      <c r="HN36" s="406"/>
      <c r="HO36" s="406"/>
      <c r="HP36" s="406"/>
      <c r="HQ36" s="406"/>
      <c r="HR36" s="406"/>
      <c r="HS36" s="406"/>
      <c r="HT36" s="406"/>
      <c r="HU36" s="406"/>
      <c r="HV36" s="406"/>
      <c r="HW36" s="406"/>
      <c r="HX36" s="406"/>
      <c r="HY36" s="406"/>
      <c r="HZ36" s="406"/>
      <c r="IA36" s="406"/>
      <c r="IB36" s="406"/>
      <c r="IC36" s="406"/>
      <c r="ID36" s="406"/>
      <c r="IE36" s="406"/>
      <c r="IF36" s="406"/>
      <c r="IG36" s="406"/>
      <c r="IH36" s="406"/>
      <c r="II36" s="406"/>
      <c r="IJ36" s="406"/>
      <c r="IK36" s="406"/>
      <c r="IL36" s="406"/>
      <c r="IM36" s="406"/>
      <c r="IN36" s="406"/>
      <c r="IO36" s="406"/>
      <c r="IP36" s="406"/>
      <c r="IQ36" s="406"/>
      <c r="IR36" s="406"/>
      <c r="IS36" s="406"/>
      <c r="IT36" s="406"/>
      <c r="IU36" s="406"/>
      <c r="IV36" s="406"/>
    </row>
    <row r="37" spans="1:256" ht="15.75">
      <c r="A37" s="420" t="s">
        <v>270</v>
      </c>
      <c r="B37" s="409"/>
      <c r="C37" s="410"/>
      <c r="D37" s="421"/>
      <c r="E37" s="418"/>
      <c r="F37" s="421"/>
      <c r="G37" s="418"/>
      <c r="H37" s="422"/>
      <c r="I37" s="413"/>
      <c r="J37" s="418"/>
      <c r="K37" s="422"/>
      <c r="L37" s="413"/>
      <c r="M37" s="406"/>
      <c r="N37" s="406"/>
      <c r="O37" s="406"/>
      <c r="P37" s="406"/>
      <c r="Q37" s="406"/>
      <c r="R37" s="406"/>
      <c r="S37" s="407"/>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c r="DE37" s="406"/>
      <c r="DF37" s="406"/>
      <c r="DG37" s="406"/>
      <c r="DH37" s="406"/>
      <c r="DI37" s="406"/>
      <c r="DJ37" s="406"/>
      <c r="DK37" s="406"/>
      <c r="DL37" s="406"/>
      <c r="DM37" s="406"/>
      <c r="DN37" s="406"/>
      <c r="DO37" s="406"/>
      <c r="DP37" s="406"/>
      <c r="DQ37" s="406"/>
      <c r="DR37" s="406"/>
      <c r="DS37" s="406"/>
      <c r="DT37" s="406"/>
      <c r="DU37" s="406"/>
      <c r="DV37" s="406"/>
      <c r="DW37" s="406"/>
      <c r="DX37" s="406"/>
      <c r="DY37" s="406"/>
      <c r="DZ37" s="406"/>
      <c r="EA37" s="406"/>
      <c r="EB37" s="406"/>
      <c r="EC37" s="406"/>
      <c r="ED37" s="406"/>
      <c r="EE37" s="406"/>
      <c r="EF37" s="406"/>
      <c r="EG37" s="406"/>
      <c r="EH37" s="406"/>
      <c r="EI37" s="406"/>
      <c r="EJ37" s="406"/>
      <c r="EK37" s="406"/>
      <c r="EL37" s="406"/>
      <c r="EM37" s="406"/>
      <c r="EN37" s="406"/>
      <c r="EO37" s="406"/>
      <c r="EP37" s="406"/>
      <c r="EQ37" s="406"/>
      <c r="ER37" s="406"/>
      <c r="ES37" s="406"/>
      <c r="ET37" s="406"/>
      <c r="EU37" s="406"/>
      <c r="EV37" s="406"/>
      <c r="EW37" s="406"/>
      <c r="EX37" s="406"/>
      <c r="EY37" s="406"/>
      <c r="EZ37" s="406"/>
      <c r="FA37" s="406"/>
      <c r="FB37" s="406"/>
      <c r="FC37" s="406"/>
      <c r="FD37" s="406"/>
      <c r="FE37" s="406"/>
      <c r="FF37" s="406"/>
      <c r="FG37" s="406"/>
      <c r="FH37" s="406"/>
      <c r="FI37" s="406"/>
      <c r="FJ37" s="406"/>
      <c r="FK37" s="406"/>
      <c r="FL37" s="406"/>
      <c r="FM37" s="406"/>
      <c r="FN37" s="406"/>
      <c r="FO37" s="406"/>
      <c r="FP37" s="406"/>
      <c r="FQ37" s="406"/>
      <c r="FR37" s="406"/>
      <c r="FS37" s="406"/>
      <c r="FT37" s="406"/>
      <c r="FU37" s="406"/>
      <c r="FV37" s="406"/>
      <c r="FW37" s="406"/>
      <c r="FX37" s="406"/>
      <c r="FY37" s="406"/>
      <c r="FZ37" s="406"/>
      <c r="GA37" s="406"/>
      <c r="GB37" s="406"/>
      <c r="GC37" s="406"/>
      <c r="GD37" s="406"/>
      <c r="GE37" s="406"/>
      <c r="GF37" s="406"/>
      <c r="GG37" s="406"/>
      <c r="GH37" s="406"/>
      <c r="GI37" s="406"/>
      <c r="GJ37" s="406"/>
      <c r="GK37" s="406"/>
      <c r="GL37" s="406"/>
      <c r="GM37" s="406"/>
      <c r="GN37" s="406"/>
      <c r="GO37" s="406"/>
      <c r="GP37" s="406"/>
      <c r="GQ37" s="406"/>
      <c r="GR37" s="406"/>
      <c r="GS37" s="406"/>
      <c r="GT37" s="406"/>
      <c r="GU37" s="406"/>
      <c r="GV37" s="406"/>
      <c r="GW37" s="406"/>
      <c r="GX37" s="406"/>
      <c r="GY37" s="406"/>
      <c r="GZ37" s="406"/>
      <c r="HA37" s="406"/>
      <c r="HB37" s="406"/>
      <c r="HC37" s="406"/>
      <c r="HD37" s="406"/>
      <c r="HE37" s="406"/>
      <c r="HF37" s="406"/>
      <c r="HG37" s="406"/>
      <c r="HH37" s="406"/>
      <c r="HI37" s="406"/>
      <c r="HJ37" s="406"/>
      <c r="HK37" s="406"/>
      <c r="HL37" s="406"/>
      <c r="HM37" s="406"/>
      <c r="HN37" s="406"/>
      <c r="HO37" s="406"/>
      <c r="HP37" s="406"/>
      <c r="HQ37" s="406"/>
      <c r="HR37" s="406"/>
      <c r="HS37" s="406"/>
      <c r="HT37" s="406"/>
      <c r="HU37" s="406"/>
      <c r="HV37" s="406"/>
      <c r="HW37" s="406"/>
      <c r="HX37" s="406"/>
      <c r="HY37" s="406"/>
      <c r="HZ37" s="406"/>
      <c r="IA37" s="406"/>
      <c r="IB37" s="406"/>
      <c r="IC37" s="406"/>
      <c r="ID37" s="406"/>
      <c r="IE37" s="406"/>
      <c r="IF37" s="406"/>
      <c r="IG37" s="406"/>
      <c r="IH37" s="406"/>
      <c r="II37" s="406"/>
      <c r="IJ37" s="406"/>
      <c r="IK37" s="406"/>
      <c r="IL37" s="406"/>
      <c r="IM37" s="406"/>
      <c r="IN37" s="406"/>
      <c r="IO37" s="406"/>
      <c r="IP37" s="406"/>
      <c r="IQ37" s="406"/>
      <c r="IR37" s="406"/>
      <c r="IS37" s="406"/>
      <c r="IT37" s="406"/>
      <c r="IU37" s="406"/>
      <c r="IV37" s="406"/>
    </row>
    <row r="38" spans="1:256" ht="15.75">
      <c r="A38" s="425"/>
      <c r="B38" s="409" t="s">
        <v>271</v>
      </c>
      <c r="C38" s="410"/>
      <c r="D38" s="421"/>
      <c r="E38" s="418"/>
      <c r="F38" s="421"/>
      <c r="G38" s="430">
        <f>ROUND(+H38+H38*Q$8,2)</f>
        <v>0.07</v>
      </c>
      <c r="H38" s="422">
        <v>0.11</v>
      </c>
      <c r="I38" s="413">
        <f>-1+G38/H38</f>
        <v>-0.36363636363636354</v>
      </c>
      <c r="J38" s="414">
        <f>+G38</f>
        <v>0.07</v>
      </c>
      <c r="K38" s="412">
        <v>0.11</v>
      </c>
      <c r="L38" s="413">
        <f>-1+J38/K38</f>
        <v>-0.36363636363636354</v>
      </c>
      <c r="M38" s="406"/>
      <c r="N38" s="406"/>
      <c r="O38" s="406"/>
      <c r="P38" s="406"/>
      <c r="Q38" s="406"/>
      <c r="R38" s="406"/>
      <c r="S38" s="407"/>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6"/>
      <c r="CR38" s="406"/>
      <c r="CS38" s="406"/>
      <c r="CT38" s="406"/>
      <c r="CU38" s="406"/>
      <c r="CV38" s="406"/>
      <c r="CW38" s="406"/>
      <c r="CX38" s="406"/>
      <c r="CY38" s="406"/>
      <c r="CZ38" s="406"/>
      <c r="DA38" s="406"/>
      <c r="DB38" s="406"/>
      <c r="DC38" s="406"/>
      <c r="DD38" s="406"/>
      <c r="DE38" s="406"/>
      <c r="DF38" s="406"/>
      <c r="DG38" s="406"/>
      <c r="DH38" s="406"/>
      <c r="DI38" s="406"/>
      <c r="DJ38" s="406"/>
      <c r="DK38" s="406"/>
      <c r="DL38" s="406"/>
      <c r="DM38" s="406"/>
      <c r="DN38" s="406"/>
      <c r="DO38" s="406"/>
      <c r="DP38" s="406"/>
      <c r="DQ38" s="406"/>
      <c r="DR38" s="406"/>
      <c r="DS38" s="406"/>
      <c r="DT38" s="406"/>
      <c r="DU38" s="406"/>
      <c r="DV38" s="406"/>
      <c r="DW38" s="406"/>
      <c r="DX38" s="406"/>
      <c r="DY38" s="406"/>
      <c r="DZ38" s="406"/>
      <c r="EA38" s="406"/>
      <c r="EB38" s="406"/>
      <c r="EC38" s="406"/>
      <c r="ED38" s="406"/>
      <c r="EE38" s="406"/>
      <c r="EF38" s="406"/>
      <c r="EG38" s="406"/>
      <c r="EH38" s="406"/>
      <c r="EI38" s="406"/>
      <c r="EJ38" s="406"/>
      <c r="EK38" s="406"/>
      <c r="EL38" s="406"/>
      <c r="EM38" s="406"/>
      <c r="EN38" s="406"/>
      <c r="EO38" s="406"/>
      <c r="EP38" s="406"/>
      <c r="EQ38" s="406"/>
      <c r="ER38" s="406"/>
      <c r="ES38" s="406"/>
      <c r="ET38" s="406"/>
      <c r="EU38" s="406"/>
      <c r="EV38" s="406"/>
      <c r="EW38" s="406"/>
      <c r="EX38" s="406"/>
      <c r="EY38" s="406"/>
      <c r="EZ38" s="406"/>
      <c r="FA38" s="406"/>
      <c r="FB38" s="406"/>
      <c r="FC38" s="406"/>
      <c r="FD38" s="406"/>
      <c r="FE38" s="406"/>
      <c r="FF38" s="406"/>
      <c r="FG38" s="406"/>
      <c r="FH38" s="406"/>
      <c r="FI38" s="406"/>
      <c r="FJ38" s="406"/>
      <c r="FK38" s="406"/>
      <c r="FL38" s="406"/>
      <c r="FM38" s="406"/>
      <c r="FN38" s="406"/>
      <c r="FO38" s="406"/>
      <c r="FP38" s="406"/>
      <c r="FQ38" s="406"/>
      <c r="FR38" s="406"/>
      <c r="FS38" s="406"/>
      <c r="FT38" s="406"/>
      <c r="FU38" s="406"/>
      <c r="FV38" s="406"/>
      <c r="FW38" s="406"/>
      <c r="FX38" s="406"/>
      <c r="FY38" s="406"/>
      <c r="FZ38" s="406"/>
      <c r="GA38" s="406"/>
      <c r="GB38" s="406"/>
      <c r="GC38" s="406"/>
      <c r="GD38" s="406"/>
      <c r="GE38" s="406"/>
      <c r="GF38" s="406"/>
      <c r="GG38" s="406"/>
      <c r="GH38" s="406"/>
      <c r="GI38" s="406"/>
      <c r="GJ38" s="406"/>
      <c r="GK38" s="406"/>
      <c r="GL38" s="406"/>
      <c r="GM38" s="406"/>
      <c r="GN38" s="406"/>
      <c r="GO38" s="406"/>
      <c r="GP38" s="406"/>
      <c r="GQ38" s="406"/>
      <c r="GR38" s="406"/>
      <c r="GS38" s="406"/>
      <c r="GT38" s="406"/>
      <c r="GU38" s="406"/>
      <c r="GV38" s="406"/>
      <c r="GW38" s="406"/>
      <c r="GX38" s="406"/>
      <c r="GY38" s="406"/>
      <c r="GZ38" s="406"/>
      <c r="HA38" s="406"/>
      <c r="HB38" s="406"/>
      <c r="HC38" s="406"/>
      <c r="HD38" s="406"/>
      <c r="HE38" s="406"/>
      <c r="HF38" s="406"/>
      <c r="HG38" s="406"/>
      <c r="HH38" s="406"/>
      <c r="HI38" s="406"/>
      <c r="HJ38" s="406"/>
      <c r="HK38" s="406"/>
      <c r="HL38" s="406"/>
      <c r="HM38" s="406"/>
      <c r="HN38" s="406"/>
      <c r="HO38" s="406"/>
      <c r="HP38" s="406"/>
      <c r="HQ38" s="406"/>
      <c r="HR38" s="406"/>
      <c r="HS38" s="406"/>
      <c r="HT38" s="406"/>
      <c r="HU38" s="406"/>
      <c r="HV38" s="406"/>
      <c r="HW38" s="406"/>
      <c r="HX38" s="406"/>
      <c r="HY38" s="406"/>
      <c r="HZ38" s="406"/>
      <c r="IA38" s="406"/>
      <c r="IB38" s="406"/>
      <c r="IC38" s="406"/>
      <c r="ID38" s="406"/>
      <c r="IE38" s="406"/>
      <c r="IF38" s="406"/>
      <c r="IG38" s="406"/>
      <c r="IH38" s="406"/>
      <c r="II38" s="406"/>
      <c r="IJ38" s="406"/>
      <c r="IK38" s="406"/>
      <c r="IL38" s="406"/>
      <c r="IM38" s="406"/>
      <c r="IN38" s="406"/>
      <c r="IO38" s="406"/>
      <c r="IP38" s="406"/>
      <c r="IQ38" s="406"/>
      <c r="IR38" s="406"/>
      <c r="IS38" s="406"/>
      <c r="IT38" s="406"/>
      <c r="IU38" s="406"/>
      <c r="IV38" s="406"/>
    </row>
    <row r="39" spans="1:256" ht="15.75">
      <c r="A39" s="425"/>
      <c r="B39" s="409" t="s">
        <v>272</v>
      </c>
      <c r="C39" s="410"/>
      <c r="D39" s="421"/>
      <c r="E39" s="418"/>
      <c r="F39" s="421"/>
      <c r="G39" s="430">
        <f>ROUND(+H39+H39*Q$8,2)</f>
        <v>0.03</v>
      </c>
      <c r="H39" s="422">
        <v>0.04</v>
      </c>
      <c r="I39" s="413">
        <f>-1+G39/H39</f>
        <v>-0.25</v>
      </c>
      <c r="J39" s="414">
        <f>+G39</f>
        <v>0.03</v>
      </c>
      <c r="K39" s="412">
        <v>0.04</v>
      </c>
      <c r="L39" s="413">
        <f>-1+J39/K39</f>
        <v>-0.25</v>
      </c>
      <c r="M39" s="406"/>
      <c r="N39" s="406"/>
      <c r="O39" s="406"/>
      <c r="P39" s="406"/>
      <c r="Q39" s="406"/>
      <c r="R39" s="406"/>
      <c r="S39" s="407"/>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c r="CO39" s="406"/>
      <c r="CP39" s="406"/>
      <c r="CQ39" s="406"/>
      <c r="CR39" s="406"/>
      <c r="CS39" s="406"/>
      <c r="CT39" s="406"/>
      <c r="CU39" s="406"/>
      <c r="CV39" s="406"/>
      <c r="CW39" s="406"/>
      <c r="CX39" s="406"/>
      <c r="CY39" s="406"/>
      <c r="CZ39" s="406"/>
      <c r="DA39" s="406"/>
      <c r="DB39" s="406"/>
      <c r="DC39" s="406"/>
      <c r="DD39" s="406"/>
      <c r="DE39" s="406"/>
      <c r="DF39" s="406"/>
      <c r="DG39" s="406"/>
      <c r="DH39" s="406"/>
      <c r="DI39" s="406"/>
      <c r="DJ39" s="406"/>
      <c r="DK39" s="406"/>
      <c r="DL39" s="406"/>
      <c r="DM39" s="406"/>
      <c r="DN39" s="406"/>
      <c r="DO39" s="406"/>
      <c r="DP39" s="406"/>
      <c r="DQ39" s="406"/>
      <c r="DR39" s="406"/>
      <c r="DS39" s="406"/>
      <c r="DT39" s="406"/>
      <c r="DU39" s="406"/>
      <c r="DV39" s="406"/>
      <c r="DW39" s="406"/>
      <c r="DX39" s="406"/>
      <c r="DY39" s="406"/>
      <c r="DZ39" s="406"/>
      <c r="EA39" s="406"/>
      <c r="EB39" s="406"/>
      <c r="EC39" s="406"/>
      <c r="ED39" s="406"/>
      <c r="EE39" s="406"/>
      <c r="EF39" s="406"/>
      <c r="EG39" s="406"/>
      <c r="EH39" s="406"/>
      <c r="EI39" s="406"/>
      <c r="EJ39" s="406"/>
      <c r="EK39" s="406"/>
      <c r="EL39" s="406"/>
      <c r="EM39" s="406"/>
      <c r="EN39" s="406"/>
      <c r="EO39" s="406"/>
      <c r="EP39" s="406"/>
      <c r="EQ39" s="406"/>
      <c r="ER39" s="406"/>
      <c r="ES39" s="406"/>
      <c r="ET39" s="406"/>
      <c r="EU39" s="406"/>
      <c r="EV39" s="406"/>
      <c r="EW39" s="406"/>
      <c r="EX39" s="406"/>
      <c r="EY39" s="406"/>
      <c r="EZ39" s="406"/>
      <c r="FA39" s="406"/>
      <c r="FB39" s="406"/>
      <c r="FC39" s="406"/>
      <c r="FD39" s="406"/>
      <c r="FE39" s="406"/>
      <c r="FF39" s="406"/>
      <c r="FG39" s="406"/>
      <c r="FH39" s="406"/>
      <c r="FI39" s="406"/>
      <c r="FJ39" s="406"/>
      <c r="FK39" s="406"/>
      <c r="FL39" s="406"/>
      <c r="FM39" s="406"/>
      <c r="FN39" s="406"/>
      <c r="FO39" s="406"/>
      <c r="FP39" s="406"/>
      <c r="FQ39" s="406"/>
      <c r="FR39" s="406"/>
      <c r="FS39" s="406"/>
      <c r="FT39" s="406"/>
      <c r="FU39" s="406"/>
      <c r="FV39" s="406"/>
      <c r="FW39" s="406"/>
      <c r="FX39" s="406"/>
      <c r="FY39" s="406"/>
      <c r="FZ39" s="406"/>
      <c r="GA39" s="406"/>
      <c r="GB39" s="406"/>
      <c r="GC39" s="406"/>
      <c r="GD39" s="406"/>
      <c r="GE39" s="406"/>
      <c r="GF39" s="406"/>
      <c r="GG39" s="406"/>
      <c r="GH39" s="406"/>
      <c r="GI39" s="406"/>
      <c r="GJ39" s="406"/>
      <c r="GK39" s="406"/>
      <c r="GL39" s="406"/>
      <c r="GM39" s="406"/>
      <c r="GN39" s="406"/>
      <c r="GO39" s="406"/>
      <c r="GP39" s="406"/>
      <c r="GQ39" s="406"/>
      <c r="GR39" s="406"/>
      <c r="GS39" s="406"/>
      <c r="GT39" s="406"/>
      <c r="GU39" s="406"/>
      <c r="GV39" s="406"/>
      <c r="GW39" s="406"/>
      <c r="GX39" s="406"/>
      <c r="GY39" s="406"/>
      <c r="GZ39" s="406"/>
      <c r="HA39" s="406"/>
      <c r="HB39" s="406"/>
      <c r="HC39" s="406"/>
      <c r="HD39" s="406"/>
      <c r="HE39" s="406"/>
      <c r="HF39" s="406"/>
      <c r="HG39" s="406"/>
      <c r="HH39" s="406"/>
      <c r="HI39" s="406"/>
      <c r="HJ39" s="406"/>
      <c r="HK39" s="406"/>
      <c r="HL39" s="406"/>
      <c r="HM39" s="406"/>
      <c r="HN39" s="406"/>
      <c r="HO39" s="406"/>
      <c r="HP39" s="406"/>
      <c r="HQ39" s="406"/>
      <c r="HR39" s="406"/>
      <c r="HS39" s="406"/>
      <c r="HT39" s="406"/>
      <c r="HU39" s="406"/>
      <c r="HV39" s="406"/>
      <c r="HW39" s="406"/>
      <c r="HX39" s="406"/>
      <c r="HY39" s="406"/>
      <c r="HZ39" s="406"/>
      <c r="IA39" s="406"/>
      <c r="IB39" s="406"/>
      <c r="IC39" s="406"/>
      <c r="ID39" s="406"/>
      <c r="IE39" s="406"/>
      <c r="IF39" s="406"/>
      <c r="IG39" s="406"/>
      <c r="IH39" s="406"/>
      <c r="II39" s="406"/>
      <c r="IJ39" s="406"/>
      <c r="IK39" s="406"/>
      <c r="IL39" s="406"/>
      <c r="IM39" s="406"/>
      <c r="IN39" s="406"/>
      <c r="IO39" s="406"/>
      <c r="IP39" s="406"/>
      <c r="IQ39" s="406"/>
      <c r="IR39" s="406"/>
      <c r="IS39" s="406"/>
      <c r="IT39" s="406"/>
      <c r="IU39" s="406"/>
      <c r="IV39" s="406"/>
    </row>
    <row r="40" spans="1:256" ht="15.75">
      <c r="A40" s="425"/>
      <c r="B40" s="409"/>
      <c r="C40" s="410"/>
      <c r="D40" s="421"/>
      <c r="E40" s="418"/>
      <c r="F40" s="421"/>
      <c r="G40" s="418"/>
      <c r="H40" s="418"/>
      <c r="I40" s="413"/>
      <c r="J40" s="418"/>
      <c r="K40" s="431"/>
      <c r="L40" s="413"/>
      <c r="M40" s="406"/>
      <c r="N40" s="406"/>
      <c r="O40" s="406"/>
      <c r="P40" s="406"/>
      <c r="Q40" s="406"/>
      <c r="R40" s="406"/>
      <c r="S40" s="407"/>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406"/>
      <c r="CB40" s="406"/>
      <c r="CC40" s="406"/>
      <c r="CD40" s="406"/>
      <c r="CE40" s="406"/>
      <c r="CF40" s="406"/>
      <c r="CG40" s="406"/>
      <c r="CH40" s="406"/>
      <c r="CI40" s="406"/>
      <c r="CJ40" s="406"/>
      <c r="CK40" s="406"/>
      <c r="CL40" s="406"/>
      <c r="CM40" s="406"/>
      <c r="CN40" s="406"/>
      <c r="CO40" s="406"/>
      <c r="CP40" s="406"/>
      <c r="CQ40" s="406"/>
      <c r="CR40" s="406"/>
      <c r="CS40" s="406"/>
      <c r="CT40" s="406"/>
      <c r="CU40" s="406"/>
      <c r="CV40" s="406"/>
      <c r="CW40" s="406"/>
      <c r="CX40" s="406"/>
      <c r="CY40" s="406"/>
      <c r="CZ40" s="406"/>
      <c r="DA40" s="406"/>
      <c r="DB40" s="406"/>
      <c r="DC40" s="406"/>
      <c r="DD40" s="406"/>
      <c r="DE40" s="406"/>
      <c r="DF40" s="406"/>
      <c r="DG40" s="406"/>
      <c r="DH40" s="406"/>
      <c r="DI40" s="406"/>
      <c r="DJ40" s="406"/>
      <c r="DK40" s="406"/>
      <c r="DL40" s="406"/>
      <c r="DM40" s="406"/>
      <c r="DN40" s="406"/>
      <c r="DO40" s="406"/>
      <c r="DP40" s="406"/>
      <c r="DQ40" s="406"/>
      <c r="DR40" s="406"/>
      <c r="DS40" s="406"/>
      <c r="DT40" s="406"/>
      <c r="DU40" s="406"/>
      <c r="DV40" s="406"/>
      <c r="DW40" s="406"/>
      <c r="DX40" s="406"/>
      <c r="DY40" s="406"/>
      <c r="DZ40" s="406"/>
      <c r="EA40" s="406"/>
      <c r="EB40" s="406"/>
      <c r="EC40" s="406"/>
      <c r="ED40" s="406"/>
      <c r="EE40" s="406"/>
      <c r="EF40" s="406"/>
      <c r="EG40" s="406"/>
      <c r="EH40" s="406"/>
      <c r="EI40" s="406"/>
      <c r="EJ40" s="406"/>
      <c r="EK40" s="406"/>
      <c r="EL40" s="406"/>
      <c r="EM40" s="406"/>
      <c r="EN40" s="406"/>
      <c r="EO40" s="406"/>
      <c r="EP40" s="406"/>
      <c r="EQ40" s="406"/>
      <c r="ER40" s="406"/>
      <c r="ES40" s="406"/>
      <c r="ET40" s="406"/>
      <c r="EU40" s="406"/>
      <c r="EV40" s="406"/>
      <c r="EW40" s="406"/>
      <c r="EX40" s="406"/>
      <c r="EY40" s="406"/>
      <c r="EZ40" s="406"/>
      <c r="FA40" s="406"/>
      <c r="FB40" s="406"/>
      <c r="FC40" s="406"/>
      <c r="FD40" s="406"/>
      <c r="FE40" s="406"/>
      <c r="FF40" s="406"/>
      <c r="FG40" s="406"/>
      <c r="FH40" s="406"/>
      <c r="FI40" s="406"/>
      <c r="FJ40" s="406"/>
      <c r="FK40" s="406"/>
      <c r="FL40" s="406"/>
      <c r="FM40" s="406"/>
      <c r="FN40" s="406"/>
      <c r="FO40" s="406"/>
      <c r="FP40" s="406"/>
      <c r="FQ40" s="406"/>
      <c r="FR40" s="406"/>
      <c r="FS40" s="406"/>
      <c r="FT40" s="406"/>
      <c r="FU40" s="406"/>
      <c r="FV40" s="406"/>
      <c r="FW40" s="406"/>
      <c r="FX40" s="406"/>
      <c r="FY40" s="406"/>
      <c r="FZ40" s="406"/>
      <c r="GA40" s="406"/>
      <c r="GB40" s="406"/>
      <c r="GC40" s="406"/>
      <c r="GD40" s="406"/>
      <c r="GE40" s="406"/>
      <c r="GF40" s="406"/>
      <c r="GG40" s="406"/>
      <c r="GH40" s="406"/>
      <c r="GI40" s="406"/>
      <c r="GJ40" s="406"/>
      <c r="GK40" s="406"/>
      <c r="GL40" s="406"/>
      <c r="GM40" s="406"/>
      <c r="GN40" s="406"/>
      <c r="GO40" s="406"/>
      <c r="GP40" s="406"/>
      <c r="GQ40" s="406"/>
      <c r="GR40" s="406"/>
      <c r="GS40" s="406"/>
      <c r="GT40" s="406"/>
      <c r="GU40" s="406"/>
      <c r="GV40" s="406"/>
      <c r="GW40" s="406"/>
      <c r="GX40" s="406"/>
      <c r="GY40" s="406"/>
      <c r="GZ40" s="406"/>
      <c r="HA40" s="406"/>
      <c r="HB40" s="406"/>
      <c r="HC40" s="406"/>
      <c r="HD40" s="406"/>
      <c r="HE40" s="406"/>
      <c r="HF40" s="406"/>
      <c r="HG40" s="406"/>
      <c r="HH40" s="406"/>
      <c r="HI40" s="406"/>
      <c r="HJ40" s="406"/>
      <c r="HK40" s="406"/>
      <c r="HL40" s="406"/>
      <c r="HM40" s="406"/>
      <c r="HN40" s="406"/>
      <c r="HO40" s="406"/>
      <c r="HP40" s="406"/>
      <c r="HQ40" s="406"/>
      <c r="HR40" s="406"/>
      <c r="HS40" s="406"/>
      <c r="HT40" s="406"/>
      <c r="HU40" s="406"/>
      <c r="HV40" s="406"/>
      <c r="HW40" s="406"/>
      <c r="HX40" s="406"/>
      <c r="HY40" s="406"/>
      <c r="HZ40" s="406"/>
      <c r="IA40" s="406"/>
      <c r="IB40" s="406"/>
      <c r="IC40" s="406"/>
      <c r="ID40" s="406"/>
      <c r="IE40" s="406"/>
      <c r="IF40" s="406"/>
      <c r="IG40" s="406"/>
      <c r="IH40" s="406"/>
      <c r="II40" s="406"/>
      <c r="IJ40" s="406"/>
      <c r="IK40" s="406"/>
      <c r="IL40" s="406"/>
      <c r="IM40" s="406"/>
      <c r="IN40" s="406"/>
      <c r="IO40" s="406"/>
      <c r="IP40" s="406"/>
      <c r="IQ40" s="406"/>
      <c r="IR40" s="406"/>
      <c r="IS40" s="406"/>
      <c r="IT40" s="406"/>
      <c r="IU40" s="406"/>
      <c r="IV40" s="406"/>
    </row>
    <row r="41" spans="1:256" ht="15.75">
      <c r="A41" s="425"/>
      <c r="B41" s="409" t="s">
        <v>259</v>
      </c>
      <c r="C41" s="410"/>
      <c r="D41" s="429">
        <f>ROUND(+E41+E41*F$6,3)</f>
        <v>0.108</v>
      </c>
      <c r="E41" s="422">
        <v>0.17</v>
      </c>
      <c r="F41" s="413">
        <f aca="true" t="shared" si="8" ref="F41:F49">-1+D41/E41</f>
        <v>-0.3647058823529412</v>
      </c>
      <c r="G41" s="418"/>
      <c r="H41" s="418"/>
      <c r="I41" s="413"/>
      <c r="J41" s="418"/>
      <c r="K41" s="431"/>
      <c r="L41" s="413"/>
      <c r="M41" s="406"/>
      <c r="N41" s="406"/>
      <c r="O41" s="406"/>
      <c r="P41" s="406"/>
      <c r="Q41" s="406"/>
      <c r="R41" s="406"/>
      <c r="S41" s="407"/>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6"/>
      <c r="CO41" s="406"/>
      <c r="CP41" s="406"/>
      <c r="CQ41" s="406"/>
      <c r="CR41" s="406"/>
      <c r="CS41" s="406"/>
      <c r="CT41" s="406"/>
      <c r="CU41" s="406"/>
      <c r="CV41" s="406"/>
      <c r="CW41" s="406"/>
      <c r="CX41" s="406"/>
      <c r="CY41" s="406"/>
      <c r="CZ41" s="406"/>
      <c r="DA41" s="406"/>
      <c r="DB41" s="406"/>
      <c r="DC41" s="406"/>
      <c r="DD41" s="406"/>
      <c r="DE41" s="406"/>
      <c r="DF41" s="406"/>
      <c r="DG41" s="406"/>
      <c r="DH41" s="406"/>
      <c r="DI41" s="406"/>
      <c r="DJ41" s="406"/>
      <c r="DK41" s="406"/>
      <c r="DL41" s="406"/>
      <c r="DM41" s="406"/>
      <c r="DN41" s="406"/>
      <c r="DO41" s="406"/>
      <c r="DP41" s="406"/>
      <c r="DQ41" s="406"/>
      <c r="DR41" s="406"/>
      <c r="DS41" s="406"/>
      <c r="DT41" s="406"/>
      <c r="DU41" s="406"/>
      <c r="DV41" s="406"/>
      <c r="DW41" s="406"/>
      <c r="DX41" s="406"/>
      <c r="DY41" s="406"/>
      <c r="DZ41" s="406"/>
      <c r="EA41" s="406"/>
      <c r="EB41" s="406"/>
      <c r="EC41" s="406"/>
      <c r="ED41" s="406"/>
      <c r="EE41" s="406"/>
      <c r="EF41" s="406"/>
      <c r="EG41" s="406"/>
      <c r="EH41" s="406"/>
      <c r="EI41" s="406"/>
      <c r="EJ41" s="406"/>
      <c r="EK41" s="406"/>
      <c r="EL41" s="406"/>
      <c r="EM41" s="406"/>
      <c r="EN41" s="406"/>
      <c r="EO41" s="406"/>
      <c r="EP41" s="406"/>
      <c r="EQ41" s="406"/>
      <c r="ER41" s="406"/>
      <c r="ES41" s="406"/>
      <c r="ET41" s="406"/>
      <c r="EU41" s="406"/>
      <c r="EV41" s="406"/>
      <c r="EW41" s="406"/>
      <c r="EX41" s="406"/>
      <c r="EY41" s="406"/>
      <c r="EZ41" s="406"/>
      <c r="FA41" s="406"/>
      <c r="FB41" s="406"/>
      <c r="FC41" s="406"/>
      <c r="FD41" s="406"/>
      <c r="FE41" s="406"/>
      <c r="FF41" s="406"/>
      <c r="FG41" s="406"/>
      <c r="FH41" s="406"/>
      <c r="FI41" s="406"/>
      <c r="FJ41" s="406"/>
      <c r="FK41" s="406"/>
      <c r="FL41" s="406"/>
      <c r="FM41" s="406"/>
      <c r="FN41" s="406"/>
      <c r="FO41" s="406"/>
      <c r="FP41" s="406"/>
      <c r="FQ41" s="406"/>
      <c r="FR41" s="406"/>
      <c r="FS41" s="406"/>
      <c r="FT41" s="406"/>
      <c r="FU41" s="406"/>
      <c r="FV41" s="406"/>
      <c r="FW41" s="406"/>
      <c r="FX41" s="406"/>
      <c r="FY41" s="406"/>
      <c r="FZ41" s="406"/>
      <c r="GA41" s="406"/>
      <c r="GB41" s="406"/>
      <c r="GC41" s="406"/>
      <c r="GD41" s="406"/>
      <c r="GE41" s="406"/>
      <c r="GF41" s="406"/>
      <c r="GG41" s="406"/>
      <c r="GH41" s="406"/>
      <c r="GI41" s="406"/>
      <c r="GJ41" s="406"/>
      <c r="GK41" s="406"/>
      <c r="GL41" s="406"/>
      <c r="GM41" s="406"/>
      <c r="GN41" s="406"/>
      <c r="GO41" s="406"/>
      <c r="GP41" s="406"/>
      <c r="GQ41" s="406"/>
      <c r="GR41" s="406"/>
      <c r="GS41" s="406"/>
      <c r="GT41" s="406"/>
      <c r="GU41" s="406"/>
      <c r="GV41" s="406"/>
      <c r="GW41" s="406"/>
      <c r="GX41" s="406"/>
      <c r="GY41" s="406"/>
      <c r="GZ41" s="406"/>
      <c r="HA41" s="406"/>
      <c r="HB41" s="406"/>
      <c r="HC41" s="406"/>
      <c r="HD41" s="406"/>
      <c r="HE41" s="406"/>
      <c r="HF41" s="406"/>
      <c r="HG41" s="406"/>
      <c r="HH41" s="406"/>
      <c r="HI41" s="406"/>
      <c r="HJ41" s="406"/>
      <c r="HK41" s="406"/>
      <c r="HL41" s="406"/>
      <c r="HM41" s="406"/>
      <c r="HN41" s="406"/>
      <c r="HO41" s="406"/>
      <c r="HP41" s="406"/>
      <c r="HQ41" s="406"/>
      <c r="HR41" s="406"/>
      <c r="HS41" s="406"/>
      <c r="HT41" s="406"/>
      <c r="HU41" s="406"/>
      <c r="HV41" s="406"/>
      <c r="HW41" s="406"/>
      <c r="HX41" s="406"/>
      <c r="HY41" s="406"/>
      <c r="HZ41" s="406"/>
      <c r="IA41" s="406"/>
      <c r="IB41" s="406"/>
      <c r="IC41" s="406"/>
      <c r="ID41" s="406"/>
      <c r="IE41" s="406"/>
      <c r="IF41" s="406"/>
      <c r="IG41" s="406"/>
      <c r="IH41" s="406"/>
      <c r="II41" s="406"/>
      <c r="IJ41" s="406"/>
      <c r="IK41" s="406"/>
      <c r="IL41" s="406"/>
      <c r="IM41" s="406"/>
      <c r="IN41" s="406"/>
      <c r="IO41" s="406"/>
      <c r="IP41" s="406"/>
      <c r="IQ41" s="406"/>
      <c r="IR41" s="406"/>
      <c r="IS41" s="406"/>
      <c r="IT41" s="406"/>
      <c r="IU41" s="406"/>
      <c r="IV41" s="406"/>
    </row>
    <row r="42" spans="1:256" ht="15.75">
      <c r="A42" s="425"/>
      <c r="B42" s="409" t="s">
        <v>260</v>
      </c>
      <c r="C42" s="410"/>
      <c r="D42" s="429">
        <f aca="true" t="shared" si="9" ref="D42:D49">ROUND(+E42+E42*F$6,3)</f>
        <v>0.165</v>
      </c>
      <c r="E42" s="422">
        <v>0.26</v>
      </c>
      <c r="F42" s="413">
        <f t="shared" si="8"/>
        <v>-0.3653846153846154</v>
      </c>
      <c r="G42" s="418"/>
      <c r="H42" s="418"/>
      <c r="I42" s="413"/>
      <c r="J42" s="418"/>
      <c r="K42" s="431"/>
      <c r="L42" s="413"/>
      <c r="M42" s="406"/>
      <c r="N42" s="406"/>
      <c r="O42" s="406"/>
      <c r="P42" s="406"/>
      <c r="Q42" s="406"/>
      <c r="R42" s="406"/>
      <c r="S42" s="407"/>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406"/>
      <c r="BX42" s="406"/>
      <c r="BY42" s="406"/>
      <c r="BZ42" s="406"/>
      <c r="CA42" s="406"/>
      <c r="CB42" s="406"/>
      <c r="CC42" s="406"/>
      <c r="CD42" s="406"/>
      <c r="CE42" s="406"/>
      <c r="CF42" s="406"/>
      <c r="CG42" s="406"/>
      <c r="CH42" s="406"/>
      <c r="CI42" s="406"/>
      <c r="CJ42" s="406"/>
      <c r="CK42" s="406"/>
      <c r="CL42" s="406"/>
      <c r="CM42" s="406"/>
      <c r="CN42" s="406"/>
      <c r="CO42" s="406"/>
      <c r="CP42" s="406"/>
      <c r="CQ42" s="406"/>
      <c r="CR42" s="406"/>
      <c r="CS42" s="406"/>
      <c r="CT42" s="406"/>
      <c r="CU42" s="406"/>
      <c r="CV42" s="406"/>
      <c r="CW42" s="406"/>
      <c r="CX42" s="406"/>
      <c r="CY42" s="406"/>
      <c r="CZ42" s="406"/>
      <c r="DA42" s="406"/>
      <c r="DB42" s="406"/>
      <c r="DC42" s="406"/>
      <c r="DD42" s="406"/>
      <c r="DE42" s="406"/>
      <c r="DF42" s="406"/>
      <c r="DG42" s="406"/>
      <c r="DH42" s="406"/>
      <c r="DI42" s="406"/>
      <c r="DJ42" s="406"/>
      <c r="DK42" s="406"/>
      <c r="DL42" s="406"/>
      <c r="DM42" s="406"/>
      <c r="DN42" s="406"/>
      <c r="DO42" s="406"/>
      <c r="DP42" s="406"/>
      <c r="DQ42" s="406"/>
      <c r="DR42" s="406"/>
      <c r="DS42" s="406"/>
      <c r="DT42" s="406"/>
      <c r="DU42" s="406"/>
      <c r="DV42" s="406"/>
      <c r="DW42" s="406"/>
      <c r="DX42" s="406"/>
      <c r="DY42" s="406"/>
      <c r="DZ42" s="406"/>
      <c r="EA42" s="406"/>
      <c r="EB42" s="406"/>
      <c r="EC42" s="406"/>
      <c r="ED42" s="406"/>
      <c r="EE42" s="406"/>
      <c r="EF42" s="406"/>
      <c r="EG42" s="406"/>
      <c r="EH42" s="406"/>
      <c r="EI42" s="406"/>
      <c r="EJ42" s="406"/>
      <c r="EK42" s="406"/>
      <c r="EL42" s="406"/>
      <c r="EM42" s="406"/>
      <c r="EN42" s="406"/>
      <c r="EO42" s="406"/>
      <c r="EP42" s="406"/>
      <c r="EQ42" s="406"/>
      <c r="ER42" s="406"/>
      <c r="ES42" s="406"/>
      <c r="ET42" s="406"/>
      <c r="EU42" s="406"/>
      <c r="EV42" s="406"/>
      <c r="EW42" s="406"/>
      <c r="EX42" s="406"/>
      <c r="EY42" s="406"/>
      <c r="EZ42" s="406"/>
      <c r="FA42" s="406"/>
      <c r="FB42" s="406"/>
      <c r="FC42" s="406"/>
      <c r="FD42" s="406"/>
      <c r="FE42" s="406"/>
      <c r="FF42" s="406"/>
      <c r="FG42" s="406"/>
      <c r="FH42" s="406"/>
      <c r="FI42" s="406"/>
      <c r="FJ42" s="406"/>
      <c r="FK42" s="406"/>
      <c r="FL42" s="406"/>
      <c r="FM42" s="406"/>
      <c r="FN42" s="406"/>
      <c r="FO42" s="406"/>
      <c r="FP42" s="406"/>
      <c r="FQ42" s="406"/>
      <c r="FR42" s="406"/>
      <c r="FS42" s="406"/>
      <c r="FT42" s="406"/>
      <c r="FU42" s="406"/>
      <c r="FV42" s="406"/>
      <c r="FW42" s="406"/>
      <c r="FX42" s="406"/>
      <c r="FY42" s="406"/>
      <c r="FZ42" s="406"/>
      <c r="GA42" s="406"/>
      <c r="GB42" s="406"/>
      <c r="GC42" s="406"/>
      <c r="GD42" s="406"/>
      <c r="GE42" s="406"/>
      <c r="GF42" s="406"/>
      <c r="GG42" s="406"/>
      <c r="GH42" s="406"/>
      <c r="GI42" s="406"/>
      <c r="GJ42" s="406"/>
      <c r="GK42" s="406"/>
      <c r="GL42" s="406"/>
      <c r="GM42" s="406"/>
      <c r="GN42" s="406"/>
      <c r="GO42" s="406"/>
      <c r="GP42" s="406"/>
      <c r="GQ42" s="406"/>
      <c r="GR42" s="406"/>
      <c r="GS42" s="406"/>
      <c r="GT42" s="406"/>
      <c r="GU42" s="406"/>
      <c r="GV42" s="406"/>
      <c r="GW42" s="406"/>
      <c r="GX42" s="406"/>
      <c r="GY42" s="406"/>
      <c r="GZ42" s="406"/>
      <c r="HA42" s="406"/>
      <c r="HB42" s="406"/>
      <c r="HC42" s="406"/>
      <c r="HD42" s="406"/>
      <c r="HE42" s="406"/>
      <c r="HF42" s="406"/>
      <c r="HG42" s="406"/>
      <c r="HH42" s="406"/>
      <c r="HI42" s="406"/>
      <c r="HJ42" s="406"/>
      <c r="HK42" s="406"/>
      <c r="HL42" s="406"/>
      <c r="HM42" s="406"/>
      <c r="HN42" s="406"/>
      <c r="HO42" s="406"/>
      <c r="HP42" s="406"/>
      <c r="HQ42" s="406"/>
      <c r="HR42" s="406"/>
      <c r="HS42" s="406"/>
      <c r="HT42" s="406"/>
      <c r="HU42" s="406"/>
      <c r="HV42" s="406"/>
      <c r="HW42" s="406"/>
      <c r="HX42" s="406"/>
      <c r="HY42" s="406"/>
      <c r="HZ42" s="406"/>
      <c r="IA42" s="406"/>
      <c r="IB42" s="406"/>
      <c r="IC42" s="406"/>
      <c r="ID42" s="406"/>
      <c r="IE42" s="406"/>
      <c r="IF42" s="406"/>
      <c r="IG42" s="406"/>
      <c r="IH42" s="406"/>
      <c r="II42" s="406"/>
      <c r="IJ42" s="406"/>
      <c r="IK42" s="406"/>
      <c r="IL42" s="406"/>
      <c r="IM42" s="406"/>
      <c r="IN42" s="406"/>
      <c r="IO42" s="406"/>
      <c r="IP42" s="406"/>
      <c r="IQ42" s="406"/>
      <c r="IR42" s="406"/>
      <c r="IS42" s="406"/>
      <c r="IT42" s="406"/>
      <c r="IU42" s="406"/>
      <c r="IV42" s="406"/>
    </row>
    <row r="43" spans="1:256" ht="15.75">
      <c r="A43" s="425"/>
      <c r="B43" s="409" t="s">
        <v>261</v>
      </c>
      <c r="C43" s="410"/>
      <c r="D43" s="429">
        <f t="shared" si="9"/>
        <v>0.368</v>
      </c>
      <c r="E43" s="422">
        <v>0.58</v>
      </c>
      <c r="F43" s="413">
        <f t="shared" si="8"/>
        <v>-0.3655172413793103</v>
      </c>
      <c r="G43" s="418"/>
      <c r="H43" s="418"/>
      <c r="I43" s="413"/>
      <c r="J43" s="418"/>
      <c r="K43" s="418"/>
      <c r="L43" s="413"/>
      <c r="M43" s="406"/>
      <c r="N43" s="406"/>
      <c r="O43" s="406"/>
      <c r="P43" s="406"/>
      <c r="Q43" s="406"/>
      <c r="R43" s="406"/>
      <c r="S43" s="407"/>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c r="CA43" s="406"/>
      <c r="CB43" s="406"/>
      <c r="CC43" s="406"/>
      <c r="CD43" s="406"/>
      <c r="CE43" s="406"/>
      <c r="CF43" s="406"/>
      <c r="CG43" s="406"/>
      <c r="CH43" s="406"/>
      <c r="CI43" s="406"/>
      <c r="CJ43" s="406"/>
      <c r="CK43" s="406"/>
      <c r="CL43" s="406"/>
      <c r="CM43" s="406"/>
      <c r="CN43" s="406"/>
      <c r="CO43" s="406"/>
      <c r="CP43" s="406"/>
      <c r="CQ43" s="406"/>
      <c r="CR43" s="406"/>
      <c r="CS43" s="406"/>
      <c r="CT43" s="406"/>
      <c r="CU43" s="406"/>
      <c r="CV43" s="406"/>
      <c r="CW43" s="406"/>
      <c r="CX43" s="406"/>
      <c r="CY43" s="406"/>
      <c r="CZ43" s="406"/>
      <c r="DA43" s="406"/>
      <c r="DB43" s="406"/>
      <c r="DC43" s="406"/>
      <c r="DD43" s="406"/>
      <c r="DE43" s="406"/>
      <c r="DF43" s="406"/>
      <c r="DG43" s="406"/>
      <c r="DH43" s="406"/>
      <c r="DI43" s="406"/>
      <c r="DJ43" s="406"/>
      <c r="DK43" s="406"/>
      <c r="DL43" s="406"/>
      <c r="DM43" s="406"/>
      <c r="DN43" s="406"/>
      <c r="DO43" s="406"/>
      <c r="DP43" s="406"/>
      <c r="DQ43" s="406"/>
      <c r="DR43" s="406"/>
      <c r="DS43" s="406"/>
      <c r="DT43" s="406"/>
      <c r="DU43" s="406"/>
      <c r="DV43" s="406"/>
      <c r="DW43" s="406"/>
      <c r="DX43" s="406"/>
      <c r="DY43" s="406"/>
      <c r="DZ43" s="406"/>
      <c r="EA43" s="406"/>
      <c r="EB43" s="406"/>
      <c r="EC43" s="406"/>
      <c r="ED43" s="406"/>
      <c r="EE43" s="406"/>
      <c r="EF43" s="406"/>
      <c r="EG43" s="406"/>
      <c r="EH43" s="406"/>
      <c r="EI43" s="406"/>
      <c r="EJ43" s="406"/>
      <c r="EK43" s="406"/>
      <c r="EL43" s="406"/>
      <c r="EM43" s="406"/>
      <c r="EN43" s="406"/>
      <c r="EO43" s="406"/>
      <c r="EP43" s="406"/>
      <c r="EQ43" s="406"/>
      <c r="ER43" s="406"/>
      <c r="ES43" s="406"/>
      <c r="ET43" s="406"/>
      <c r="EU43" s="406"/>
      <c r="EV43" s="406"/>
      <c r="EW43" s="406"/>
      <c r="EX43" s="406"/>
      <c r="EY43" s="406"/>
      <c r="EZ43" s="406"/>
      <c r="FA43" s="406"/>
      <c r="FB43" s="406"/>
      <c r="FC43" s="406"/>
      <c r="FD43" s="406"/>
      <c r="FE43" s="406"/>
      <c r="FF43" s="406"/>
      <c r="FG43" s="406"/>
      <c r="FH43" s="406"/>
      <c r="FI43" s="406"/>
      <c r="FJ43" s="406"/>
      <c r="FK43" s="406"/>
      <c r="FL43" s="406"/>
      <c r="FM43" s="406"/>
      <c r="FN43" s="406"/>
      <c r="FO43" s="406"/>
      <c r="FP43" s="406"/>
      <c r="FQ43" s="406"/>
      <c r="FR43" s="406"/>
      <c r="FS43" s="406"/>
      <c r="FT43" s="406"/>
      <c r="FU43" s="406"/>
      <c r="FV43" s="406"/>
      <c r="FW43" s="406"/>
      <c r="FX43" s="406"/>
      <c r="FY43" s="406"/>
      <c r="FZ43" s="406"/>
      <c r="GA43" s="406"/>
      <c r="GB43" s="406"/>
      <c r="GC43" s="406"/>
      <c r="GD43" s="406"/>
      <c r="GE43" s="406"/>
      <c r="GF43" s="406"/>
      <c r="GG43" s="406"/>
      <c r="GH43" s="406"/>
      <c r="GI43" s="406"/>
      <c r="GJ43" s="406"/>
      <c r="GK43" s="406"/>
      <c r="GL43" s="406"/>
      <c r="GM43" s="406"/>
      <c r="GN43" s="406"/>
      <c r="GO43" s="406"/>
      <c r="GP43" s="406"/>
      <c r="GQ43" s="406"/>
      <c r="GR43" s="406"/>
      <c r="GS43" s="406"/>
      <c r="GT43" s="406"/>
      <c r="GU43" s="406"/>
      <c r="GV43" s="406"/>
      <c r="GW43" s="406"/>
      <c r="GX43" s="406"/>
      <c r="GY43" s="406"/>
      <c r="GZ43" s="406"/>
      <c r="HA43" s="406"/>
      <c r="HB43" s="406"/>
      <c r="HC43" s="406"/>
      <c r="HD43" s="406"/>
      <c r="HE43" s="406"/>
      <c r="HF43" s="406"/>
      <c r="HG43" s="406"/>
      <c r="HH43" s="406"/>
      <c r="HI43" s="406"/>
      <c r="HJ43" s="406"/>
      <c r="HK43" s="406"/>
      <c r="HL43" s="406"/>
      <c r="HM43" s="406"/>
      <c r="HN43" s="406"/>
      <c r="HO43" s="406"/>
      <c r="HP43" s="406"/>
      <c r="HQ43" s="406"/>
      <c r="HR43" s="406"/>
      <c r="HS43" s="406"/>
      <c r="HT43" s="406"/>
      <c r="HU43" s="406"/>
      <c r="HV43" s="406"/>
      <c r="HW43" s="406"/>
      <c r="HX43" s="406"/>
      <c r="HY43" s="406"/>
      <c r="HZ43" s="406"/>
      <c r="IA43" s="406"/>
      <c r="IB43" s="406"/>
      <c r="IC43" s="406"/>
      <c r="ID43" s="406"/>
      <c r="IE43" s="406"/>
      <c r="IF43" s="406"/>
      <c r="IG43" s="406"/>
      <c r="IH43" s="406"/>
      <c r="II43" s="406"/>
      <c r="IJ43" s="406"/>
      <c r="IK43" s="406"/>
      <c r="IL43" s="406"/>
      <c r="IM43" s="406"/>
      <c r="IN43" s="406"/>
      <c r="IO43" s="406"/>
      <c r="IP43" s="406"/>
      <c r="IQ43" s="406"/>
      <c r="IR43" s="406"/>
      <c r="IS43" s="406"/>
      <c r="IT43" s="406"/>
      <c r="IU43" s="406"/>
      <c r="IV43" s="406"/>
    </row>
    <row r="44" spans="1:256" ht="15.75">
      <c r="A44" s="425"/>
      <c r="B44" s="409" t="s">
        <v>262</v>
      </c>
      <c r="C44" s="410"/>
      <c r="D44" s="429">
        <f t="shared" si="9"/>
        <v>0.469</v>
      </c>
      <c r="E44" s="422">
        <v>0.74</v>
      </c>
      <c r="F44" s="413">
        <f t="shared" si="8"/>
        <v>-0.36621621621621625</v>
      </c>
      <c r="G44" s="418"/>
      <c r="H44" s="418"/>
      <c r="I44" s="413"/>
      <c r="J44" s="418"/>
      <c r="K44" s="418"/>
      <c r="L44" s="413"/>
      <c r="M44" s="406"/>
      <c r="N44" s="406"/>
      <c r="O44" s="406"/>
      <c r="P44" s="406"/>
      <c r="Q44" s="406"/>
      <c r="R44" s="406"/>
      <c r="S44" s="407"/>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c r="CA44" s="406"/>
      <c r="CB44" s="406"/>
      <c r="CC44" s="406"/>
      <c r="CD44" s="406"/>
      <c r="CE44" s="406"/>
      <c r="CF44" s="406"/>
      <c r="CG44" s="406"/>
      <c r="CH44" s="406"/>
      <c r="CI44" s="406"/>
      <c r="CJ44" s="406"/>
      <c r="CK44" s="406"/>
      <c r="CL44" s="406"/>
      <c r="CM44" s="406"/>
      <c r="CN44" s="406"/>
      <c r="CO44" s="406"/>
      <c r="CP44" s="406"/>
      <c r="CQ44" s="406"/>
      <c r="CR44" s="406"/>
      <c r="CS44" s="406"/>
      <c r="CT44" s="406"/>
      <c r="CU44" s="406"/>
      <c r="CV44" s="406"/>
      <c r="CW44" s="406"/>
      <c r="CX44" s="406"/>
      <c r="CY44" s="406"/>
      <c r="CZ44" s="406"/>
      <c r="DA44" s="406"/>
      <c r="DB44" s="406"/>
      <c r="DC44" s="406"/>
      <c r="DD44" s="406"/>
      <c r="DE44" s="406"/>
      <c r="DF44" s="406"/>
      <c r="DG44" s="406"/>
      <c r="DH44" s="406"/>
      <c r="DI44" s="406"/>
      <c r="DJ44" s="406"/>
      <c r="DK44" s="406"/>
      <c r="DL44" s="406"/>
      <c r="DM44" s="406"/>
      <c r="DN44" s="406"/>
      <c r="DO44" s="406"/>
      <c r="DP44" s="406"/>
      <c r="DQ44" s="406"/>
      <c r="DR44" s="406"/>
      <c r="DS44" s="406"/>
      <c r="DT44" s="406"/>
      <c r="DU44" s="406"/>
      <c r="DV44" s="406"/>
      <c r="DW44" s="406"/>
      <c r="DX44" s="406"/>
      <c r="DY44" s="406"/>
      <c r="DZ44" s="406"/>
      <c r="EA44" s="406"/>
      <c r="EB44" s="406"/>
      <c r="EC44" s="406"/>
      <c r="ED44" s="406"/>
      <c r="EE44" s="406"/>
      <c r="EF44" s="406"/>
      <c r="EG44" s="406"/>
      <c r="EH44" s="406"/>
      <c r="EI44" s="406"/>
      <c r="EJ44" s="406"/>
      <c r="EK44" s="406"/>
      <c r="EL44" s="406"/>
      <c r="EM44" s="406"/>
      <c r="EN44" s="406"/>
      <c r="EO44" s="406"/>
      <c r="EP44" s="406"/>
      <c r="EQ44" s="406"/>
      <c r="ER44" s="406"/>
      <c r="ES44" s="406"/>
      <c r="ET44" s="406"/>
      <c r="EU44" s="406"/>
      <c r="EV44" s="406"/>
      <c r="EW44" s="406"/>
      <c r="EX44" s="406"/>
      <c r="EY44" s="406"/>
      <c r="EZ44" s="406"/>
      <c r="FA44" s="406"/>
      <c r="FB44" s="406"/>
      <c r="FC44" s="406"/>
      <c r="FD44" s="406"/>
      <c r="FE44" s="406"/>
      <c r="FF44" s="406"/>
      <c r="FG44" s="406"/>
      <c r="FH44" s="406"/>
      <c r="FI44" s="406"/>
      <c r="FJ44" s="406"/>
      <c r="FK44" s="406"/>
      <c r="FL44" s="406"/>
      <c r="FM44" s="406"/>
      <c r="FN44" s="406"/>
      <c r="FO44" s="406"/>
      <c r="FP44" s="406"/>
      <c r="FQ44" s="406"/>
      <c r="FR44" s="406"/>
      <c r="FS44" s="406"/>
      <c r="FT44" s="406"/>
      <c r="FU44" s="406"/>
      <c r="FV44" s="406"/>
      <c r="FW44" s="406"/>
      <c r="FX44" s="406"/>
      <c r="FY44" s="406"/>
      <c r="FZ44" s="406"/>
      <c r="GA44" s="406"/>
      <c r="GB44" s="406"/>
      <c r="GC44" s="406"/>
      <c r="GD44" s="406"/>
      <c r="GE44" s="406"/>
      <c r="GF44" s="406"/>
      <c r="GG44" s="406"/>
      <c r="GH44" s="406"/>
      <c r="GI44" s="406"/>
      <c r="GJ44" s="406"/>
      <c r="GK44" s="406"/>
      <c r="GL44" s="406"/>
      <c r="GM44" s="406"/>
      <c r="GN44" s="406"/>
      <c r="GO44" s="406"/>
      <c r="GP44" s="406"/>
      <c r="GQ44" s="406"/>
      <c r="GR44" s="406"/>
      <c r="GS44" s="406"/>
      <c r="GT44" s="406"/>
      <c r="GU44" s="406"/>
      <c r="GV44" s="406"/>
      <c r="GW44" s="406"/>
      <c r="GX44" s="406"/>
      <c r="GY44" s="406"/>
      <c r="GZ44" s="406"/>
      <c r="HA44" s="406"/>
      <c r="HB44" s="406"/>
      <c r="HC44" s="406"/>
      <c r="HD44" s="406"/>
      <c r="HE44" s="406"/>
      <c r="HF44" s="406"/>
      <c r="HG44" s="406"/>
      <c r="HH44" s="406"/>
      <c r="HI44" s="406"/>
      <c r="HJ44" s="406"/>
      <c r="HK44" s="406"/>
      <c r="HL44" s="406"/>
      <c r="HM44" s="406"/>
      <c r="HN44" s="406"/>
      <c r="HO44" s="406"/>
      <c r="HP44" s="406"/>
      <c r="HQ44" s="406"/>
      <c r="HR44" s="406"/>
      <c r="HS44" s="406"/>
      <c r="HT44" s="406"/>
      <c r="HU44" s="406"/>
      <c r="HV44" s="406"/>
      <c r="HW44" s="406"/>
      <c r="HX44" s="406"/>
      <c r="HY44" s="406"/>
      <c r="HZ44" s="406"/>
      <c r="IA44" s="406"/>
      <c r="IB44" s="406"/>
      <c r="IC44" s="406"/>
      <c r="ID44" s="406"/>
      <c r="IE44" s="406"/>
      <c r="IF44" s="406"/>
      <c r="IG44" s="406"/>
      <c r="IH44" s="406"/>
      <c r="II44" s="406"/>
      <c r="IJ44" s="406"/>
      <c r="IK44" s="406"/>
      <c r="IL44" s="406"/>
      <c r="IM44" s="406"/>
      <c r="IN44" s="406"/>
      <c r="IO44" s="406"/>
      <c r="IP44" s="406"/>
      <c r="IQ44" s="406"/>
      <c r="IR44" s="406"/>
      <c r="IS44" s="406"/>
      <c r="IT44" s="406"/>
      <c r="IU44" s="406"/>
      <c r="IV44" s="406"/>
    </row>
    <row r="45" spans="1:256" ht="15.75">
      <c r="A45" s="425"/>
      <c r="B45" s="409" t="s">
        <v>263</v>
      </c>
      <c r="C45" s="410"/>
      <c r="D45" s="429">
        <f t="shared" si="9"/>
        <v>0.564</v>
      </c>
      <c r="E45" s="422">
        <v>0.89</v>
      </c>
      <c r="F45" s="413">
        <f t="shared" si="8"/>
        <v>-0.3662921348314607</v>
      </c>
      <c r="G45" s="418"/>
      <c r="H45" s="431"/>
      <c r="I45" s="413"/>
      <c r="J45" s="418"/>
      <c r="K45" s="418"/>
      <c r="L45" s="413"/>
      <c r="M45" s="406"/>
      <c r="N45" s="406"/>
      <c r="O45" s="406"/>
      <c r="P45" s="406"/>
      <c r="Q45" s="406"/>
      <c r="R45" s="406"/>
      <c r="S45" s="407"/>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6"/>
      <c r="CG45" s="406"/>
      <c r="CH45" s="406"/>
      <c r="CI45" s="406"/>
      <c r="CJ45" s="406"/>
      <c r="CK45" s="406"/>
      <c r="CL45" s="406"/>
      <c r="CM45" s="406"/>
      <c r="CN45" s="406"/>
      <c r="CO45" s="406"/>
      <c r="CP45" s="406"/>
      <c r="CQ45" s="406"/>
      <c r="CR45" s="406"/>
      <c r="CS45" s="406"/>
      <c r="CT45" s="406"/>
      <c r="CU45" s="406"/>
      <c r="CV45" s="406"/>
      <c r="CW45" s="406"/>
      <c r="CX45" s="406"/>
      <c r="CY45" s="406"/>
      <c r="CZ45" s="406"/>
      <c r="DA45" s="406"/>
      <c r="DB45" s="406"/>
      <c r="DC45" s="406"/>
      <c r="DD45" s="406"/>
      <c r="DE45" s="406"/>
      <c r="DF45" s="406"/>
      <c r="DG45" s="406"/>
      <c r="DH45" s="406"/>
      <c r="DI45" s="406"/>
      <c r="DJ45" s="406"/>
      <c r="DK45" s="406"/>
      <c r="DL45" s="406"/>
      <c r="DM45" s="406"/>
      <c r="DN45" s="406"/>
      <c r="DO45" s="406"/>
      <c r="DP45" s="406"/>
      <c r="DQ45" s="406"/>
      <c r="DR45" s="406"/>
      <c r="DS45" s="406"/>
      <c r="DT45" s="406"/>
      <c r="DU45" s="406"/>
      <c r="DV45" s="406"/>
      <c r="DW45" s="406"/>
      <c r="DX45" s="406"/>
      <c r="DY45" s="406"/>
      <c r="DZ45" s="406"/>
      <c r="EA45" s="406"/>
      <c r="EB45" s="406"/>
      <c r="EC45" s="406"/>
      <c r="ED45" s="406"/>
      <c r="EE45" s="406"/>
      <c r="EF45" s="406"/>
      <c r="EG45" s="406"/>
      <c r="EH45" s="406"/>
      <c r="EI45" s="406"/>
      <c r="EJ45" s="406"/>
      <c r="EK45" s="406"/>
      <c r="EL45" s="406"/>
      <c r="EM45" s="406"/>
      <c r="EN45" s="406"/>
      <c r="EO45" s="406"/>
      <c r="EP45" s="406"/>
      <c r="EQ45" s="406"/>
      <c r="ER45" s="406"/>
      <c r="ES45" s="406"/>
      <c r="ET45" s="406"/>
      <c r="EU45" s="406"/>
      <c r="EV45" s="406"/>
      <c r="EW45" s="406"/>
      <c r="EX45" s="406"/>
      <c r="EY45" s="406"/>
      <c r="EZ45" s="406"/>
      <c r="FA45" s="406"/>
      <c r="FB45" s="406"/>
      <c r="FC45" s="406"/>
      <c r="FD45" s="406"/>
      <c r="FE45" s="406"/>
      <c r="FF45" s="406"/>
      <c r="FG45" s="406"/>
      <c r="FH45" s="406"/>
      <c r="FI45" s="406"/>
      <c r="FJ45" s="406"/>
      <c r="FK45" s="406"/>
      <c r="FL45" s="406"/>
      <c r="FM45" s="406"/>
      <c r="FN45" s="406"/>
      <c r="FO45" s="406"/>
      <c r="FP45" s="406"/>
      <c r="FQ45" s="406"/>
      <c r="FR45" s="406"/>
      <c r="FS45" s="406"/>
      <c r="FT45" s="406"/>
      <c r="FU45" s="406"/>
      <c r="FV45" s="406"/>
      <c r="FW45" s="406"/>
      <c r="FX45" s="406"/>
      <c r="FY45" s="406"/>
      <c r="FZ45" s="406"/>
      <c r="GA45" s="406"/>
      <c r="GB45" s="406"/>
      <c r="GC45" s="406"/>
      <c r="GD45" s="406"/>
      <c r="GE45" s="406"/>
      <c r="GF45" s="406"/>
      <c r="GG45" s="406"/>
      <c r="GH45" s="406"/>
      <c r="GI45" s="406"/>
      <c r="GJ45" s="406"/>
      <c r="GK45" s="406"/>
      <c r="GL45" s="406"/>
      <c r="GM45" s="406"/>
      <c r="GN45" s="406"/>
      <c r="GO45" s="406"/>
      <c r="GP45" s="406"/>
      <c r="GQ45" s="406"/>
      <c r="GR45" s="406"/>
      <c r="GS45" s="406"/>
      <c r="GT45" s="406"/>
      <c r="GU45" s="406"/>
      <c r="GV45" s="406"/>
      <c r="GW45" s="406"/>
      <c r="GX45" s="406"/>
      <c r="GY45" s="406"/>
      <c r="GZ45" s="406"/>
      <c r="HA45" s="406"/>
      <c r="HB45" s="406"/>
      <c r="HC45" s="406"/>
      <c r="HD45" s="406"/>
      <c r="HE45" s="406"/>
      <c r="HF45" s="406"/>
      <c r="HG45" s="406"/>
      <c r="HH45" s="406"/>
      <c r="HI45" s="406"/>
      <c r="HJ45" s="406"/>
      <c r="HK45" s="406"/>
      <c r="HL45" s="406"/>
      <c r="HM45" s="406"/>
      <c r="HN45" s="406"/>
      <c r="HO45" s="406"/>
      <c r="HP45" s="406"/>
      <c r="HQ45" s="406"/>
      <c r="HR45" s="406"/>
      <c r="HS45" s="406"/>
      <c r="HT45" s="406"/>
      <c r="HU45" s="406"/>
      <c r="HV45" s="406"/>
      <c r="HW45" s="406"/>
      <c r="HX45" s="406"/>
      <c r="HY45" s="406"/>
      <c r="HZ45" s="406"/>
      <c r="IA45" s="406"/>
      <c r="IB45" s="406"/>
      <c r="IC45" s="406"/>
      <c r="ID45" s="406"/>
      <c r="IE45" s="406"/>
      <c r="IF45" s="406"/>
      <c r="IG45" s="406"/>
      <c r="IH45" s="406"/>
      <c r="II45" s="406"/>
      <c r="IJ45" s="406"/>
      <c r="IK45" s="406"/>
      <c r="IL45" s="406"/>
      <c r="IM45" s="406"/>
      <c r="IN45" s="406"/>
      <c r="IO45" s="406"/>
      <c r="IP45" s="406"/>
      <c r="IQ45" s="406"/>
      <c r="IR45" s="406"/>
      <c r="IS45" s="406"/>
      <c r="IT45" s="406"/>
      <c r="IU45" s="406"/>
      <c r="IV45" s="406"/>
    </row>
    <row r="46" spans="1:256" ht="15.75">
      <c r="A46" s="425"/>
      <c r="B46" s="409" t="s">
        <v>264</v>
      </c>
      <c r="C46" s="410"/>
      <c r="D46" s="429">
        <f t="shared" si="9"/>
        <v>0.78</v>
      </c>
      <c r="E46" s="422">
        <v>1.23</v>
      </c>
      <c r="F46" s="413">
        <f t="shared" si="8"/>
        <v>-0.36585365853658536</v>
      </c>
      <c r="G46" s="418"/>
      <c r="H46" s="431"/>
      <c r="I46" s="413"/>
      <c r="J46" s="418"/>
      <c r="K46" s="418"/>
      <c r="L46" s="413"/>
      <c r="M46" s="406"/>
      <c r="N46" s="406"/>
      <c r="O46" s="406"/>
      <c r="P46" s="406"/>
      <c r="Q46" s="406"/>
      <c r="R46" s="406"/>
      <c r="S46" s="407"/>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c r="DJ46" s="406"/>
      <c r="DK46" s="406"/>
      <c r="DL46" s="406"/>
      <c r="DM46" s="406"/>
      <c r="DN46" s="406"/>
      <c r="DO46" s="406"/>
      <c r="DP46" s="406"/>
      <c r="DQ46" s="406"/>
      <c r="DR46" s="406"/>
      <c r="DS46" s="406"/>
      <c r="DT46" s="406"/>
      <c r="DU46" s="406"/>
      <c r="DV46" s="406"/>
      <c r="DW46" s="406"/>
      <c r="DX46" s="406"/>
      <c r="DY46" s="406"/>
      <c r="DZ46" s="406"/>
      <c r="EA46" s="406"/>
      <c r="EB46" s="406"/>
      <c r="EC46" s="406"/>
      <c r="ED46" s="406"/>
      <c r="EE46" s="406"/>
      <c r="EF46" s="406"/>
      <c r="EG46" s="406"/>
      <c r="EH46" s="406"/>
      <c r="EI46" s="406"/>
      <c r="EJ46" s="406"/>
      <c r="EK46" s="406"/>
      <c r="EL46" s="406"/>
      <c r="EM46" s="406"/>
      <c r="EN46" s="406"/>
      <c r="EO46" s="406"/>
      <c r="EP46" s="406"/>
      <c r="EQ46" s="406"/>
      <c r="ER46" s="406"/>
      <c r="ES46" s="406"/>
      <c r="ET46" s="406"/>
      <c r="EU46" s="406"/>
      <c r="EV46" s="406"/>
      <c r="EW46" s="406"/>
      <c r="EX46" s="406"/>
      <c r="EY46" s="406"/>
      <c r="EZ46" s="406"/>
      <c r="FA46" s="406"/>
      <c r="FB46" s="406"/>
      <c r="FC46" s="406"/>
      <c r="FD46" s="406"/>
      <c r="FE46" s="406"/>
      <c r="FF46" s="406"/>
      <c r="FG46" s="406"/>
      <c r="FH46" s="406"/>
      <c r="FI46" s="406"/>
      <c r="FJ46" s="406"/>
      <c r="FK46" s="406"/>
      <c r="FL46" s="406"/>
      <c r="FM46" s="406"/>
      <c r="FN46" s="406"/>
      <c r="FO46" s="406"/>
      <c r="FP46" s="406"/>
      <c r="FQ46" s="406"/>
      <c r="FR46" s="406"/>
      <c r="FS46" s="406"/>
      <c r="FT46" s="406"/>
      <c r="FU46" s="406"/>
      <c r="FV46" s="406"/>
      <c r="FW46" s="406"/>
      <c r="FX46" s="406"/>
      <c r="FY46" s="406"/>
      <c r="FZ46" s="406"/>
      <c r="GA46" s="406"/>
      <c r="GB46" s="406"/>
      <c r="GC46" s="406"/>
      <c r="GD46" s="406"/>
      <c r="GE46" s="406"/>
      <c r="GF46" s="406"/>
      <c r="GG46" s="406"/>
      <c r="GH46" s="406"/>
      <c r="GI46" s="406"/>
      <c r="GJ46" s="406"/>
      <c r="GK46" s="406"/>
      <c r="GL46" s="406"/>
      <c r="GM46" s="406"/>
      <c r="GN46" s="406"/>
      <c r="GO46" s="406"/>
      <c r="GP46" s="406"/>
      <c r="GQ46" s="406"/>
      <c r="GR46" s="406"/>
      <c r="GS46" s="406"/>
      <c r="GT46" s="406"/>
      <c r="GU46" s="406"/>
      <c r="GV46" s="406"/>
      <c r="GW46" s="406"/>
      <c r="GX46" s="406"/>
      <c r="GY46" s="406"/>
      <c r="GZ46" s="406"/>
      <c r="HA46" s="406"/>
      <c r="HB46" s="406"/>
      <c r="HC46" s="406"/>
      <c r="HD46" s="406"/>
      <c r="HE46" s="406"/>
      <c r="HF46" s="406"/>
      <c r="HG46" s="406"/>
      <c r="HH46" s="406"/>
      <c r="HI46" s="406"/>
      <c r="HJ46" s="406"/>
      <c r="HK46" s="406"/>
      <c r="HL46" s="406"/>
      <c r="HM46" s="406"/>
      <c r="HN46" s="406"/>
      <c r="HO46" s="406"/>
      <c r="HP46" s="406"/>
      <c r="HQ46" s="406"/>
      <c r="HR46" s="406"/>
      <c r="HS46" s="406"/>
      <c r="HT46" s="406"/>
      <c r="HU46" s="406"/>
      <c r="HV46" s="406"/>
      <c r="HW46" s="406"/>
      <c r="HX46" s="406"/>
      <c r="HY46" s="406"/>
      <c r="HZ46" s="406"/>
      <c r="IA46" s="406"/>
      <c r="IB46" s="406"/>
      <c r="IC46" s="406"/>
      <c r="ID46" s="406"/>
      <c r="IE46" s="406"/>
      <c r="IF46" s="406"/>
      <c r="IG46" s="406"/>
      <c r="IH46" s="406"/>
      <c r="II46" s="406"/>
      <c r="IJ46" s="406"/>
      <c r="IK46" s="406"/>
      <c r="IL46" s="406"/>
      <c r="IM46" s="406"/>
      <c r="IN46" s="406"/>
      <c r="IO46" s="406"/>
      <c r="IP46" s="406"/>
      <c r="IQ46" s="406"/>
      <c r="IR46" s="406"/>
      <c r="IS46" s="406"/>
      <c r="IT46" s="406"/>
      <c r="IU46" s="406"/>
      <c r="IV46" s="406"/>
    </row>
    <row r="47" spans="1:256" ht="15.75">
      <c r="A47" s="425"/>
      <c r="B47" s="409" t="s">
        <v>265</v>
      </c>
      <c r="C47" s="410"/>
      <c r="D47" s="429">
        <f t="shared" si="9"/>
        <v>0.907</v>
      </c>
      <c r="E47" s="422">
        <v>1.43</v>
      </c>
      <c r="F47" s="413">
        <f t="shared" si="8"/>
        <v>-0.3657342657342657</v>
      </c>
      <c r="G47" s="418"/>
      <c r="H47" s="418"/>
      <c r="I47" s="413"/>
      <c r="J47" s="418"/>
      <c r="K47" s="418"/>
      <c r="L47" s="413"/>
      <c r="M47" s="406"/>
      <c r="N47" s="406"/>
      <c r="O47" s="406"/>
      <c r="P47" s="406"/>
      <c r="Q47" s="406"/>
      <c r="R47" s="406"/>
      <c r="S47" s="407"/>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c r="DJ47" s="406"/>
      <c r="DK47" s="406"/>
      <c r="DL47" s="406"/>
      <c r="DM47" s="406"/>
      <c r="DN47" s="406"/>
      <c r="DO47" s="406"/>
      <c r="DP47" s="406"/>
      <c r="DQ47" s="406"/>
      <c r="DR47" s="406"/>
      <c r="DS47" s="406"/>
      <c r="DT47" s="406"/>
      <c r="DU47" s="406"/>
      <c r="DV47" s="406"/>
      <c r="DW47" s="406"/>
      <c r="DX47" s="406"/>
      <c r="DY47" s="406"/>
      <c r="DZ47" s="406"/>
      <c r="EA47" s="406"/>
      <c r="EB47" s="406"/>
      <c r="EC47" s="406"/>
      <c r="ED47" s="406"/>
      <c r="EE47" s="406"/>
      <c r="EF47" s="406"/>
      <c r="EG47" s="406"/>
      <c r="EH47" s="406"/>
      <c r="EI47" s="406"/>
      <c r="EJ47" s="406"/>
      <c r="EK47" s="406"/>
      <c r="EL47" s="406"/>
      <c r="EM47" s="406"/>
      <c r="EN47" s="406"/>
      <c r="EO47" s="406"/>
      <c r="EP47" s="406"/>
      <c r="EQ47" s="406"/>
      <c r="ER47" s="406"/>
      <c r="ES47" s="406"/>
      <c r="ET47" s="406"/>
      <c r="EU47" s="406"/>
      <c r="EV47" s="406"/>
      <c r="EW47" s="406"/>
      <c r="EX47" s="406"/>
      <c r="EY47" s="406"/>
      <c r="EZ47" s="406"/>
      <c r="FA47" s="406"/>
      <c r="FB47" s="406"/>
      <c r="FC47" s="406"/>
      <c r="FD47" s="406"/>
      <c r="FE47" s="406"/>
      <c r="FF47" s="406"/>
      <c r="FG47" s="406"/>
      <c r="FH47" s="406"/>
      <c r="FI47" s="406"/>
      <c r="FJ47" s="406"/>
      <c r="FK47" s="406"/>
      <c r="FL47" s="406"/>
      <c r="FM47" s="406"/>
      <c r="FN47" s="406"/>
      <c r="FO47" s="406"/>
      <c r="FP47" s="406"/>
      <c r="FQ47" s="406"/>
      <c r="FR47" s="406"/>
      <c r="FS47" s="406"/>
      <c r="FT47" s="406"/>
      <c r="FU47" s="406"/>
      <c r="FV47" s="406"/>
      <c r="FW47" s="406"/>
      <c r="FX47" s="406"/>
      <c r="FY47" s="406"/>
      <c r="FZ47" s="406"/>
      <c r="GA47" s="406"/>
      <c r="GB47" s="406"/>
      <c r="GC47" s="406"/>
      <c r="GD47" s="406"/>
      <c r="GE47" s="406"/>
      <c r="GF47" s="406"/>
      <c r="GG47" s="406"/>
      <c r="GH47" s="406"/>
      <c r="GI47" s="406"/>
      <c r="GJ47" s="406"/>
      <c r="GK47" s="406"/>
      <c r="GL47" s="406"/>
      <c r="GM47" s="406"/>
      <c r="GN47" s="406"/>
      <c r="GO47" s="406"/>
      <c r="GP47" s="406"/>
      <c r="GQ47" s="406"/>
      <c r="GR47" s="406"/>
      <c r="GS47" s="406"/>
      <c r="GT47" s="406"/>
      <c r="GU47" s="406"/>
      <c r="GV47" s="406"/>
      <c r="GW47" s="406"/>
      <c r="GX47" s="406"/>
      <c r="GY47" s="406"/>
      <c r="GZ47" s="406"/>
      <c r="HA47" s="406"/>
      <c r="HB47" s="406"/>
      <c r="HC47" s="406"/>
      <c r="HD47" s="406"/>
      <c r="HE47" s="406"/>
      <c r="HF47" s="406"/>
      <c r="HG47" s="406"/>
      <c r="HH47" s="406"/>
      <c r="HI47" s="406"/>
      <c r="HJ47" s="406"/>
      <c r="HK47" s="406"/>
      <c r="HL47" s="406"/>
      <c r="HM47" s="406"/>
      <c r="HN47" s="406"/>
      <c r="HO47" s="406"/>
      <c r="HP47" s="406"/>
      <c r="HQ47" s="406"/>
      <c r="HR47" s="406"/>
      <c r="HS47" s="406"/>
      <c r="HT47" s="406"/>
      <c r="HU47" s="406"/>
      <c r="HV47" s="406"/>
      <c r="HW47" s="406"/>
      <c r="HX47" s="406"/>
      <c r="HY47" s="406"/>
      <c r="HZ47" s="406"/>
      <c r="IA47" s="406"/>
      <c r="IB47" s="406"/>
      <c r="IC47" s="406"/>
      <c r="ID47" s="406"/>
      <c r="IE47" s="406"/>
      <c r="IF47" s="406"/>
      <c r="IG47" s="406"/>
      <c r="IH47" s="406"/>
      <c r="II47" s="406"/>
      <c r="IJ47" s="406"/>
      <c r="IK47" s="406"/>
      <c r="IL47" s="406"/>
      <c r="IM47" s="406"/>
      <c r="IN47" s="406"/>
      <c r="IO47" s="406"/>
      <c r="IP47" s="406"/>
      <c r="IQ47" s="406"/>
      <c r="IR47" s="406"/>
      <c r="IS47" s="406"/>
      <c r="IT47" s="406"/>
      <c r="IU47" s="406"/>
      <c r="IV47" s="406"/>
    </row>
    <row r="48" spans="1:256" ht="15.75">
      <c r="A48" s="425"/>
      <c r="B48" s="409" t="s">
        <v>266</v>
      </c>
      <c r="C48" s="410"/>
      <c r="D48" s="429">
        <f t="shared" si="9"/>
        <v>1.021</v>
      </c>
      <c r="E48" s="422">
        <v>1.61</v>
      </c>
      <c r="F48" s="413">
        <f t="shared" si="8"/>
        <v>-0.3658385093167703</v>
      </c>
      <c r="G48" s="418"/>
      <c r="H48" s="418"/>
      <c r="I48" s="413"/>
      <c r="J48" s="418"/>
      <c r="K48" s="418"/>
      <c r="L48" s="413"/>
      <c r="M48" s="406"/>
      <c r="N48" s="406"/>
      <c r="O48" s="406"/>
      <c r="P48" s="406"/>
      <c r="Q48" s="406"/>
      <c r="R48" s="406"/>
      <c r="S48" s="407"/>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c r="DB48" s="406"/>
      <c r="DC48" s="406"/>
      <c r="DD48" s="406"/>
      <c r="DE48" s="406"/>
      <c r="DF48" s="406"/>
      <c r="DG48" s="406"/>
      <c r="DH48" s="406"/>
      <c r="DI48" s="406"/>
      <c r="DJ48" s="406"/>
      <c r="DK48" s="406"/>
      <c r="DL48" s="406"/>
      <c r="DM48" s="406"/>
      <c r="DN48" s="406"/>
      <c r="DO48" s="406"/>
      <c r="DP48" s="406"/>
      <c r="DQ48" s="406"/>
      <c r="DR48" s="406"/>
      <c r="DS48" s="406"/>
      <c r="DT48" s="406"/>
      <c r="DU48" s="406"/>
      <c r="DV48" s="406"/>
      <c r="DW48" s="406"/>
      <c r="DX48" s="406"/>
      <c r="DY48" s="406"/>
      <c r="DZ48" s="406"/>
      <c r="EA48" s="406"/>
      <c r="EB48" s="406"/>
      <c r="EC48" s="406"/>
      <c r="ED48" s="406"/>
      <c r="EE48" s="406"/>
      <c r="EF48" s="406"/>
      <c r="EG48" s="406"/>
      <c r="EH48" s="406"/>
      <c r="EI48" s="406"/>
      <c r="EJ48" s="406"/>
      <c r="EK48" s="406"/>
      <c r="EL48" s="406"/>
      <c r="EM48" s="406"/>
      <c r="EN48" s="406"/>
      <c r="EO48" s="406"/>
      <c r="EP48" s="406"/>
      <c r="EQ48" s="406"/>
      <c r="ER48" s="406"/>
      <c r="ES48" s="406"/>
      <c r="ET48" s="406"/>
      <c r="EU48" s="406"/>
      <c r="EV48" s="406"/>
      <c r="EW48" s="406"/>
      <c r="EX48" s="406"/>
      <c r="EY48" s="406"/>
      <c r="EZ48" s="406"/>
      <c r="FA48" s="406"/>
      <c r="FB48" s="406"/>
      <c r="FC48" s="406"/>
      <c r="FD48" s="406"/>
      <c r="FE48" s="406"/>
      <c r="FF48" s="406"/>
      <c r="FG48" s="406"/>
      <c r="FH48" s="406"/>
      <c r="FI48" s="406"/>
      <c r="FJ48" s="406"/>
      <c r="FK48" s="406"/>
      <c r="FL48" s="406"/>
      <c r="FM48" s="406"/>
      <c r="FN48" s="406"/>
      <c r="FO48" s="406"/>
      <c r="FP48" s="406"/>
      <c r="FQ48" s="406"/>
      <c r="FR48" s="406"/>
      <c r="FS48" s="406"/>
      <c r="FT48" s="406"/>
      <c r="FU48" s="406"/>
      <c r="FV48" s="406"/>
      <c r="FW48" s="406"/>
      <c r="FX48" s="406"/>
      <c r="FY48" s="406"/>
      <c r="FZ48" s="406"/>
      <c r="GA48" s="406"/>
      <c r="GB48" s="406"/>
      <c r="GC48" s="406"/>
      <c r="GD48" s="406"/>
      <c r="GE48" s="406"/>
      <c r="GF48" s="406"/>
      <c r="GG48" s="406"/>
      <c r="GH48" s="406"/>
      <c r="GI48" s="406"/>
      <c r="GJ48" s="406"/>
      <c r="GK48" s="406"/>
      <c r="GL48" s="406"/>
      <c r="GM48" s="406"/>
      <c r="GN48" s="406"/>
      <c r="GO48" s="406"/>
      <c r="GP48" s="406"/>
      <c r="GQ48" s="406"/>
      <c r="GR48" s="406"/>
      <c r="GS48" s="406"/>
      <c r="GT48" s="406"/>
      <c r="GU48" s="406"/>
      <c r="GV48" s="406"/>
      <c r="GW48" s="406"/>
      <c r="GX48" s="406"/>
      <c r="GY48" s="406"/>
      <c r="GZ48" s="406"/>
      <c r="HA48" s="406"/>
      <c r="HB48" s="406"/>
      <c r="HC48" s="406"/>
      <c r="HD48" s="406"/>
      <c r="HE48" s="406"/>
      <c r="HF48" s="406"/>
      <c r="HG48" s="406"/>
      <c r="HH48" s="406"/>
      <c r="HI48" s="406"/>
      <c r="HJ48" s="406"/>
      <c r="HK48" s="406"/>
      <c r="HL48" s="406"/>
      <c r="HM48" s="406"/>
      <c r="HN48" s="406"/>
      <c r="HO48" s="406"/>
      <c r="HP48" s="406"/>
      <c r="HQ48" s="406"/>
      <c r="HR48" s="406"/>
      <c r="HS48" s="406"/>
      <c r="HT48" s="406"/>
      <c r="HU48" s="406"/>
      <c r="HV48" s="406"/>
      <c r="HW48" s="406"/>
      <c r="HX48" s="406"/>
      <c r="HY48" s="406"/>
      <c r="HZ48" s="406"/>
      <c r="IA48" s="406"/>
      <c r="IB48" s="406"/>
      <c r="IC48" s="406"/>
      <c r="ID48" s="406"/>
      <c r="IE48" s="406"/>
      <c r="IF48" s="406"/>
      <c r="IG48" s="406"/>
      <c r="IH48" s="406"/>
      <c r="II48" s="406"/>
      <c r="IJ48" s="406"/>
      <c r="IK48" s="406"/>
      <c r="IL48" s="406"/>
      <c r="IM48" s="406"/>
      <c r="IN48" s="406"/>
      <c r="IO48" s="406"/>
      <c r="IP48" s="406"/>
      <c r="IQ48" s="406"/>
      <c r="IR48" s="406"/>
      <c r="IS48" s="406"/>
      <c r="IT48" s="406"/>
      <c r="IU48" s="406"/>
      <c r="IV48" s="406"/>
    </row>
    <row r="49" spans="1:256" ht="15.75">
      <c r="A49" s="425"/>
      <c r="B49" s="409" t="s">
        <v>267</v>
      </c>
      <c r="C49" s="410"/>
      <c r="D49" s="429">
        <f t="shared" si="9"/>
        <v>1.16</v>
      </c>
      <c r="E49" s="422">
        <v>1.83</v>
      </c>
      <c r="F49" s="413">
        <f t="shared" si="8"/>
        <v>-0.36612021857923505</v>
      </c>
      <c r="G49" s="418"/>
      <c r="H49" s="418"/>
      <c r="I49" s="413"/>
      <c r="J49" s="418"/>
      <c r="K49" s="418"/>
      <c r="L49" s="413"/>
      <c r="M49" s="406"/>
      <c r="N49" s="406"/>
      <c r="O49" s="406"/>
      <c r="P49" s="406"/>
      <c r="Q49" s="406"/>
      <c r="R49" s="406"/>
      <c r="S49" s="407"/>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c r="DJ49" s="406"/>
      <c r="DK49" s="406"/>
      <c r="DL49" s="406"/>
      <c r="DM49" s="406"/>
      <c r="DN49" s="406"/>
      <c r="DO49" s="406"/>
      <c r="DP49" s="406"/>
      <c r="DQ49" s="406"/>
      <c r="DR49" s="406"/>
      <c r="DS49" s="406"/>
      <c r="DT49" s="406"/>
      <c r="DU49" s="406"/>
      <c r="DV49" s="406"/>
      <c r="DW49" s="406"/>
      <c r="DX49" s="406"/>
      <c r="DY49" s="406"/>
      <c r="DZ49" s="406"/>
      <c r="EA49" s="406"/>
      <c r="EB49" s="406"/>
      <c r="EC49" s="406"/>
      <c r="ED49" s="406"/>
      <c r="EE49" s="406"/>
      <c r="EF49" s="406"/>
      <c r="EG49" s="406"/>
      <c r="EH49" s="406"/>
      <c r="EI49" s="406"/>
      <c r="EJ49" s="406"/>
      <c r="EK49" s="406"/>
      <c r="EL49" s="406"/>
      <c r="EM49" s="406"/>
      <c r="EN49" s="406"/>
      <c r="EO49" s="406"/>
      <c r="EP49" s="406"/>
      <c r="EQ49" s="406"/>
      <c r="ER49" s="406"/>
      <c r="ES49" s="406"/>
      <c r="ET49" s="406"/>
      <c r="EU49" s="406"/>
      <c r="EV49" s="406"/>
      <c r="EW49" s="406"/>
      <c r="EX49" s="406"/>
      <c r="EY49" s="406"/>
      <c r="EZ49" s="406"/>
      <c r="FA49" s="406"/>
      <c r="FB49" s="406"/>
      <c r="FC49" s="406"/>
      <c r="FD49" s="406"/>
      <c r="FE49" s="406"/>
      <c r="FF49" s="406"/>
      <c r="FG49" s="406"/>
      <c r="FH49" s="406"/>
      <c r="FI49" s="406"/>
      <c r="FJ49" s="406"/>
      <c r="FK49" s="406"/>
      <c r="FL49" s="406"/>
      <c r="FM49" s="406"/>
      <c r="FN49" s="406"/>
      <c r="FO49" s="406"/>
      <c r="FP49" s="406"/>
      <c r="FQ49" s="406"/>
      <c r="FR49" s="406"/>
      <c r="FS49" s="406"/>
      <c r="FT49" s="406"/>
      <c r="FU49" s="406"/>
      <c r="FV49" s="406"/>
      <c r="FW49" s="406"/>
      <c r="FX49" s="406"/>
      <c r="FY49" s="406"/>
      <c r="FZ49" s="406"/>
      <c r="GA49" s="406"/>
      <c r="GB49" s="406"/>
      <c r="GC49" s="406"/>
      <c r="GD49" s="406"/>
      <c r="GE49" s="406"/>
      <c r="GF49" s="406"/>
      <c r="GG49" s="406"/>
      <c r="GH49" s="406"/>
      <c r="GI49" s="406"/>
      <c r="GJ49" s="406"/>
      <c r="GK49" s="406"/>
      <c r="GL49" s="406"/>
      <c r="GM49" s="406"/>
      <c r="GN49" s="406"/>
      <c r="GO49" s="406"/>
      <c r="GP49" s="406"/>
      <c r="GQ49" s="406"/>
      <c r="GR49" s="406"/>
      <c r="GS49" s="406"/>
      <c r="GT49" s="406"/>
      <c r="GU49" s="406"/>
      <c r="GV49" s="406"/>
      <c r="GW49" s="406"/>
      <c r="GX49" s="406"/>
      <c r="GY49" s="406"/>
      <c r="GZ49" s="406"/>
      <c r="HA49" s="406"/>
      <c r="HB49" s="406"/>
      <c r="HC49" s="406"/>
      <c r="HD49" s="406"/>
      <c r="HE49" s="406"/>
      <c r="HF49" s="406"/>
      <c r="HG49" s="406"/>
      <c r="HH49" s="406"/>
      <c r="HI49" s="406"/>
      <c r="HJ49" s="406"/>
      <c r="HK49" s="406"/>
      <c r="HL49" s="406"/>
      <c r="HM49" s="406"/>
      <c r="HN49" s="406"/>
      <c r="HO49" s="406"/>
      <c r="HP49" s="406"/>
      <c r="HQ49" s="406"/>
      <c r="HR49" s="406"/>
      <c r="HS49" s="406"/>
      <c r="HT49" s="406"/>
      <c r="HU49" s="406"/>
      <c r="HV49" s="406"/>
      <c r="HW49" s="406"/>
      <c r="HX49" s="406"/>
      <c r="HY49" s="406"/>
      <c r="HZ49" s="406"/>
      <c r="IA49" s="406"/>
      <c r="IB49" s="406"/>
      <c r="IC49" s="406"/>
      <c r="ID49" s="406"/>
      <c r="IE49" s="406"/>
      <c r="IF49" s="406"/>
      <c r="IG49" s="406"/>
      <c r="IH49" s="406"/>
      <c r="II49" s="406"/>
      <c r="IJ49" s="406"/>
      <c r="IK49" s="406"/>
      <c r="IL49" s="406"/>
      <c r="IM49" s="406"/>
      <c r="IN49" s="406"/>
      <c r="IO49" s="406"/>
      <c r="IP49" s="406"/>
      <c r="IQ49" s="406"/>
      <c r="IR49" s="406"/>
      <c r="IS49" s="406"/>
      <c r="IT49" s="406"/>
      <c r="IU49" s="406"/>
      <c r="IV49" s="406"/>
    </row>
    <row r="50" spans="1:256" ht="15.75">
      <c r="A50" s="425"/>
      <c r="B50" s="409"/>
      <c r="C50" s="410"/>
      <c r="D50" s="418"/>
      <c r="E50" s="422"/>
      <c r="F50" s="413"/>
      <c r="G50" s="418"/>
      <c r="H50" s="418"/>
      <c r="I50" s="413"/>
      <c r="J50" s="418"/>
      <c r="K50" s="418"/>
      <c r="L50" s="413"/>
      <c r="M50" s="406"/>
      <c r="N50" s="406"/>
      <c r="O50" s="406"/>
      <c r="P50" s="406"/>
      <c r="Q50" s="406"/>
      <c r="R50" s="406"/>
      <c r="S50" s="407"/>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c r="DJ50" s="406"/>
      <c r="DK50" s="406"/>
      <c r="DL50" s="406"/>
      <c r="DM50" s="406"/>
      <c r="DN50" s="406"/>
      <c r="DO50" s="406"/>
      <c r="DP50" s="406"/>
      <c r="DQ50" s="406"/>
      <c r="DR50" s="406"/>
      <c r="DS50" s="406"/>
      <c r="DT50" s="406"/>
      <c r="DU50" s="406"/>
      <c r="DV50" s="406"/>
      <c r="DW50" s="406"/>
      <c r="DX50" s="406"/>
      <c r="DY50" s="406"/>
      <c r="DZ50" s="406"/>
      <c r="EA50" s="406"/>
      <c r="EB50" s="406"/>
      <c r="EC50" s="406"/>
      <c r="ED50" s="406"/>
      <c r="EE50" s="406"/>
      <c r="EF50" s="406"/>
      <c r="EG50" s="406"/>
      <c r="EH50" s="406"/>
      <c r="EI50" s="406"/>
      <c r="EJ50" s="406"/>
      <c r="EK50" s="406"/>
      <c r="EL50" s="406"/>
      <c r="EM50" s="406"/>
      <c r="EN50" s="406"/>
      <c r="EO50" s="406"/>
      <c r="EP50" s="406"/>
      <c r="EQ50" s="406"/>
      <c r="ER50" s="406"/>
      <c r="ES50" s="406"/>
      <c r="ET50" s="406"/>
      <c r="EU50" s="406"/>
      <c r="EV50" s="406"/>
      <c r="EW50" s="406"/>
      <c r="EX50" s="406"/>
      <c r="EY50" s="406"/>
      <c r="EZ50" s="406"/>
      <c r="FA50" s="406"/>
      <c r="FB50" s="406"/>
      <c r="FC50" s="406"/>
      <c r="FD50" s="406"/>
      <c r="FE50" s="406"/>
      <c r="FF50" s="406"/>
      <c r="FG50" s="406"/>
      <c r="FH50" s="406"/>
      <c r="FI50" s="406"/>
      <c r="FJ50" s="406"/>
      <c r="FK50" s="406"/>
      <c r="FL50" s="406"/>
      <c r="FM50" s="406"/>
      <c r="FN50" s="406"/>
      <c r="FO50" s="406"/>
      <c r="FP50" s="406"/>
      <c r="FQ50" s="406"/>
      <c r="FR50" s="406"/>
      <c r="FS50" s="406"/>
      <c r="FT50" s="406"/>
      <c r="FU50" s="406"/>
      <c r="FV50" s="406"/>
      <c r="FW50" s="406"/>
      <c r="FX50" s="406"/>
      <c r="FY50" s="406"/>
      <c r="FZ50" s="406"/>
      <c r="GA50" s="406"/>
      <c r="GB50" s="406"/>
      <c r="GC50" s="406"/>
      <c r="GD50" s="406"/>
      <c r="GE50" s="406"/>
      <c r="GF50" s="406"/>
      <c r="GG50" s="406"/>
      <c r="GH50" s="406"/>
      <c r="GI50" s="406"/>
      <c r="GJ50" s="406"/>
      <c r="GK50" s="406"/>
      <c r="GL50" s="406"/>
      <c r="GM50" s="406"/>
      <c r="GN50" s="406"/>
      <c r="GO50" s="406"/>
      <c r="GP50" s="406"/>
      <c r="GQ50" s="406"/>
      <c r="GR50" s="406"/>
      <c r="GS50" s="406"/>
      <c r="GT50" s="406"/>
      <c r="GU50" s="406"/>
      <c r="GV50" s="406"/>
      <c r="GW50" s="406"/>
      <c r="GX50" s="406"/>
      <c r="GY50" s="406"/>
      <c r="GZ50" s="406"/>
      <c r="HA50" s="406"/>
      <c r="HB50" s="406"/>
      <c r="HC50" s="406"/>
      <c r="HD50" s="406"/>
      <c r="HE50" s="406"/>
      <c r="HF50" s="406"/>
      <c r="HG50" s="406"/>
      <c r="HH50" s="406"/>
      <c r="HI50" s="406"/>
      <c r="HJ50" s="406"/>
      <c r="HK50" s="406"/>
      <c r="HL50" s="406"/>
      <c r="HM50" s="406"/>
      <c r="HN50" s="406"/>
      <c r="HO50" s="406"/>
      <c r="HP50" s="406"/>
      <c r="HQ50" s="406"/>
      <c r="HR50" s="406"/>
      <c r="HS50" s="406"/>
      <c r="HT50" s="406"/>
      <c r="HU50" s="406"/>
      <c r="HV50" s="406"/>
      <c r="HW50" s="406"/>
      <c r="HX50" s="406"/>
      <c r="HY50" s="406"/>
      <c r="HZ50" s="406"/>
      <c r="IA50" s="406"/>
      <c r="IB50" s="406"/>
      <c r="IC50" s="406"/>
      <c r="ID50" s="406"/>
      <c r="IE50" s="406"/>
      <c r="IF50" s="406"/>
      <c r="IG50" s="406"/>
      <c r="IH50" s="406"/>
      <c r="II50" s="406"/>
      <c r="IJ50" s="406"/>
      <c r="IK50" s="406"/>
      <c r="IL50" s="406"/>
      <c r="IM50" s="406"/>
      <c r="IN50" s="406"/>
      <c r="IO50" s="406"/>
      <c r="IP50" s="406"/>
      <c r="IQ50" s="406"/>
      <c r="IR50" s="406"/>
      <c r="IS50" s="406"/>
      <c r="IT50" s="406"/>
      <c r="IU50" s="406"/>
      <c r="IV50" s="406"/>
    </row>
    <row r="51" spans="1:256" ht="15.75">
      <c r="A51" s="425"/>
      <c r="B51" s="409"/>
      <c r="C51" s="410"/>
      <c r="D51" s="418"/>
      <c r="E51" s="422"/>
      <c r="F51" s="413"/>
      <c r="G51" s="418"/>
      <c r="H51" s="418"/>
      <c r="I51" s="413"/>
      <c r="J51" s="418"/>
      <c r="K51" s="418"/>
      <c r="L51" s="413"/>
      <c r="M51" s="406"/>
      <c r="N51" s="406"/>
      <c r="O51" s="406"/>
      <c r="P51" s="406"/>
      <c r="Q51" s="406"/>
      <c r="R51" s="406"/>
      <c r="S51" s="407"/>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c r="FA51" s="406"/>
      <c r="FB51" s="406"/>
      <c r="FC51" s="406"/>
      <c r="FD51" s="406"/>
      <c r="FE51" s="406"/>
      <c r="FF51" s="406"/>
      <c r="FG51" s="406"/>
      <c r="FH51" s="406"/>
      <c r="FI51" s="406"/>
      <c r="FJ51" s="406"/>
      <c r="FK51" s="406"/>
      <c r="FL51" s="406"/>
      <c r="FM51" s="406"/>
      <c r="FN51" s="406"/>
      <c r="FO51" s="406"/>
      <c r="FP51" s="406"/>
      <c r="FQ51" s="406"/>
      <c r="FR51" s="406"/>
      <c r="FS51" s="406"/>
      <c r="FT51" s="406"/>
      <c r="FU51" s="406"/>
      <c r="FV51" s="406"/>
      <c r="FW51" s="406"/>
      <c r="FX51" s="406"/>
      <c r="FY51" s="406"/>
      <c r="FZ51" s="406"/>
      <c r="GA51" s="406"/>
      <c r="GB51" s="406"/>
      <c r="GC51" s="406"/>
      <c r="GD51" s="406"/>
      <c r="GE51" s="406"/>
      <c r="GF51" s="406"/>
      <c r="GG51" s="406"/>
      <c r="GH51" s="406"/>
      <c r="GI51" s="406"/>
      <c r="GJ51" s="406"/>
      <c r="GK51" s="406"/>
      <c r="GL51" s="406"/>
      <c r="GM51" s="406"/>
      <c r="GN51" s="406"/>
      <c r="GO51" s="406"/>
      <c r="GP51" s="406"/>
      <c r="GQ51" s="406"/>
      <c r="GR51" s="406"/>
      <c r="GS51" s="406"/>
      <c r="GT51" s="406"/>
      <c r="GU51" s="406"/>
      <c r="GV51" s="406"/>
      <c r="GW51" s="406"/>
      <c r="GX51" s="406"/>
      <c r="GY51" s="406"/>
      <c r="GZ51" s="406"/>
      <c r="HA51" s="406"/>
      <c r="HB51" s="406"/>
      <c r="HC51" s="406"/>
      <c r="HD51" s="406"/>
      <c r="HE51" s="406"/>
      <c r="HF51" s="406"/>
      <c r="HG51" s="406"/>
      <c r="HH51" s="406"/>
      <c r="HI51" s="406"/>
      <c r="HJ51" s="406"/>
      <c r="HK51" s="406"/>
      <c r="HL51" s="406"/>
      <c r="HM51" s="406"/>
      <c r="HN51" s="406"/>
      <c r="HO51" s="406"/>
      <c r="HP51" s="406"/>
      <c r="HQ51" s="406"/>
      <c r="HR51" s="406"/>
      <c r="HS51" s="406"/>
      <c r="HT51" s="406"/>
      <c r="HU51" s="406"/>
      <c r="HV51" s="406"/>
      <c r="HW51" s="406"/>
      <c r="HX51" s="406"/>
      <c r="HY51" s="406"/>
      <c r="HZ51" s="406"/>
      <c r="IA51" s="406"/>
      <c r="IB51" s="406"/>
      <c r="IC51" s="406"/>
      <c r="ID51" s="406"/>
      <c r="IE51" s="406"/>
      <c r="IF51" s="406"/>
      <c r="IG51" s="406"/>
      <c r="IH51" s="406"/>
      <c r="II51" s="406"/>
      <c r="IJ51" s="406"/>
      <c r="IK51" s="406"/>
      <c r="IL51" s="406"/>
      <c r="IM51" s="406"/>
      <c r="IN51" s="406"/>
      <c r="IO51" s="406"/>
      <c r="IP51" s="406"/>
      <c r="IQ51" s="406"/>
      <c r="IR51" s="406"/>
      <c r="IS51" s="406"/>
      <c r="IT51" s="406"/>
      <c r="IU51" s="406"/>
      <c r="IV51" s="406"/>
    </row>
    <row r="52" spans="1:256" ht="15.75">
      <c r="A52" s="420" t="s">
        <v>273</v>
      </c>
      <c r="B52" s="409"/>
      <c r="C52" s="410"/>
      <c r="D52" s="418"/>
      <c r="E52" s="422"/>
      <c r="F52" s="413"/>
      <c r="G52" s="418"/>
      <c r="H52" s="418"/>
      <c r="I52" s="413"/>
      <c r="J52" s="418"/>
      <c r="K52" s="418"/>
      <c r="L52" s="413"/>
      <c r="M52" s="406"/>
      <c r="N52" s="406"/>
      <c r="O52" s="406"/>
      <c r="P52" s="406"/>
      <c r="Q52" s="406"/>
      <c r="R52" s="406"/>
      <c r="S52" s="407"/>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c r="FA52" s="406"/>
      <c r="FB52" s="406"/>
      <c r="FC52" s="406"/>
      <c r="FD52" s="406"/>
      <c r="FE52" s="406"/>
      <c r="FF52" s="406"/>
      <c r="FG52" s="406"/>
      <c r="FH52" s="406"/>
      <c r="FI52" s="406"/>
      <c r="FJ52" s="406"/>
      <c r="FK52" s="406"/>
      <c r="FL52" s="406"/>
      <c r="FM52" s="406"/>
      <c r="FN52" s="406"/>
      <c r="FO52" s="406"/>
      <c r="FP52" s="406"/>
      <c r="FQ52" s="406"/>
      <c r="FR52" s="406"/>
      <c r="FS52" s="406"/>
      <c r="FT52" s="406"/>
      <c r="FU52" s="406"/>
      <c r="FV52" s="406"/>
      <c r="FW52" s="406"/>
      <c r="FX52" s="406"/>
      <c r="FY52" s="406"/>
      <c r="FZ52" s="406"/>
      <c r="GA52" s="406"/>
      <c r="GB52" s="406"/>
      <c r="GC52" s="406"/>
      <c r="GD52" s="406"/>
      <c r="GE52" s="406"/>
      <c r="GF52" s="406"/>
      <c r="GG52" s="406"/>
      <c r="GH52" s="406"/>
      <c r="GI52" s="406"/>
      <c r="GJ52" s="406"/>
      <c r="GK52" s="406"/>
      <c r="GL52" s="406"/>
      <c r="GM52" s="406"/>
      <c r="GN52" s="406"/>
      <c r="GO52" s="406"/>
      <c r="GP52" s="406"/>
      <c r="GQ52" s="406"/>
      <c r="GR52" s="406"/>
      <c r="GS52" s="406"/>
      <c r="GT52" s="406"/>
      <c r="GU52" s="406"/>
      <c r="GV52" s="406"/>
      <c r="GW52" s="406"/>
      <c r="GX52" s="406"/>
      <c r="GY52" s="406"/>
      <c r="GZ52" s="406"/>
      <c r="HA52" s="406"/>
      <c r="HB52" s="406"/>
      <c r="HC52" s="406"/>
      <c r="HD52" s="406"/>
      <c r="HE52" s="406"/>
      <c r="HF52" s="406"/>
      <c r="HG52" s="406"/>
      <c r="HH52" s="406"/>
      <c r="HI52" s="406"/>
      <c r="HJ52" s="406"/>
      <c r="HK52" s="406"/>
      <c r="HL52" s="406"/>
      <c r="HM52" s="406"/>
      <c r="HN52" s="406"/>
      <c r="HO52" s="406"/>
      <c r="HP52" s="406"/>
      <c r="HQ52" s="406"/>
      <c r="HR52" s="406"/>
      <c r="HS52" s="406"/>
      <c r="HT52" s="406"/>
      <c r="HU52" s="406"/>
      <c r="HV52" s="406"/>
      <c r="HW52" s="406"/>
      <c r="HX52" s="406"/>
      <c r="HY52" s="406"/>
      <c r="HZ52" s="406"/>
      <c r="IA52" s="406"/>
      <c r="IB52" s="406"/>
      <c r="IC52" s="406"/>
      <c r="ID52" s="406"/>
      <c r="IE52" s="406"/>
      <c r="IF52" s="406"/>
      <c r="IG52" s="406"/>
      <c r="IH52" s="406"/>
      <c r="II52" s="406"/>
      <c r="IJ52" s="406"/>
      <c r="IK52" s="406"/>
      <c r="IL52" s="406"/>
      <c r="IM52" s="406"/>
      <c r="IN52" s="406"/>
      <c r="IO52" s="406"/>
      <c r="IP52" s="406"/>
      <c r="IQ52" s="406"/>
      <c r="IR52" s="406"/>
      <c r="IS52" s="406"/>
      <c r="IT52" s="406"/>
      <c r="IU52" s="406"/>
      <c r="IV52" s="406"/>
    </row>
    <row r="53" spans="1:256" ht="15.75">
      <c r="A53" s="425"/>
      <c r="B53" s="409" t="s">
        <v>259</v>
      </c>
      <c r="C53" s="410"/>
      <c r="D53" s="429">
        <f>ROUND(+E53+E53*F$7,3)</f>
        <v>0.246</v>
      </c>
      <c r="E53" s="422">
        <v>0.31</v>
      </c>
      <c r="F53" s="413">
        <f aca="true" t="shared" si="10" ref="F53:F61">-1+D53/E53</f>
        <v>-0.20645161290322578</v>
      </c>
      <c r="G53" s="418"/>
      <c r="H53" s="418"/>
      <c r="I53" s="413"/>
      <c r="J53" s="418"/>
      <c r="K53" s="418"/>
      <c r="L53" s="413"/>
      <c r="M53" s="406"/>
      <c r="N53" s="406"/>
      <c r="O53" s="406"/>
      <c r="P53" s="406"/>
      <c r="Q53" s="406"/>
      <c r="R53" s="406"/>
      <c r="S53" s="407"/>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6"/>
      <c r="FU53" s="406"/>
      <c r="FV53" s="406"/>
      <c r="FW53" s="406"/>
      <c r="FX53" s="406"/>
      <c r="FY53" s="406"/>
      <c r="FZ53" s="406"/>
      <c r="GA53" s="406"/>
      <c r="GB53" s="406"/>
      <c r="GC53" s="406"/>
      <c r="GD53" s="406"/>
      <c r="GE53" s="406"/>
      <c r="GF53" s="406"/>
      <c r="GG53" s="406"/>
      <c r="GH53" s="406"/>
      <c r="GI53" s="406"/>
      <c r="GJ53" s="406"/>
      <c r="GK53" s="406"/>
      <c r="GL53" s="406"/>
      <c r="GM53" s="406"/>
      <c r="GN53" s="406"/>
      <c r="GO53" s="406"/>
      <c r="GP53" s="406"/>
      <c r="GQ53" s="406"/>
      <c r="GR53" s="406"/>
      <c r="GS53" s="406"/>
      <c r="GT53" s="406"/>
      <c r="GU53" s="406"/>
      <c r="GV53" s="406"/>
      <c r="GW53" s="406"/>
      <c r="GX53" s="406"/>
      <c r="GY53" s="406"/>
      <c r="GZ53" s="406"/>
      <c r="HA53" s="406"/>
      <c r="HB53" s="406"/>
      <c r="HC53" s="406"/>
      <c r="HD53" s="406"/>
      <c r="HE53" s="406"/>
      <c r="HF53" s="406"/>
      <c r="HG53" s="406"/>
      <c r="HH53" s="406"/>
      <c r="HI53" s="406"/>
      <c r="HJ53" s="406"/>
      <c r="HK53" s="406"/>
      <c r="HL53" s="406"/>
      <c r="HM53" s="406"/>
      <c r="HN53" s="406"/>
      <c r="HO53" s="406"/>
      <c r="HP53" s="406"/>
      <c r="HQ53" s="406"/>
      <c r="HR53" s="406"/>
      <c r="HS53" s="406"/>
      <c r="HT53" s="406"/>
      <c r="HU53" s="406"/>
      <c r="HV53" s="406"/>
      <c r="HW53" s="406"/>
      <c r="HX53" s="406"/>
      <c r="HY53" s="406"/>
      <c r="HZ53" s="406"/>
      <c r="IA53" s="406"/>
      <c r="IB53" s="406"/>
      <c r="IC53" s="406"/>
      <c r="ID53" s="406"/>
      <c r="IE53" s="406"/>
      <c r="IF53" s="406"/>
      <c r="IG53" s="406"/>
      <c r="IH53" s="406"/>
      <c r="II53" s="406"/>
      <c r="IJ53" s="406"/>
      <c r="IK53" s="406"/>
      <c r="IL53" s="406"/>
      <c r="IM53" s="406"/>
      <c r="IN53" s="406"/>
      <c r="IO53" s="406"/>
      <c r="IP53" s="406"/>
      <c r="IQ53" s="406"/>
      <c r="IR53" s="406"/>
      <c r="IS53" s="406"/>
      <c r="IT53" s="406"/>
      <c r="IU53" s="406"/>
      <c r="IV53" s="406"/>
    </row>
    <row r="54" spans="1:256" ht="15.75">
      <c r="A54" s="425"/>
      <c r="B54" s="409" t="s">
        <v>260</v>
      </c>
      <c r="C54" s="410"/>
      <c r="D54" s="429">
        <f aca="true" t="shared" si="11" ref="D54:D61">ROUND(+E54+E54*F$7,3)</f>
        <v>0.373</v>
      </c>
      <c r="E54" s="422">
        <v>0.47</v>
      </c>
      <c r="F54" s="413">
        <f t="shared" si="10"/>
        <v>-0.20638297872340416</v>
      </c>
      <c r="G54" s="418"/>
      <c r="H54" s="418"/>
      <c r="I54" s="413"/>
      <c r="J54" s="418"/>
      <c r="K54" s="418"/>
      <c r="L54" s="413"/>
      <c r="M54" s="406"/>
      <c r="N54" s="406"/>
      <c r="O54" s="406"/>
      <c r="P54" s="406"/>
      <c r="Q54" s="406"/>
      <c r="R54" s="406"/>
      <c r="S54" s="407"/>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6"/>
      <c r="CB54" s="406"/>
      <c r="CC54" s="406"/>
      <c r="CD54" s="406"/>
      <c r="CE54" s="406"/>
      <c r="CF54" s="406"/>
      <c r="CG54" s="406"/>
      <c r="CH54" s="406"/>
      <c r="CI54" s="406"/>
      <c r="CJ54" s="406"/>
      <c r="CK54" s="406"/>
      <c r="CL54" s="406"/>
      <c r="CM54" s="406"/>
      <c r="CN54" s="406"/>
      <c r="CO54" s="406"/>
      <c r="CP54" s="406"/>
      <c r="CQ54" s="406"/>
      <c r="CR54" s="406"/>
      <c r="CS54" s="406"/>
      <c r="CT54" s="406"/>
      <c r="CU54" s="406"/>
      <c r="CV54" s="406"/>
      <c r="CW54" s="406"/>
      <c r="CX54" s="406"/>
      <c r="CY54" s="406"/>
      <c r="CZ54" s="406"/>
      <c r="DA54" s="406"/>
      <c r="DB54" s="406"/>
      <c r="DC54" s="406"/>
      <c r="DD54" s="406"/>
      <c r="DE54" s="406"/>
      <c r="DF54" s="406"/>
      <c r="DG54" s="406"/>
      <c r="DH54" s="406"/>
      <c r="DI54" s="406"/>
      <c r="DJ54" s="406"/>
      <c r="DK54" s="406"/>
      <c r="DL54" s="406"/>
      <c r="DM54" s="406"/>
      <c r="DN54" s="406"/>
      <c r="DO54" s="406"/>
      <c r="DP54" s="406"/>
      <c r="DQ54" s="406"/>
      <c r="DR54" s="406"/>
      <c r="DS54" s="406"/>
      <c r="DT54" s="406"/>
      <c r="DU54" s="406"/>
      <c r="DV54" s="406"/>
      <c r="DW54" s="406"/>
      <c r="DX54" s="406"/>
      <c r="DY54" s="406"/>
      <c r="DZ54" s="406"/>
      <c r="EA54" s="406"/>
      <c r="EB54" s="406"/>
      <c r="EC54" s="406"/>
      <c r="ED54" s="406"/>
      <c r="EE54" s="406"/>
      <c r="EF54" s="406"/>
      <c r="EG54" s="406"/>
      <c r="EH54" s="406"/>
      <c r="EI54" s="406"/>
      <c r="EJ54" s="406"/>
      <c r="EK54" s="406"/>
      <c r="EL54" s="406"/>
      <c r="EM54" s="406"/>
      <c r="EN54" s="406"/>
      <c r="EO54" s="406"/>
      <c r="EP54" s="406"/>
      <c r="EQ54" s="406"/>
      <c r="ER54" s="406"/>
      <c r="ES54" s="406"/>
      <c r="ET54" s="406"/>
      <c r="EU54" s="406"/>
      <c r="EV54" s="406"/>
      <c r="EW54" s="406"/>
      <c r="EX54" s="406"/>
      <c r="EY54" s="406"/>
      <c r="EZ54" s="406"/>
      <c r="FA54" s="406"/>
      <c r="FB54" s="406"/>
      <c r="FC54" s="406"/>
      <c r="FD54" s="406"/>
      <c r="FE54" s="406"/>
      <c r="FF54" s="406"/>
      <c r="FG54" s="406"/>
      <c r="FH54" s="406"/>
      <c r="FI54" s="406"/>
      <c r="FJ54" s="406"/>
      <c r="FK54" s="406"/>
      <c r="FL54" s="406"/>
      <c r="FM54" s="406"/>
      <c r="FN54" s="406"/>
      <c r="FO54" s="406"/>
      <c r="FP54" s="406"/>
      <c r="FQ54" s="406"/>
      <c r="FR54" s="406"/>
      <c r="FS54" s="406"/>
      <c r="FT54" s="406"/>
      <c r="FU54" s="406"/>
      <c r="FV54" s="406"/>
      <c r="FW54" s="406"/>
      <c r="FX54" s="406"/>
      <c r="FY54" s="406"/>
      <c r="FZ54" s="406"/>
      <c r="GA54" s="406"/>
      <c r="GB54" s="406"/>
      <c r="GC54" s="406"/>
      <c r="GD54" s="406"/>
      <c r="GE54" s="406"/>
      <c r="GF54" s="406"/>
      <c r="GG54" s="406"/>
      <c r="GH54" s="406"/>
      <c r="GI54" s="406"/>
      <c r="GJ54" s="406"/>
      <c r="GK54" s="406"/>
      <c r="GL54" s="406"/>
      <c r="GM54" s="406"/>
      <c r="GN54" s="406"/>
      <c r="GO54" s="406"/>
      <c r="GP54" s="406"/>
      <c r="GQ54" s="406"/>
      <c r="GR54" s="406"/>
      <c r="GS54" s="406"/>
      <c r="GT54" s="406"/>
      <c r="GU54" s="406"/>
      <c r="GV54" s="406"/>
      <c r="GW54" s="406"/>
      <c r="GX54" s="406"/>
      <c r="GY54" s="406"/>
      <c r="GZ54" s="406"/>
      <c r="HA54" s="406"/>
      <c r="HB54" s="406"/>
      <c r="HC54" s="406"/>
      <c r="HD54" s="406"/>
      <c r="HE54" s="406"/>
      <c r="HF54" s="406"/>
      <c r="HG54" s="406"/>
      <c r="HH54" s="406"/>
      <c r="HI54" s="406"/>
      <c r="HJ54" s="406"/>
      <c r="HK54" s="406"/>
      <c r="HL54" s="406"/>
      <c r="HM54" s="406"/>
      <c r="HN54" s="406"/>
      <c r="HO54" s="406"/>
      <c r="HP54" s="406"/>
      <c r="HQ54" s="406"/>
      <c r="HR54" s="406"/>
      <c r="HS54" s="406"/>
      <c r="HT54" s="406"/>
      <c r="HU54" s="406"/>
      <c r="HV54" s="406"/>
      <c r="HW54" s="406"/>
      <c r="HX54" s="406"/>
      <c r="HY54" s="406"/>
      <c r="HZ54" s="406"/>
      <c r="IA54" s="406"/>
      <c r="IB54" s="406"/>
      <c r="IC54" s="406"/>
      <c r="ID54" s="406"/>
      <c r="IE54" s="406"/>
      <c r="IF54" s="406"/>
      <c r="IG54" s="406"/>
      <c r="IH54" s="406"/>
      <c r="II54" s="406"/>
      <c r="IJ54" s="406"/>
      <c r="IK54" s="406"/>
      <c r="IL54" s="406"/>
      <c r="IM54" s="406"/>
      <c r="IN54" s="406"/>
      <c r="IO54" s="406"/>
      <c r="IP54" s="406"/>
      <c r="IQ54" s="406"/>
      <c r="IR54" s="406"/>
      <c r="IS54" s="406"/>
      <c r="IT54" s="406"/>
      <c r="IU54" s="406"/>
      <c r="IV54" s="406"/>
    </row>
    <row r="55" spans="1:256" ht="15.75">
      <c r="A55" s="425"/>
      <c r="B55" s="409" t="s">
        <v>261</v>
      </c>
      <c r="C55" s="410"/>
      <c r="D55" s="429">
        <f t="shared" si="11"/>
        <v>0.809</v>
      </c>
      <c r="E55" s="422">
        <v>1.02</v>
      </c>
      <c r="F55" s="413">
        <f t="shared" si="10"/>
        <v>-0.20686274509803915</v>
      </c>
      <c r="G55" s="418"/>
      <c r="H55" s="418"/>
      <c r="I55" s="413"/>
      <c r="J55" s="418"/>
      <c r="K55" s="418"/>
      <c r="L55" s="413"/>
      <c r="M55" s="406"/>
      <c r="N55" s="406"/>
      <c r="O55" s="406"/>
      <c r="P55" s="406"/>
      <c r="Q55" s="406"/>
      <c r="R55" s="406"/>
      <c r="S55" s="407"/>
      <c r="T55" s="406"/>
      <c r="U55" s="406"/>
      <c r="V55" s="406"/>
      <c r="W55" s="406"/>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406"/>
      <c r="BB55" s="406"/>
      <c r="BC55" s="406"/>
      <c r="BD55" s="406"/>
      <c r="BE55" s="406"/>
      <c r="BF55" s="406"/>
      <c r="BG55" s="406"/>
      <c r="BH55" s="406"/>
      <c r="BI55" s="406"/>
      <c r="BJ55" s="406"/>
      <c r="BK55" s="406"/>
      <c r="BL55" s="406"/>
      <c r="BM55" s="406"/>
      <c r="BN55" s="406"/>
      <c r="BO55" s="406"/>
      <c r="BP55" s="406"/>
      <c r="BQ55" s="406"/>
      <c r="BR55" s="406"/>
      <c r="BS55" s="406"/>
      <c r="BT55" s="406"/>
      <c r="BU55" s="406"/>
      <c r="BV55" s="406"/>
      <c r="BW55" s="406"/>
      <c r="BX55" s="406"/>
      <c r="BY55" s="406"/>
      <c r="BZ55" s="406"/>
      <c r="CA55" s="406"/>
      <c r="CB55" s="406"/>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c r="DI55" s="406"/>
      <c r="DJ55" s="406"/>
      <c r="DK55" s="406"/>
      <c r="DL55" s="406"/>
      <c r="DM55" s="406"/>
      <c r="DN55" s="406"/>
      <c r="DO55" s="406"/>
      <c r="DP55" s="406"/>
      <c r="DQ55" s="406"/>
      <c r="DR55" s="406"/>
      <c r="DS55" s="406"/>
      <c r="DT55" s="406"/>
      <c r="DU55" s="406"/>
      <c r="DV55" s="406"/>
      <c r="DW55" s="406"/>
      <c r="DX55" s="406"/>
      <c r="DY55" s="406"/>
      <c r="DZ55" s="406"/>
      <c r="EA55" s="406"/>
      <c r="EB55" s="406"/>
      <c r="EC55" s="406"/>
      <c r="ED55" s="406"/>
      <c r="EE55" s="406"/>
      <c r="EF55" s="406"/>
      <c r="EG55" s="406"/>
      <c r="EH55" s="406"/>
      <c r="EI55" s="406"/>
      <c r="EJ55" s="406"/>
      <c r="EK55" s="406"/>
      <c r="EL55" s="406"/>
      <c r="EM55" s="406"/>
      <c r="EN55" s="406"/>
      <c r="EO55" s="406"/>
      <c r="EP55" s="406"/>
      <c r="EQ55" s="406"/>
      <c r="ER55" s="406"/>
      <c r="ES55" s="406"/>
      <c r="ET55" s="406"/>
      <c r="EU55" s="406"/>
      <c r="EV55" s="406"/>
      <c r="EW55" s="406"/>
      <c r="EX55" s="406"/>
      <c r="EY55" s="406"/>
      <c r="EZ55" s="406"/>
      <c r="FA55" s="406"/>
      <c r="FB55" s="406"/>
      <c r="FC55" s="406"/>
      <c r="FD55" s="406"/>
      <c r="FE55" s="406"/>
      <c r="FF55" s="406"/>
      <c r="FG55" s="406"/>
      <c r="FH55" s="406"/>
      <c r="FI55" s="406"/>
      <c r="FJ55" s="406"/>
      <c r="FK55" s="406"/>
      <c r="FL55" s="406"/>
      <c r="FM55" s="406"/>
      <c r="FN55" s="406"/>
      <c r="FO55" s="406"/>
      <c r="FP55" s="406"/>
      <c r="FQ55" s="406"/>
      <c r="FR55" s="406"/>
      <c r="FS55" s="406"/>
      <c r="FT55" s="406"/>
      <c r="FU55" s="406"/>
      <c r="FV55" s="406"/>
      <c r="FW55" s="406"/>
      <c r="FX55" s="406"/>
      <c r="FY55" s="406"/>
      <c r="FZ55" s="406"/>
      <c r="GA55" s="406"/>
      <c r="GB55" s="406"/>
      <c r="GC55" s="406"/>
      <c r="GD55" s="406"/>
      <c r="GE55" s="406"/>
      <c r="GF55" s="406"/>
      <c r="GG55" s="406"/>
      <c r="GH55" s="406"/>
      <c r="GI55" s="406"/>
      <c r="GJ55" s="406"/>
      <c r="GK55" s="406"/>
      <c r="GL55" s="406"/>
      <c r="GM55" s="406"/>
      <c r="GN55" s="406"/>
      <c r="GO55" s="406"/>
      <c r="GP55" s="406"/>
      <c r="GQ55" s="406"/>
      <c r="GR55" s="406"/>
      <c r="GS55" s="406"/>
      <c r="GT55" s="406"/>
      <c r="GU55" s="406"/>
      <c r="GV55" s="406"/>
      <c r="GW55" s="406"/>
      <c r="GX55" s="406"/>
      <c r="GY55" s="406"/>
      <c r="GZ55" s="406"/>
      <c r="HA55" s="406"/>
      <c r="HB55" s="406"/>
      <c r="HC55" s="406"/>
      <c r="HD55" s="406"/>
      <c r="HE55" s="406"/>
      <c r="HF55" s="406"/>
      <c r="HG55" s="406"/>
      <c r="HH55" s="406"/>
      <c r="HI55" s="406"/>
      <c r="HJ55" s="406"/>
      <c r="HK55" s="406"/>
      <c r="HL55" s="406"/>
      <c r="HM55" s="406"/>
      <c r="HN55" s="406"/>
      <c r="HO55" s="406"/>
      <c r="HP55" s="406"/>
      <c r="HQ55" s="406"/>
      <c r="HR55" s="406"/>
      <c r="HS55" s="406"/>
      <c r="HT55" s="406"/>
      <c r="HU55" s="406"/>
      <c r="HV55" s="406"/>
      <c r="HW55" s="406"/>
      <c r="HX55" s="406"/>
      <c r="HY55" s="406"/>
      <c r="HZ55" s="406"/>
      <c r="IA55" s="406"/>
      <c r="IB55" s="406"/>
      <c r="IC55" s="406"/>
      <c r="ID55" s="406"/>
      <c r="IE55" s="406"/>
      <c r="IF55" s="406"/>
      <c r="IG55" s="406"/>
      <c r="IH55" s="406"/>
      <c r="II55" s="406"/>
      <c r="IJ55" s="406"/>
      <c r="IK55" s="406"/>
      <c r="IL55" s="406"/>
      <c r="IM55" s="406"/>
      <c r="IN55" s="406"/>
      <c r="IO55" s="406"/>
      <c r="IP55" s="406"/>
      <c r="IQ55" s="406"/>
      <c r="IR55" s="406"/>
      <c r="IS55" s="406"/>
      <c r="IT55" s="406"/>
      <c r="IU55" s="406"/>
      <c r="IV55" s="406"/>
    </row>
    <row r="56" spans="1:256" ht="15.75">
      <c r="A56" s="425"/>
      <c r="B56" s="409" t="s">
        <v>262</v>
      </c>
      <c r="C56" s="410"/>
      <c r="D56" s="429">
        <f t="shared" si="11"/>
        <v>1.023</v>
      </c>
      <c r="E56" s="422">
        <v>1.29</v>
      </c>
      <c r="F56" s="413">
        <f t="shared" si="10"/>
        <v>-0.2069767441860466</v>
      </c>
      <c r="G56" s="418"/>
      <c r="H56" s="418"/>
      <c r="I56" s="413"/>
      <c r="J56" s="418"/>
      <c r="K56" s="418"/>
      <c r="L56" s="413"/>
      <c r="M56" s="406"/>
      <c r="N56" s="406"/>
      <c r="O56" s="406"/>
      <c r="P56" s="406"/>
      <c r="Q56" s="406"/>
      <c r="R56" s="406"/>
      <c r="S56" s="407"/>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406"/>
      <c r="BW56" s="406"/>
      <c r="BX56" s="406"/>
      <c r="BY56" s="406"/>
      <c r="BZ56" s="406"/>
      <c r="CA56" s="406"/>
      <c r="CB56" s="406"/>
      <c r="CC56" s="406"/>
      <c r="CD56" s="406"/>
      <c r="CE56" s="406"/>
      <c r="CF56" s="406"/>
      <c r="CG56" s="406"/>
      <c r="CH56" s="406"/>
      <c r="CI56" s="406"/>
      <c r="CJ56" s="406"/>
      <c r="CK56" s="406"/>
      <c r="CL56" s="406"/>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6"/>
      <c r="EA56" s="406"/>
      <c r="EB56" s="406"/>
      <c r="EC56" s="406"/>
      <c r="ED56" s="406"/>
      <c r="EE56" s="406"/>
      <c r="EF56" s="406"/>
      <c r="EG56" s="406"/>
      <c r="EH56" s="406"/>
      <c r="EI56" s="406"/>
      <c r="EJ56" s="406"/>
      <c r="EK56" s="406"/>
      <c r="EL56" s="406"/>
      <c r="EM56" s="406"/>
      <c r="EN56" s="406"/>
      <c r="EO56" s="406"/>
      <c r="EP56" s="406"/>
      <c r="EQ56" s="406"/>
      <c r="ER56" s="406"/>
      <c r="ES56" s="406"/>
      <c r="ET56" s="406"/>
      <c r="EU56" s="406"/>
      <c r="EV56" s="406"/>
      <c r="EW56" s="406"/>
      <c r="EX56" s="406"/>
      <c r="EY56" s="406"/>
      <c r="EZ56" s="406"/>
      <c r="FA56" s="406"/>
      <c r="FB56" s="406"/>
      <c r="FC56" s="406"/>
      <c r="FD56" s="406"/>
      <c r="FE56" s="406"/>
      <c r="FF56" s="406"/>
      <c r="FG56" s="406"/>
      <c r="FH56" s="406"/>
      <c r="FI56" s="406"/>
      <c r="FJ56" s="406"/>
      <c r="FK56" s="406"/>
      <c r="FL56" s="406"/>
      <c r="FM56" s="406"/>
      <c r="FN56" s="406"/>
      <c r="FO56" s="406"/>
      <c r="FP56" s="406"/>
      <c r="FQ56" s="406"/>
      <c r="FR56" s="406"/>
      <c r="FS56" s="406"/>
      <c r="FT56" s="406"/>
      <c r="FU56" s="406"/>
      <c r="FV56" s="406"/>
      <c r="FW56" s="406"/>
      <c r="FX56" s="406"/>
      <c r="FY56" s="406"/>
      <c r="FZ56" s="406"/>
      <c r="GA56" s="406"/>
      <c r="GB56" s="406"/>
      <c r="GC56" s="406"/>
      <c r="GD56" s="406"/>
      <c r="GE56" s="406"/>
      <c r="GF56" s="406"/>
      <c r="GG56" s="406"/>
      <c r="GH56" s="406"/>
      <c r="GI56" s="406"/>
      <c r="GJ56" s="406"/>
      <c r="GK56" s="406"/>
      <c r="GL56" s="406"/>
      <c r="GM56" s="406"/>
      <c r="GN56" s="406"/>
      <c r="GO56" s="406"/>
      <c r="GP56" s="406"/>
      <c r="GQ56" s="406"/>
      <c r="GR56" s="406"/>
      <c r="GS56" s="406"/>
      <c r="GT56" s="406"/>
      <c r="GU56" s="406"/>
      <c r="GV56" s="406"/>
      <c r="GW56" s="406"/>
      <c r="GX56" s="406"/>
      <c r="GY56" s="406"/>
      <c r="GZ56" s="406"/>
      <c r="HA56" s="406"/>
      <c r="HB56" s="406"/>
      <c r="HC56" s="406"/>
      <c r="HD56" s="406"/>
      <c r="HE56" s="406"/>
      <c r="HF56" s="406"/>
      <c r="HG56" s="406"/>
      <c r="HH56" s="406"/>
      <c r="HI56" s="406"/>
      <c r="HJ56" s="406"/>
      <c r="HK56" s="406"/>
      <c r="HL56" s="406"/>
      <c r="HM56" s="406"/>
      <c r="HN56" s="406"/>
      <c r="HO56" s="406"/>
      <c r="HP56" s="406"/>
      <c r="HQ56" s="406"/>
      <c r="HR56" s="406"/>
      <c r="HS56" s="406"/>
      <c r="HT56" s="406"/>
      <c r="HU56" s="406"/>
      <c r="HV56" s="406"/>
      <c r="HW56" s="406"/>
      <c r="HX56" s="406"/>
      <c r="HY56" s="406"/>
      <c r="HZ56" s="406"/>
      <c r="IA56" s="406"/>
      <c r="IB56" s="406"/>
      <c r="IC56" s="406"/>
      <c r="ID56" s="406"/>
      <c r="IE56" s="406"/>
      <c r="IF56" s="406"/>
      <c r="IG56" s="406"/>
      <c r="IH56" s="406"/>
      <c r="II56" s="406"/>
      <c r="IJ56" s="406"/>
      <c r="IK56" s="406"/>
      <c r="IL56" s="406"/>
      <c r="IM56" s="406"/>
      <c r="IN56" s="406"/>
      <c r="IO56" s="406"/>
      <c r="IP56" s="406"/>
      <c r="IQ56" s="406"/>
      <c r="IR56" s="406"/>
      <c r="IS56" s="406"/>
      <c r="IT56" s="406"/>
      <c r="IU56" s="406"/>
      <c r="IV56" s="406"/>
    </row>
    <row r="57" spans="1:256" ht="15.75">
      <c r="A57" s="425"/>
      <c r="B57" s="409" t="s">
        <v>263</v>
      </c>
      <c r="C57" s="410"/>
      <c r="D57" s="429">
        <f t="shared" si="11"/>
        <v>1.237</v>
      </c>
      <c r="E57" s="422">
        <v>1.56</v>
      </c>
      <c r="F57" s="413">
        <f t="shared" si="10"/>
        <v>-0.20705128205128198</v>
      </c>
      <c r="G57" s="418"/>
      <c r="H57" s="418"/>
      <c r="I57" s="413"/>
      <c r="J57" s="418"/>
      <c r="K57" s="418"/>
      <c r="L57" s="413"/>
      <c r="M57" s="406"/>
      <c r="N57" s="406"/>
      <c r="O57" s="406"/>
      <c r="P57" s="406"/>
      <c r="Q57" s="406"/>
      <c r="R57" s="406"/>
      <c r="S57" s="407"/>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c r="BW57" s="406"/>
      <c r="BX57" s="406"/>
      <c r="BY57" s="406"/>
      <c r="BZ57" s="406"/>
      <c r="CA57" s="406"/>
      <c r="CB57" s="406"/>
      <c r="CC57" s="406"/>
      <c r="CD57" s="406"/>
      <c r="CE57" s="406"/>
      <c r="CF57" s="406"/>
      <c r="CG57" s="406"/>
      <c r="CH57" s="406"/>
      <c r="CI57" s="406"/>
      <c r="CJ57" s="406"/>
      <c r="CK57" s="406"/>
      <c r="CL57" s="406"/>
      <c r="CM57" s="406"/>
      <c r="CN57" s="406"/>
      <c r="CO57" s="406"/>
      <c r="CP57" s="406"/>
      <c r="CQ57" s="406"/>
      <c r="CR57" s="406"/>
      <c r="CS57" s="406"/>
      <c r="CT57" s="406"/>
      <c r="CU57" s="406"/>
      <c r="CV57" s="406"/>
      <c r="CW57" s="406"/>
      <c r="CX57" s="406"/>
      <c r="CY57" s="406"/>
      <c r="CZ57" s="406"/>
      <c r="DA57" s="406"/>
      <c r="DB57" s="406"/>
      <c r="DC57" s="406"/>
      <c r="DD57" s="406"/>
      <c r="DE57" s="406"/>
      <c r="DF57" s="406"/>
      <c r="DG57" s="406"/>
      <c r="DH57" s="406"/>
      <c r="DI57" s="406"/>
      <c r="DJ57" s="406"/>
      <c r="DK57" s="406"/>
      <c r="DL57" s="406"/>
      <c r="DM57" s="406"/>
      <c r="DN57" s="406"/>
      <c r="DO57" s="406"/>
      <c r="DP57" s="406"/>
      <c r="DQ57" s="406"/>
      <c r="DR57" s="406"/>
      <c r="DS57" s="406"/>
      <c r="DT57" s="406"/>
      <c r="DU57" s="406"/>
      <c r="DV57" s="406"/>
      <c r="DW57" s="406"/>
      <c r="DX57" s="406"/>
      <c r="DY57" s="406"/>
      <c r="DZ57" s="406"/>
      <c r="EA57" s="406"/>
      <c r="EB57" s="406"/>
      <c r="EC57" s="406"/>
      <c r="ED57" s="406"/>
      <c r="EE57" s="406"/>
      <c r="EF57" s="406"/>
      <c r="EG57" s="406"/>
      <c r="EH57" s="406"/>
      <c r="EI57" s="406"/>
      <c r="EJ57" s="406"/>
      <c r="EK57" s="406"/>
      <c r="EL57" s="406"/>
      <c r="EM57" s="406"/>
      <c r="EN57" s="406"/>
      <c r="EO57" s="406"/>
      <c r="EP57" s="406"/>
      <c r="EQ57" s="406"/>
      <c r="ER57" s="406"/>
      <c r="ES57" s="406"/>
      <c r="ET57" s="406"/>
      <c r="EU57" s="406"/>
      <c r="EV57" s="406"/>
      <c r="EW57" s="406"/>
      <c r="EX57" s="406"/>
      <c r="EY57" s="406"/>
      <c r="EZ57" s="406"/>
      <c r="FA57" s="406"/>
      <c r="FB57" s="406"/>
      <c r="FC57" s="406"/>
      <c r="FD57" s="406"/>
      <c r="FE57" s="406"/>
      <c r="FF57" s="406"/>
      <c r="FG57" s="406"/>
      <c r="FH57" s="406"/>
      <c r="FI57" s="406"/>
      <c r="FJ57" s="406"/>
      <c r="FK57" s="406"/>
      <c r="FL57" s="406"/>
      <c r="FM57" s="406"/>
      <c r="FN57" s="406"/>
      <c r="FO57" s="406"/>
      <c r="FP57" s="406"/>
      <c r="FQ57" s="406"/>
      <c r="FR57" s="406"/>
      <c r="FS57" s="406"/>
      <c r="FT57" s="406"/>
      <c r="FU57" s="406"/>
      <c r="FV57" s="406"/>
      <c r="FW57" s="406"/>
      <c r="FX57" s="406"/>
      <c r="FY57" s="406"/>
      <c r="FZ57" s="406"/>
      <c r="GA57" s="406"/>
      <c r="GB57" s="406"/>
      <c r="GC57" s="406"/>
      <c r="GD57" s="406"/>
      <c r="GE57" s="406"/>
      <c r="GF57" s="406"/>
      <c r="GG57" s="406"/>
      <c r="GH57" s="406"/>
      <c r="GI57" s="406"/>
      <c r="GJ57" s="406"/>
      <c r="GK57" s="406"/>
      <c r="GL57" s="406"/>
      <c r="GM57" s="406"/>
      <c r="GN57" s="406"/>
      <c r="GO57" s="406"/>
      <c r="GP57" s="406"/>
      <c r="GQ57" s="406"/>
      <c r="GR57" s="406"/>
      <c r="GS57" s="406"/>
      <c r="GT57" s="406"/>
      <c r="GU57" s="406"/>
      <c r="GV57" s="406"/>
      <c r="GW57" s="406"/>
      <c r="GX57" s="406"/>
      <c r="GY57" s="406"/>
      <c r="GZ57" s="406"/>
      <c r="HA57" s="406"/>
      <c r="HB57" s="406"/>
      <c r="HC57" s="406"/>
      <c r="HD57" s="406"/>
      <c r="HE57" s="406"/>
      <c r="HF57" s="406"/>
      <c r="HG57" s="406"/>
      <c r="HH57" s="406"/>
      <c r="HI57" s="406"/>
      <c r="HJ57" s="406"/>
      <c r="HK57" s="406"/>
      <c r="HL57" s="406"/>
      <c r="HM57" s="406"/>
      <c r="HN57" s="406"/>
      <c r="HO57" s="406"/>
      <c r="HP57" s="406"/>
      <c r="HQ57" s="406"/>
      <c r="HR57" s="406"/>
      <c r="HS57" s="406"/>
      <c r="HT57" s="406"/>
      <c r="HU57" s="406"/>
      <c r="HV57" s="406"/>
      <c r="HW57" s="406"/>
      <c r="HX57" s="406"/>
      <c r="HY57" s="406"/>
      <c r="HZ57" s="406"/>
      <c r="IA57" s="406"/>
      <c r="IB57" s="406"/>
      <c r="IC57" s="406"/>
      <c r="ID57" s="406"/>
      <c r="IE57" s="406"/>
      <c r="IF57" s="406"/>
      <c r="IG57" s="406"/>
      <c r="IH57" s="406"/>
      <c r="II57" s="406"/>
      <c r="IJ57" s="406"/>
      <c r="IK57" s="406"/>
      <c r="IL57" s="406"/>
      <c r="IM57" s="406"/>
      <c r="IN57" s="406"/>
      <c r="IO57" s="406"/>
      <c r="IP57" s="406"/>
      <c r="IQ57" s="406"/>
      <c r="IR57" s="406"/>
      <c r="IS57" s="406"/>
      <c r="IT57" s="406"/>
      <c r="IU57" s="406"/>
      <c r="IV57" s="406"/>
    </row>
    <row r="58" spans="1:256" ht="15.75">
      <c r="A58" s="425"/>
      <c r="B58" s="409" t="s">
        <v>264</v>
      </c>
      <c r="C58" s="410"/>
      <c r="D58" s="429">
        <f t="shared" si="11"/>
        <v>1.713</v>
      </c>
      <c r="E58" s="422">
        <v>2.16</v>
      </c>
      <c r="F58" s="413">
        <f t="shared" si="10"/>
        <v>-0.2069444444444445</v>
      </c>
      <c r="G58" s="418"/>
      <c r="H58" s="418"/>
      <c r="I58" s="413"/>
      <c r="J58" s="418"/>
      <c r="K58" s="418"/>
      <c r="L58" s="413"/>
      <c r="M58" s="406"/>
      <c r="N58" s="406"/>
      <c r="O58" s="406"/>
      <c r="P58" s="406"/>
      <c r="Q58" s="406"/>
      <c r="R58" s="406"/>
      <c r="S58" s="407"/>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c r="DI58" s="406"/>
      <c r="DJ58" s="406"/>
      <c r="DK58" s="406"/>
      <c r="DL58" s="406"/>
      <c r="DM58" s="406"/>
      <c r="DN58" s="406"/>
      <c r="DO58" s="406"/>
      <c r="DP58" s="406"/>
      <c r="DQ58" s="406"/>
      <c r="DR58" s="406"/>
      <c r="DS58" s="406"/>
      <c r="DT58" s="406"/>
      <c r="DU58" s="406"/>
      <c r="DV58" s="406"/>
      <c r="DW58" s="406"/>
      <c r="DX58" s="406"/>
      <c r="DY58" s="406"/>
      <c r="DZ58" s="406"/>
      <c r="EA58" s="406"/>
      <c r="EB58" s="406"/>
      <c r="EC58" s="406"/>
      <c r="ED58" s="406"/>
      <c r="EE58" s="406"/>
      <c r="EF58" s="406"/>
      <c r="EG58" s="406"/>
      <c r="EH58" s="406"/>
      <c r="EI58" s="406"/>
      <c r="EJ58" s="406"/>
      <c r="EK58" s="406"/>
      <c r="EL58" s="406"/>
      <c r="EM58" s="406"/>
      <c r="EN58" s="406"/>
      <c r="EO58" s="406"/>
      <c r="EP58" s="406"/>
      <c r="EQ58" s="406"/>
      <c r="ER58" s="406"/>
      <c r="ES58" s="406"/>
      <c r="ET58" s="406"/>
      <c r="EU58" s="406"/>
      <c r="EV58" s="406"/>
      <c r="EW58" s="406"/>
      <c r="EX58" s="406"/>
      <c r="EY58" s="406"/>
      <c r="EZ58" s="406"/>
      <c r="FA58" s="406"/>
      <c r="FB58" s="406"/>
      <c r="FC58" s="406"/>
      <c r="FD58" s="406"/>
      <c r="FE58" s="406"/>
      <c r="FF58" s="406"/>
      <c r="FG58" s="406"/>
      <c r="FH58" s="406"/>
      <c r="FI58" s="406"/>
      <c r="FJ58" s="406"/>
      <c r="FK58" s="406"/>
      <c r="FL58" s="406"/>
      <c r="FM58" s="406"/>
      <c r="FN58" s="406"/>
      <c r="FO58" s="406"/>
      <c r="FP58" s="406"/>
      <c r="FQ58" s="406"/>
      <c r="FR58" s="406"/>
      <c r="FS58" s="406"/>
      <c r="FT58" s="406"/>
      <c r="FU58" s="406"/>
      <c r="FV58" s="406"/>
      <c r="FW58" s="406"/>
      <c r="FX58" s="406"/>
      <c r="FY58" s="406"/>
      <c r="FZ58" s="406"/>
      <c r="GA58" s="406"/>
      <c r="GB58" s="406"/>
      <c r="GC58" s="406"/>
      <c r="GD58" s="406"/>
      <c r="GE58" s="406"/>
      <c r="GF58" s="406"/>
      <c r="GG58" s="406"/>
      <c r="GH58" s="406"/>
      <c r="GI58" s="406"/>
      <c r="GJ58" s="406"/>
      <c r="GK58" s="406"/>
      <c r="GL58" s="406"/>
      <c r="GM58" s="406"/>
      <c r="GN58" s="406"/>
      <c r="GO58" s="406"/>
      <c r="GP58" s="406"/>
      <c r="GQ58" s="406"/>
      <c r="GR58" s="406"/>
      <c r="GS58" s="406"/>
      <c r="GT58" s="406"/>
      <c r="GU58" s="406"/>
      <c r="GV58" s="406"/>
      <c r="GW58" s="406"/>
      <c r="GX58" s="406"/>
      <c r="GY58" s="406"/>
      <c r="GZ58" s="406"/>
      <c r="HA58" s="406"/>
      <c r="HB58" s="406"/>
      <c r="HC58" s="406"/>
      <c r="HD58" s="406"/>
      <c r="HE58" s="406"/>
      <c r="HF58" s="406"/>
      <c r="HG58" s="406"/>
      <c r="HH58" s="406"/>
      <c r="HI58" s="406"/>
      <c r="HJ58" s="406"/>
      <c r="HK58" s="406"/>
      <c r="HL58" s="406"/>
      <c r="HM58" s="406"/>
      <c r="HN58" s="406"/>
      <c r="HO58" s="406"/>
      <c r="HP58" s="406"/>
      <c r="HQ58" s="406"/>
      <c r="HR58" s="406"/>
      <c r="HS58" s="406"/>
      <c r="HT58" s="406"/>
      <c r="HU58" s="406"/>
      <c r="HV58" s="406"/>
      <c r="HW58" s="406"/>
      <c r="HX58" s="406"/>
      <c r="HY58" s="406"/>
      <c r="HZ58" s="406"/>
      <c r="IA58" s="406"/>
      <c r="IB58" s="406"/>
      <c r="IC58" s="406"/>
      <c r="ID58" s="406"/>
      <c r="IE58" s="406"/>
      <c r="IF58" s="406"/>
      <c r="IG58" s="406"/>
      <c r="IH58" s="406"/>
      <c r="II58" s="406"/>
      <c r="IJ58" s="406"/>
      <c r="IK58" s="406"/>
      <c r="IL58" s="406"/>
      <c r="IM58" s="406"/>
      <c r="IN58" s="406"/>
      <c r="IO58" s="406"/>
      <c r="IP58" s="406"/>
      <c r="IQ58" s="406"/>
      <c r="IR58" s="406"/>
      <c r="IS58" s="406"/>
      <c r="IT58" s="406"/>
      <c r="IU58" s="406"/>
      <c r="IV58" s="406"/>
    </row>
    <row r="59" spans="1:256" ht="15.75">
      <c r="A59" s="425"/>
      <c r="B59" s="409" t="s">
        <v>265</v>
      </c>
      <c r="C59" s="410"/>
      <c r="D59" s="429">
        <f t="shared" si="11"/>
        <v>1.991</v>
      </c>
      <c r="E59" s="422">
        <v>2.51</v>
      </c>
      <c r="F59" s="413">
        <f t="shared" si="10"/>
        <v>-0.20677290836653373</v>
      </c>
      <c r="G59" s="418"/>
      <c r="H59" s="418"/>
      <c r="I59" s="413"/>
      <c r="J59" s="418"/>
      <c r="K59" s="418"/>
      <c r="L59" s="413"/>
      <c r="M59" s="406"/>
      <c r="N59" s="406"/>
      <c r="O59" s="406"/>
      <c r="P59" s="406"/>
      <c r="Q59" s="406"/>
      <c r="R59" s="406"/>
      <c r="S59" s="407"/>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6"/>
      <c r="DI59" s="406"/>
      <c r="DJ59" s="406"/>
      <c r="DK59" s="406"/>
      <c r="DL59" s="406"/>
      <c r="DM59" s="406"/>
      <c r="DN59" s="406"/>
      <c r="DO59" s="406"/>
      <c r="DP59" s="406"/>
      <c r="DQ59" s="406"/>
      <c r="DR59" s="406"/>
      <c r="DS59" s="406"/>
      <c r="DT59" s="406"/>
      <c r="DU59" s="406"/>
      <c r="DV59" s="406"/>
      <c r="DW59" s="406"/>
      <c r="DX59" s="406"/>
      <c r="DY59" s="406"/>
      <c r="DZ59" s="406"/>
      <c r="EA59" s="406"/>
      <c r="EB59" s="406"/>
      <c r="EC59" s="406"/>
      <c r="ED59" s="406"/>
      <c r="EE59" s="406"/>
      <c r="EF59" s="406"/>
      <c r="EG59" s="406"/>
      <c r="EH59" s="406"/>
      <c r="EI59" s="406"/>
      <c r="EJ59" s="406"/>
      <c r="EK59" s="406"/>
      <c r="EL59" s="406"/>
      <c r="EM59" s="406"/>
      <c r="EN59" s="406"/>
      <c r="EO59" s="406"/>
      <c r="EP59" s="406"/>
      <c r="EQ59" s="406"/>
      <c r="ER59" s="406"/>
      <c r="ES59" s="406"/>
      <c r="ET59" s="406"/>
      <c r="EU59" s="406"/>
      <c r="EV59" s="406"/>
      <c r="EW59" s="406"/>
      <c r="EX59" s="406"/>
      <c r="EY59" s="406"/>
      <c r="EZ59" s="406"/>
      <c r="FA59" s="406"/>
      <c r="FB59" s="406"/>
      <c r="FC59" s="406"/>
      <c r="FD59" s="406"/>
      <c r="FE59" s="406"/>
      <c r="FF59" s="406"/>
      <c r="FG59" s="406"/>
      <c r="FH59" s="406"/>
      <c r="FI59" s="406"/>
      <c r="FJ59" s="406"/>
      <c r="FK59" s="406"/>
      <c r="FL59" s="406"/>
      <c r="FM59" s="406"/>
      <c r="FN59" s="406"/>
      <c r="FO59" s="406"/>
      <c r="FP59" s="406"/>
      <c r="FQ59" s="406"/>
      <c r="FR59" s="406"/>
      <c r="FS59" s="406"/>
      <c r="FT59" s="406"/>
      <c r="FU59" s="406"/>
      <c r="FV59" s="406"/>
      <c r="FW59" s="406"/>
      <c r="FX59" s="406"/>
      <c r="FY59" s="406"/>
      <c r="FZ59" s="406"/>
      <c r="GA59" s="406"/>
      <c r="GB59" s="406"/>
      <c r="GC59" s="406"/>
      <c r="GD59" s="406"/>
      <c r="GE59" s="406"/>
      <c r="GF59" s="406"/>
      <c r="GG59" s="406"/>
      <c r="GH59" s="406"/>
      <c r="GI59" s="406"/>
      <c r="GJ59" s="406"/>
      <c r="GK59" s="406"/>
      <c r="GL59" s="406"/>
      <c r="GM59" s="406"/>
      <c r="GN59" s="406"/>
      <c r="GO59" s="406"/>
      <c r="GP59" s="406"/>
      <c r="GQ59" s="406"/>
      <c r="GR59" s="406"/>
      <c r="GS59" s="406"/>
      <c r="GT59" s="406"/>
      <c r="GU59" s="406"/>
      <c r="GV59" s="406"/>
      <c r="GW59" s="406"/>
      <c r="GX59" s="406"/>
      <c r="GY59" s="406"/>
      <c r="GZ59" s="406"/>
      <c r="HA59" s="406"/>
      <c r="HB59" s="406"/>
      <c r="HC59" s="406"/>
      <c r="HD59" s="406"/>
      <c r="HE59" s="406"/>
      <c r="HF59" s="406"/>
      <c r="HG59" s="406"/>
      <c r="HH59" s="406"/>
      <c r="HI59" s="406"/>
      <c r="HJ59" s="406"/>
      <c r="HK59" s="406"/>
      <c r="HL59" s="406"/>
      <c r="HM59" s="406"/>
      <c r="HN59" s="406"/>
      <c r="HO59" s="406"/>
      <c r="HP59" s="406"/>
      <c r="HQ59" s="406"/>
      <c r="HR59" s="406"/>
      <c r="HS59" s="406"/>
      <c r="HT59" s="406"/>
      <c r="HU59" s="406"/>
      <c r="HV59" s="406"/>
      <c r="HW59" s="406"/>
      <c r="HX59" s="406"/>
      <c r="HY59" s="406"/>
      <c r="HZ59" s="406"/>
      <c r="IA59" s="406"/>
      <c r="IB59" s="406"/>
      <c r="IC59" s="406"/>
      <c r="ID59" s="406"/>
      <c r="IE59" s="406"/>
      <c r="IF59" s="406"/>
      <c r="IG59" s="406"/>
      <c r="IH59" s="406"/>
      <c r="II59" s="406"/>
      <c r="IJ59" s="406"/>
      <c r="IK59" s="406"/>
      <c r="IL59" s="406"/>
      <c r="IM59" s="406"/>
      <c r="IN59" s="406"/>
      <c r="IO59" s="406"/>
      <c r="IP59" s="406"/>
      <c r="IQ59" s="406"/>
      <c r="IR59" s="406"/>
      <c r="IS59" s="406"/>
      <c r="IT59" s="406"/>
      <c r="IU59" s="406"/>
      <c r="IV59" s="406"/>
    </row>
    <row r="60" spans="1:256" ht="15.75">
      <c r="A60" s="425"/>
      <c r="B60" s="409" t="s">
        <v>266</v>
      </c>
      <c r="C60" s="410"/>
      <c r="D60" s="429">
        <f t="shared" si="11"/>
        <v>2.253</v>
      </c>
      <c r="E60" s="422">
        <v>2.84</v>
      </c>
      <c r="F60" s="413">
        <f t="shared" si="10"/>
        <v>-0.2066901408450703</v>
      </c>
      <c r="G60" s="418"/>
      <c r="H60" s="418"/>
      <c r="I60" s="413"/>
      <c r="J60" s="418"/>
      <c r="K60" s="418"/>
      <c r="L60" s="413"/>
      <c r="M60" s="406"/>
      <c r="N60" s="406"/>
      <c r="O60" s="406"/>
      <c r="P60" s="406"/>
      <c r="Q60" s="406"/>
      <c r="R60" s="406"/>
      <c r="S60" s="407"/>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6"/>
      <c r="BW60" s="406"/>
      <c r="BX60" s="406"/>
      <c r="BY60" s="406"/>
      <c r="BZ60" s="406"/>
      <c r="CA60" s="406"/>
      <c r="CB60" s="406"/>
      <c r="CC60" s="406"/>
      <c r="CD60" s="406"/>
      <c r="CE60" s="406"/>
      <c r="CF60" s="406"/>
      <c r="CG60" s="406"/>
      <c r="CH60" s="406"/>
      <c r="CI60" s="406"/>
      <c r="CJ60" s="406"/>
      <c r="CK60" s="406"/>
      <c r="CL60" s="406"/>
      <c r="CM60" s="406"/>
      <c r="CN60" s="406"/>
      <c r="CO60" s="406"/>
      <c r="CP60" s="406"/>
      <c r="CQ60" s="406"/>
      <c r="CR60" s="406"/>
      <c r="CS60" s="406"/>
      <c r="CT60" s="406"/>
      <c r="CU60" s="406"/>
      <c r="CV60" s="406"/>
      <c r="CW60" s="406"/>
      <c r="CX60" s="406"/>
      <c r="CY60" s="406"/>
      <c r="CZ60" s="406"/>
      <c r="DA60" s="406"/>
      <c r="DB60" s="406"/>
      <c r="DC60" s="406"/>
      <c r="DD60" s="406"/>
      <c r="DE60" s="406"/>
      <c r="DF60" s="406"/>
      <c r="DG60" s="406"/>
      <c r="DH60" s="406"/>
      <c r="DI60" s="406"/>
      <c r="DJ60" s="406"/>
      <c r="DK60" s="406"/>
      <c r="DL60" s="406"/>
      <c r="DM60" s="406"/>
      <c r="DN60" s="406"/>
      <c r="DO60" s="406"/>
      <c r="DP60" s="406"/>
      <c r="DQ60" s="406"/>
      <c r="DR60" s="406"/>
      <c r="DS60" s="406"/>
      <c r="DT60" s="406"/>
      <c r="DU60" s="406"/>
      <c r="DV60" s="406"/>
      <c r="DW60" s="406"/>
      <c r="DX60" s="406"/>
      <c r="DY60" s="406"/>
      <c r="DZ60" s="406"/>
      <c r="EA60" s="406"/>
      <c r="EB60" s="406"/>
      <c r="EC60" s="406"/>
      <c r="ED60" s="406"/>
      <c r="EE60" s="406"/>
      <c r="EF60" s="406"/>
      <c r="EG60" s="406"/>
      <c r="EH60" s="406"/>
      <c r="EI60" s="406"/>
      <c r="EJ60" s="406"/>
      <c r="EK60" s="406"/>
      <c r="EL60" s="406"/>
      <c r="EM60" s="406"/>
      <c r="EN60" s="406"/>
      <c r="EO60" s="406"/>
      <c r="EP60" s="406"/>
      <c r="EQ60" s="406"/>
      <c r="ER60" s="406"/>
      <c r="ES60" s="406"/>
      <c r="ET60" s="406"/>
      <c r="EU60" s="406"/>
      <c r="EV60" s="406"/>
      <c r="EW60" s="406"/>
      <c r="EX60" s="406"/>
      <c r="EY60" s="406"/>
      <c r="EZ60" s="406"/>
      <c r="FA60" s="406"/>
      <c r="FB60" s="406"/>
      <c r="FC60" s="406"/>
      <c r="FD60" s="406"/>
      <c r="FE60" s="406"/>
      <c r="FF60" s="406"/>
      <c r="FG60" s="406"/>
      <c r="FH60" s="406"/>
      <c r="FI60" s="406"/>
      <c r="FJ60" s="406"/>
      <c r="FK60" s="406"/>
      <c r="FL60" s="406"/>
      <c r="FM60" s="406"/>
      <c r="FN60" s="406"/>
      <c r="FO60" s="406"/>
      <c r="FP60" s="406"/>
      <c r="FQ60" s="406"/>
      <c r="FR60" s="406"/>
      <c r="FS60" s="406"/>
      <c r="FT60" s="406"/>
      <c r="FU60" s="406"/>
      <c r="FV60" s="406"/>
      <c r="FW60" s="406"/>
      <c r="FX60" s="406"/>
      <c r="FY60" s="406"/>
      <c r="FZ60" s="406"/>
      <c r="GA60" s="406"/>
      <c r="GB60" s="406"/>
      <c r="GC60" s="406"/>
      <c r="GD60" s="406"/>
      <c r="GE60" s="406"/>
      <c r="GF60" s="406"/>
      <c r="GG60" s="406"/>
      <c r="GH60" s="406"/>
      <c r="GI60" s="406"/>
      <c r="GJ60" s="406"/>
      <c r="GK60" s="406"/>
      <c r="GL60" s="406"/>
      <c r="GM60" s="406"/>
      <c r="GN60" s="406"/>
      <c r="GO60" s="406"/>
      <c r="GP60" s="406"/>
      <c r="GQ60" s="406"/>
      <c r="GR60" s="406"/>
      <c r="GS60" s="406"/>
      <c r="GT60" s="406"/>
      <c r="GU60" s="406"/>
      <c r="GV60" s="406"/>
      <c r="GW60" s="406"/>
      <c r="GX60" s="406"/>
      <c r="GY60" s="406"/>
      <c r="GZ60" s="406"/>
      <c r="HA60" s="406"/>
      <c r="HB60" s="406"/>
      <c r="HC60" s="406"/>
      <c r="HD60" s="406"/>
      <c r="HE60" s="406"/>
      <c r="HF60" s="406"/>
      <c r="HG60" s="406"/>
      <c r="HH60" s="406"/>
      <c r="HI60" s="406"/>
      <c r="HJ60" s="406"/>
      <c r="HK60" s="406"/>
      <c r="HL60" s="406"/>
      <c r="HM60" s="406"/>
      <c r="HN60" s="406"/>
      <c r="HO60" s="406"/>
      <c r="HP60" s="406"/>
      <c r="HQ60" s="406"/>
      <c r="HR60" s="406"/>
      <c r="HS60" s="406"/>
      <c r="HT60" s="406"/>
      <c r="HU60" s="406"/>
      <c r="HV60" s="406"/>
      <c r="HW60" s="406"/>
      <c r="HX60" s="406"/>
      <c r="HY60" s="406"/>
      <c r="HZ60" s="406"/>
      <c r="IA60" s="406"/>
      <c r="IB60" s="406"/>
      <c r="IC60" s="406"/>
      <c r="ID60" s="406"/>
      <c r="IE60" s="406"/>
      <c r="IF60" s="406"/>
      <c r="IG60" s="406"/>
      <c r="IH60" s="406"/>
      <c r="II60" s="406"/>
      <c r="IJ60" s="406"/>
      <c r="IK60" s="406"/>
      <c r="IL60" s="406"/>
      <c r="IM60" s="406"/>
      <c r="IN60" s="406"/>
      <c r="IO60" s="406"/>
      <c r="IP60" s="406"/>
      <c r="IQ60" s="406"/>
      <c r="IR60" s="406"/>
      <c r="IS60" s="406"/>
      <c r="IT60" s="406"/>
      <c r="IU60" s="406"/>
      <c r="IV60" s="406"/>
    </row>
    <row r="61" spans="1:256" ht="15.75">
      <c r="A61" s="425"/>
      <c r="B61" s="409" t="s">
        <v>267</v>
      </c>
      <c r="C61" s="410"/>
      <c r="D61" s="429">
        <f t="shared" si="11"/>
        <v>2.562</v>
      </c>
      <c r="E61" s="422">
        <v>3.23</v>
      </c>
      <c r="F61" s="413">
        <f t="shared" si="10"/>
        <v>-0.20681114551083601</v>
      </c>
      <c r="G61" s="418"/>
      <c r="H61" s="418"/>
      <c r="I61" s="413"/>
      <c r="J61" s="418"/>
      <c r="K61" s="418"/>
      <c r="L61" s="413"/>
      <c r="M61" s="406"/>
      <c r="N61" s="406"/>
      <c r="O61" s="406"/>
      <c r="P61" s="406"/>
      <c r="Q61" s="406"/>
      <c r="R61" s="406"/>
      <c r="S61" s="407"/>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c r="BZ61" s="406"/>
      <c r="CA61" s="406"/>
      <c r="CB61" s="406"/>
      <c r="CC61" s="406"/>
      <c r="CD61" s="406"/>
      <c r="CE61" s="406"/>
      <c r="CF61" s="406"/>
      <c r="CG61" s="406"/>
      <c r="CH61" s="406"/>
      <c r="CI61" s="406"/>
      <c r="CJ61" s="406"/>
      <c r="CK61" s="406"/>
      <c r="CL61" s="406"/>
      <c r="CM61" s="406"/>
      <c r="CN61" s="406"/>
      <c r="CO61" s="406"/>
      <c r="CP61" s="406"/>
      <c r="CQ61" s="406"/>
      <c r="CR61" s="406"/>
      <c r="CS61" s="406"/>
      <c r="CT61" s="406"/>
      <c r="CU61" s="406"/>
      <c r="CV61" s="406"/>
      <c r="CW61" s="406"/>
      <c r="CX61" s="406"/>
      <c r="CY61" s="406"/>
      <c r="CZ61" s="406"/>
      <c r="DA61" s="406"/>
      <c r="DB61" s="406"/>
      <c r="DC61" s="406"/>
      <c r="DD61" s="406"/>
      <c r="DE61" s="406"/>
      <c r="DF61" s="406"/>
      <c r="DG61" s="406"/>
      <c r="DH61" s="406"/>
      <c r="DI61" s="406"/>
      <c r="DJ61" s="406"/>
      <c r="DK61" s="406"/>
      <c r="DL61" s="406"/>
      <c r="DM61" s="406"/>
      <c r="DN61" s="406"/>
      <c r="DO61" s="406"/>
      <c r="DP61" s="406"/>
      <c r="DQ61" s="406"/>
      <c r="DR61" s="406"/>
      <c r="DS61" s="406"/>
      <c r="DT61" s="406"/>
      <c r="DU61" s="406"/>
      <c r="DV61" s="406"/>
      <c r="DW61" s="406"/>
      <c r="DX61" s="406"/>
      <c r="DY61" s="406"/>
      <c r="DZ61" s="406"/>
      <c r="EA61" s="406"/>
      <c r="EB61" s="406"/>
      <c r="EC61" s="406"/>
      <c r="ED61" s="406"/>
      <c r="EE61" s="406"/>
      <c r="EF61" s="406"/>
      <c r="EG61" s="406"/>
      <c r="EH61" s="406"/>
      <c r="EI61" s="406"/>
      <c r="EJ61" s="406"/>
      <c r="EK61" s="406"/>
      <c r="EL61" s="406"/>
      <c r="EM61" s="406"/>
      <c r="EN61" s="406"/>
      <c r="EO61" s="406"/>
      <c r="EP61" s="406"/>
      <c r="EQ61" s="406"/>
      <c r="ER61" s="406"/>
      <c r="ES61" s="406"/>
      <c r="ET61" s="406"/>
      <c r="EU61" s="406"/>
      <c r="EV61" s="406"/>
      <c r="EW61" s="406"/>
      <c r="EX61" s="406"/>
      <c r="EY61" s="406"/>
      <c r="EZ61" s="406"/>
      <c r="FA61" s="406"/>
      <c r="FB61" s="406"/>
      <c r="FC61" s="406"/>
      <c r="FD61" s="406"/>
      <c r="FE61" s="406"/>
      <c r="FF61" s="406"/>
      <c r="FG61" s="406"/>
      <c r="FH61" s="406"/>
      <c r="FI61" s="406"/>
      <c r="FJ61" s="406"/>
      <c r="FK61" s="406"/>
      <c r="FL61" s="406"/>
      <c r="FM61" s="406"/>
      <c r="FN61" s="406"/>
      <c r="FO61" s="406"/>
      <c r="FP61" s="406"/>
      <c r="FQ61" s="406"/>
      <c r="FR61" s="406"/>
      <c r="FS61" s="406"/>
      <c r="FT61" s="406"/>
      <c r="FU61" s="406"/>
      <c r="FV61" s="406"/>
      <c r="FW61" s="406"/>
      <c r="FX61" s="406"/>
      <c r="FY61" s="406"/>
      <c r="FZ61" s="406"/>
      <c r="GA61" s="406"/>
      <c r="GB61" s="406"/>
      <c r="GC61" s="406"/>
      <c r="GD61" s="406"/>
      <c r="GE61" s="406"/>
      <c r="GF61" s="406"/>
      <c r="GG61" s="406"/>
      <c r="GH61" s="406"/>
      <c r="GI61" s="406"/>
      <c r="GJ61" s="406"/>
      <c r="GK61" s="406"/>
      <c r="GL61" s="406"/>
      <c r="GM61" s="406"/>
      <c r="GN61" s="406"/>
      <c r="GO61" s="406"/>
      <c r="GP61" s="406"/>
      <c r="GQ61" s="406"/>
      <c r="GR61" s="406"/>
      <c r="GS61" s="406"/>
      <c r="GT61" s="406"/>
      <c r="GU61" s="406"/>
      <c r="GV61" s="406"/>
      <c r="GW61" s="406"/>
      <c r="GX61" s="406"/>
      <c r="GY61" s="406"/>
      <c r="GZ61" s="406"/>
      <c r="HA61" s="406"/>
      <c r="HB61" s="406"/>
      <c r="HC61" s="406"/>
      <c r="HD61" s="406"/>
      <c r="HE61" s="406"/>
      <c r="HF61" s="406"/>
      <c r="HG61" s="406"/>
      <c r="HH61" s="406"/>
      <c r="HI61" s="406"/>
      <c r="HJ61" s="406"/>
      <c r="HK61" s="406"/>
      <c r="HL61" s="406"/>
      <c r="HM61" s="406"/>
      <c r="HN61" s="406"/>
      <c r="HO61" s="406"/>
      <c r="HP61" s="406"/>
      <c r="HQ61" s="406"/>
      <c r="HR61" s="406"/>
      <c r="HS61" s="406"/>
      <c r="HT61" s="406"/>
      <c r="HU61" s="406"/>
      <c r="HV61" s="406"/>
      <c r="HW61" s="406"/>
      <c r="HX61" s="406"/>
      <c r="HY61" s="406"/>
      <c r="HZ61" s="406"/>
      <c r="IA61" s="406"/>
      <c r="IB61" s="406"/>
      <c r="IC61" s="406"/>
      <c r="ID61" s="406"/>
      <c r="IE61" s="406"/>
      <c r="IF61" s="406"/>
      <c r="IG61" s="406"/>
      <c r="IH61" s="406"/>
      <c r="II61" s="406"/>
      <c r="IJ61" s="406"/>
      <c r="IK61" s="406"/>
      <c r="IL61" s="406"/>
      <c r="IM61" s="406"/>
      <c r="IN61" s="406"/>
      <c r="IO61" s="406"/>
      <c r="IP61" s="406"/>
      <c r="IQ61" s="406"/>
      <c r="IR61" s="406"/>
      <c r="IS61" s="406"/>
      <c r="IT61" s="406"/>
      <c r="IU61" s="406"/>
      <c r="IV61" s="406"/>
    </row>
    <row r="62" spans="1:256" ht="16.5" thickBot="1">
      <c r="A62" s="432"/>
      <c r="B62" s="433"/>
      <c r="C62" s="434"/>
      <c r="D62" s="435"/>
      <c r="E62" s="436"/>
      <c r="F62" s="435"/>
      <c r="G62" s="437"/>
      <c r="H62" s="437"/>
      <c r="I62" s="438"/>
      <c r="J62" s="437"/>
      <c r="K62" s="437"/>
      <c r="L62" s="438"/>
      <c r="M62" s="406"/>
      <c r="N62" s="406"/>
      <c r="O62" s="406"/>
      <c r="P62" s="406"/>
      <c r="Q62" s="406"/>
      <c r="R62" s="406"/>
      <c r="S62" s="407"/>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406"/>
      <c r="DF62" s="406"/>
      <c r="DG62" s="406"/>
      <c r="DH62" s="406"/>
      <c r="DI62" s="406"/>
      <c r="DJ62" s="406"/>
      <c r="DK62" s="406"/>
      <c r="DL62" s="406"/>
      <c r="DM62" s="406"/>
      <c r="DN62" s="406"/>
      <c r="DO62" s="406"/>
      <c r="DP62" s="406"/>
      <c r="DQ62" s="406"/>
      <c r="DR62" s="406"/>
      <c r="DS62" s="406"/>
      <c r="DT62" s="406"/>
      <c r="DU62" s="406"/>
      <c r="DV62" s="406"/>
      <c r="DW62" s="406"/>
      <c r="DX62" s="406"/>
      <c r="DY62" s="406"/>
      <c r="DZ62" s="406"/>
      <c r="EA62" s="406"/>
      <c r="EB62" s="406"/>
      <c r="EC62" s="406"/>
      <c r="ED62" s="406"/>
      <c r="EE62" s="406"/>
      <c r="EF62" s="406"/>
      <c r="EG62" s="406"/>
      <c r="EH62" s="406"/>
      <c r="EI62" s="406"/>
      <c r="EJ62" s="406"/>
      <c r="EK62" s="406"/>
      <c r="EL62" s="406"/>
      <c r="EM62" s="406"/>
      <c r="EN62" s="406"/>
      <c r="EO62" s="406"/>
      <c r="EP62" s="406"/>
      <c r="EQ62" s="406"/>
      <c r="ER62" s="406"/>
      <c r="ES62" s="406"/>
      <c r="ET62" s="406"/>
      <c r="EU62" s="406"/>
      <c r="EV62" s="406"/>
      <c r="EW62" s="406"/>
      <c r="EX62" s="406"/>
      <c r="EY62" s="406"/>
      <c r="EZ62" s="406"/>
      <c r="FA62" s="406"/>
      <c r="FB62" s="406"/>
      <c r="FC62" s="406"/>
      <c r="FD62" s="406"/>
      <c r="FE62" s="406"/>
      <c r="FF62" s="406"/>
      <c r="FG62" s="406"/>
      <c r="FH62" s="406"/>
      <c r="FI62" s="406"/>
      <c r="FJ62" s="406"/>
      <c r="FK62" s="406"/>
      <c r="FL62" s="406"/>
      <c r="FM62" s="406"/>
      <c r="FN62" s="406"/>
      <c r="FO62" s="406"/>
      <c r="FP62" s="406"/>
      <c r="FQ62" s="406"/>
      <c r="FR62" s="406"/>
      <c r="FS62" s="406"/>
      <c r="FT62" s="406"/>
      <c r="FU62" s="406"/>
      <c r="FV62" s="406"/>
      <c r="FW62" s="406"/>
      <c r="FX62" s="406"/>
      <c r="FY62" s="406"/>
      <c r="FZ62" s="406"/>
      <c r="GA62" s="406"/>
      <c r="GB62" s="406"/>
      <c r="GC62" s="406"/>
      <c r="GD62" s="406"/>
      <c r="GE62" s="406"/>
      <c r="GF62" s="406"/>
      <c r="GG62" s="406"/>
      <c r="GH62" s="406"/>
      <c r="GI62" s="406"/>
      <c r="GJ62" s="406"/>
      <c r="GK62" s="406"/>
      <c r="GL62" s="406"/>
      <c r="GM62" s="406"/>
      <c r="GN62" s="406"/>
      <c r="GO62" s="406"/>
      <c r="GP62" s="406"/>
      <c r="GQ62" s="406"/>
      <c r="GR62" s="406"/>
      <c r="GS62" s="406"/>
      <c r="GT62" s="406"/>
      <c r="GU62" s="406"/>
      <c r="GV62" s="406"/>
      <c r="GW62" s="406"/>
      <c r="GX62" s="406"/>
      <c r="GY62" s="406"/>
      <c r="GZ62" s="406"/>
      <c r="HA62" s="406"/>
      <c r="HB62" s="406"/>
      <c r="HC62" s="406"/>
      <c r="HD62" s="406"/>
      <c r="HE62" s="406"/>
      <c r="HF62" s="406"/>
      <c r="HG62" s="406"/>
      <c r="HH62" s="406"/>
      <c r="HI62" s="406"/>
      <c r="HJ62" s="406"/>
      <c r="HK62" s="406"/>
      <c r="HL62" s="406"/>
      <c r="HM62" s="406"/>
      <c r="HN62" s="406"/>
      <c r="HO62" s="406"/>
      <c r="HP62" s="406"/>
      <c r="HQ62" s="406"/>
      <c r="HR62" s="406"/>
      <c r="HS62" s="406"/>
      <c r="HT62" s="406"/>
      <c r="HU62" s="406"/>
      <c r="HV62" s="406"/>
      <c r="HW62" s="406"/>
      <c r="HX62" s="406"/>
      <c r="HY62" s="406"/>
      <c r="HZ62" s="406"/>
      <c r="IA62" s="406"/>
      <c r="IB62" s="406"/>
      <c r="IC62" s="406"/>
      <c r="ID62" s="406"/>
      <c r="IE62" s="406"/>
      <c r="IF62" s="406"/>
      <c r="IG62" s="406"/>
      <c r="IH62" s="406"/>
      <c r="II62" s="406"/>
      <c r="IJ62" s="406"/>
      <c r="IK62" s="406"/>
      <c r="IL62" s="406"/>
      <c r="IM62" s="406"/>
      <c r="IN62" s="406"/>
      <c r="IO62" s="406"/>
      <c r="IP62" s="406"/>
      <c r="IQ62" s="406"/>
      <c r="IR62" s="406"/>
      <c r="IS62" s="406"/>
      <c r="IT62" s="406"/>
      <c r="IU62" s="406"/>
      <c r="IV62" s="406"/>
    </row>
    <row r="63" spans="1:256" ht="15.75">
      <c r="A63" s="406"/>
      <c r="B63" s="406"/>
      <c r="C63" s="406"/>
      <c r="D63" s="406"/>
      <c r="E63" s="439"/>
      <c r="F63" s="406"/>
      <c r="G63" s="406"/>
      <c r="H63" s="439"/>
      <c r="I63" s="406"/>
      <c r="J63" s="406"/>
      <c r="K63" s="406"/>
      <c r="L63" s="424"/>
      <c r="M63" s="406"/>
      <c r="N63" s="406"/>
      <c r="O63" s="406"/>
      <c r="P63" s="406"/>
      <c r="Q63" s="406"/>
      <c r="R63" s="406"/>
      <c r="S63" s="407"/>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c r="BW63" s="406"/>
      <c r="BX63" s="406"/>
      <c r="BY63" s="406"/>
      <c r="BZ63" s="406"/>
      <c r="CA63" s="406"/>
      <c r="CB63" s="406"/>
      <c r="CC63" s="406"/>
      <c r="CD63" s="406"/>
      <c r="CE63" s="406"/>
      <c r="CF63" s="406"/>
      <c r="CG63" s="406"/>
      <c r="CH63" s="406"/>
      <c r="CI63" s="406"/>
      <c r="CJ63" s="406"/>
      <c r="CK63" s="406"/>
      <c r="CL63" s="406"/>
      <c r="CM63" s="406"/>
      <c r="CN63" s="406"/>
      <c r="CO63" s="406"/>
      <c r="CP63" s="406"/>
      <c r="CQ63" s="406"/>
      <c r="CR63" s="406"/>
      <c r="CS63" s="406"/>
      <c r="CT63" s="406"/>
      <c r="CU63" s="406"/>
      <c r="CV63" s="406"/>
      <c r="CW63" s="406"/>
      <c r="CX63" s="406"/>
      <c r="CY63" s="406"/>
      <c r="CZ63" s="406"/>
      <c r="DA63" s="406"/>
      <c r="DB63" s="406"/>
      <c r="DC63" s="406"/>
      <c r="DD63" s="406"/>
      <c r="DE63" s="406"/>
      <c r="DF63" s="406"/>
      <c r="DG63" s="406"/>
      <c r="DH63" s="406"/>
      <c r="DI63" s="406"/>
      <c r="DJ63" s="406"/>
      <c r="DK63" s="406"/>
      <c r="DL63" s="406"/>
      <c r="DM63" s="406"/>
      <c r="DN63" s="406"/>
      <c r="DO63" s="406"/>
      <c r="DP63" s="406"/>
      <c r="DQ63" s="406"/>
      <c r="DR63" s="406"/>
      <c r="DS63" s="406"/>
      <c r="DT63" s="406"/>
      <c r="DU63" s="406"/>
      <c r="DV63" s="406"/>
      <c r="DW63" s="406"/>
      <c r="DX63" s="406"/>
      <c r="DY63" s="406"/>
      <c r="DZ63" s="406"/>
      <c r="EA63" s="406"/>
      <c r="EB63" s="406"/>
      <c r="EC63" s="406"/>
      <c r="ED63" s="406"/>
      <c r="EE63" s="406"/>
      <c r="EF63" s="406"/>
      <c r="EG63" s="406"/>
      <c r="EH63" s="406"/>
      <c r="EI63" s="406"/>
      <c r="EJ63" s="406"/>
      <c r="EK63" s="406"/>
      <c r="EL63" s="406"/>
      <c r="EM63" s="406"/>
      <c r="EN63" s="406"/>
      <c r="EO63" s="406"/>
      <c r="EP63" s="406"/>
      <c r="EQ63" s="406"/>
      <c r="ER63" s="406"/>
      <c r="ES63" s="406"/>
      <c r="ET63" s="406"/>
      <c r="EU63" s="406"/>
      <c r="EV63" s="406"/>
      <c r="EW63" s="406"/>
      <c r="EX63" s="406"/>
      <c r="EY63" s="406"/>
      <c r="EZ63" s="406"/>
      <c r="FA63" s="406"/>
      <c r="FB63" s="406"/>
      <c r="FC63" s="406"/>
      <c r="FD63" s="406"/>
      <c r="FE63" s="406"/>
      <c r="FF63" s="406"/>
      <c r="FG63" s="406"/>
      <c r="FH63" s="406"/>
      <c r="FI63" s="406"/>
      <c r="FJ63" s="406"/>
      <c r="FK63" s="406"/>
      <c r="FL63" s="406"/>
      <c r="FM63" s="406"/>
      <c r="FN63" s="406"/>
      <c r="FO63" s="406"/>
      <c r="FP63" s="406"/>
      <c r="FQ63" s="406"/>
      <c r="FR63" s="406"/>
      <c r="FS63" s="406"/>
      <c r="FT63" s="406"/>
      <c r="FU63" s="406"/>
      <c r="FV63" s="406"/>
      <c r="FW63" s="406"/>
      <c r="FX63" s="406"/>
      <c r="FY63" s="406"/>
      <c r="FZ63" s="406"/>
      <c r="GA63" s="406"/>
      <c r="GB63" s="406"/>
      <c r="GC63" s="406"/>
      <c r="GD63" s="406"/>
      <c r="GE63" s="406"/>
      <c r="GF63" s="406"/>
      <c r="GG63" s="406"/>
      <c r="GH63" s="406"/>
      <c r="GI63" s="406"/>
      <c r="GJ63" s="406"/>
      <c r="GK63" s="406"/>
      <c r="GL63" s="406"/>
      <c r="GM63" s="406"/>
      <c r="GN63" s="406"/>
      <c r="GO63" s="406"/>
      <c r="GP63" s="406"/>
      <c r="GQ63" s="406"/>
      <c r="GR63" s="406"/>
      <c r="GS63" s="406"/>
      <c r="GT63" s="406"/>
      <c r="GU63" s="406"/>
      <c r="GV63" s="406"/>
      <c r="GW63" s="406"/>
      <c r="GX63" s="406"/>
      <c r="GY63" s="406"/>
      <c r="GZ63" s="406"/>
      <c r="HA63" s="406"/>
      <c r="HB63" s="406"/>
      <c r="HC63" s="406"/>
      <c r="HD63" s="406"/>
      <c r="HE63" s="406"/>
      <c r="HF63" s="406"/>
      <c r="HG63" s="406"/>
      <c r="HH63" s="406"/>
      <c r="HI63" s="406"/>
      <c r="HJ63" s="406"/>
      <c r="HK63" s="406"/>
      <c r="HL63" s="406"/>
      <c r="HM63" s="406"/>
      <c r="HN63" s="406"/>
      <c r="HO63" s="406"/>
      <c r="HP63" s="406"/>
      <c r="HQ63" s="406"/>
      <c r="HR63" s="406"/>
      <c r="HS63" s="406"/>
      <c r="HT63" s="406"/>
      <c r="HU63" s="406"/>
      <c r="HV63" s="406"/>
      <c r="HW63" s="406"/>
      <c r="HX63" s="406"/>
      <c r="HY63" s="406"/>
      <c r="HZ63" s="406"/>
      <c r="IA63" s="406"/>
      <c r="IB63" s="406"/>
      <c r="IC63" s="406"/>
      <c r="ID63" s="406"/>
      <c r="IE63" s="406"/>
      <c r="IF63" s="406"/>
      <c r="IG63" s="406"/>
      <c r="IH63" s="406"/>
      <c r="II63" s="406"/>
      <c r="IJ63" s="406"/>
      <c r="IK63" s="406"/>
      <c r="IL63" s="406"/>
      <c r="IM63" s="406"/>
      <c r="IN63" s="406"/>
      <c r="IO63" s="406"/>
      <c r="IP63" s="406"/>
      <c r="IQ63" s="406"/>
      <c r="IR63" s="406"/>
      <c r="IS63" s="406"/>
      <c r="IT63" s="406"/>
      <c r="IU63" s="406"/>
      <c r="IV63" s="406"/>
    </row>
    <row r="64" spans="1:256" ht="15.75">
      <c r="A64" s="440" t="s">
        <v>274</v>
      </c>
      <c r="B64" s="574" t="s">
        <v>275</v>
      </c>
      <c r="C64" s="575"/>
      <c r="D64" s="575"/>
      <c r="E64" s="575"/>
      <c r="F64" s="575"/>
      <c r="G64" s="575"/>
      <c r="H64" s="575"/>
      <c r="I64" s="575"/>
      <c r="J64" s="575"/>
      <c r="K64" s="575"/>
      <c r="L64" s="575"/>
      <c r="M64" s="406"/>
      <c r="N64" s="406"/>
      <c r="O64" s="406"/>
      <c r="P64" s="406"/>
      <c r="Q64" s="406"/>
      <c r="R64" s="406"/>
      <c r="S64" s="407"/>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c r="CB64" s="406"/>
      <c r="CC64" s="406"/>
      <c r="CD64" s="406"/>
      <c r="CE64" s="406"/>
      <c r="CF64" s="406"/>
      <c r="CG64" s="406"/>
      <c r="CH64" s="406"/>
      <c r="CI64" s="406"/>
      <c r="CJ64" s="406"/>
      <c r="CK64" s="406"/>
      <c r="CL64" s="406"/>
      <c r="CM64" s="406"/>
      <c r="CN64" s="406"/>
      <c r="CO64" s="406"/>
      <c r="CP64" s="406"/>
      <c r="CQ64" s="406"/>
      <c r="CR64" s="406"/>
      <c r="CS64" s="406"/>
      <c r="CT64" s="406"/>
      <c r="CU64" s="406"/>
      <c r="CV64" s="406"/>
      <c r="CW64" s="406"/>
      <c r="CX64" s="406"/>
      <c r="CY64" s="406"/>
      <c r="CZ64" s="406"/>
      <c r="DA64" s="406"/>
      <c r="DB64" s="406"/>
      <c r="DC64" s="406"/>
      <c r="DD64" s="406"/>
      <c r="DE64" s="406"/>
      <c r="DF64" s="406"/>
      <c r="DG64" s="406"/>
      <c r="DH64" s="406"/>
      <c r="DI64" s="406"/>
      <c r="DJ64" s="406"/>
      <c r="DK64" s="406"/>
      <c r="DL64" s="406"/>
      <c r="DM64" s="406"/>
      <c r="DN64" s="406"/>
      <c r="DO64" s="406"/>
      <c r="DP64" s="406"/>
      <c r="DQ64" s="406"/>
      <c r="DR64" s="406"/>
      <c r="DS64" s="406"/>
      <c r="DT64" s="406"/>
      <c r="DU64" s="406"/>
      <c r="DV64" s="406"/>
      <c r="DW64" s="406"/>
      <c r="DX64" s="406"/>
      <c r="DY64" s="406"/>
      <c r="DZ64" s="406"/>
      <c r="EA64" s="406"/>
      <c r="EB64" s="406"/>
      <c r="EC64" s="406"/>
      <c r="ED64" s="406"/>
      <c r="EE64" s="406"/>
      <c r="EF64" s="406"/>
      <c r="EG64" s="406"/>
      <c r="EH64" s="406"/>
      <c r="EI64" s="406"/>
      <c r="EJ64" s="406"/>
      <c r="EK64" s="406"/>
      <c r="EL64" s="406"/>
      <c r="EM64" s="406"/>
      <c r="EN64" s="406"/>
      <c r="EO64" s="406"/>
      <c r="EP64" s="406"/>
      <c r="EQ64" s="406"/>
      <c r="ER64" s="406"/>
      <c r="ES64" s="406"/>
      <c r="ET64" s="406"/>
      <c r="EU64" s="406"/>
      <c r="EV64" s="406"/>
      <c r="EW64" s="406"/>
      <c r="EX64" s="406"/>
      <c r="EY64" s="406"/>
      <c r="EZ64" s="406"/>
      <c r="FA64" s="406"/>
      <c r="FB64" s="406"/>
      <c r="FC64" s="406"/>
      <c r="FD64" s="406"/>
      <c r="FE64" s="406"/>
      <c r="FF64" s="406"/>
      <c r="FG64" s="406"/>
      <c r="FH64" s="406"/>
      <c r="FI64" s="406"/>
      <c r="FJ64" s="406"/>
      <c r="FK64" s="406"/>
      <c r="FL64" s="406"/>
      <c r="FM64" s="406"/>
      <c r="FN64" s="406"/>
      <c r="FO64" s="406"/>
      <c r="FP64" s="406"/>
      <c r="FQ64" s="406"/>
      <c r="FR64" s="406"/>
      <c r="FS64" s="406"/>
      <c r="FT64" s="406"/>
      <c r="FU64" s="406"/>
      <c r="FV64" s="406"/>
      <c r="FW64" s="406"/>
      <c r="FX64" s="406"/>
      <c r="FY64" s="406"/>
      <c r="FZ64" s="406"/>
      <c r="GA64" s="406"/>
      <c r="GB64" s="406"/>
      <c r="GC64" s="406"/>
      <c r="GD64" s="406"/>
      <c r="GE64" s="406"/>
      <c r="GF64" s="406"/>
      <c r="GG64" s="406"/>
      <c r="GH64" s="406"/>
      <c r="GI64" s="406"/>
      <c r="GJ64" s="406"/>
      <c r="GK64" s="406"/>
      <c r="GL64" s="406"/>
      <c r="GM64" s="406"/>
      <c r="GN64" s="406"/>
      <c r="GO64" s="406"/>
      <c r="GP64" s="406"/>
      <c r="GQ64" s="406"/>
      <c r="GR64" s="406"/>
      <c r="GS64" s="406"/>
      <c r="GT64" s="406"/>
      <c r="GU64" s="406"/>
      <c r="GV64" s="406"/>
      <c r="GW64" s="406"/>
      <c r="GX64" s="406"/>
      <c r="GY64" s="406"/>
      <c r="GZ64" s="406"/>
      <c r="HA64" s="406"/>
      <c r="HB64" s="406"/>
      <c r="HC64" s="406"/>
      <c r="HD64" s="406"/>
      <c r="HE64" s="406"/>
      <c r="HF64" s="406"/>
      <c r="HG64" s="406"/>
      <c r="HH64" s="406"/>
      <c r="HI64" s="406"/>
      <c r="HJ64" s="406"/>
      <c r="HK64" s="406"/>
      <c r="HL64" s="406"/>
      <c r="HM64" s="406"/>
      <c r="HN64" s="406"/>
      <c r="HO64" s="406"/>
      <c r="HP64" s="406"/>
      <c r="HQ64" s="406"/>
      <c r="HR64" s="406"/>
      <c r="HS64" s="406"/>
      <c r="HT64" s="406"/>
      <c r="HU64" s="406"/>
      <c r="HV64" s="406"/>
      <c r="HW64" s="406"/>
      <c r="HX64" s="406"/>
      <c r="HY64" s="406"/>
      <c r="HZ64" s="406"/>
      <c r="IA64" s="406"/>
      <c r="IB64" s="406"/>
      <c r="IC64" s="406"/>
      <c r="ID64" s="406"/>
      <c r="IE64" s="406"/>
      <c r="IF64" s="406"/>
      <c r="IG64" s="406"/>
      <c r="IH64" s="406"/>
      <c r="II64" s="406"/>
      <c r="IJ64" s="406"/>
      <c r="IK64" s="406"/>
      <c r="IL64" s="406"/>
      <c r="IM64" s="406"/>
      <c r="IN64" s="406"/>
      <c r="IO64" s="406"/>
      <c r="IP64" s="406"/>
      <c r="IQ64" s="406"/>
      <c r="IR64" s="406"/>
      <c r="IS64" s="406"/>
      <c r="IT64" s="406"/>
      <c r="IU64" s="406"/>
      <c r="IV64" s="406"/>
    </row>
    <row r="65" spans="1:256" ht="15.75">
      <c r="A65" s="406"/>
      <c r="B65" s="575"/>
      <c r="C65" s="575"/>
      <c r="D65" s="575"/>
      <c r="E65" s="575"/>
      <c r="F65" s="575"/>
      <c r="G65" s="575"/>
      <c r="H65" s="575"/>
      <c r="I65" s="575"/>
      <c r="J65" s="575"/>
      <c r="K65" s="575"/>
      <c r="L65" s="575"/>
      <c r="M65" s="406"/>
      <c r="N65" s="406"/>
      <c r="O65" s="406"/>
      <c r="P65" s="406"/>
      <c r="Q65" s="406"/>
      <c r="R65" s="406"/>
      <c r="S65" s="407"/>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6"/>
      <c r="CO65" s="406"/>
      <c r="CP65" s="406"/>
      <c r="CQ65" s="406"/>
      <c r="CR65" s="406"/>
      <c r="CS65" s="406"/>
      <c r="CT65" s="406"/>
      <c r="CU65" s="406"/>
      <c r="CV65" s="406"/>
      <c r="CW65" s="406"/>
      <c r="CX65" s="406"/>
      <c r="CY65" s="406"/>
      <c r="CZ65" s="406"/>
      <c r="DA65" s="406"/>
      <c r="DB65" s="406"/>
      <c r="DC65" s="406"/>
      <c r="DD65" s="406"/>
      <c r="DE65" s="406"/>
      <c r="DF65" s="406"/>
      <c r="DG65" s="406"/>
      <c r="DH65" s="406"/>
      <c r="DI65" s="406"/>
      <c r="DJ65" s="406"/>
      <c r="DK65" s="406"/>
      <c r="DL65" s="406"/>
      <c r="DM65" s="406"/>
      <c r="DN65" s="406"/>
      <c r="DO65" s="406"/>
      <c r="DP65" s="406"/>
      <c r="DQ65" s="406"/>
      <c r="DR65" s="406"/>
      <c r="DS65" s="406"/>
      <c r="DT65" s="406"/>
      <c r="DU65" s="406"/>
      <c r="DV65" s="406"/>
      <c r="DW65" s="406"/>
      <c r="DX65" s="406"/>
      <c r="DY65" s="406"/>
      <c r="DZ65" s="406"/>
      <c r="EA65" s="406"/>
      <c r="EB65" s="406"/>
      <c r="EC65" s="406"/>
      <c r="ED65" s="406"/>
      <c r="EE65" s="406"/>
      <c r="EF65" s="406"/>
      <c r="EG65" s="406"/>
      <c r="EH65" s="406"/>
      <c r="EI65" s="406"/>
      <c r="EJ65" s="406"/>
      <c r="EK65" s="406"/>
      <c r="EL65" s="406"/>
      <c r="EM65" s="406"/>
      <c r="EN65" s="406"/>
      <c r="EO65" s="406"/>
      <c r="EP65" s="406"/>
      <c r="EQ65" s="406"/>
      <c r="ER65" s="406"/>
      <c r="ES65" s="406"/>
      <c r="ET65" s="406"/>
      <c r="EU65" s="406"/>
      <c r="EV65" s="406"/>
      <c r="EW65" s="406"/>
      <c r="EX65" s="406"/>
      <c r="EY65" s="406"/>
      <c r="EZ65" s="406"/>
      <c r="FA65" s="406"/>
      <c r="FB65" s="406"/>
      <c r="FC65" s="406"/>
      <c r="FD65" s="406"/>
      <c r="FE65" s="406"/>
      <c r="FF65" s="406"/>
      <c r="FG65" s="406"/>
      <c r="FH65" s="406"/>
      <c r="FI65" s="406"/>
      <c r="FJ65" s="406"/>
      <c r="FK65" s="406"/>
      <c r="FL65" s="406"/>
      <c r="FM65" s="406"/>
      <c r="FN65" s="406"/>
      <c r="FO65" s="406"/>
      <c r="FP65" s="406"/>
      <c r="FQ65" s="406"/>
      <c r="FR65" s="406"/>
      <c r="FS65" s="406"/>
      <c r="FT65" s="406"/>
      <c r="FU65" s="406"/>
      <c r="FV65" s="406"/>
      <c r="FW65" s="406"/>
      <c r="FX65" s="406"/>
      <c r="FY65" s="406"/>
      <c r="FZ65" s="406"/>
      <c r="GA65" s="406"/>
      <c r="GB65" s="406"/>
      <c r="GC65" s="406"/>
      <c r="GD65" s="406"/>
      <c r="GE65" s="406"/>
      <c r="GF65" s="406"/>
      <c r="GG65" s="406"/>
      <c r="GH65" s="406"/>
      <c r="GI65" s="406"/>
      <c r="GJ65" s="406"/>
      <c r="GK65" s="406"/>
      <c r="GL65" s="406"/>
      <c r="GM65" s="406"/>
      <c r="GN65" s="406"/>
      <c r="GO65" s="406"/>
      <c r="GP65" s="406"/>
      <c r="GQ65" s="406"/>
      <c r="GR65" s="406"/>
      <c r="GS65" s="406"/>
      <c r="GT65" s="406"/>
      <c r="GU65" s="406"/>
      <c r="GV65" s="406"/>
      <c r="GW65" s="406"/>
      <c r="GX65" s="406"/>
      <c r="GY65" s="406"/>
      <c r="GZ65" s="406"/>
      <c r="HA65" s="406"/>
      <c r="HB65" s="406"/>
      <c r="HC65" s="406"/>
      <c r="HD65" s="406"/>
      <c r="HE65" s="406"/>
      <c r="HF65" s="406"/>
      <c r="HG65" s="406"/>
      <c r="HH65" s="406"/>
      <c r="HI65" s="406"/>
      <c r="HJ65" s="406"/>
      <c r="HK65" s="406"/>
      <c r="HL65" s="406"/>
      <c r="HM65" s="406"/>
      <c r="HN65" s="406"/>
      <c r="HO65" s="406"/>
      <c r="HP65" s="406"/>
      <c r="HQ65" s="406"/>
      <c r="HR65" s="406"/>
      <c r="HS65" s="406"/>
      <c r="HT65" s="406"/>
      <c r="HU65" s="406"/>
      <c r="HV65" s="406"/>
      <c r="HW65" s="406"/>
      <c r="HX65" s="406"/>
      <c r="HY65" s="406"/>
      <c r="HZ65" s="406"/>
      <c r="IA65" s="406"/>
      <c r="IB65" s="406"/>
      <c r="IC65" s="406"/>
      <c r="ID65" s="406"/>
      <c r="IE65" s="406"/>
      <c r="IF65" s="406"/>
      <c r="IG65" s="406"/>
      <c r="IH65" s="406"/>
      <c r="II65" s="406"/>
      <c r="IJ65" s="406"/>
      <c r="IK65" s="406"/>
      <c r="IL65" s="406"/>
      <c r="IM65" s="406"/>
      <c r="IN65" s="406"/>
      <c r="IO65" s="406"/>
      <c r="IP65" s="406"/>
      <c r="IQ65" s="406"/>
      <c r="IR65" s="406"/>
      <c r="IS65" s="406"/>
      <c r="IT65" s="406"/>
      <c r="IU65" s="406"/>
      <c r="IV65" s="406"/>
    </row>
    <row r="66" spans="1:256" ht="15.75">
      <c r="A66" s="406"/>
      <c r="B66" s="406"/>
      <c r="C66" s="406"/>
      <c r="D66" s="406"/>
      <c r="E66" s="439"/>
      <c r="F66" s="406"/>
      <c r="G66" s="406"/>
      <c r="H66" s="439"/>
      <c r="I66" s="406"/>
      <c r="J66" s="406"/>
      <c r="K66" s="406"/>
      <c r="L66" s="406"/>
      <c r="M66" s="406"/>
      <c r="N66" s="406"/>
      <c r="O66" s="406"/>
      <c r="P66" s="406"/>
      <c r="Q66" s="406"/>
      <c r="R66" s="406"/>
      <c r="S66" s="407"/>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c r="CB66" s="406"/>
      <c r="CC66" s="406"/>
      <c r="CD66" s="406"/>
      <c r="CE66" s="406"/>
      <c r="CF66" s="406"/>
      <c r="CG66" s="406"/>
      <c r="CH66" s="406"/>
      <c r="CI66" s="406"/>
      <c r="CJ66" s="406"/>
      <c r="CK66" s="406"/>
      <c r="CL66" s="406"/>
      <c r="CM66" s="406"/>
      <c r="CN66" s="406"/>
      <c r="CO66" s="406"/>
      <c r="CP66" s="406"/>
      <c r="CQ66" s="406"/>
      <c r="CR66" s="406"/>
      <c r="CS66" s="406"/>
      <c r="CT66" s="406"/>
      <c r="CU66" s="406"/>
      <c r="CV66" s="406"/>
      <c r="CW66" s="406"/>
      <c r="CX66" s="406"/>
      <c r="CY66" s="406"/>
      <c r="CZ66" s="406"/>
      <c r="DA66" s="406"/>
      <c r="DB66" s="406"/>
      <c r="DC66" s="406"/>
      <c r="DD66" s="406"/>
      <c r="DE66" s="406"/>
      <c r="DF66" s="406"/>
      <c r="DG66" s="406"/>
      <c r="DH66" s="406"/>
      <c r="DI66" s="406"/>
      <c r="DJ66" s="406"/>
      <c r="DK66" s="406"/>
      <c r="DL66" s="406"/>
      <c r="DM66" s="406"/>
      <c r="DN66" s="406"/>
      <c r="DO66" s="406"/>
      <c r="DP66" s="406"/>
      <c r="DQ66" s="406"/>
      <c r="DR66" s="406"/>
      <c r="DS66" s="406"/>
      <c r="DT66" s="406"/>
      <c r="DU66" s="406"/>
      <c r="DV66" s="406"/>
      <c r="DW66" s="406"/>
      <c r="DX66" s="406"/>
      <c r="DY66" s="406"/>
      <c r="DZ66" s="406"/>
      <c r="EA66" s="406"/>
      <c r="EB66" s="406"/>
      <c r="EC66" s="406"/>
      <c r="ED66" s="406"/>
      <c r="EE66" s="406"/>
      <c r="EF66" s="406"/>
      <c r="EG66" s="406"/>
      <c r="EH66" s="406"/>
      <c r="EI66" s="406"/>
      <c r="EJ66" s="406"/>
      <c r="EK66" s="406"/>
      <c r="EL66" s="406"/>
      <c r="EM66" s="406"/>
      <c r="EN66" s="406"/>
      <c r="EO66" s="406"/>
      <c r="EP66" s="406"/>
      <c r="EQ66" s="406"/>
      <c r="ER66" s="406"/>
      <c r="ES66" s="406"/>
      <c r="ET66" s="406"/>
      <c r="EU66" s="406"/>
      <c r="EV66" s="406"/>
      <c r="EW66" s="406"/>
      <c r="EX66" s="406"/>
      <c r="EY66" s="406"/>
      <c r="EZ66" s="406"/>
      <c r="FA66" s="406"/>
      <c r="FB66" s="406"/>
      <c r="FC66" s="406"/>
      <c r="FD66" s="406"/>
      <c r="FE66" s="406"/>
      <c r="FF66" s="406"/>
      <c r="FG66" s="406"/>
      <c r="FH66" s="406"/>
      <c r="FI66" s="406"/>
      <c r="FJ66" s="406"/>
      <c r="FK66" s="406"/>
      <c r="FL66" s="406"/>
      <c r="FM66" s="406"/>
      <c r="FN66" s="406"/>
      <c r="FO66" s="406"/>
      <c r="FP66" s="406"/>
      <c r="FQ66" s="406"/>
      <c r="FR66" s="406"/>
      <c r="FS66" s="406"/>
      <c r="FT66" s="406"/>
      <c r="FU66" s="406"/>
      <c r="FV66" s="406"/>
      <c r="FW66" s="406"/>
      <c r="FX66" s="406"/>
      <c r="FY66" s="406"/>
      <c r="FZ66" s="406"/>
      <c r="GA66" s="406"/>
      <c r="GB66" s="406"/>
      <c r="GC66" s="406"/>
      <c r="GD66" s="406"/>
      <c r="GE66" s="406"/>
      <c r="GF66" s="406"/>
      <c r="GG66" s="406"/>
      <c r="GH66" s="406"/>
      <c r="GI66" s="406"/>
      <c r="GJ66" s="406"/>
      <c r="GK66" s="406"/>
      <c r="GL66" s="406"/>
      <c r="GM66" s="406"/>
      <c r="GN66" s="406"/>
      <c r="GO66" s="406"/>
      <c r="GP66" s="406"/>
      <c r="GQ66" s="406"/>
      <c r="GR66" s="406"/>
      <c r="GS66" s="406"/>
      <c r="GT66" s="406"/>
      <c r="GU66" s="406"/>
      <c r="GV66" s="406"/>
      <c r="GW66" s="406"/>
      <c r="GX66" s="406"/>
      <c r="GY66" s="406"/>
      <c r="GZ66" s="406"/>
      <c r="HA66" s="406"/>
      <c r="HB66" s="406"/>
      <c r="HC66" s="406"/>
      <c r="HD66" s="406"/>
      <c r="HE66" s="406"/>
      <c r="HF66" s="406"/>
      <c r="HG66" s="406"/>
      <c r="HH66" s="406"/>
      <c r="HI66" s="406"/>
      <c r="HJ66" s="406"/>
      <c r="HK66" s="406"/>
      <c r="HL66" s="406"/>
      <c r="HM66" s="406"/>
      <c r="HN66" s="406"/>
      <c r="HO66" s="406"/>
      <c r="HP66" s="406"/>
      <c r="HQ66" s="406"/>
      <c r="HR66" s="406"/>
      <c r="HS66" s="406"/>
      <c r="HT66" s="406"/>
      <c r="HU66" s="406"/>
      <c r="HV66" s="406"/>
      <c r="HW66" s="406"/>
      <c r="HX66" s="406"/>
      <c r="HY66" s="406"/>
      <c r="HZ66" s="406"/>
      <c r="IA66" s="406"/>
      <c r="IB66" s="406"/>
      <c r="IC66" s="406"/>
      <c r="ID66" s="406"/>
      <c r="IE66" s="406"/>
      <c r="IF66" s="406"/>
      <c r="IG66" s="406"/>
      <c r="IH66" s="406"/>
      <c r="II66" s="406"/>
      <c r="IJ66" s="406"/>
      <c r="IK66" s="406"/>
      <c r="IL66" s="406"/>
      <c r="IM66" s="406"/>
      <c r="IN66" s="406"/>
      <c r="IO66" s="406"/>
      <c r="IP66" s="406"/>
      <c r="IQ66" s="406"/>
      <c r="IR66" s="406"/>
      <c r="IS66" s="406"/>
      <c r="IT66" s="406"/>
      <c r="IU66" s="406"/>
      <c r="IV66" s="406"/>
    </row>
    <row r="67" spans="1:256" ht="15.75">
      <c r="A67" s="406"/>
      <c r="B67" s="406"/>
      <c r="C67" s="406"/>
      <c r="D67" s="406"/>
      <c r="E67" s="439"/>
      <c r="F67" s="406"/>
      <c r="G67" s="406"/>
      <c r="H67" s="439"/>
      <c r="I67" s="406"/>
      <c r="J67" s="406"/>
      <c r="K67" s="406"/>
      <c r="L67" s="406"/>
      <c r="M67" s="406"/>
      <c r="N67" s="406"/>
      <c r="O67" s="406"/>
      <c r="P67" s="406"/>
      <c r="Q67" s="406"/>
      <c r="R67" s="406"/>
      <c r="S67" s="407"/>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06"/>
      <c r="CJ67" s="406"/>
      <c r="CK67" s="406"/>
      <c r="CL67" s="406"/>
      <c r="CM67" s="406"/>
      <c r="CN67" s="406"/>
      <c r="CO67" s="406"/>
      <c r="CP67" s="406"/>
      <c r="CQ67" s="406"/>
      <c r="CR67" s="406"/>
      <c r="CS67" s="406"/>
      <c r="CT67" s="406"/>
      <c r="CU67" s="406"/>
      <c r="CV67" s="406"/>
      <c r="CW67" s="406"/>
      <c r="CX67" s="406"/>
      <c r="CY67" s="406"/>
      <c r="CZ67" s="406"/>
      <c r="DA67" s="406"/>
      <c r="DB67" s="406"/>
      <c r="DC67" s="406"/>
      <c r="DD67" s="406"/>
      <c r="DE67" s="406"/>
      <c r="DF67" s="406"/>
      <c r="DG67" s="406"/>
      <c r="DH67" s="406"/>
      <c r="DI67" s="406"/>
      <c r="DJ67" s="406"/>
      <c r="DK67" s="406"/>
      <c r="DL67" s="406"/>
      <c r="DM67" s="406"/>
      <c r="DN67" s="406"/>
      <c r="DO67" s="406"/>
      <c r="DP67" s="406"/>
      <c r="DQ67" s="406"/>
      <c r="DR67" s="406"/>
      <c r="DS67" s="406"/>
      <c r="DT67" s="406"/>
      <c r="DU67" s="406"/>
      <c r="DV67" s="406"/>
      <c r="DW67" s="406"/>
      <c r="DX67" s="406"/>
      <c r="DY67" s="406"/>
      <c r="DZ67" s="406"/>
      <c r="EA67" s="406"/>
      <c r="EB67" s="406"/>
      <c r="EC67" s="406"/>
      <c r="ED67" s="406"/>
      <c r="EE67" s="406"/>
      <c r="EF67" s="406"/>
      <c r="EG67" s="406"/>
      <c r="EH67" s="406"/>
      <c r="EI67" s="406"/>
      <c r="EJ67" s="406"/>
      <c r="EK67" s="406"/>
      <c r="EL67" s="406"/>
      <c r="EM67" s="406"/>
      <c r="EN67" s="406"/>
      <c r="EO67" s="406"/>
      <c r="EP67" s="406"/>
      <c r="EQ67" s="406"/>
      <c r="ER67" s="406"/>
      <c r="ES67" s="406"/>
      <c r="ET67" s="406"/>
      <c r="EU67" s="406"/>
      <c r="EV67" s="406"/>
      <c r="EW67" s="406"/>
      <c r="EX67" s="406"/>
      <c r="EY67" s="406"/>
      <c r="EZ67" s="406"/>
      <c r="FA67" s="406"/>
      <c r="FB67" s="406"/>
      <c r="FC67" s="406"/>
      <c r="FD67" s="406"/>
      <c r="FE67" s="406"/>
      <c r="FF67" s="406"/>
      <c r="FG67" s="406"/>
      <c r="FH67" s="406"/>
      <c r="FI67" s="406"/>
      <c r="FJ67" s="406"/>
      <c r="FK67" s="406"/>
      <c r="FL67" s="406"/>
      <c r="FM67" s="406"/>
      <c r="FN67" s="406"/>
      <c r="FO67" s="406"/>
      <c r="FP67" s="406"/>
      <c r="FQ67" s="406"/>
      <c r="FR67" s="406"/>
      <c r="FS67" s="406"/>
      <c r="FT67" s="406"/>
      <c r="FU67" s="406"/>
      <c r="FV67" s="406"/>
      <c r="FW67" s="406"/>
      <c r="FX67" s="406"/>
      <c r="FY67" s="406"/>
      <c r="FZ67" s="406"/>
      <c r="GA67" s="406"/>
      <c r="GB67" s="406"/>
      <c r="GC67" s="406"/>
      <c r="GD67" s="406"/>
      <c r="GE67" s="406"/>
      <c r="GF67" s="406"/>
      <c r="GG67" s="406"/>
      <c r="GH67" s="406"/>
      <c r="GI67" s="406"/>
      <c r="GJ67" s="406"/>
      <c r="GK67" s="406"/>
      <c r="GL67" s="406"/>
      <c r="GM67" s="406"/>
      <c r="GN67" s="406"/>
      <c r="GO67" s="406"/>
      <c r="GP67" s="406"/>
      <c r="GQ67" s="406"/>
      <c r="GR67" s="406"/>
      <c r="GS67" s="406"/>
      <c r="GT67" s="406"/>
      <c r="GU67" s="406"/>
      <c r="GV67" s="406"/>
      <c r="GW67" s="406"/>
      <c r="GX67" s="406"/>
      <c r="GY67" s="406"/>
      <c r="GZ67" s="406"/>
      <c r="HA67" s="406"/>
      <c r="HB67" s="406"/>
      <c r="HC67" s="406"/>
      <c r="HD67" s="406"/>
      <c r="HE67" s="406"/>
      <c r="HF67" s="406"/>
      <c r="HG67" s="406"/>
      <c r="HH67" s="406"/>
      <c r="HI67" s="406"/>
      <c r="HJ67" s="406"/>
      <c r="HK67" s="406"/>
      <c r="HL67" s="406"/>
      <c r="HM67" s="406"/>
      <c r="HN67" s="406"/>
      <c r="HO67" s="406"/>
      <c r="HP67" s="406"/>
      <c r="HQ67" s="406"/>
      <c r="HR67" s="406"/>
      <c r="HS67" s="406"/>
      <c r="HT67" s="406"/>
      <c r="HU67" s="406"/>
      <c r="HV67" s="406"/>
      <c r="HW67" s="406"/>
      <c r="HX67" s="406"/>
      <c r="HY67" s="406"/>
      <c r="HZ67" s="406"/>
      <c r="IA67" s="406"/>
      <c r="IB67" s="406"/>
      <c r="IC67" s="406"/>
      <c r="ID67" s="406"/>
      <c r="IE67" s="406"/>
      <c r="IF67" s="406"/>
      <c r="IG67" s="406"/>
      <c r="IH67" s="406"/>
      <c r="II67" s="406"/>
      <c r="IJ67" s="406"/>
      <c r="IK67" s="406"/>
      <c r="IL67" s="406"/>
      <c r="IM67" s="406"/>
      <c r="IN67" s="406"/>
      <c r="IO67" s="406"/>
      <c r="IP67" s="406"/>
      <c r="IQ67" s="406"/>
      <c r="IR67" s="406"/>
      <c r="IS67" s="406"/>
      <c r="IT67" s="406"/>
      <c r="IU67" s="406"/>
      <c r="IV67" s="406"/>
    </row>
    <row r="68" spans="1:256" ht="15.75">
      <c r="A68" s="406"/>
      <c r="B68" s="406"/>
      <c r="C68" s="406"/>
      <c r="D68" s="406"/>
      <c r="E68" s="439"/>
      <c r="F68" s="406"/>
      <c r="G68" s="406"/>
      <c r="H68" s="439"/>
      <c r="I68" s="406"/>
      <c r="J68" s="406"/>
      <c r="K68" s="406"/>
      <c r="L68" s="406"/>
      <c r="M68" s="406"/>
      <c r="N68" s="406"/>
      <c r="O68" s="406"/>
      <c r="P68" s="406"/>
      <c r="Q68" s="406"/>
      <c r="R68" s="406"/>
      <c r="S68" s="407"/>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c r="DE68" s="406"/>
      <c r="DF68" s="406"/>
      <c r="DG68" s="406"/>
      <c r="DH68" s="406"/>
      <c r="DI68" s="406"/>
      <c r="DJ68" s="406"/>
      <c r="DK68" s="406"/>
      <c r="DL68" s="406"/>
      <c r="DM68" s="406"/>
      <c r="DN68" s="406"/>
      <c r="DO68" s="406"/>
      <c r="DP68" s="406"/>
      <c r="DQ68" s="406"/>
      <c r="DR68" s="406"/>
      <c r="DS68" s="406"/>
      <c r="DT68" s="406"/>
      <c r="DU68" s="406"/>
      <c r="DV68" s="406"/>
      <c r="DW68" s="406"/>
      <c r="DX68" s="406"/>
      <c r="DY68" s="406"/>
      <c r="DZ68" s="406"/>
      <c r="EA68" s="406"/>
      <c r="EB68" s="406"/>
      <c r="EC68" s="406"/>
      <c r="ED68" s="406"/>
      <c r="EE68" s="406"/>
      <c r="EF68" s="406"/>
      <c r="EG68" s="406"/>
      <c r="EH68" s="406"/>
      <c r="EI68" s="406"/>
      <c r="EJ68" s="406"/>
      <c r="EK68" s="406"/>
      <c r="EL68" s="406"/>
      <c r="EM68" s="406"/>
      <c r="EN68" s="406"/>
      <c r="EO68" s="406"/>
      <c r="EP68" s="406"/>
      <c r="EQ68" s="406"/>
      <c r="ER68" s="406"/>
      <c r="ES68" s="406"/>
      <c r="ET68" s="406"/>
      <c r="EU68" s="406"/>
      <c r="EV68" s="406"/>
      <c r="EW68" s="406"/>
      <c r="EX68" s="406"/>
      <c r="EY68" s="406"/>
      <c r="EZ68" s="406"/>
      <c r="FA68" s="406"/>
      <c r="FB68" s="406"/>
      <c r="FC68" s="406"/>
      <c r="FD68" s="406"/>
      <c r="FE68" s="406"/>
      <c r="FF68" s="406"/>
      <c r="FG68" s="406"/>
      <c r="FH68" s="406"/>
      <c r="FI68" s="406"/>
      <c r="FJ68" s="406"/>
      <c r="FK68" s="406"/>
      <c r="FL68" s="406"/>
      <c r="FM68" s="406"/>
      <c r="FN68" s="406"/>
      <c r="FO68" s="406"/>
      <c r="FP68" s="406"/>
      <c r="FQ68" s="406"/>
      <c r="FR68" s="406"/>
      <c r="FS68" s="406"/>
      <c r="FT68" s="406"/>
      <c r="FU68" s="406"/>
      <c r="FV68" s="406"/>
      <c r="FW68" s="406"/>
      <c r="FX68" s="406"/>
      <c r="FY68" s="406"/>
      <c r="FZ68" s="406"/>
      <c r="GA68" s="406"/>
      <c r="GB68" s="406"/>
      <c r="GC68" s="406"/>
      <c r="GD68" s="406"/>
      <c r="GE68" s="406"/>
      <c r="GF68" s="406"/>
      <c r="GG68" s="406"/>
      <c r="GH68" s="406"/>
      <c r="GI68" s="406"/>
      <c r="GJ68" s="406"/>
      <c r="GK68" s="406"/>
      <c r="GL68" s="406"/>
      <c r="GM68" s="406"/>
      <c r="GN68" s="406"/>
      <c r="GO68" s="406"/>
      <c r="GP68" s="406"/>
      <c r="GQ68" s="406"/>
      <c r="GR68" s="406"/>
      <c r="GS68" s="406"/>
      <c r="GT68" s="406"/>
      <c r="GU68" s="406"/>
      <c r="GV68" s="406"/>
      <c r="GW68" s="406"/>
      <c r="GX68" s="406"/>
      <c r="GY68" s="406"/>
      <c r="GZ68" s="406"/>
      <c r="HA68" s="406"/>
      <c r="HB68" s="406"/>
      <c r="HC68" s="406"/>
      <c r="HD68" s="406"/>
      <c r="HE68" s="406"/>
      <c r="HF68" s="406"/>
      <c r="HG68" s="406"/>
      <c r="HH68" s="406"/>
      <c r="HI68" s="406"/>
      <c r="HJ68" s="406"/>
      <c r="HK68" s="406"/>
      <c r="HL68" s="406"/>
      <c r="HM68" s="406"/>
      <c r="HN68" s="406"/>
      <c r="HO68" s="406"/>
      <c r="HP68" s="406"/>
      <c r="HQ68" s="406"/>
      <c r="HR68" s="406"/>
      <c r="HS68" s="406"/>
      <c r="HT68" s="406"/>
      <c r="HU68" s="406"/>
      <c r="HV68" s="406"/>
      <c r="HW68" s="406"/>
      <c r="HX68" s="406"/>
      <c r="HY68" s="406"/>
      <c r="HZ68" s="406"/>
      <c r="IA68" s="406"/>
      <c r="IB68" s="406"/>
      <c r="IC68" s="406"/>
      <c r="ID68" s="406"/>
      <c r="IE68" s="406"/>
      <c r="IF68" s="406"/>
      <c r="IG68" s="406"/>
      <c r="IH68" s="406"/>
      <c r="II68" s="406"/>
      <c r="IJ68" s="406"/>
      <c r="IK68" s="406"/>
      <c r="IL68" s="406"/>
      <c r="IM68" s="406"/>
      <c r="IN68" s="406"/>
      <c r="IO68" s="406"/>
      <c r="IP68" s="406"/>
      <c r="IQ68" s="406"/>
      <c r="IR68" s="406"/>
      <c r="IS68" s="406"/>
      <c r="IT68" s="406"/>
      <c r="IU68" s="406"/>
      <c r="IV68" s="406"/>
    </row>
    <row r="69" spans="1:256" ht="15.75">
      <c r="A69" s="441"/>
      <c r="B69" s="441"/>
      <c r="C69" s="441"/>
      <c r="D69" s="439"/>
      <c r="E69" s="439"/>
      <c r="F69" s="441"/>
      <c r="G69" s="441"/>
      <c r="H69" s="441"/>
      <c r="I69" s="441"/>
      <c r="J69" s="441"/>
      <c r="K69" s="441"/>
      <c r="L69" s="441"/>
      <c r="M69" s="441"/>
      <c r="N69" s="441"/>
      <c r="O69" s="441"/>
      <c r="P69" s="441"/>
      <c r="Q69" s="441"/>
      <c r="R69" s="441"/>
      <c r="S69" s="407"/>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1"/>
      <c r="CH69" s="441"/>
      <c r="CI69" s="441"/>
      <c r="CJ69" s="441"/>
      <c r="CK69" s="441"/>
      <c r="CL69" s="441"/>
      <c r="CM69" s="441"/>
      <c r="CN69" s="441"/>
      <c r="CO69" s="441"/>
      <c r="CP69" s="441"/>
      <c r="CQ69" s="441"/>
      <c r="CR69" s="441"/>
      <c r="CS69" s="441"/>
      <c r="CT69" s="441"/>
      <c r="CU69" s="441"/>
      <c r="CV69" s="441"/>
      <c r="CW69" s="441"/>
      <c r="CX69" s="441"/>
      <c r="CY69" s="441"/>
      <c r="CZ69" s="441"/>
      <c r="DA69" s="441"/>
      <c r="DB69" s="441"/>
      <c r="DC69" s="441"/>
      <c r="DD69" s="441"/>
      <c r="DE69" s="441"/>
      <c r="DF69" s="441"/>
      <c r="DG69" s="441"/>
      <c r="DH69" s="441"/>
      <c r="DI69" s="441"/>
      <c r="DJ69" s="441"/>
      <c r="DK69" s="441"/>
      <c r="DL69" s="441"/>
      <c r="DM69" s="441"/>
      <c r="DN69" s="441"/>
      <c r="DO69" s="441"/>
      <c r="DP69" s="441"/>
      <c r="DQ69" s="441"/>
      <c r="DR69" s="441"/>
      <c r="DS69" s="441"/>
      <c r="DT69" s="441"/>
      <c r="DU69" s="441"/>
      <c r="DV69" s="441"/>
      <c r="DW69" s="441"/>
      <c r="DX69" s="441"/>
      <c r="DY69" s="441"/>
      <c r="DZ69" s="441"/>
      <c r="EA69" s="441"/>
      <c r="EB69" s="441"/>
      <c r="EC69" s="441"/>
      <c r="ED69" s="441"/>
      <c r="EE69" s="441"/>
      <c r="EF69" s="441"/>
      <c r="EG69" s="441"/>
      <c r="EH69" s="441"/>
      <c r="EI69" s="441"/>
      <c r="EJ69" s="441"/>
      <c r="EK69" s="441"/>
      <c r="EL69" s="441"/>
      <c r="EM69" s="441"/>
      <c r="EN69" s="441"/>
      <c r="EO69" s="441"/>
      <c r="EP69" s="441"/>
      <c r="EQ69" s="441"/>
      <c r="ER69" s="441"/>
      <c r="ES69" s="441"/>
      <c r="ET69" s="441"/>
      <c r="EU69" s="441"/>
      <c r="EV69" s="441"/>
      <c r="EW69" s="441"/>
      <c r="EX69" s="441"/>
      <c r="EY69" s="441"/>
      <c r="EZ69" s="441"/>
      <c r="FA69" s="441"/>
      <c r="FB69" s="441"/>
      <c r="FC69" s="441"/>
      <c r="FD69" s="441"/>
      <c r="FE69" s="441"/>
      <c r="FF69" s="441"/>
      <c r="FG69" s="441"/>
      <c r="FH69" s="441"/>
      <c r="FI69" s="441"/>
      <c r="FJ69" s="441"/>
      <c r="FK69" s="441"/>
      <c r="FL69" s="441"/>
      <c r="FM69" s="441"/>
      <c r="FN69" s="441"/>
      <c r="FO69" s="441"/>
      <c r="FP69" s="441"/>
      <c r="FQ69" s="441"/>
      <c r="FR69" s="441"/>
      <c r="FS69" s="441"/>
      <c r="FT69" s="441"/>
      <c r="FU69" s="441"/>
      <c r="FV69" s="441"/>
      <c r="FW69" s="441"/>
      <c r="FX69" s="441"/>
      <c r="FY69" s="441"/>
      <c r="FZ69" s="441"/>
      <c r="GA69" s="441"/>
      <c r="GB69" s="441"/>
      <c r="GC69" s="441"/>
      <c r="GD69" s="441"/>
      <c r="GE69" s="441"/>
      <c r="GF69" s="441"/>
      <c r="GG69" s="441"/>
      <c r="GH69" s="441"/>
      <c r="GI69" s="441"/>
      <c r="GJ69" s="441"/>
      <c r="GK69" s="441"/>
      <c r="GL69" s="441"/>
      <c r="GM69" s="441"/>
      <c r="GN69" s="441"/>
      <c r="GO69" s="441"/>
      <c r="GP69" s="441"/>
      <c r="GQ69" s="441"/>
      <c r="GR69" s="441"/>
      <c r="GS69" s="441"/>
      <c r="GT69" s="441"/>
      <c r="GU69" s="441"/>
      <c r="GV69" s="441"/>
      <c r="GW69" s="441"/>
      <c r="GX69" s="441"/>
      <c r="GY69" s="441"/>
      <c r="GZ69" s="441"/>
      <c r="HA69" s="441"/>
      <c r="HB69" s="441"/>
      <c r="HC69" s="441"/>
      <c r="HD69" s="441"/>
      <c r="HE69" s="441"/>
      <c r="HF69" s="441"/>
      <c r="HG69" s="441"/>
      <c r="HH69" s="441"/>
      <c r="HI69" s="441"/>
      <c r="HJ69" s="441"/>
      <c r="HK69" s="441"/>
      <c r="HL69" s="441"/>
      <c r="HM69" s="441"/>
      <c r="HN69" s="441"/>
      <c r="HO69" s="441"/>
      <c r="HP69" s="441"/>
      <c r="HQ69" s="441"/>
      <c r="HR69" s="441"/>
      <c r="HS69" s="441"/>
      <c r="HT69" s="441"/>
      <c r="HU69" s="441"/>
      <c r="HV69" s="441"/>
      <c r="HW69" s="441"/>
      <c r="HX69" s="441"/>
      <c r="HY69" s="441"/>
      <c r="HZ69" s="441"/>
      <c r="IA69" s="441"/>
      <c r="IB69" s="441"/>
      <c r="IC69" s="441"/>
      <c r="ID69" s="441"/>
      <c r="IE69" s="441"/>
      <c r="IF69" s="441"/>
      <c r="IG69" s="441"/>
      <c r="IH69" s="441"/>
      <c r="II69" s="441"/>
      <c r="IJ69" s="441"/>
      <c r="IK69" s="441"/>
      <c r="IL69" s="441"/>
      <c r="IM69" s="441"/>
      <c r="IN69" s="441"/>
      <c r="IO69" s="441"/>
      <c r="IP69" s="441"/>
      <c r="IQ69" s="441"/>
      <c r="IR69" s="441"/>
      <c r="IS69" s="441"/>
      <c r="IT69" s="441"/>
      <c r="IU69" s="441"/>
      <c r="IV69" s="441"/>
    </row>
    <row r="70" spans="1:256" ht="15.75">
      <c r="A70" s="406"/>
      <c r="B70" s="406"/>
      <c r="C70" s="406"/>
      <c r="D70" s="406"/>
      <c r="E70" s="439"/>
      <c r="F70" s="406"/>
      <c r="G70" s="406"/>
      <c r="H70" s="439"/>
      <c r="I70" s="406"/>
      <c r="J70" s="406"/>
      <c r="K70" s="406"/>
      <c r="L70" s="406"/>
      <c r="M70" s="406"/>
      <c r="N70" s="406"/>
      <c r="O70" s="406"/>
      <c r="P70" s="406"/>
      <c r="Q70" s="406"/>
      <c r="R70" s="406"/>
      <c r="S70" s="407"/>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AX70" s="406"/>
      <c r="AY70" s="406"/>
      <c r="AZ70" s="406"/>
      <c r="BA70" s="406"/>
      <c r="BB70" s="406"/>
      <c r="BC70" s="406"/>
      <c r="BD70" s="406"/>
      <c r="BE70" s="406"/>
      <c r="BF70" s="406"/>
      <c r="BG70" s="406"/>
      <c r="BH70" s="406"/>
      <c r="BI70" s="406"/>
      <c r="BJ70" s="406"/>
      <c r="BK70" s="406"/>
      <c r="BL70" s="406"/>
      <c r="BM70" s="406"/>
      <c r="BN70" s="406"/>
      <c r="BO70" s="406"/>
      <c r="BP70" s="406"/>
      <c r="BQ70" s="406"/>
      <c r="BR70" s="406"/>
      <c r="BS70" s="406"/>
      <c r="BT70" s="406"/>
      <c r="BU70" s="406"/>
      <c r="BV70" s="406"/>
      <c r="BW70" s="406"/>
      <c r="BX70" s="406"/>
      <c r="BY70" s="406"/>
      <c r="BZ70" s="406"/>
      <c r="CA70" s="406"/>
      <c r="CB70" s="406"/>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406"/>
      <c r="EP70" s="406"/>
      <c r="EQ70" s="406"/>
      <c r="ER70" s="406"/>
      <c r="ES70" s="406"/>
      <c r="ET70" s="406"/>
      <c r="EU70" s="406"/>
      <c r="EV70" s="406"/>
      <c r="EW70" s="406"/>
      <c r="EX70" s="406"/>
      <c r="EY70" s="406"/>
      <c r="EZ70" s="406"/>
      <c r="FA70" s="406"/>
      <c r="FB70" s="406"/>
      <c r="FC70" s="406"/>
      <c r="FD70" s="406"/>
      <c r="FE70" s="406"/>
      <c r="FF70" s="406"/>
      <c r="FG70" s="406"/>
      <c r="FH70" s="406"/>
      <c r="FI70" s="406"/>
      <c r="FJ70" s="406"/>
      <c r="FK70" s="406"/>
      <c r="FL70" s="406"/>
      <c r="FM70" s="406"/>
      <c r="FN70" s="406"/>
      <c r="FO70" s="406"/>
      <c r="FP70" s="406"/>
      <c r="FQ70" s="406"/>
      <c r="FR70" s="406"/>
      <c r="FS70" s="406"/>
      <c r="FT70" s="406"/>
      <c r="FU70" s="406"/>
      <c r="FV70" s="406"/>
      <c r="FW70" s="406"/>
      <c r="FX70" s="406"/>
      <c r="FY70" s="406"/>
      <c r="FZ70" s="406"/>
      <c r="GA70" s="406"/>
      <c r="GB70" s="406"/>
      <c r="GC70" s="406"/>
      <c r="GD70" s="406"/>
      <c r="GE70" s="406"/>
      <c r="GF70" s="406"/>
      <c r="GG70" s="406"/>
      <c r="GH70" s="406"/>
      <c r="GI70" s="406"/>
      <c r="GJ70" s="406"/>
      <c r="GK70" s="406"/>
      <c r="GL70" s="406"/>
      <c r="GM70" s="406"/>
      <c r="GN70" s="406"/>
      <c r="GO70" s="406"/>
      <c r="GP70" s="406"/>
      <c r="GQ70" s="406"/>
      <c r="GR70" s="406"/>
      <c r="GS70" s="406"/>
      <c r="GT70" s="406"/>
      <c r="GU70" s="406"/>
      <c r="GV70" s="406"/>
      <c r="GW70" s="406"/>
      <c r="GX70" s="406"/>
      <c r="GY70" s="406"/>
      <c r="GZ70" s="406"/>
      <c r="HA70" s="406"/>
      <c r="HB70" s="406"/>
      <c r="HC70" s="406"/>
      <c r="HD70" s="406"/>
      <c r="HE70" s="406"/>
      <c r="HF70" s="406"/>
      <c r="HG70" s="406"/>
      <c r="HH70" s="406"/>
      <c r="HI70" s="406"/>
      <c r="HJ70" s="406"/>
      <c r="HK70" s="406"/>
      <c r="HL70" s="406"/>
      <c r="HM70" s="406"/>
      <c r="HN70" s="406"/>
      <c r="HO70" s="406"/>
      <c r="HP70" s="406"/>
      <c r="HQ70" s="406"/>
      <c r="HR70" s="406"/>
      <c r="HS70" s="406"/>
      <c r="HT70" s="406"/>
      <c r="HU70" s="406"/>
      <c r="HV70" s="406"/>
      <c r="HW70" s="406"/>
      <c r="HX70" s="406"/>
      <c r="HY70" s="406"/>
      <c r="HZ70" s="406"/>
      <c r="IA70" s="406"/>
      <c r="IB70" s="406"/>
      <c r="IC70" s="406"/>
      <c r="ID70" s="406"/>
      <c r="IE70" s="406"/>
      <c r="IF70" s="406"/>
      <c r="IG70" s="406"/>
      <c r="IH70" s="406"/>
      <c r="II70" s="406"/>
      <c r="IJ70" s="406"/>
      <c r="IK70" s="406"/>
      <c r="IL70" s="406"/>
      <c r="IM70" s="406"/>
      <c r="IN70" s="406"/>
      <c r="IO70" s="406"/>
      <c r="IP70" s="406"/>
      <c r="IQ70" s="406"/>
      <c r="IR70" s="406"/>
      <c r="IS70" s="406"/>
      <c r="IT70" s="406"/>
      <c r="IU70" s="406"/>
      <c r="IV70" s="406"/>
    </row>
    <row r="71" spans="1:256" ht="15.75">
      <c r="A71" s="407"/>
      <c r="B71" s="407"/>
      <c r="C71" s="407"/>
      <c r="D71" s="407"/>
      <c r="E71" s="439"/>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c r="BW71" s="407"/>
      <c r="BX71" s="407"/>
      <c r="BY71" s="407"/>
      <c r="BZ71" s="407"/>
      <c r="CA71" s="407"/>
      <c r="CB71" s="407"/>
      <c r="CC71" s="407"/>
      <c r="CD71" s="407"/>
      <c r="CE71" s="407"/>
      <c r="CF71" s="407"/>
      <c r="CG71" s="407"/>
      <c r="CH71" s="407"/>
      <c r="CI71" s="407"/>
      <c r="CJ71" s="407"/>
      <c r="CK71" s="407"/>
      <c r="CL71" s="407"/>
      <c r="CM71" s="407"/>
      <c r="CN71" s="407"/>
      <c r="CO71" s="407"/>
      <c r="CP71" s="407"/>
      <c r="CQ71" s="407"/>
      <c r="CR71" s="407"/>
      <c r="CS71" s="407"/>
      <c r="CT71" s="407"/>
      <c r="CU71" s="407"/>
      <c r="CV71" s="407"/>
      <c r="CW71" s="407"/>
      <c r="CX71" s="407"/>
      <c r="CY71" s="407"/>
      <c r="CZ71" s="407"/>
      <c r="DA71" s="407"/>
      <c r="DB71" s="407"/>
      <c r="DC71" s="407"/>
      <c r="DD71" s="407"/>
      <c r="DE71" s="407"/>
      <c r="DF71" s="407"/>
      <c r="DG71" s="407"/>
      <c r="DH71" s="407"/>
      <c r="DI71" s="407"/>
      <c r="DJ71" s="407"/>
      <c r="DK71" s="407"/>
      <c r="DL71" s="407"/>
      <c r="DM71" s="407"/>
      <c r="DN71" s="407"/>
      <c r="DO71" s="407"/>
      <c r="DP71" s="407"/>
      <c r="DQ71" s="407"/>
      <c r="DR71" s="407"/>
      <c r="DS71" s="407"/>
      <c r="DT71" s="407"/>
      <c r="DU71" s="407"/>
      <c r="DV71" s="407"/>
      <c r="DW71" s="407"/>
      <c r="DX71" s="407"/>
      <c r="DY71" s="407"/>
      <c r="DZ71" s="407"/>
      <c r="EA71" s="407"/>
      <c r="EB71" s="407"/>
      <c r="EC71" s="407"/>
      <c r="ED71" s="407"/>
      <c r="EE71" s="407"/>
      <c r="EF71" s="407"/>
      <c r="EG71" s="407"/>
      <c r="EH71" s="407"/>
      <c r="EI71" s="407"/>
      <c r="EJ71" s="407"/>
      <c r="EK71" s="407"/>
      <c r="EL71" s="407"/>
      <c r="EM71" s="407"/>
      <c r="EN71" s="407"/>
      <c r="EO71" s="407"/>
      <c r="EP71" s="407"/>
      <c r="EQ71" s="407"/>
      <c r="ER71" s="407"/>
      <c r="ES71" s="407"/>
      <c r="ET71" s="407"/>
      <c r="EU71" s="407"/>
      <c r="EV71" s="407"/>
      <c r="EW71" s="407"/>
      <c r="EX71" s="407"/>
      <c r="EY71" s="407"/>
      <c r="EZ71" s="407"/>
      <c r="FA71" s="407"/>
      <c r="FB71" s="407"/>
      <c r="FC71" s="407"/>
      <c r="FD71" s="407"/>
      <c r="FE71" s="407"/>
      <c r="FF71" s="407"/>
      <c r="FG71" s="407"/>
      <c r="FH71" s="407"/>
      <c r="FI71" s="407"/>
      <c r="FJ71" s="407"/>
      <c r="FK71" s="407"/>
      <c r="FL71" s="407"/>
      <c r="FM71" s="407"/>
      <c r="FN71" s="407"/>
      <c r="FO71" s="407"/>
      <c r="FP71" s="407"/>
      <c r="FQ71" s="407"/>
      <c r="FR71" s="407"/>
      <c r="FS71" s="407"/>
      <c r="FT71" s="407"/>
      <c r="FU71" s="407"/>
      <c r="FV71" s="407"/>
      <c r="FW71" s="407"/>
      <c r="FX71" s="407"/>
      <c r="FY71" s="407"/>
      <c r="FZ71" s="407"/>
      <c r="GA71" s="407"/>
      <c r="GB71" s="407"/>
      <c r="GC71" s="407"/>
      <c r="GD71" s="407"/>
      <c r="GE71" s="407"/>
      <c r="GF71" s="407"/>
      <c r="GG71" s="407"/>
      <c r="GH71" s="407"/>
      <c r="GI71" s="407"/>
      <c r="GJ71" s="407"/>
      <c r="GK71" s="407"/>
      <c r="GL71" s="407"/>
      <c r="GM71" s="407"/>
      <c r="GN71" s="407"/>
      <c r="GO71" s="407"/>
      <c r="GP71" s="407"/>
      <c r="GQ71" s="407"/>
      <c r="GR71" s="407"/>
      <c r="GS71" s="407"/>
      <c r="GT71" s="407"/>
      <c r="GU71" s="407"/>
      <c r="GV71" s="407"/>
      <c r="GW71" s="407"/>
      <c r="GX71" s="407"/>
      <c r="GY71" s="407"/>
      <c r="GZ71" s="407"/>
      <c r="HA71" s="407"/>
      <c r="HB71" s="407"/>
      <c r="HC71" s="407"/>
      <c r="HD71" s="407"/>
      <c r="HE71" s="407"/>
      <c r="HF71" s="407"/>
      <c r="HG71" s="407"/>
      <c r="HH71" s="407"/>
      <c r="HI71" s="407"/>
      <c r="HJ71" s="407"/>
      <c r="HK71" s="407"/>
      <c r="HL71" s="407"/>
      <c r="HM71" s="407"/>
      <c r="HN71" s="407"/>
      <c r="HO71" s="407"/>
      <c r="HP71" s="407"/>
      <c r="HQ71" s="407"/>
      <c r="HR71" s="407"/>
      <c r="HS71" s="407"/>
      <c r="HT71" s="407"/>
      <c r="HU71" s="407"/>
      <c r="HV71" s="407"/>
      <c r="HW71" s="407"/>
      <c r="HX71" s="407"/>
      <c r="HY71" s="407"/>
      <c r="HZ71" s="407"/>
      <c r="IA71" s="407"/>
      <c r="IB71" s="407"/>
      <c r="IC71" s="407"/>
      <c r="ID71" s="407"/>
      <c r="IE71" s="407"/>
      <c r="IF71" s="407"/>
      <c r="IG71" s="407"/>
      <c r="IH71" s="407"/>
      <c r="II71" s="407"/>
      <c r="IJ71" s="407"/>
      <c r="IK71" s="407"/>
      <c r="IL71" s="407"/>
      <c r="IM71" s="407"/>
      <c r="IN71" s="407"/>
      <c r="IO71" s="407"/>
      <c r="IP71" s="407"/>
      <c r="IQ71" s="407"/>
      <c r="IR71" s="407"/>
      <c r="IS71" s="407"/>
      <c r="IT71" s="407"/>
      <c r="IU71" s="407"/>
      <c r="IV71" s="407"/>
    </row>
    <row r="72" spans="1:256" ht="15.75">
      <c r="A72" s="406"/>
      <c r="B72" s="406"/>
      <c r="C72" s="406"/>
      <c r="D72" s="406"/>
      <c r="E72" s="439"/>
      <c r="F72" s="406"/>
      <c r="G72" s="406"/>
      <c r="H72" s="406"/>
      <c r="I72" s="406"/>
      <c r="J72" s="406"/>
      <c r="K72" s="406"/>
      <c r="L72" s="406"/>
      <c r="M72" s="406"/>
      <c r="N72" s="406"/>
      <c r="O72" s="406"/>
      <c r="P72" s="406"/>
      <c r="Q72" s="406"/>
      <c r="R72" s="406"/>
      <c r="S72" s="407"/>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6"/>
      <c r="AU72" s="406"/>
      <c r="AV72" s="406"/>
      <c r="AW72" s="406"/>
      <c r="AX72" s="406"/>
      <c r="AY72" s="406"/>
      <c r="AZ72" s="406"/>
      <c r="BA72" s="406"/>
      <c r="BB72" s="406"/>
      <c r="BC72" s="406"/>
      <c r="BD72" s="406"/>
      <c r="BE72" s="406"/>
      <c r="BF72" s="406"/>
      <c r="BG72" s="406"/>
      <c r="BH72" s="406"/>
      <c r="BI72" s="406"/>
      <c r="BJ72" s="406"/>
      <c r="BK72" s="406"/>
      <c r="BL72" s="406"/>
      <c r="BM72" s="406"/>
      <c r="BN72" s="406"/>
      <c r="BO72" s="406"/>
      <c r="BP72" s="406"/>
      <c r="BQ72" s="406"/>
      <c r="BR72" s="406"/>
      <c r="BS72" s="406"/>
      <c r="BT72" s="406"/>
      <c r="BU72" s="406"/>
      <c r="BV72" s="406"/>
      <c r="BW72" s="406"/>
      <c r="BX72" s="406"/>
      <c r="BY72" s="406"/>
      <c r="BZ72" s="406"/>
      <c r="CA72" s="406"/>
      <c r="CB72" s="406"/>
      <c r="CC72" s="406"/>
      <c r="CD72" s="406"/>
      <c r="CE72" s="406"/>
      <c r="CF72" s="406"/>
      <c r="CG72" s="406"/>
      <c r="CH72" s="406"/>
      <c r="CI72" s="406"/>
      <c r="CJ72" s="406"/>
      <c r="CK72" s="406"/>
      <c r="CL72" s="406"/>
      <c r="CM72" s="406"/>
      <c r="CN72" s="406"/>
      <c r="CO72" s="406"/>
      <c r="CP72" s="406"/>
      <c r="CQ72" s="406"/>
      <c r="CR72" s="406"/>
      <c r="CS72" s="406"/>
      <c r="CT72" s="406"/>
      <c r="CU72" s="406"/>
      <c r="CV72" s="406"/>
      <c r="CW72" s="406"/>
      <c r="CX72" s="406"/>
      <c r="CY72" s="406"/>
      <c r="CZ72" s="406"/>
      <c r="DA72" s="406"/>
      <c r="DB72" s="406"/>
      <c r="DC72" s="406"/>
      <c r="DD72" s="406"/>
      <c r="DE72" s="406"/>
      <c r="DF72" s="406"/>
      <c r="DG72" s="406"/>
      <c r="DH72" s="406"/>
      <c r="DI72" s="406"/>
      <c r="DJ72" s="406"/>
      <c r="DK72" s="406"/>
      <c r="DL72" s="406"/>
      <c r="DM72" s="406"/>
      <c r="DN72" s="406"/>
      <c r="DO72" s="406"/>
      <c r="DP72" s="406"/>
      <c r="DQ72" s="406"/>
      <c r="DR72" s="406"/>
      <c r="DS72" s="406"/>
      <c r="DT72" s="406"/>
      <c r="DU72" s="406"/>
      <c r="DV72" s="406"/>
      <c r="DW72" s="406"/>
      <c r="DX72" s="406"/>
      <c r="DY72" s="406"/>
      <c r="DZ72" s="406"/>
      <c r="EA72" s="406"/>
      <c r="EB72" s="406"/>
      <c r="EC72" s="406"/>
      <c r="ED72" s="406"/>
      <c r="EE72" s="406"/>
      <c r="EF72" s="406"/>
      <c r="EG72" s="406"/>
      <c r="EH72" s="406"/>
      <c r="EI72" s="406"/>
      <c r="EJ72" s="406"/>
      <c r="EK72" s="406"/>
      <c r="EL72" s="406"/>
      <c r="EM72" s="406"/>
      <c r="EN72" s="406"/>
      <c r="EO72" s="406"/>
      <c r="EP72" s="406"/>
      <c r="EQ72" s="406"/>
      <c r="ER72" s="406"/>
      <c r="ES72" s="406"/>
      <c r="ET72" s="406"/>
      <c r="EU72" s="406"/>
      <c r="EV72" s="406"/>
      <c r="EW72" s="406"/>
      <c r="EX72" s="406"/>
      <c r="EY72" s="406"/>
      <c r="EZ72" s="406"/>
      <c r="FA72" s="406"/>
      <c r="FB72" s="406"/>
      <c r="FC72" s="406"/>
      <c r="FD72" s="406"/>
      <c r="FE72" s="406"/>
      <c r="FF72" s="406"/>
      <c r="FG72" s="406"/>
      <c r="FH72" s="406"/>
      <c r="FI72" s="406"/>
      <c r="FJ72" s="406"/>
      <c r="FK72" s="406"/>
      <c r="FL72" s="406"/>
      <c r="FM72" s="406"/>
      <c r="FN72" s="406"/>
      <c r="FO72" s="406"/>
      <c r="FP72" s="406"/>
      <c r="FQ72" s="406"/>
      <c r="FR72" s="406"/>
      <c r="FS72" s="406"/>
      <c r="FT72" s="406"/>
      <c r="FU72" s="406"/>
      <c r="FV72" s="406"/>
      <c r="FW72" s="406"/>
      <c r="FX72" s="406"/>
      <c r="FY72" s="406"/>
      <c r="FZ72" s="406"/>
      <c r="GA72" s="406"/>
      <c r="GB72" s="406"/>
      <c r="GC72" s="406"/>
      <c r="GD72" s="406"/>
      <c r="GE72" s="406"/>
      <c r="GF72" s="406"/>
      <c r="GG72" s="406"/>
      <c r="GH72" s="406"/>
      <c r="GI72" s="406"/>
      <c r="GJ72" s="406"/>
      <c r="GK72" s="406"/>
      <c r="GL72" s="406"/>
      <c r="GM72" s="406"/>
      <c r="GN72" s="406"/>
      <c r="GO72" s="406"/>
      <c r="GP72" s="406"/>
      <c r="GQ72" s="406"/>
      <c r="GR72" s="406"/>
      <c r="GS72" s="406"/>
      <c r="GT72" s="406"/>
      <c r="GU72" s="406"/>
      <c r="GV72" s="406"/>
      <c r="GW72" s="406"/>
      <c r="GX72" s="406"/>
      <c r="GY72" s="406"/>
      <c r="GZ72" s="406"/>
      <c r="HA72" s="406"/>
      <c r="HB72" s="406"/>
      <c r="HC72" s="406"/>
      <c r="HD72" s="406"/>
      <c r="HE72" s="406"/>
      <c r="HF72" s="406"/>
      <c r="HG72" s="406"/>
      <c r="HH72" s="406"/>
      <c r="HI72" s="406"/>
      <c r="HJ72" s="406"/>
      <c r="HK72" s="406"/>
      <c r="HL72" s="406"/>
      <c r="HM72" s="406"/>
      <c r="HN72" s="406"/>
      <c r="HO72" s="406"/>
      <c r="HP72" s="406"/>
      <c r="HQ72" s="406"/>
      <c r="HR72" s="406"/>
      <c r="HS72" s="406"/>
      <c r="HT72" s="406"/>
      <c r="HU72" s="406"/>
      <c r="HV72" s="406"/>
      <c r="HW72" s="406"/>
      <c r="HX72" s="406"/>
      <c r="HY72" s="406"/>
      <c r="HZ72" s="406"/>
      <c r="IA72" s="406"/>
      <c r="IB72" s="406"/>
      <c r="IC72" s="406"/>
      <c r="ID72" s="406"/>
      <c r="IE72" s="406"/>
      <c r="IF72" s="406"/>
      <c r="IG72" s="406"/>
      <c r="IH72" s="406"/>
      <c r="II72" s="406"/>
      <c r="IJ72" s="406"/>
      <c r="IK72" s="406"/>
      <c r="IL72" s="406"/>
      <c r="IM72" s="406"/>
      <c r="IN72" s="406"/>
      <c r="IO72" s="406"/>
      <c r="IP72" s="406"/>
      <c r="IQ72" s="406"/>
      <c r="IR72" s="406"/>
      <c r="IS72" s="406"/>
      <c r="IT72" s="406"/>
      <c r="IU72" s="406"/>
      <c r="IV72" s="406"/>
    </row>
    <row r="73" spans="1:256" ht="15.75">
      <c r="A73" s="406"/>
      <c r="B73" s="406"/>
      <c r="C73" s="406"/>
      <c r="D73" s="406"/>
      <c r="E73" s="439"/>
      <c r="F73" s="406"/>
      <c r="G73" s="406"/>
      <c r="H73" s="406"/>
      <c r="I73" s="406"/>
      <c r="J73" s="406"/>
      <c r="K73" s="406"/>
      <c r="L73" s="406"/>
      <c r="M73" s="406"/>
      <c r="N73" s="406"/>
      <c r="O73" s="406"/>
      <c r="P73" s="406"/>
      <c r="Q73" s="406"/>
      <c r="R73" s="406"/>
      <c r="S73" s="407"/>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c r="BL73" s="406"/>
      <c r="BM73" s="406"/>
      <c r="BN73" s="406"/>
      <c r="BO73" s="406"/>
      <c r="BP73" s="406"/>
      <c r="BQ73" s="406"/>
      <c r="BR73" s="406"/>
      <c r="BS73" s="406"/>
      <c r="BT73" s="406"/>
      <c r="BU73" s="406"/>
      <c r="BV73" s="406"/>
      <c r="BW73" s="406"/>
      <c r="BX73" s="406"/>
      <c r="BY73" s="406"/>
      <c r="BZ73" s="406"/>
      <c r="CA73" s="406"/>
      <c r="CB73" s="406"/>
      <c r="CC73" s="406"/>
      <c r="CD73" s="406"/>
      <c r="CE73" s="406"/>
      <c r="CF73" s="406"/>
      <c r="CG73" s="406"/>
      <c r="CH73" s="406"/>
      <c r="CI73" s="406"/>
      <c r="CJ73" s="406"/>
      <c r="CK73" s="406"/>
      <c r="CL73" s="406"/>
      <c r="CM73" s="406"/>
      <c r="CN73" s="406"/>
      <c r="CO73" s="406"/>
      <c r="CP73" s="406"/>
      <c r="CQ73" s="406"/>
      <c r="CR73" s="406"/>
      <c r="CS73" s="406"/>
      <c r="CT73" s="406"/>
      <c r="CU73" s="406"/>
      <c r="CV73" s="406"/>
      <c r="CW73" s="406"/>
      <c r="CX73" s="406"/>
      <c r="CY73" s="406"/>
      <c r="CZ73" s="406"/>
      <c r="DA73" s="406"/>
      <c r="DB73" s="406"/>
      <c r="DC73" s="406"/>
      <c r="DD73" s="406"/>
      <c r="DE73" s="406"/>
      <c r="DF73" s="406"/>
      <c r="DG73" s="406"/>
      <c r="DH73" s="406"/>
      <c r="DI73" s="406"/>
      <c r="DJ73" s="406"/>
      <c r="DK73" s="406"/>
      <c r="DL73" s="406"/>
      <c r="DM73" s="406"/>
      <c r="DN73" s="406"/>
      <c r="DO73" s="406"/>
      <c r="DP73" s="406"/>
      <c r="DQ73" s="406"/>
      <c r="DR73" s="406"/>
      <c r="DS73" s="406"/>
      <c r="DT73" s="406"/>
      <c r="DU73" s="406"/>
      <c r="DV73" s="406"/>
      <c r="DW73" s="406"/>
      <c r="DX73" s="406"/>
      <c r="DY73" s="406"/>
      <c r="DZ73" s="406"/>
      <c r="EA73" s="406"/>
      <c r="EB73" s="406"/>
      <c r="EC73" s="406"/>
      <c r="ED73" s="406"/>
      <c r="EE73" s="406"/>
      <c r="EF73" s="406"/>
      <c r="EG73" s="406"/>
      <c r="EH73" s="406"/>
      <c r="EI73" s="406"/>
      <c r="EJ73" s="406"/>
      <c r="EK73" s="406"/>
      <c r="EL73" s="406"/>
      <c r="EM73" s="406"/>
      <c r="EN73" s="406"/>
      <c r="EO73" s="406"/>
      <c r="EP73" s="406"/>
      <c r="EQ73" s="406"/>
      <c r="ER73" s="406"/>
      <c r="ES73" s="406"/>
      <c r="ET73" s="406"/>
      <c r="EU73" s="406"/>
      <c r="EV73" s="406"/>
      <c r="EW73" s="406"/>
      <c r="EX73" s="406"/>
      <c r="EY73" s="406"/>
      <c r="EZ73" s="406"/>
      <c r="FA73" s="406"/>
      <c r="FB73" s="406"/>
      <c r="FC73" s="406"/>
      <c r="FD73" s="406"/>
      <c r="FE73" s="406"/>
      <c r="FF73" s="406"/>
      <c r="FG73" s="406"/>
      <c r="FH73" s="406"/>
      <c r="FI73" s="406"/>
      <c r="FJ73" s="406"/>
      <c r="FK73" s="406"/>
      <c r="FL73" s="406"/>
      <c r="FM73" s="406"/>
      <c r="FN73" s="406"/>
      <c r="FO73" s="406"/>
      <c r="FP73" s="406"/>
      <c r="FQ73" s="406"/>
      <c r="FR73" s="406"/>
      <c r="FS73" s="406"/>
      <c r="FT73" s="406"/>
      <c r="FU73" s="406"/>
      <c r="FV73" s="406"/>
      <c r="FW73" s="406"/>
      <c r="FX73" s="406"/>
      <c r="FY73" s="406"/>
      <c r="FZ73" s="406"/>
      <c r="GA73" s="406"/>
      <c r="GB73" s="406"/>
      <c r="GC73" s="406"/>
      <c r="GD73" s="406"/>
      <c r="GE73" s="406"/>
      <c r="GF73" s="406"/>
      <c r="GG73" s="406"/>
      <c r="GH73" s="406"/>
      <c r="GI73" s="406"/>
      <c r="GJ73" s="406"/>
      <c r="GK73" s="406"/>
      <c r="GL73" s="406"/>
      <c r="GM73" s="406"/>
      <c r="GN73" s="406"/>
      <c r="GO73" s="406"/>
      <c r="GP73" s="406"/>
      <c r="GQ73" s="406"/>
      <c r="GR73" s="406"/>
      <c r="GS73" s="406"/>
      <c r="GT73" s="406"/>
      <c r="GU73" s="406"/>
      <c r="GV73" s="406"/>
      <c r="GW73" s="406"/>
      <c r="GX73" s="406"/>
      <c r="GY73" s="406"/>
      <c r="GZ73" s="406"/>
      <c r="HA73" s="406"/>
      <c r="HB73" s="406"/>
      <c r="HC73" s="406"/>
      <c r="HD73" s="406"/>
      <c r="HE73" s="406"/>
      <c r="HF73" s="406"/>
      <c r="HG73" s="406"/>
      <c r="HH73" s="406"/>
      <c r="HI73" s="406"/>
      <c r="HJ73" s="406"/>
      <c r="HK73" s="406"/>
      <c r="HL73" s="406"/>
      <c r="HM73" s="406"/>
      <c r="HN73" s="406"/>
      <c r="HO73" s="406"/>
      <c r="HP73" s="406"/>
      <c r="HQ73" s="406"/>
      <c r="HR73" s="406"/>
      <c r="HS73" s="406"/>
      <c r="HT73" s="406"/>
      <c r="HU73" s="406"/>
      <c r="HV73" s="406"/>
      <c r="HW73" s="406"/>
      <c r="HX73" s="406"/>
      <c r="HY73" s="406"/>
      <c r="HZ73" s="406"/>
      <c r="IA73" s="406"/>
      <c r="IB73" s="406"/>
      <c r="IC73" s="406"/>
      <c r="ID73" s="406"/>
      <c r="IE73" s="406"/>
      <c r="IF73" s="406"/>
      <c r="IG73" s="406"/>
      <c r="IH73" s="406"/>
      <c r="II73" s="406"/>
      <c r="IJ73" s="406"/>
      <c r="IK73" s="406"/>
      <c r="IL73" s="406"/>
      <c r="IM73" s="406"/>
      <c r="IN73" s="406"/>
      <c r="IO73" s="406"/>
      <c r="IP73" s="406"/>
      <c r="IQ73" s="406"/>
      <c r="IR73" s="406"/>
      <c r="IS73" s="406"/>
      <c r="IT73" s="406"/>
      <c r="IU73" s="406"/>
      <c r="IV73" s="406"/>
    </row>
    <row r="74" spans="1:256" ht="15.75">
      <c r="A74" s="406"/>
      <c r="B74" s="406"/>
      <c r="C74" s="406"/>
      <c r="D74" s="406"/>
      <c r="E74" s="439"/>
      <c r="F74" s="406"/>
      <c r="G74" s="406"/>
      <c r="H74" s="406"/>
      <c r="I74" s="406"/>
      <c r="J74" s="406"/>
      <c r="K74" s="406"/>
      <c r="L74" s="406"/>
      <c r="M74" s="406"/>
      <c r="N74" s="406"/>
      <c r="O74" s="406"/>
      <c r="P74" s="406"/>
      <c r="Q74" s="406"/>
      <c r="R74" s="406"/>
      <c r="S74" s="407"/>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06"/>
      <c r="BI74" s="406"/>
      <c r="BJ74" s="406"/>
      <c r="BK74" s="406"/>
      <c r="BL74" s="406"/>
      <c r="BM74" s="406"/>
      <c r="BN74" s="406"/>
      <c r="BO74" s="406"/>
      <c r="BP74" s="406"/>
      <c r="BQ74" s="406"/>
      <c r="BR74" s="406"/>
      <c r="BS74" s="406"/>
      <c r="BT74" s="406"/>
      <c r="BU74" s="406"/>
      <c r="BV74" s="406"/>
      <c r="BW74" s="406"/>
      <c r="BX74" s="406"/>
      <c r="BY74" s="406"/>
      <c r="BZ74" s="406"/>
      <c r="CA74" s="406"/>
      <c r="CB74" s="406"/>
      <c r="CC74" s="406"/>
      <c r="CD74" s="406"/>
      <c r="CE74" s="406"/>
      <c r="CF74" s="406"/>
      <c r="CG74" s="406"/>
      <c r="CH74" s="406"/>
      <c r="CI74" s="406"/>
      <c r="CJ74" s="406"/>
      <c r="CK74" s="406"/>
      <c r="CL74" s="406"/>
      <c r="CM74" s="406"/>
      <c r="CN74" s="406"/>
      <c r="CO74" s="406"/>
      <c r="CP74" s="406"/>
      <c r="CQ74" s="406"/>
      <c r="CR74" s="406"/>
      <c r="CS74" s="406"/>
      <c r="CT74" s="406"/>
      <c r="CU74" s="406"/>
      <c r="CV74" s="406"/>
      <c r="CW74" s="406"/>
      <c r="CX74" s="406"/>
      <c r="CY74" s="406"/>
      <c r="CZ74" s="406"/>
      <c r="DA74" s="406"/>
      <c r="DB74" s="406"/>
      <c r="DC74" s="406"/>
      <c r="DD74" s="406"/>
      <c r="DE74" s="406"/>
      <c r="DF74" s="406"/>
      <c r="DG74" s="406"/>
      <c r="DH74" s="406"/>
      <c r="DI74" s="406"/>
      <c r="DJ74" s="406"/>
      <c r="DK74" s="406"/>
      <c r="DL74" s="406"/>
      <c r="DM74" s="406"/>
      <c r="DN74" s="406"/>
      <c r="DO74" s="406"/>
      <c r="DP74" s="406"/>
      <c r="DQ74" s="406"/>
      <c r="DR74" s="406"/>
      <c r="DS74" s="406"/>
      <c r="DT74" s="406"/>
      <c r="DU74" s="406"/>
      <c r="DV74" s="406"/>
      <c r="DW74" s="406"/>
      <c r="DX74" s="406"/>
      <c r="DY74" s="406"/>
      <c r="DZ74" s="406"/>
      <c r="EA74" s="406"/>
      <c r="EB74" s="406"/>
      <c r="EC74" s="406"/>
      <c r="ED74" s="406"/>
      <c r="EE74" s="406"/>
      <c r="EF74" s="406"/>
      <c r="EG74" s="406"/>
      <c r="EH74" s="406"/>
      <c r="EI74" s="406"/>
      <c r="EJ74" s="406"/>
      <c r="EK74" s="406"/>
      <c r="EL74" s="406"/>
      <c r="EM74" s="406"/>
      <c r="EN74" s="406"/>
      <c r="EO74" s="406"/>
      <c r="EP74" s="406"/>
      <c r="EQ74" s="406"/>
      <c r="ER74" s="406"/>
      <c r="ES74" s="406"/>
      <c r="ET74" s="406"/>
      <c r="EU74" s="406"/>
      <c r="EV74" s="406"/>
      <c r="EW74" s="406"/>
      <c r="EX74" s="406"/>
      <c r="EY74" s="406"/>
      <c r="EZ74" s="406"/>
      <c r="FA74" s="406"/>
      <c r="FB74" s="406"/>
      <c r="FC74" s="406"/>
      <c r="FD74" s="406"/>
      <c r="FE74" s="406"/>
      <c r="FF74" s="406"/>
      <c r="FG74" s="406"/>
      <c r="FH74" s="406"/>
      <c r="FI74" s="406"/>
      <c r="FJ74" s="406"/>
      <c r="FK74" s="406"/>
      <c r="FL74" s="406"/>
      <c r="FM74" s="406"/>
      <c r="FN74" s="406"/>
      <c r="FO74" s="406"/>
      <c r="FP74" s="406"/>
      <c r="FQ74" s="406"/>
      <c r="FR74" s="406"/>
      <c r="FS74" s="406"/>
      <c r="FT74" s="406"/>
      <c r="FU74" s="406"/>
      <c r="FV74" s="406"/>
      <c r="FW74" s="406"/>
      <c r="FX74" s="406"/>
      <c r="FY74" s="406"/>
      <c r="FZ74" s="406"/>
      <c r="GA74" s="406"/>
      <c r="GB74" s="406"/>
      <c r="GC74" s="406"/>
      <c r="GD74" s="406"/>
      <c r="GE74" s="406"/>
      <c r="GF74" s="406"/>
      <c r="GG74" s="406"/>
      <c r="GH74" s="406"/>
      <c r="GI74" s="406"/>
      <c r="GJ74" s="406"/>
      <c r="GK74" s="406"/>
      <c r="GL74" s="406"/>
      <c r="GM74" s="406"/>
      <c r="GN74" s="406"/>
      <c r="GO74" s="406"/>
      <c r="GP74" s="406"/>
      <c r="GQ74" s="406"/>
      <c r="GR74" s="406"/>
      <c r="GS74" s="406"/>
      <c r="GT74" s="406"/>
      <c r="GU74" s="406"/>
      <c r="GV74" s="406"/>
      <c r="GW74" s="406"/>
      <c r="GX74" s="406"/>
      <c r="GY74" s="406"/>
      <c r="GZ74" s="406"/>
      <c r="HA74" s="406"/>
      <c r="HB74" s="406"/>
      <c r="HC74" s="406"/>
      <c r="HD74" s="406"/>
      <c r="HE74" s="406"/>
      <c r="HF74" s="406"/>
      <c r="HG74" s="406"/>
      <c r="HH74" s="406"/>
      <c r="HI74" s="406"/>
      <c r="HJ74" s="406"/>
      <c r="HK74" s="406"/>
      <c r="HL74" s="406"/>
      <c r="HM74" s="406"/>
      <c r="HN74" s="406"/>
      <c r="HO74" s="406"/>
      <c r="HP74" s="406"/>
      <c r="HQ74" s="406"/>
      <c r="HR74" s="406"/>
      <c r="HS74" s="406"/>
      <c r="HT74" s="406"/>
      <c r="HU74" s="406"/>
      <c r="HV74" s="406"/>
      <c r="HW74" s="406"/>
      <c r="HX74" s="406"/>
      <c r="HY74" s="406"/>
      <c r="HZ74" s="406"/>
      <c r="IA74" s="406"/>
      <c r="IB74" s="406"/>
      <c r="IC74" s="406"/>
      <c r="ID74" s="406"/>
      <c r="IE74" s="406"/>
      <c r="IF74" s="406"/>
      <c r="IG74" s="406"/>
      <c r="IH74" s="406"/>
      <c r="II74" s="406"/>
      <c r="IJ74" s="406"/>
      <c r="IK74" s="406"/>
      <c r="IL74" s="406"/>
      <c r="IM74" s="406"/>
      <c r="IN74" s="406"/>
      <c r="IO74" s="406"/>
      <c r="IP74" s="406"/>
      <c r="IQ74" s="406"/>
      <c r="IR74" s="406"/>
      <c r="IS74" s="406"/>
      <c r="IT74" s="406"/>
      <c r="IU74" s="406"/>
      <c r="IV74" s="406"/>
    </row>
    <row r="75" spans="1:256" ht="15.75">
      <c r="A75" s="406"/>
      <c r="B75" s="406"/>
      <c r="C75" s="406"/>
      <c r="D75" s="406"/>
      <c r="E75" s="439"/>
      <c r="F75" s="406"/>
      <c r="G75" s="406"/>
      <c r="H75" s="406"/>
      <c r="I75" s="406"/>
      <c r="J75" s="406"/>
      <c r="K75" s="406"/>
      <c r="L75" s="406"/>
      <c r="M75" s="406"/>
      <c r="N75" s="406"/>
      <c r="O75" s="406"/>
      <c r="P75" s="406"/>
      <c r="Q75" s="406"/>
      <c r="R75" s="406"/>
      <c r="S75" s="407"/>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406"/>
      <c r="BG75" s="406"/>
      <c r="BH75" s="406"/>
      <c r="BI75" s="406"/>
      <c r="BJ75" s="406"/>
      <c r="BK75" s="406"/>
      <c r="BL75" s="406"/>
      <c r="BM75" s="406"/>
      <c r="BN75" s="406"/>
      <c r="BO75" s="406"/>
      <c r="BP75" s="406"/>
      <c r="BQ75" s="406"/>
      <c r="BR75" s="406"/>
      <c r="BS75" s="406"/>
      <c r="BT75" s="406"/>
      <c r="BU75" s="406"/>
      <c r="BV75" s="406"/>
      <c r="BW75" s="406"/>
      <c r="BX75" s="406"/>
      <c r="BY75" s="406"/>
      <c r="BZ75" s="406"/>
      <c r="CA75" s="406"/>
      <c r="CB75" s="406"/>
      <c r="CC75" s="406"/>
      <c r="CD75" s="406"/>
      <c r="CE75" s="406"/>
      <c r="CF75" s="406"/>
      <c r="CG75" s="406"/>
      <c r="CH75" s="406"/>
      <c r="CI75" s="406"/>
      <c r="CJ75" s="406"/>
      <c r="CK75" s="406"/>
      <c r="CL75" s="406"/>
      <c r="CM75" s="406"/>
      <c r="CN75" s="406"/>
      <c r="CO75" s="406"/>
      <c r="CP75" s="406"/>
      <c r="CQ75" s="406"/>
      <c r="CR75" s="406"/>
      <c r="CS75" s="406"/>
      <c r="CT75" s="406"/>
      <c r="CU75" s="406"/>
      <c r="CV75" s="406"/>
      <c r="CW75" s="406"/>
      <c r="CX75" s="406"/>
      <c r="CY75" s="406"/>
      <c r="CZ75" s="406"/>
      <c r="DA75" s="406"/>
      <c r="DB75" s="406"/>
      <c r="DC75" s="406"/>
      <c r="DD75" s="406"/>
      <c r="DE75" s="406"/>
      <c r="DF75" s="406"/>
      <c r="DG75" s="406"/>
      <c r="DH75" s="406"/>
      <c r="DI75" s="406"/>
      <c r="DJ75" s="406"/>
      <c r="DK75" s="406"/>
      <c r="DL75" s="406"/>
      <c r="DM75" s="406"/>
      <c r="DN75" s="406"/>
      <c r="DO75" s="406"/>
      <c r="DP75" s="406"/>
      <c r="DQ75" s="406"/>
      <c r="DR75" s="406"/>
      <c r="DS75" s="406"/>
      <c r="DT75" s="406"/>
      <c r="DU75" s="406"/>
      <c r="DV75" s="406"/>
      <c r="DW75" s="406"/>
      <c r="DX75" s="406"/>
      <c r="DY75" s="406"/>
      <c r="DZ75" s="406"/>
      <c r="EA75" s="406"/>
      <c r="EB75" s="406"/>
      <c r="EC75" s="406"/>
      <c r="ED75" s="406"/>
      <c r="EE75" s="406"/>
      <c r="EF75" s="406"/>
      <c r="EG75" s="406"/>
      <c r="EH75" s="406"/>
      <c r="EI75" s="406"/>
      <c r="EJ75" s="406"/>
      <c r="EK75" s="406"/>
      <c r="EL75" s="406"/>
      <c r="EM75" s="406"/>
      <c r="EN75" s="406"/>
      <c r="EO75" s="406"/>
      <c r="EP75" s="406"/>
      <c r="EQ75" s="406"/>
      <c r="ER75" s="406"/>
      <c r="ES75" s="406"/>
      <c r="ET75" s="406"/>
      <c r="EU75" s="406"/>
      <c r="EV75" s="406"/>
      <c r="EW75" s="406"/>
      <c r="EX75" s="406"/>
      <c r="EY75" s="406"/>
      <c r="EZ75" s="406"/>
      <c r="FA75" s="406"/>
      <c r="FB75" s="406"/>
      <c r="FC75" s="406"/>
      <c r="FD75" s="406"/>
      <c r="FE75" s="406"/>
      <c r="FF75" s="406"/>
      <c r="FG75" s="406"/>
      <c r="FH75" s="406"/>
      <c r="FI75" s="406"/>
      <c r="FJ75" s="406"/>
      <c r="FK75" s="406"/>
      <c r="FL75" s="406"/>
      <c r="FM75" s="406"/>
      <c r="FN75" s="406"/>
      <c r="FO75" s="406"/>
      <c r="FP75" s="406"/>
      <c r="FQ75" s="406"/>
      <c r="FR75" s="406"/>
      <c r="FS75" s="406"/>
      <c r="FT75" s="406"/>
      <c r="FU75" s="406"/>
      <c r="FV75" s="406"/>
      <c r="FW75" s="406"/>
      <c r="FX75" s="406"/>
      <c r="FY75" s="406"/>
      <c r="FZ75" s="406"/>
      <c r="GA75" s="406"/>
      <c r="GB75" s="406"/>
      <c r="GC75" s="406"/>
      <c r="GD75" s="406"/>
      <c r="GE75" s="406"/>
      <c r="GF75" s="406"/>
      <c r="GG75" s="406"/>
      <c r="GH75" s="406"/>
      <c r="GI75" s="406"/>
      <c r="GJ75" s="406"/>
      <c r="GK75" s="406"/>
      <c r="GL75" s="406"/>
      <c r="GM75" s="406"/>
      <c r="GN75" s="406"/>
      <c r="GO75" s="406"/>
      <c r="GP75" s="406"/>
      <c r="GQ75" s="406"/>
      <c r="GR75" s="406"/>
      <c r="GS75" s="406"/>
      <c r="GT75" s="406"/>
      <c r="GU75" s="406"/>
      <c r="GV75" s="406"/>
      <c r="GW75" s="406"/>
      <c r="GX75" s="406"/>
      <c r="GY75" s="406"/>
      <c r="GZ75" s="406"/>
      <c r="HA75" s="406"/>
      <c r="HB75" s="406"/>
      <c r="HC75" s="406"/>
      <c r="HD75" s="406"/>
      <c r="HE75" s="406"/>
      <c r="HF75" s="406"/>
      <c r="HG75" s="406"/>
      <c r="HH75" s="406"/>
      <c r="HI75" s="406"/>
      <c r="HJ75" s="406"/>
      <c r="HK75" s="406"/>
      <c r="HL75" s="406"/>
      <c r="HM75" s="406"/>
      <c r="HN75" s="406"/>
      <c r="HO75" s="406"/>
      <c r="HP75" s="406"/>
      <c r="HQ75" s="406"/>
      <c r="HR75" s="406"/>
      <c r="HS75" s="406"/>
      <c r="HT75" s="406"/>
      <c r="HU75" s="406"/>
      <c r="HV75" s="406"/>
      <c r="HW75" s="406"/>
      <c r="HX75" s="406"/>
      <c r="HY75" s="406"/>
      <c r="HZ75" s="406"/>
      <c r="IA75" s="406"/>
      <c r="IB75" s="406"/>
      <c r="IC75" s="406"/>
      <c r="ID75" s="406"/>
      <c r="IE75" s="406"/>
      <c r="IF75" s="406"/>
      <c r="IG75" s="406"/>
      <c r="IH75" s="406"/>
      <c r="II75" s="406"/>
      <c r="IJ75" s="406"/>
      <c r="IK75" s="406"/>
      <c r="IL75" s="406"/>
      <c r="IM75" s="406"/>
      <c r="IN75" s="406"/>
      <c r="IO75" s="406"/>
      <c r="IP75" s="406"/>
      <c r="IQ75" s="406"/>
      <c r="IR75" s="406"/>
      <c r="IS75" s="406"/>
      <c r="IT75" s="406"/>
      <c r="IU75" s="406"/>
      <c r="IV75" s="406"/>
    </row>
    <row r="76" spans="1:256" ht="15.75">
      <c r="A76" s="406"/>
      <c r="B76" s="406"/>
      <c r="C76" s="406"/>
      <c r="D76" s="406"/>
      <c r="E76" s="439"/>
      <c r="F76" s="406"/>
      <c r="G76" s="406"/>
      <c r="H76" s="406"/>
      <c r="I76" s="406"/>
      <c r="J76" s="406"/>
      <c r="K76" s="406"/>
      <c r="L76" s="406"/>
      <c r="M76" s="406"/>
      <c r="N76" s="406"/>
      <c r="O76" s="406"/>
      <c r="P76" s="406"/>
      <c r="Q76" s="406"/>
      <c r="R76" s="406"/>
      <c r="S76" s="407"/>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406"/>
      <c r="AS76" s="406"/>
      <c r="AT76" s="406"/>
      <c r="AU76" s="406"/>
      <c r="AV76" s="406"/>
      <c r="AW76" s="406"/>
      <c r="AX76" s="406"/>
      <c r="AY76" s="406"/>
      <c r="AZ76" s="406"/>
      <c r="BA76" s="406"/>
      <c r="BB76" s="406"/>
      <c r="BC76" s="406"/>
      <c r="BD76" s="406"/>
      <c r="BE76" s="406"/>
      <c r="BF76" s="406"/>
      <c r="BG76" s="406"/>
      <c r="BH76" s="406"/>
      <c r="BI76" s="406"/>
      <c r="BJ76" s="406"/>
      <c r="BK76" s="406"/>
      <c r="BL76" s="406"/>
      <c r="BM76" s="406"/>
      <c r="BN76" s="406"/>
      <c r="BO76" s="406"/>
      <c r="BP76" s="406"/>
      <c r="BQ76" s="406"/>
      <c r="BR76" s="406"/>
      <c r="BS76" s="406"/>
      <c r="BT76" s="406"/>
      <c r="BU76" s="406"/>
      <c r="BV76" s="406"/>
      <c r="BW76" s="406"/>
      <c r="BX76" s="406"/>
      <c r="BY76" s="406"/>
      <c r="BZ76" s="406"/>
      <c r="CA76" s="406"/>
      <c r="CB76" s="406"/>
      <c r="CC76" s="406"/>
      <c r="CD76" s="406"/>
      <c r="CE76" s="406"/>
      <c r="CF76" s="406"/>
      <c r="CG76" s="406"/>
      <c r="CH76" s="406"/>
      <c r="CI76" s="406"/>
      <c r="CJ76" s="406"/>
      <c r="CK76" s="406"/>
      <c r="CL76" s="406"/>
      <c r="CM76" s="406"/>
      <c r="CN76" s="406"/>
      <c r="CO76" s="406"/>
      <c r="CP76" s="406"/>
      <c r="CQ76" s="406"/>
      <c r="CR76" s="406"/>
      <c r="CS76" s="406"/>
      <c r="CT76" s="406"/>
      <c r="CU76" s="406"/>
      <c r="CV76" s="406"/>
      <c r="CW76" s="406"/>
      <c r="CX76" s="406"/>
      <c r="CY76" s="406"/>
      <c r="CZ76" s="406"/>
      <c r="DA76" s="406"/>
      <c r="DB76" s="406"/>
      <c r="DC76" s="406"/>
      <c r="DD76" s="406"/>
      <c r="DE76" s="406"/>
      <c r="DF76" s="406"/>
      <c r="DG76" s="406"/>
      <c r="DH76" s="406"/>
      <c r="DI76" s="406"/>
      <c r="DJ76" s="406"/>
      <c r="DK76" s="406"/>
      <c r="DL76" s="406"/>
      <c r="DM76" s="406"/>
      <c r="DN76" s="406"/>
      <c r="DO76" s="406"/>
      <c r="DP76" s="406"/>
      <c r="DQ76" s="406"/>
      <c r="DR76" s="406"/>
      <c r="DS76" s="406"/>
      <c r="DT76" s="406"/>
      <c r="DU76" s="406"/>
      <c r="DV76" s="406"/>
      <c r="DW76" s="406"/>
      <c r="DX76" s="406"/>
      <c r="DY76" s="406"/>
      <c r="DZ76" s="406"/>
      <c r="EA76" s="406"/>
      <c r="EB76" s="406"/>
      <c r="EC76" s="406"/>
      <c r="ED76" s="406"/>
      <c r="EE76" s="406"/>
      <c r="EF76" s="406"/>
      <c r="EG76" s="406"/>
      <c r="EH76" s="406"/>
      <c r="EI76" s="406"/>
      <c r="EJ76" s="406"/>
      <c r="EK76" s="406"/>
      <c r="EL76" s="406"/>
      <c r="EM76" s="406"/>
      <c r="EN76" s="406"/>
      <c r="EO76" s="406"/>
      <c r="EP76" s="406"/>
      <c r="EQ76" s="406"/>
      <c r="ER76" s="406"/>
      <c r="ES76" s="406"/>
      <c r="ET76" s="406"/>
      <c r="EU76" s="406"/>
      <c r="EV76" s="406"/>
      <c r="EW76" s="406"/>
      <c r="EX76" s="406"/>
      <c r="EY76" s="406"/>
      <c r="EZ76" s="406"/>
      <c r="FA76" s="406"/>
      <c r="FB76" s="406"/>
      <c r="FC76" s="406"/>
      <c r="FD76" s="406"/>
      <c r="FE76" s="406"/>
      <c r="FF76" s="406"/>
      <c r="FG76" s="406"/>
      <c r="FH76" s="406"/>
      <c r="FI76" s="406"/>
      <c r="FJ76" s="406"/>
      <c r="FK76" s="406"/>
      <c r="FL76" s="406"/>
      <c r="FM76" s="406"/>
      <c r="FN76" s="406"/>
      <c r="FO76" s="406"/>
      <c r="FP76" s="406"/>
      <c r="FQ76" s="406"/>
      <c r="FR76" s="406"/>
      <c r="FS76" s="406"/>
      <c r="FT76" s="406"/>
      <c r="FU76" s="406"/>
      <c r="FV76" s="406"/>
      <c r="FW76" s="406"/>
      <c r="FX76" s="406"/>
      <c r="FY76" s="406"/>
      <c r="FZ76" s="406"/>
      <c r="GA76" s="406"/>
      <c r="GB76" s="406"/>
      <c r="GC76" s="406"/>
      <c r="GD76" s="406"/>
      <c r="GE76" s="406"/>
      <c r="GF76" s="406"/>
      <c r="GG76" s="406"/>
      <c r="GH76" s="406"/>
      <c r="GI76" s="406"/>
      <c r="GJ76" s="406"/>
      <c r="GK76" s="406"/>
      <c r="GL76" s="406"/>
      <c r="GM76" s="406"/>
      <c r="GN76" s="406"/>
      <c r="GO76" s="406"/>
      <c r="GP76" s="406"/>
      <c r="GQ76" s="406"/>
      <c r="GR76" s="406"/>
      <c r="GS76" s="406"/>
      <c r="GT76" s="406"/>
      <c r="GU76" s="406"/>
      <c r="GV76" s="406"/>
      <c r="GW76" s="406"/>
      <c r="GX76" s="406"/>
      <c r="GY76" s="406"/>
      <c r="GZ76" s="406"/>
      <c r="HA76" s="406"/>
      <c r="HB76" s="406"/>
      <c r="HC76" s="406"/>
      <c r="HD76" s="406"/>
      <c r="HE76" s="406"/>
      <c r="HF76" s="406"/>
      <c r="HG76" s="406"/>
      <c r="HH76" s="406"/>
      <c r="HI76" s="406"/>
      <c r="HJ76" s="406"/>
      <c r="HK76" s="406"/>
      <c r="HL76" s="406"/>
      <c r="HM76" s="406"/>
      <c r="HN76" s="406"/>
      <c r="HO76" s="406"/>
      <c r="HP76" s="406"/>
      <c r="HQ76" s="406"/>
      <c r="HR76" s="406"/>
      <c r="HS76" s="406"/>
      <c r="HT76" s="406"/>
      <c r="HU76" s="406"/>
      <c r="HV76" s="406"/>
      <c r="HW76" s="406"/>
      <c r="HX76" s="406"/>
      <c r="HY76" s="406"/>
      <c r="HZ76" s="406"/>
      <c r="IA76" s="406"/>
      <c r="IB76" s="406"/>
      <c r="IC76" s="406"/>
      <c r="ID76" s="406"/>
      <c r="IE76" s="406"/>
      <c r="IF76" s="406"/>
      <c r="IG76" s="406"/>
      <c r="IH76" s="406"/>
      <c r="II76" s="406"/>
      <c r="IJ76" s="406"/>
      <c r="IK76" s="406"/>
      <c r="IL76" s="406"/>
      <c r="IM76" s="406"/>
      <c r="IN76" s="406"/>
      <c r="IO76" s="406"/>
      <c r="IP76" s="406"/>
      <c r="IQ76" s="406"/>
      <c r="IR76" s="406"/>
      <c r="IS76" s="406"/>
      <c r="IT76" s="406"/>
      <c r="IU76" s="406"/>
      <c r="IV76" s="406"/>
    </row>
    <row r="77" spans="1:256" ht="15.75">
      <c r="A77" s="406"/>
      <c r="B77" s="406"/>
      <c r="C77" s="406"/>
      <c r="D77" s="406"/>
      <c r="E77" s="439"/>
      <c r="F77" s="406"/>
      <c r="G77" s="406"/>
      <c r="H77" s="406"/>
      <c r="I77" s="406"/>
      <c r="J77" s="406"/>
      <c r="K77" s="406"/>
      <c r="L77" s="406"/>
      <c r="M77" s="406"/>
      <c r="N77" s="406"/>
      <c r="O77" s="406"/>
      <c r="P77" s="406"/>
      <c r="Q77" s="406"/>
      <c r="R77" s="406"/>
      <c r="S77" s="407"/>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6"/>
      <c r="AY77" s="406"/>
      <c r="AZ77" s="406"/>
      <c r="BA77" s="406"/>
      <c r="BB77" s="406"/>
      <c r="BC77" s="406"/>
      <c r="BD77" s="406"/>
      <c r="BE77" s="406"/>
      <c r="BF77" s="406"/>
      <c r="BG77" s="406"/>
      <c r="BH77" s="406"/>
      <c r="BI77" s="406"/>
      <c r="BJ77" s="406"/>
      <c r="BK77" s="406"/>
      <c r="BL77" s="406"/>
      <c r="BM77" s="406"/>
      <c r="BN77" s="406"/>
      <c r="BO77" s="406"/>
      <c r="BP77" s="406"/>
      <c r="BQ77" s="406"/>
      <c r="BR77" s="406"/>
      <c r="BS77" s="406"/>
      <c r="BT77" s="406"/>
      <c r="BU77" s="406"/>
      <c r="BV77" s="406"/>
      <c r="BW77" s="406"/>
      <c r="BX77" s="406"/>
      <c r="BY77" s="406"/>
      <c r="BZ77" s="406"/>
      <c r="CA77" s="406"/>
      <c r="CB77" s="406"/>
      <c r="CC77" s="406"/>
      <c r="CD77" s="406"/>
      <c r="CE77" s="406"/>
      <c r="CF77" s="406"/>
      <c r="CG77" s="406"/>
      <c r="CH77" s="406"/>
      <c r="CI77" s="406"/>
      <c r="CJ77" s="406"/>
      <c r="CK77" s="406"/>
      <c r="CL77" s="406"/>
      <c r="CM77" s="406"/>
      <c r="CN77" s="406"/>
      <c r="CO77" s="406"/>
      <c r="CP77" s="406"/>
      <c r="CQ77" s="406"/>
      <c r="CR77" s="406"/>
      <c r="CS77" s="406"/>
      <c r="CT77" s="406"/>
      <c r="CU77" s="406"/>
      <c r="CV77" s="406"/>
      <c r="CW77" s="406"/>
      <c r="CX77" s="406"/>
      <c r="CY77" s="406"/>
      <c r="CZ77" s="406"/>
      <c r="DA77" s="406"/>
      <c r="DB77" s="406"/>
      <c r="DC77" s="406"/>
      <c r="DD77" s="406"/>
      <c r="DE77" s="406"/>
      <c r="DF77" s="406"/>
      <c r="DG77" s="406"/>
      <c r="DH77" s="406"/>
      <c r="DI77" s="406"/>
      <c r="DJ77" s="406"/>
      <c r="DK77" s="406"/>
      <c r="DL77" s="406"/>
      <c r="DM77" s="406"/>
      <c r="DN77" s="406"/>
      <c r="DO77" s="406"/>
      <c r="DP77" s="406"/>
      <c r="DQ77" s="406"/>
      <c r="DR77" s="406"/>
      <c r="DS77" s="406"/>
      <c r="DT77" s="406"/>
      <c r="DU77" s="406"/>
      <c r="DV77" s="406"/>
      <c r="DW77" s="406"/>
      <c r="DX77" s="406"/>
      <c r="DY77" s="406"/>
      <c r="DZ77" s="406"/>
      <c r="EA77" s="406"/>
      <c r="EB77" s="406"/>
      <c r="EC77" s="406"/>
      <c r="ED77" s="406"/>
      <c r="EE77" s="406"/>
      <c r="EF77" s="406"/>
      <c r="EG77" s="406"/>
      <c r="EH77" s="406"/>
      <c r="EI77" s="406"/>
      <c r="EJ77" s="406"/>
      <c r="EK77" s="406"/>
      <c r="EL77" s="406"/>
      <c r="EM77" s="406"/>
      <c r="EN77" s="406"/>
      <c r="EO77" s="406"/>
      <c r="EP77" s="406"/>
      <c r="EQ77" s="406"/>
      <c r="ER77" s="406"/>
      <c r="ES77" s="406"/>
      <c r="ET77" s="406"/>
      <c r="EU77" s="406"/>
      <c r="EV77" s="406"/>
      <c r="EW77" s="406"/>
      <c r="EX77" s="406"/>
      <c r="EY77" s="406"/>
      <c r="EZ77" s="406"/>
      <c r="FA77" s="406"/>
      <c r="FB77" s="406"/>
      <c r="FC77" s="406"/>
      <c r="FD77" s="406"/>
      <c r="FE77" s="406"/>
      <c r="FF77" s="406"/>
      <c r="FG77" s="406"/>
      <c r="FH77" s="406"/>
      <c r="FI77" s="406"/>
      <c r="FJ77" s="406"/>
      <c r="FK77" s="406"/>
      <c r="FL77" s="406"/>
      <c r="FM77" s="406"/>
      <c r="FN77" s="406"/>
      <c r="FO77" s="406"/>
      <c r="FP77" s="406"/>
      <c r="FQ77" s="406"/>
      <c r="FR77" s="406"/>
      <c r="FS77" s="406"/>
      <c r="FT77" s="406"/>
      <c r="FU77" s="406"/>
      <c r="FV77" s="406"/>
      <c r="FW77" s="406"/>
      <c r="FX77" s="406"/>
      <c r="FY77" s="406"/>
      <c r="FZ77" s="406"/>
      <c r="GA77" s="406"/>
      <c r="GB77" s="406"/>
      <c r="GC77" s="406"/>
      <c r="GD77" s="406"/>
      <c r="GE77" s="406"/>
      <c r="GF77" s="406"/>
      <c r="GG77" s="406"/>
      <c r="GH77" s="406"/>
      <c r="GI77" s="406"/>
      <c r="GJ77" s="406"/>
      <c r="GK77" s="406"/>
      <c r="GL77" s="406"/>
      <c r="GM77" s="406"/>
      <c r="GN77" s="406"/>
      <c r="GO77" s="406"/>
      <c r="GP77" s="406"/>
      <c r="GQ77" s="406"/>
      <c r="GR77" s="406"/>
      <c r="GS77" s="406"/>
      <c r="GT77" s="406"/>
      <c r="GU77" s="406"/>
      <c r="GV77" s="406"/>
      <c r="GW77" s="406"/>
      <c r="GX77" s="406"/>
      <c r="GY77" s="406"/>
      <c r="GZ77" s="406"/>
      <c r="HA77" s="406"/>
      <c r="HB77" s="406"/>
      <c r="HC77" s="406"/>
      <c r="HD77" s="406"/>
      <c r="HE77" s="406"/>
      <c r="HF77" s="406"/>
      <c r="HG77" s="406"/>
      <c r="HH77" s="406"/>
      <c r="HI77" s="406"/>
      <c r="HJ77" s="406"/>
      <c r="HK77" s="406"/>
      <c r="HL77" s="406"/>
      <c r="HM77" s="406"/>
      <c r="HN77" s="406"/>
      <c r="HO77" s="406"/>
      <c r="HP77" s="406"/>
      <c r="HQ77" s="406"/>
      <c r="HR77" s="406"/>
      <c r="HS77" s="406"/>
      <c r="HT77" s="406"/>
      <c r="HU77" s="406"/>
      <c r="HV77" s="406"/>
      <c r="HW77" s="406"/>
      <c r="HX77" s="406"/>
      <c r="HY77" s="406"/>
      <c r="HZ77" s="406"/>
      <c r="IA77" s="406"/>
      <c r="IB77" s="406"/>
      <c r="IC77" s="406"/>
      <c r="ID77" s="406"/>
      <c r="IE77" s="406"/>
      <c r="IF77" s="406"/>
      <c r="IG77" s="406"/>
      <c r="IH77" s="406"/>
      <c r="II77" s="406"/>
      <c r="IJ77" s="406"/>
      <c r="IK77" s="406"/>
      <c r="IL77" s="406"/>
      <c r="IM77" s="406"/>
      <c r="IN77" s="406"/>
      <c r="IO77" s="406"/>
      <c r="IP77" s="406"/>
      <c r="IQ77" s="406"/>
      <c r="IR77" s="406"/>
      <c r="IS77" s="406"/>
      <c r="IT77" s="406"/>
      <c r="IU77" s="406"/>
      <c r="IV77" s="406"/>
    </row>
    <row r="78" spans="1:256" ht="15.75">
      <c r="A78" s="406"/>
      <c r="B78" s="406"/>
      <c r="C78" s="406"/>
      <c r="D78" s="406"/>
      <c r="E78" s="439"/>
      <c r="F78" s="406"/>
      <c r="G78" s="406"/>
      <c r="H78" s="406"/>
      <c r="I78" s="406"/>
      <c r="J78" s="406"/>
      <c r="K78" s="406"/>
      <c r="L78" s="406"/>
      <c r="M78" s="406"/>
      <c r="N78" s="406"/>
      <c r="O78" s="406"/>
      <c r="P78" s="406"/>
      <c r="Q78" s="406"/>
      <c r="R78" s="406"/>
      <c r="S78" s="407"/>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6"/>
      <c r="AY78" s="406"/>
      <c r="AZ78" s="406"/>
      <c r="BA78" s="406"/>
      <c r="BB78" s="406"/>
      <c r="BC78" s="406"/>
      <c r="BD78" s="406"/>
      <c r="BE78" s="406"/>
      <c r="BF78" s="406"/>
      <c r="BG78" s="406"/>
      <c r="BH78" s="406"/>
      <c r="BI78" s="406"/>
      <c r="BJ78" s="406"/>
      <c r="BK78" s="406"/>
      <c r="BL78" s="406"/>
      <c r="BM78" s="406"/>
      <c r="BN78" s="406"/>
      <c r="BO78" s="406"/>
      <c r="BP78" s="406"/>
      <c r="BQ78" s="406"/>
      <c r="BR78" s="406"/>
      <c r="BS78" s="406"/>
      <c r="BT78" s="406"/>
      <c r="BU78" s="406"/>
      <c r="BV78" s="406"/>
      <c r="BW78" s="406"/>
      <c r="BX78" s="406"/>
      <c r="BY78" s="406"/>
      <c r="BZ78" s="406"/>
      <c r="CA78" s="406"/>
      <c r="CB78" s="406"/>
      <c r="CC78" s="406"/>
      <c r="CD78" s="406"/>
      <c r="CE78" s="406"/>
      <c r="CF78" s="406"/>
      <c r="CG78" s="406"/>
      <c r="CH78" s="406"/>
      <c r="CI78" s="406"/>
      <c r="CJ78" s="406"/>
      <c r="CK78" s="406"/>
      <c r="CL78" s="406"/>
      <c r="CM78" s="406"/>
      <c r="CN78" s="406"/>
      <c r="CO78" s="406"/>
      <c r="CP78" s="406"/>
      <c r="CQ78" s="406"/>
      <c r="CR78" s="406"/>
      <c r="CS78" s="406"/>
      <c r="CT78" s="406"/>
      <c r="CU78" s="406"/>
      <c r="CV78" s="406"/>
      <c r="CW78" s="406"/>
      <c r="CX78" s="406"/>
      <c r="CY78" s="406"/>
      <c r="CZ78" s="406"/>
      <c r="DA78" s="406"/>
      <c r="DB78" s="406"/>
      <c r="DC78" s="406"/>
      <c r="DD78" s="406"/>
      <c r="DE78" s="406"/>
      <c r="DF78" s="406"/>
      <c r="DG78" s="406"/>
      <c r="DH78" s="406"/>
      <c r="DI78" s="406"/>
      <c r="DJ78" s="406"/>
      <c r="DK78" s="406"/>
      <c r="DL78" s="406"/>
      <c r="DM78" s="406"/>
      <c r="DN78" s="406"/>
      <c r="DO78" s="406"/>
      <c r="DP78" s="406"/>
      <c r="DQ78" s="406"/>
      <c r="DR78" s="406"/>
      <c r="DS78" s="406"/>
      <c r="DT78" s="406"/>
      <c r="DU78" s="406"/>
      <c r="DV78" s="406"/>
      <c r="DW78" s="406"/>
      <c r="DX78" s="406"/>
      <c r="DY78" s="406"/>
      <c r="DZ78" s="406"/>
      <c r="EA78" s="406"/>
      <c r="EB78" s="406"/>
      <c r="EC78" s="406"/>
      <c r="ED78" s="406"/>
      <c r="EE78" s="406"/>
      <c r="EF78" s="406"/>
      <c r="EG78" s="406"/>
      <c r="EH78" s="406"/>
      <c r="EI78" s="406"/>
      <c r="EJ78" s="406"/>
      <c r="EK78" s="406"/>
      <c r="EL78" s="406"/>
      <c r="EM78" s="406"/>
      <c r="EN78" s="406"/>
      <c r="EO78" s="406"/>
      <c r="EP78" s="406"/>
      <c r="EQ78" s="406"/>
      <c r="ER78" s="406"/>
      <c r="ES78" s="406"/>
      <c r="ET78" s="406"/>
      <c r="EU78" s="406"/>
      <c r="EV78" s="406"/>
      <c r="EW78" s="406"/>
      <c r="EX78" s="406"/>
      <c r="EY78" s="406"/>
      <c r="EZ78" s="406"/>
      <c r="FA78" s="406"/>
      <c r="FB78" s="406"/>
      <c r="FC78" s="406"/>
      <c r="FD78" s="406"/>
      <c r="FE78" s="406"/>
      <c r="FF78" s="406"/>
      <c r="FG78" s="406"/>
      <c r="FH78" s="406"/>
      <c r="FI78" s="406"/>
      <c r="FJ78" s="406"/>
      <c r="FK78" s="406"/>
      <c r="FL78" s="406"/>
      <c r="FM78" s="406"/>
      <c r="FN78" s="406"/>
      <c r="FO78" s="406"/>
      <c r="FP78" s="406"/>
      <c r="FQ78" s="406"/>
      <c r="FR78" s="406"/>
      <c r="FS78" s="406"/>
      <c r="FT78" s="406"/>
      <c r="FU78" s="406"/>
      <c r="FV78" s="406"/>
      <c r="FW78" s="406"/>
      <c r="FX78" s="406"/>
      <c r="FY78" s="406"/>
      <c r="FZ78" s="406"/>
      <c r="GA78" s="406"/>
      <c r="GB78" s="406"/>
      <c r="GC78" s="406"/>
      <c r="GD78" s="406"/>
      <c r="GE78" s="406"/>
      <c r="GF78" s="406"/>
      <c r="GG78" s="406"/>
      <c r="GH78" s="406"/>
      <c r="GI78" s="406"/>
      <c r="GJ78" s="406"/>
      <c r="GK78" s="406"/>
      <c r="GL78" s="406"/>
      <c r="GM78" s="406"/>
      <c r="GN78" s="406"/>
      <c r="GO78" s="406"/>
      <c r="GP78" s="406"/>
      <c r="GQ78" s="406"/>
      <c r="GR78" s="406"/>
      <c r="GS78" s="406"/>
      <c r="GT78" s="406"/>
      <c r="GU78" s="406"/>
      <c r="GV78" s="406"/>
      <c r="GW78" s="406"/>
      <c r="GX78" s="406"/>
      <c r="GY78" s="406"/>
      <c r="GZ78" s="406"/>
      <c r="HA78" s="406"/>
      <c r="HB78" s="406"/>
      <c r="HC78" s="406"/>
      <c r="HD78" s="406"/>
      <c r="HE78" s="406"/>
      <c r="HF78" s="406"/>
      <c r="HG78" s="406"/>
      <c r="HH78" s="406"/>
      <c r="HI78" s="406"/>
      <c r="HJ78" s="406"/>
      <c r="HK78" s="406"/>
      <c r="HL78" s="406"/>
      <c r="HM78" s="406"/>
      <c r="HN78" s="406"/>
      <c r="HO78" s="406"/>
      <c r="HP78" s="406"/>
      <c r="HQ78" s="406"/>
      <c r="HR78" s="406"/>
      <c r="HS78" s="406"/>
      <c r="HT78" s="406"/>
      <c r="HU78" s="406"/>
      <c r="HV78" s="406"/>
      <c r="HW78" s="406"/>
      <c r="HX78" s="406"/>
      <c r="HY78" s="406"/>
      <c r="HZ78" s="406"/>
      <c r="IA78" s="406"/>
      <c r="IB78" s="406"/>
      <c r="IC78" s="406"/>
      <c r="ID78" s="406"/>
      <c r="IE78" s="406"/>
      <c r="IF78" s="406"/>
      <c r="IG78" s="406"/>
      <c r="IH78" s="406"/>
      <c r="II78" s="406"/>
      <c r="IJ78" s="406"/>
      <c r="IK78" s="406"/>
      <c r="IL78" s="406"/>
      <c r="IM78" s="406"/>
      <c r="IN78" s="406"/>
      <c r="IO78" s="406"/>
      <c r="IP78" s="406"/>
      <c r="IQ78" s="406"/>
      <c r="IR78" s="406"/>
      <c r="IS78" s="406"/>
      <c r="IT78" s="406"/>
      <c r="IU78" s="406"/>
      <c r="IV78" s="406"/>
    </row>
    <row r="79" spans="1:256" ht="15.75">
      <c r="A79" s="406"/>
      <c r="B79" s="406"/>
      <c r="C79" s="406"/>
      <c r="D79" s="406"/>
      <c r="E79" s="439"/>
      <c r="F79" s="406"/>
      <c r="G79" s="406"/>
      <c r="H79" s="406"/>
      <c r="I79" s="406"/>
      <c r="J79" s="406"/>
      <c r="K79" s="406"/>
      <c r="L79" s="406"/>
      <c r="M79" s="406"/>
      <c r="N79" s="406"/>
      <c r="O79" s="406"/>
      <c r="P79" s="406"/>
      <c r="Q79" s="406"/>
      <c r="R79" s="406"/>
      <c r="S79" s="407"/>
      <c r="T79" s="406"/>
      <c r="U79" s="406"/>
      <c r="V79" s="406"/>
      <c r="W79" s="406"/>
      <c r="X79" s="406"/>
      <c r="Y79" s="406"/>
      <c r="Z79" s="406"/>
      <c r="AA79" s="406"/>
      <c r="AB79" s="406"/>
      <c r="AC79" s="406"/>
      <c r="AD79" s="406"/>
      <c r="AE79" s="406"/>
      <c r="AF79" s="406"/>
      <c r="AG79" s="406"/>
      <c r="AH79" s="406"/>
      <c r="AI79" s="406"/>
      <c r="AJ79" s="406"/>
      <c r="AK79" s="406"/>
      <c r="AL79" s="406"/>
      <c r="AM79" s="406"/>
      <c r="AN79" s="406"/>
      <c r="AO79" s="406"/>
      <c r="AP79" s="406"/>
      <c r="AQ79" s="406"/>
      <c r="AR79" s="406"/>
      <c r="AS79" s="406"/>
      <c r="AT79" s="406"/>
      <c r="AU79" s="406"/>
      <c r="AV79" s="406"/>
      <c r="AW79" s="406"/>
      <c r="AX79" s="406"/>
      <c r="AY79" s="406"/>
      <c r="AZ79" s="406"/>
      <c r="BA79" s="406"/>
      <c r="BB79" s="406"/>
      <c r="BC79" s="406"/>
      <c r="BD79" s="406"/>
      <c r="BE79" s="406"/>
      <c r="BF79" s="406"/>
      <c r="BG79" s="406"/>
      <c r="BH79" s="406"/>
      <c r="BI79" s="406"/>
      <c r="BJ79" s="406"/>
      <c r="BK79" s="406"/>
      <c r="BL79" s="406"/>
      <c r="BM79" s="406"/>
      <c r="BN79" s="406"/>
      <c r="BO79" s="406"/>
      <c r="BP79" s="406"/>
      <c r="BQ79" s="406"/>
      <c r="BR79" s="406"/>
      <c r="BS79" s="406"/>
      <c r="BT79" s="406"/>
      <c r="BU79" s="406"/>
      <c r="BV79" s="406"/>
      <c r="BW79" s="406"/>
      <c r="BX79" s="406"/>
      <c r="BY79" s="406"/>
      <c r="BZ79" s="406"/>
      <c r="CA79" s="406"/>
      <c r="CB79" s="406"/>
      <c r="CC79" s="406"/>
      <c r="CD79" s="406"/>
      <c r="CE79" s="406"/>
      <c r="CF79" s="406"/>
      <c r="CG79" s="406"/>
      <c r="CH79" s="406"/>
      <c r="CI79" s="406"/>
      <c r="CJ79" s="406"/>
      <c r="CK79" s="406"/>
      <c r="CL79" s="406"/>
      <c r="CM79" s="406"/>
      <c r="CN79" s="406"/>
      <c r="CO79" s="406"/>
      <c r="CP79" s="406"/>
      <c r="CQ79" s="406"/>
      <c r="CR79" s="406"/>
      <c r="CS79" s="406"/>
      <c r="CT79" s="406"/>
      <c r="CU79" s="406"/>
      <c r="CV79" s="406"/>
      <c r="CW79" s="406"/>
      <c r="CX79" s="406"/>
      <c r="CY79" s="406"/>
      <c r="CZ79" s="406"/>
      <c r="DA79" s="406"/>
      <c r="DB79" s="406"/>
      <c r="DC79" s="406"/>
      <c r="DD79" s="406"/>
      <c r="DE79" s="406"/>
      <c r="DF79" s="406"/>
      <c r="DG79" s="406"/>
      <c r="DH79" s="406"/>
      <c r="DI79" s="406"/>
      <c r="DJ79" s="406"/>
      <c r="DK79" s="406"/>
      <c r="DL79" s="406"/>
      <c r="DM79" s="406"/>
      <c r="DN79" s="406"/>
      <c r="DO79" s="406"/>
      <c r="DP79" s="406"/>
      <c r="DQ79" s="406"/>
      <c r="DR79" s="406"/>
      <c r="DS79" s="406"/>
      <c r="DT79" s="406"/>
      <c r="DU79" s="406"/>
      <c r="DV79" s="406"/>
      <c r="DW79" s="406"/>
      <c r="DX79" s="406"/>
      <c r="DY79" s="406"/>
      <c r="DZ79" s="406"/>
      <c r="EA79" s="406"/>
      <c r="EB79" s="406"/>
      <c r="EC79" s="406"/>
      <c r="ED79" s="406"/>
      <c r="EE79" s="406"/>
      <c r="EF79" s="406"/>
      <c r="EG79" s="406"/>
      <c r="EH79" s="406"/>
      <c r="EI79" s="406"/>
      <c r="EJ79" s="406"/>
      <c r="EK79" s="406"/>
      <c r="EL79" s="406"/>
      <c r="EM79" s="406"/>
      <c r="EN79" s="406"/>
      <c r="EO79" s="406"/>
      <c r="EP79" s="406"/>
      <c r="EQ79" s="406"/>
      <c r="ER79" s="406"/>
      <c r="ES79" s="406"/>
      <c r="ET79" s="406"/>
      <c r="EU79" s="406"/>
      <c r="EV79" s="406"/>
      <c r="EW79" s="406"/>
      <c r="EX79" s="406"/>
      <c r="EY79" s="406"/>
      <c r="EZ79" s="406"/>
      <c r="FA79" s="406"/>
      <c r="FB79" s="406"/>
      <c r="FC79" s="406"/>
      <c r="FD79" s="406"/>
      <c r="FE79" s="406"/>
      <c r="FF79" s="406"/>
      <c r="FG79" s="406"/>
      <c r="FH79" s="406"/>
      <c r="FI79" s="406"/>
      <c r="FJ79" s="406"/>
      <c r="FK79" s="406"/>
      <c r="FL79" s="406"/>
      <c r="FM79" s="406"/>
      <c r="FN79" s="406"/>
      <c r="FO79" s="406"/>
      <c r="FP79" s="406"/>
      <c r="FQ79" s="406"/>
      <c r="FR79" s="406"/>
      <c r="FS79" s="406"/>
      <c r="FT79" s="406"/>
      <c r="FU79" s="406"/>
      <c r="FV79" s="406"/>
      <c r="FW79" s="406"/>
      <c r="FX79" s="406"/>
      <c r="FY79" s="406"/>
      <c r="FZ79" s="406"/>
      <c r="GA79" s="406"/>
      <c r="GB79" s="406"/>
      <c r="GC79" s="406"/>
      <c r="GD79" s="406"/>
      <c r="GE79" s="406"/>
      <c r="GF79" s="406"/>
      <c r="GG79" s="406"/>
      <c r="GH79" s="406"/>
      <c r="GI79" s="406"/>
      <c r="GJ79" s="406"/>
      <c r="GK79" s="406"/>
      <c r="GL79" s="406"/>
      <c r="GM79" s="406"/>
      <c r="GN79" s="406"/>
      <c r="GO79" s="406"/>
      <c r="GP79" s="406"/>
      <c r="GQ79" s="406"/>
      <c r="GR79" s="406"/>
      <c r="GS79" s="406"/>
      <c r="GT79" s="406"/>
      <c r="GU79" s="406"/>
      <c r="GV79" s="406"/>
      <c r="GW79" s="406"/>
      <c r="GX79" s="406"/>
      <c r="GY79" s="406"/>
      <c r="GZ79" s="406"/>
      <c r="HA79" s="406"/>
      <c r="HB79" s="406"/>
      <c r="HC79" s="406"/>
      <c r="HD79" s="406"/>
      <c r="HE79" s="406"/>
      <c r="HF79" s="406"/>
      <c r="HG79" s="406"/>
      <c r="HH79" s="406"/>
      <c r="HI79" s="406"/>
      <c r="HJ79" s="406"/>
      <c r="HK79" s="406"/>
      <c r="HL79" s="406"/>
      <c r="HM79" s="406"/>
      <c r="HN79" s="406"/>
      <c r="HO79" s="406"/>
      <c r="HP79" s="406"/>
      <c r="HQ79" s="406"/>
      <c r="HR79" s="406"/>
      <c r="HS79" s="406"/>
      <c r="HT79" s="406"/>
      <c r="HU79" s="406"/>
      <c r="HV79" s="406"/>
      <c r="HW79" s="406"/>
      <c r="HX79" s="406"/>
      <c r="HY79" s="406"/>
      <c r="HZ79" s="406"/>
      <c r="IA79" s="406"/>
      <c r="IB79" s="406"/>
      <c r="IC79" s="406"/>
      <c r="ID79" s="406"/>
      <c r="IE79" s="406"/>
      <c r="IF79" s="406"/>
      <c r="IG79" s="406"/>
      <c r="IH79" s="406"/>
      <c r="II79" s="406"/>
      <c r="IJ79" s="406"/>
      <c r="IK79" s="406"/>
      <c r="IL79" s="406"/>
      <c r="IM79" s="406"/>
      <c r="IN79" s="406"/>
      <c r="IO79" s="406"/>
      <c r="IP79" s="406"/>
      <c r="IQ79" s="406"/>
      <c r="IR79" s="406"/>
      <c r="IS79" s="406"/>
      <c r="IT79" s="406"/>
      <c r="IU79" s="406"/>
      <c r="IV79" s="406"/>
    </row>
    <row r="80" spans="1:256" ht="15.75">
      <c r="A80" s="406"/>
      <c r="B80" s="406"/>
      <c r="C80" s="406"/>
      <c r="D80" s="406"/>
      <c r="E80" s="439"/>
      <c r="F80" s="406"/>
      <c r="G80" s="406"/>
      <c r="H80" s="406"/>
      <c r="I80" s="406"/>
      <c r="J80" s="406"/>
      <c r="K80" s="406"/>
      <c r="L80" s="406"/>
      <c r="M80" s="406"/>
      <c r="N80" s="406"/>
      <c r="O80" s="406"/>
      <c r="P80" s="406"/>
      <c r="Q80" s="406"/>
      <c r="R80" s="406"/>
      <c r="S80" s="407"/>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6"/>
      <c r="AY80" s="406"/>
      <c r="AZ80" s="406"/>
      <c r="BA80" s="406"/>
      <c r="BB80" s="406"/>
      <c r="BC80" s="406"/>
      <c r="BD80" s="406"/>
      <c r="BE80" s="406"/>
      <c r="BF80" s="406"/>
      <c r="BG80" s="406"/>
      <c r="BH80" s="406"/>
      <c r="BI80" s="406"/>
      <c r="BJ80" s="406"/>
      <c r="BK80" s="406"/>
      <c r="BL80" s="406"/>
      <c r="BM80" s="406"/>
      <c r="BN80" s="406"/>
      <c r="BO80" s="406"/>
      <c r="BP80" s="406"/>
      <c r="BQ80" s="406"/>
      <c r="BR80" s="406"/>
      <c r="BS80" s="406"/>
      <c r="BT80" s="406"/>
      <c r="BU80" s="406"/>
      <c r="BV80" s="406"/>
      <c r="BW80" s="406"/>
      <c r="BX80" s="406"/>
      <c r="BY80" s="406"/>
      <c r="BZ80" s="406"/>
      <c r="CA80" s="406"/>
      <c r="CB80" s="406"/>
      <c r="CC80" s="406"/>
      <c r="CD80" s="406"/>
      <c r="CE80" s="406"/>
      <c r="CF80" s="406"/>
      <c r="CG80" s="406"/>
      <c r="CH80" s="406"/>
      <c r="CI80" s="406"/>
      <c r="CJ80" s="406"/>
      <c r="CK80" s="406"/>
      <c r="CL80" s="406"/>
      <c r="CM80" s="406"/>
      <c r="CN80" s="406"/>
      <c r="CO80" s="406"/>
      <c r="CP80" s="406"/>
      <c r="CQ80" s="406"/>
      <c r="CR80" s="406"/>
      <c r="CS80" s="406"/>
      <c r="CT80" s="406"/>
      <c r="CU80" s="406"/>
      <c r="CV80" s="406"/>
      <c r="CW80" s="406"/>
      <c r="CX80" s="406"/>
      <c r="CY80" s="406"/>
      <c r="CZ80" s="406"/>
      <c r="DA80" s="406"/>
      <c r="DB80" s="406"/>
      <c r="DC80" s="406"/>
      <c r="DD80" s="406"/>
      <c r="DE80" s="406"/>
      <c r="DF80" s="406"/>
      <c r="DG80" s="406"/>
      <c r="DH80" s="406"/>
      <c r="DI80" s="406"/>
      <c r="DJ80" s="406"/>
      <c r="DK80" s="406"/>
      <c r="DL80" s="406"/>
      <c r="DM80" s="406"/>
      <c r="DN80" s="406"/>
      <c r="DO80" s="406"/>
      <c r="DP80" s="406"/>
      <c r="DQ80" s="406"/>
      <c r="DR80" s="406"/>
      <c r="DS80" s="406"/>
      <c r="DT80" s="406"/>
      <c r="DU80" s="406"/>
      <c r="DV80" s="406"/>
      <c r="DW80" s="406"/>
      <c r="DX80" s="406"/>
      <c r="DY80" s="406"/>
      <c r="DZ80" s="406"/>
      <c r="EA80" s="406"/>
      <c r="EB80" s="406"/>
      <c r="EC80" s="406"/>
      <c r="ED80" s="406"/>
      <c r="EE80" s="406"/>
      <c r="EF80" s="406"/>
      <c r="EG80" s="406"/>
      <c r="EH80" s="406"/>
      <c r="EI80" s="406"/>
      <c r="EJ80" s="406"/>
      <c r="EK80" s="406"/>
      <c r="EL80" s="406"/>
      <c r="EM80" s="406"/>
      <c r="EN80" s="406"/>
      <c r="EO80" s="406"/>
      <c r="EP80" s="406"/>
      <c r="EQ80" s="406"/>
      <c r="ER80" s="406"/>
      <c r="ES80" s="406"/>
      <c r="ET80" s="406"/>
      <c r="EU80" s="406"/>
      <c r="EV80" s="406"/>
      <c r="EW80" s="406"/>
      <c r="EX80" s="406"/>
      <c r="EY80" s="406"/>
      <c r="EZ80" s="406"/>
      <c r="FA80" s="406"/>
      <c r="FB80" s="406"/>
      <c r="FC80" s="406"/>
      <c r="FD80" s="406"/>
      <c r="FE80" s="406"/>
      <c r="FF80" s="406"/>
      <c r="FG80" s="406"/>
      <c r="FH80" s="406"/>
      <c r="FI80" s="406"/>
      <c r="FJ80" s="406"/>
      <c r="FK80" s="406"/>
      <c r="FL80" s="406"/>
      <c r="FM80" s="406"/>
      <c r="FN80" s="406"/>
      <c r="FO80" s="406"/>
      <c r="FP80" s="406"/>
      <c r="FQ80" s="406"/>
      <c r="FR80" s="406"/>
      <c r="FS80" s="406"/>
      <c r="FT80" s="406"/>
      <c r="FU80" s="406"/>
      <c r="FV80" s="406"/>
      <c r="FW80" s="406"/>
      <c r="FX80" s="406"/>
      <c r="FY80" s="406"/>
      <c r="FZ80" s="406"/>
      <c r="GA80" s="406"/>
      <c r="GB80" s="406"/>
      <c r="GC80" s="406"/>
      <c r="GD80" s="406"/>
      <c r="GE80" s="406"/>
      <c r="GF80" s="406"/>
      <c r="GG80" s="406"/>
      <c r="GH80" s="406"/>
      <c r="GI80" s="406"/>
      <c r="GJ80" s="406"/>
      <c r="GK80" s="406"/>
      <c r="GL80" s="406"/>
      <c r="GM80" s="406"/>
      <c r="GN80" s="406"/>
      <c r="GO80" s="406"/>
      <c r="GP80" s="406"/>
      <c r="GQ80" s="406"/>
      <c r="GR80" s="406"/>
      <c r="GS80" s="406"/>
      <c r="GT80" s="406"/>
      <c r="GU80" s="406"/>
      <c r="GV80" s="406"/>
      <c r="GW80" s="406"/>
      <c r="GX80" s="406"/>
      <c r="GY80" s="406"/>
      <c r="GZ80" s="406"/>
      <c r="HA80" s="406"/>
      <c r="HB80" s="406"/>
      <c r="HC80" s="406"/>
      <c r="HD80" s="406"/>
      <c r="HE80" s="406"/>
      <c r="HF80" s="406"/>
      <c r="HG80" s="406"/>
      <c r="HH80" s="406"/>
      <c r="HI80" s="406"/>
      <c r="HJ80" s="406"/>
      <c r="HK80" s="406"/>
      <c r="HL80" s="406"/>
      <c r="HM80" s="406"/>
      <c r="HN80" s="406"/>
      <c r="HO80" s="406"/>
      <c r="HP80" s="406"/>
      <c r="HQ80" s="406"/>
      <c r="HR80" s="406"/>
      <c r="HS80" s="406"/>
      <c r="HT80" s="406"/>
      <c r="HU80" s="406"/>
      <c r="HV80" s="406"/>
      <c r="HW80" s="406"/>
      <c r="HX80" s="406"/>
      <c r="HY80" s="406"/>
      <c r="HZ80" s="406"/>
      <c r="IA80" s="406"/>
      <c r="IB80" s="406"/>
      <c r="IC80" s="406"/>
      <c r="ID80" s="406"/>
      <c r="IE80" s="406"/>
      <c r="IF80" s="406"/>
      <c r="IG80" s="406"/>
      <c r="IH80" s="406"/>
      <c r="II80" s="406"/>
      <c r="IJ80" s="406"/>
      <c r="IK80" s="406"/>
      <c r="IL80" s="406"/>
      <c r="IM80" s="406"/>
      <c r="IN80" s="406"/>
      <c r="IO80" s="406"/>
      <c r="IP80" s="406"/>
      <c r="IQ80" s="406"/>
      <c r="IR80" s="406"/>
      <c r="IS80" s="406"/>
      <c r="IT80" s="406"/>
      <c r="IU80" s="406"/>
      <c r="IV80" s="406"/>
    </row>
    <row r="81" spans="1:256" ht="15.75">
      <c r="A81" s="406"/>
      <c r="B81" s="406"/>
      <c r="C81" s="406"/>
      <c r="D81" s="406"/>
      <c r="E81" s="439"/>
      <c r="F81" s="406"/>
      <c r="G81" s="406"/>
      <c r="H81" s="406"/>
      <c r="I81" s="406"/>
      <c r="J81" s="406"/>
      <c r="K81" s="406"/>
      <c r="L81" s="406"/>
      <c r="M81" s="406"/>
      <c r="N81" s="406"/>
      <c r="O81" s="406"/>
      <c r="P81" s="406"/>
      <c r="Q81" s="406"/>
      <c r="R81" s="406"/>
      <c r="S81" s="407"/>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6"/>
      <c r="AY81" s="406"/>
      <c r="AZ81" s="406"/>
      <c r="BA81" s="406"/>
      <c r="BB81" s="406"/>
      <c r="BC81" s="406"/>
      <c r="BD81" s="406"/>
      <c r="BE81" s="406"/>
      <c r="BF81" s="406"/>
      <c r="BG81" s="406"/>
      <c r="BH81" s="406"/>
      <c r="BI81" s="406"/>
      <c r="BJ81" s="406"/>
      <c r="BK81" s="406"/>
      <c r="BL81" s="406"/>
      <c r="BM81" s="406"/>
      <c r="BN81" s="406"/>
      <c r="BO81" s="406"/>
      <c r="BP81" s="406"/>
      <c r="BQ81" s="406"/>
      <c r="BR81" s="406"/>
      <c r="BS81" s="406"/>
      <c r="BT81" s="406"/>
      <c r="BU81" s="406"/>
      <c r="BV81" s="406"/>
      <c r="BW81" s="406"/>
      <c r="BX81" s="406"/>
      <c r="BY81" s="406"/>
      <c r="BZ81" s="406"/>
      <c r="CA81" s="406"/>
      <c r="CB81" s="406"/>
      <c r="CC81" s="406"/>
      <c r="CD81" s="406"/>
      <c r="CE81" s="406"/>
      <c r="CF81" s="406"/>
      <c r="CG81" s="406"/>
      <c r="CH81" s="406"/>
      <c r="CI81" s="406"/>
      <c r="CJ81" s="406"/>
      <c r="CK81" s="406"/>
      <c r="CL81" s="406"/>
      <c r="CM81" s="406"/>
      <c r="CN81" s="406"/>
      <c r="CO81" s="406"/>
      <c r="CP81" s="406"/>
      <c r="CQ81" s="406"/>
      <c r="CR81" s="406"/>
      <c r="CS81" s="406"/>
      <c r="CT81" s="406"/>
      <c r="CU81" s="406"/>
      <c r="CV81" s="406"/>
      <c r="CW81" s="406"/>
      <c r="CX81" s="406"/>
      <c r="CY81" s="406"/>
      <c r="CZ81" s="406"/>
      <c r="DA81" s="406"/>
      <c r="DB81" s="406"/>
      <c r="DC81" s="406"/>
      <c r="DD81" s="406"/>
      <c r="DE81" s="406"/>
      <c r="DF81" s="406"/>
      <c r="DG81" s="406"/>
      <c r="DH81" s="406"/>
      <c r="DI81" s="406"/>
      <c r="DJ81" s="406"/>
      <c r="DK81" s="406"/>
      <c r="DL81" s="406"/>
      <c r="DM81" s="406"/>
      <c r="DN81" s="406"/>
      <c r="DO81" s="406"/>
      <c r="DP81" s="406"/>
      <c r="DQ81" s="406"/>
      <c r="DR81" s="406"/>
      <c r="DS81" s="406"/>
      <c r="DT81" s="406"/>
      <c r="DU81" s="406"/>
      <c r="DV81" s="406"/>
      <c r="DW81" s="406"/>
      <c r="DX81" s="406"/>
      <c r="DY81" s="406"/>
      <c r="DZ81" s="406"/>
      <c r="EA81" s="406"/>
      <c r="EB81" s="406"/>
      <c r="EC81" s="406"/>
      <c r="ED81" s="406"/>
      <c r="EE81" s="406"/>
      <c r="EF81" s="406"/>
      <c r="EG81" s="406"/>
      <c r="EH81" s="406"/>
      <c r="EI81" s="406"/>
      <c r="EJ81" s="406"/>
      <c r="EK81" s="406"/>
      <c r="EL81" s="406"/>
      <c r="EM81" s="406"/>
      <c r="EN81" s="406"/>
      <c r="EO81" s="406"/>
      <c r="EP81" s="406"/>
      <c r="EQ81" s="406"/>
      <c r="ER81" s="406"/>
      <c r="ES81" s="406"/>
      <c r="ET81" s="406"/>
      <c r="EU81" s="406"/>
      <c r="EV81" s="406"/>
      <c r="EW81" s="406"/>
      <c r="EX81" s="406"/>
      <c r="EY81" s="406"/>
      <c r="EZ81" s="406"/>
      <c r="FA81" s="406"/>
      <c r="FB81" s="406"/>
      <c r="FC81" s="406"/>
      <c r="FD81" s="406"/>
      <c r="FE81" s="406"/>
      <c r="FF81" s="406"/>
      <c r="FG81" s="406"/>
      <c r="FH81" s="406"/>
      <c r="FI81" s="406"/>
      <c r="FJ81" s="406"/>
      <c r="FK81" s="406"/>
      <c r="FL81" s="406"/>
      <c r="FM81" s="406"/>
      <c r="FN81" s="406"/>
      <c r="FO81" s="406"/>
      <c r="FP81" s="406"/>
      <c r="FQ81" s="406"/>
      <c r="FR81" s="406"/>
      <c r="FS81" s="406"/>
      <c r="FT81" s="406"/>
      <c r="FU81" s="406"/>
      <c r="FV81" s="406"/>
      <c r="FW81" s="406"/>
      <c r="FX81" s="406"/>
      <c r="FY81" s="406"/>
      <c r="FZ81" s="406"/>
      <c r="GA81" s="406"/>
      <c r="GB81" s="406"/>
      <c r="GC81" s="406"/>
      <c r="GD81" s="406"/>
      <c r="GE81" s="406"/>
      <c r="GF81" s="406"/>
      <c r="GG81" s="406"/>
      <c r="GH81" s="406"/>
      <c r="GI81" s="406"/>
      <c r="GJ81" s="406"/>
      <c r="GK81" s="406"/>
      <c r="GL81" s="406"/>
      <c r="GM81" s="406"/>
      <c r="GN81" s="406"/>
      <c r="GO81" s="406"/>
      <c r="GP81" s="406"/>
      <c r="GQ81" s="406"/>
      <c r="GR81" s="406"/>
      <c r="GS81" s="406"/>
      <c r="GT81" s="406"/>
      <c r="GU81" s="406"/>
      <c r="GV81" s="406"/>
      <c r="GW81" s="406"/>
      <c r="GX81" s="406"/>
      <c r="GY81" s="406"/>
      <c r="GZ81" s="406"/>
      <c r="HA81" s="406"/>
      <c r="HB81" s="406"/>
      <c r="HC81" s="406"/>
      <c r="HD81" s="406"/>
      <c r="HE81" s="406"/>
      <c r="HF81" s="406"/>
      <c r="HG81" s="406"/>
      <c r="HH81" s="406"/>
      <c r="HI81" s="406"/>
      <c r="HJ81" s="406"/>
      <c r="HK81" s="406"/>
      <c r="HL81" s="406"/>
      <c r="HM81" s="406"/>
      <c r="HN81" s="406"/>
      <c r="HO81" s="406"/>
      <c r="HP81" s="406"/>
      <c r="HQ81" s="406"/>
      <c r="HR81" s="406"/>
      <c r="HS81" s="406"/>
      <c r="HT81" s="406"/>
      <c r="HU81" s="406"/>
      <c r="HV81" s="406"/>
      <c r="HW81" s="406"/>
      <c r="HX81" s="406"/>
      <c r="HY81" s="406"/>
      <c r="HZ81" s="406"/>
      <c r="IA81" s="406"/>
      <c r="IB81" s="406"/>
      <c r="IC81" s="406"/>
      <c r="ID81" s="406"/>
      <c r="IE81" s="406"/>
      <c r="IF81" s="406"/>
      <c r="IG81" s="406"/>
      <c r="IH81" s="406"/>
      <c r="II81" s="406"/>
      <c r="IJ81" s="406"/>
      <c r="IK81" s="406"/>
      <c r="IL81" s="406"/>
      <c r="IM81" s="406"/>
      <c r="IN81" s="406"/>
      <c r="IO81" s="406"/>
      <c r="IP81" s="406"/>
      <c r="IQ81" s="406"/>
      <c r="IR81" s="406"/>
      <c r="IS81" s="406"/>
      <c r="IT81" s="406"/>
      <c r="IU81" s="406"/>
      <c r="IV81" s="406"/>
    </row>
    <row r="82" spans="1:256" ht="15.75">
      <c r="A82" s="406"/>
      <c r="B82" s="406"/>
      <c r="C82" s="406"/>
      <c r="D82" s="406"/>
      <c r="E82" s="439"/>
      <c r="F82" s="406"/>
      <c r="G82" s="406"/>
      <c r="H82" s="406"/>
      <c r="I82" s="406"/>
      <c r="J82" s="406"/>
      <c r="K82" s="406"/>
      <c r="L82" s="406"/>
      <c r="M82" s="406"/>
      <c r="N82" s="406"/>
      <c r="O82" s="406"/>
      <c r="P82" s="406"/>
      <c r="Q82" s="406"/>
      <c r="R82" s="406"/>
      <c r="S82" s="407"/>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6"/>
      <c r="AY82" s="406"/>
      <c r="AZ82" s="406"/>
      <c r="BA82" s="406"/>
      <c r="BB82" s="406"/>
      <c r="BC82" s="406"/>
      <c r="BD82" s="406"/>
      <c r="BE82" s="406"/>
      <c r="BF82" s="406"/>
      <c r="BG82" s="406"/>
      <c r="BH82" s="406"/>
      <c r="BI82" s="406"/>
      <c r="BJ82" s="406"/>
      <c r="BK82" s="406"/>
      <c r="BL82" s="406"/>
      <c r="BM82" s="406"/>
      <c r="BN82" s="406"/>
      <c r="BO82" s="406"/>
      <c r="BP82" s="406"/>
      <c r="BQ82" s="406"/>
      <c r="BR82" s="406"/>
      <c r="BS82" s="406"/>
      <c r="BT82" s="406"/>
      <c r="BU82" s="406"/>
      <c r="BV82" s="406"/>
      <c r="BW82" s="406"/>
      <c r="BX82" s="406"/>
      <c r="BY82" s="406"/>
      <c r="BZ82" s="406"/>
      <c r="CA82" s="406"/>
      <c r="CB82" s="406"/>
      <c r="CC82" s="406"/>
      <c r="CD82" s="406"/>
      <c r="CE82" s="406"/>
      <c r="CF82" s="406"/>
      <c r="CG82" s="406"/>
      <c r="CH82" s="406"/>
      <c r="CI82" s="406"/>
      <c r="CJ82" s="406"/>
      <c r="CK82" s="406"/>
      <c r="CL82" s="406"/>
      <c r="CM82" s="406"/>
      <c r="CN82" s="406"/>
      <c r="CO82" s="406"/>
      <c r="CP82" s="406"/>
      <c r="CQ82" s="406"/>
      <c r="CR82" s="406"/>
      <c r="CS82" s="406"/>
      <c r="CT82" s="406"/>
      <c r="CU82" s="406"/>
      <c r="CV82" s="406"/>
      <c r="CW82" s="406"/>
      <c r="CX82" s="406"/>
      <c r="CY82" s="406"/>
      <c r="CZ82" s="406"/>
      <c r="DA82" s="406"/>
      <c r="DB82" s="406"/>
      <c r="DC82" s="406"/>
      <c r="DD82" s="406"/>
      <c r="DE82" s="406"/>
      <c r="DF82" s="406"/>
      <c r="DG82" s="406"/>
      <c r="DH82" s="406"/>
      <c r="DI82" s="406"/>
      <c r="DJ82" s="406"/>
      <c r="DK82" s="406"/>
      <c r="DL82" s="406"/>
      <c r="DM82" s="406"/>
      <c r="DN82" s="406"/>
      <c r="DO82" s="406"/>
      <c r="DP82" s="406"/>
      <c r="DQ82" s="406"/>
      <c r="DR82" s="406"/>
      <c r="DS82" s="406"/>
      <c r="DT82" s="406"/>
      <c r="DU82" s="406"/>
      <c r="DV82" s="406"/>
      <c r="DW82" s="406"/>
      <c r="DX82" s="406"/>
      <c r="DY82" s="406"/>
      <c r="DZ82" s="406"/>
      <c r="EA82" s="406"/>
      <c r="EB82" s="406"/>
      <c r="EC82" s="406"/>
      <c r="ED82" s="406"/>
      <c r="EE82" s="406"/>
      <c r="EF82" s="406"/>
      <c r="EG82" s="406"/>
      <c r="EH82" s="406"/>
      <c r="EI82" s="406"/>
      <c r="EJ82" s="406"/>
      <c r="EK82" s="406"/>
      <c r="EL82" s="406"/>
      <c r="EM82" s="406"/>
      <c r="EN82" s="406"/>
      <c r="EO82" s="406"/>
      <c r="EP82" s="406"/>
      <c r="EQ82" s="406"/>
      <c r="ER82" s="406"/>
      <c r="ES82" s="406"/>
      <c r="ET82" s="406"/>
      <c r="EU82" s="406"/>
      <c r="EV82" s="406"/>
      <c r="EW82" s="406"/>
      <c r="EX82" s="406"/>
      <c r="EY82" s="406"/>
      <c r="EZ82" s="406"/>
      <c r="FA82" s="406"/>
      <c r="FB82" s="406"/>
      <c r="FC82" s="406"/>
      <c r="FD82" s="406"/>
      <c r="FE82" s="406"/>
      <c r="FF82" s="406"/>
      <c r="FG82" s="406"/>
      <c r="FH82" s="406"/>
      <c r="FI82" s="406"/>
      <c r="FJ82" s="406"/>
      <c r="FK82" s="406"/>
      <c r="FL82" s="406"/>
      <c r="FM82" s="406"/>
      <c r="FN82" s="406"/>
      <c r="FO82" s="406"/>
      <c r="FP82" s="406"/>
      <c r="FQ82" s="406"/>
      <c r="FR82" s="406"/>
      <c r="FS82" s="406"/>
      <c r="FT82" s="406"/>
      <c r="FU82" s="406"/>
      <c r="FV82" s="406"/>
      <c r="FW82" s="406"/>
      <c r="FX82" s="406"/>
      <c r="FY82" s="406"/>
      <c r="FZ82" s="406"/>
      <c r="GA82" s="406"/>
      <c r="GB82" s="406"/>
      <c r="GC82" s="406"/>
      <c r="GD82" s="406"/>
      <c r="GE82" s="406"/>
      <c r="GF82" s="406"/>
      <c r="GG82" s="406"/>
      <c r="GH82" s="406"/>
      <c r="GI82" s="406"/>
      <c r="GJ82" s="406"/>
      <c r="GK82" s="406"/>
      <c r="GL82" s="406"/>
      <c r="GM82" s="406"/>
      <c r="GN82" s="406"/>
      <c r="GO82" s="406"/>
      <c r="GP82" s="406"/>
      <c r="GQ82" s="406"/>
      <c r="GR82" s="406"/>
      <c r="GS82" s="406"/>
      <c r="GT82" s="406"/>
      <c r="GU82" s="406"/>
      <c r="GV82" s="406"/>
      <c r="GW82" s="406"/>
      <c r="GX82" s="406"/>
      <c r="GY82" s="406"/>
      <c r="GZ82" s="406"/>
      <c r="HA82" s="406"/>
      <c r="HB82" s="406"/>
      <c r="HC82" s="406"/>
      <c r="HD82" s="406"/>
      <c r="HE82" s="406"/>
      <c r="HF82" s="406"/>
      <c r="HG82" s="406"/>
      <c r="HH82" s="406"/>
      <c r="HI82" s="406"/>
      <c r="HJ82" s="406"/>
      <c r="HK82" s="406"/>
      <c r="HL82" s="406"/>
      <c r="HM82" s="406"/>
      <c r="HN82" s="406"/>
      <c r="HO82" s="406"/>
      <c r="HP82" s="406"/>
      <c r="HQ82" s="406"/>
      <c r="HR82" s="406"/>
      <c r="HS82" s="406"/>
      <c r="HT82" s="406"/>
      <c r="HU82" s="406"/>
      <c r="HV82" s="406"/>
      <c r="HW82" s="406"/>
      <c r="HX82" s="406"/>
      <c r="HY82" s="406"/>
      <c r="HZ82" s="406"/>
      <c r="IA82" s="406"/>
      <c r="IB82" s="406"/>
      <c r="IC82" s="406"/>
      <c r="ID82" s="406"/>
      <c r="IE82" s="406"/>
      <c r="IF82" s="406"/>
      <c r="IG82" s="406"/>
      <c r="IH82" s="406"/>
      <c r="II82" s="406"/>
      <c r="IJ82" s="406"/>
      <c r="IK82" s="406"/>
      <c r="IL82" s="406"/>
      <c r="IM82" s="406"/>
      <c r="IN82" s="406"/>
      <c r="IO82" s="406"/>
      <c r="IP82" s="406"/>
      <c r="IQ82" s="406"/>
      <c r="IR82" s="406"/>
      <c r="IS82" s="406"/>
      <c r="IT82" s="406"/>
      <c r="IU82" s="406"/>
      <c r="IV82" s="406"/>
    </row>
    <row r="83" spans="1:256" ht="15.75">
      <c r="A83" s="406"/>
      <c r="B83" s="406"/>
      <c r="C83" s="406"/>
      <c r="D83" s="406"/>
      <c r="E83" s="439"/>
      <c r="F83" s="406"/>
      <c r="G83" s="406"/>
      <c r="H83" s="406"/>
      <c r="I83" s="406"/>
      <c r="J83" s="406"/>
      <c r="K83" s="406"/>
      <c r="L83" s="406"/>
      <c r="M83" s="406"/>
      <c r="N83" s="406"/>
      <c r="O83" s="406"/>
      <c r="P83" s="406"/>
      <c r="Q83" s="406"/>
      <c r="R83" s="406"/>
      <c r="S83" s="407"/>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406"/>
      <c r="BG83" s="406"/>
      <c r="BH83" s="406"/>
      <c r="BI83" s="406"/>
      <c r="BJ83" s="406"/>
      <c r="BK83" s="406"/>
      <c r="BL83" s="406"/>
      <c r="BM83" s="406"/>
      <c r="BN83" s="406"/>
      <c r="BO83" s="406"/>
      <c r="BP83" s="406"/>
      <c r="BQ83" s="406"/>
      <c r="BR83" s="406"/>
      <c r="BS83" s="406"/>
      <c r="BT83" s="406"/>
      <c r="BU83" s="406"/>
      <c r="BV83" s="406"/>
      <c r="BW83" s="406"/>
      <c r="BX83" s="406"/>
      <c r="BY83" s="406"/>
      <c r="BZ83" s="406"/>
      <c r="CA83" s="406"/>
      <c r="CB83" s="406"/>
      <c r="CC83" s="406"/>
      <c r="CD83" s="406"/>
      <c r="CE83" s="406"/>
      <c r="CF83" s="406"/>
      <c r="CG83" s="406"/>
      <c r="CH83" s="406"/>
      <c r="CI83" s="406"/>
      <c r="CJ83" s="406"/>
      <c r="CK83" s="406"/>
      <c r="CL83" s="406"/>
      <c r="CM83" s="406"/>
      <c r="CN83" s="406"/>
      <c r="CO83" s="406"/>
      <c r="CP83" s="406"/>
      <c r="CQ83" s="406"/>
      <c r="CR83" s="406"/>
      <c r="CS83" s="406"/>
      <c r="CT83" s="406"/>
      <c r="CU83" s="406"/>
      <c r="CV83" s="406"/>
      <c r="CW83" s="406"/>
      <c r="CX83" s="406"/>
      <c r="CY83" s="406"/>
      <c r="CZ83" s="406"/>
      <c r="DA83" s="406"/>
      <c r="DB83" s="406"/>
      <c r="DC83" s="406"/>
      <c r="DD83" s="406"/>
      <c r="DE83" s="406"/>
      <c r="DF83" s="406"/>
      <c r="DG83" s="406"/>
      <c r="DH83" s="406"/>
      <c r="DI83" s="406"/>
      <c r="DJ83" s="406"/>
      <c r="DK83" s="406"/>
      <c r="DL83" s="406"/>
      <c r="DM83" s="406"/>
      <c r="DN83" s="406"/>
      <c r="DO83" s="406"/>
      <c r="DP83" s="406"/>
      <c r="DQ83" s="406"/>
      <c r="DR83" s="406"/>
      <c r="DS83" s="406"/>
      <c r="DT83" s="406"/>
      <c r="DU83" s="406"/>
      <c r="DV83" s="406"/>
      <c r="DW83" s="406"/>
      <c r="DX83" s="406"/>
      <c r="DY83" s="406"/>
      <c r="DZ83" s="406"/>
      <c r="EA83" s="406"/>
      <c r="EB83" s="406"/>
      <c r="EC83" s="406"/>
      <c r="ED83" s="406"/>
      <c r="EE83" s="406"/>
      <c r="EF83" s="406"/>
      <c r="EG83" s="406"/>
      <c r="EH83" s="406"/>
      <c r="EI83" s="406"/>
      <c r="EJ83" s="406"/>
      <c r="EK83" s="406"/>
      <c r="EL83" s="406"/>
      <c r="EM83" s="406"/>
      <c r="EN83" s="406"/>
      <c r="EO83" s="406"/>
      <c r="EP83" s="406"/>
      <c r="EQ83" s="406"/>
      <c r="ER83" s="406"/>
      <c r="ES83" s="406"/>
      <c r="ET83" s="406"/>
      <c r="EU83" s="406"/>
      <c r="EV83" s="406"/>
      <c r="EW83" s="406"/>
      <c r="EX83" s="406"/>
      <c r="EY83" s="406"/>
      <c r="EZ83" s="406"/>
      <c r="FA83" s="406"/>
      <c r="FB83" s="406"/>
      <c r="FC83" s="406"/>
      <c r="FD83" s="406"/>
      <c r="FE83" s="406"/>
      <c r="FF83" s="406"/>
      <c r="FG83" s="406"/>
      <c r="FH83" s="406"/>
      <c r="FI83" s="406"/>
      <c r="FJ83" s="406"/>
      <c r="FK83" s="406"/>
      <c r="FL83" s="406"/>
      <c r="FM83" s="406"/>
      <c r="FN83" s="406"/>
      <c r="FO83" s="406"/>
      <c r="FP83" s="406"/>
      <c r="FQ83" s="406"/>
      <c r="FR83" s="406"/>
      <c r="FS83" s="406"/>
      <c r="FT83" s="406"/>
      <c r="FU83" s="406"/>
      <c r="FV83" s="406"/>
      <c r="FW83" s="406"/>
      <c r="FX83" s="406"/>
      <c r="FY83" s="406"/>
      <c r="FZ83" s="406"/>
      <c r="GA83" s="406"/>
      <c r="GB83" s="406"/>
      <c r="GC83" s="406"/>
      <c r="GD83" s="406"/>
      <c r="GE83" s="406"/>
      <c r="GF83" s="406"/>
      <c r="GG83" s="406"/>
      <c r="GH83" s="406"/>
      <c r="GI83" s="406"/>
      <c r="GJ83" s="406"/>
      <c r="GK83" s="406"/>
      <c r="GL83" s="406"/>
      <c r="GM83" s="406"/>
      <c r="GN83" s="406"/>
      <c r="GO83" s="406"/>
      <c r="GP83" s="406"/>
      <c r="GQ83" s="406"/>
      <c r="GR83" s="406"/>
      <c r="GS83" s="406"/>
      <c r="GT83" s="406"/>
      <c r="GU83" s="406"/>
      <c r="GV83" s="406"/>
      <c r="GW83" s="406"/>
      <c r="GX83" s="406"/>
      <c r="GY83" s="406"/>
      <c r="GZ83" s="406"/>
      <c r="HA83" s="406"/>
      <c r="HB83" s="406"/>
      <c r="HC83" s="406"/>
      <c r="HD83" s="406"/>
      <c r="HE83" s="406"/>
      <c r="HF83" s="406"/>
      <c r="HG83" s="406"/>
      <c r="HH83" s="406"/>
      <c r="HI83" s="406"/>
      <c r="HJ83" s="406"/>
      <c r="HK83" s="406"/>
      <c r="HL83" s="406"/>
      <c r="HM83" s="406"/>
      <c r="HN83" s="406"/>
      <c r="HO83" s="406"/>
      <c r="HP83" s="406"/>
      <c r="HQ83" s="406"/>
      <c r="HR83" s="406"/>
      <c r="HS83" s="406"/>
      <c r="HT83" s="406"/>
      <c r="HU83" s="406"/>
      <c r="HV83" s="406"/>
      <c r="HW83" s="406"/>
      <c r="HX83" s="406"/>
      <c r="HY83" s="406"/>
      <c r="HZ83" s="406"/>
      <c r="IA83" s="406"/>
      <c r="IB83" s="406"/>
      <c r="IC83" s="406"/>
      <c r="ID83" s="406"/>
      <c r="IE83" s="406"/>
      <c r="IF83" s="406"/>
      <c r="IG83" s="406"/>
      <c r="IH83" s="406"/>
      <c r="II83" s="406"/>
      <c r="IJ83" s="406"/>
      <c r="IK83" s="406"/>
      <c r="IL83" s="406"/>
      <c r="IM83" s="406"/>
      <c r="IN83" s="406"/>
      <c r="IO83" s="406"/>
      <c r="IP83" s="406"/>
      <c r="IQ83" s="406"/>
      <c r="IR83" s="406"/>
      <c r="IS83" s="406"/>
      <c r="IT83" s="406"/>
      <c r="IU83" s="406"/>
      <c r="IV83" s="406"/>
    </row>
  </sheetData>
  <sheetProtection/>
  <mergeCells count="6">
    <mergeCell ref="A1:L1"/>
    <mergeCell ref="D3:F3"/>
    <mergeCell ref="G3:I3"/>
    <mergeCell ref="J3:L3"/>
    <mergeCell ref="A4:C4"/>
    <mergeCell ref="B64:L65"/>
  </mergeCells>
  <printOptions/>
  <pageMargins left="0.7" right="0.7" top="0.75" bottom="0.75" header="0.3" footer="0.3"/>
  <pageSetup fitToHeight="1" fitToWidth="1" horizontalDpi="600" verticalDpi="600" orientation="portrait" scale="65" r:id="rId1"/>
  <headerFooter>
    <oddFooter>&amp;CPage &amp;P&amp;R&amp;A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Y128"/>
  <sheetViews>
    <sheetView zoomScalePageLayoutView="0" workbookViewId="0" topLeftCell="A1">
      <selection activeCell="D20" sqref="D20"/>
    </sheetView>
  </sheetViews>
  <sheetFormatPr defaultColWidth="9.140625" defaultRowHeight="15"/>
  <cols>
    <col min="2" max="2" width="17.421875" style="0" customWidth="1"/>
    <col min="3" max="3" width="11.57421875" style="0" bestFit="1" customWidth="1"/>
    <col min="4" max="4" width="12.140625" style="0" bestFit="1" customWidth="1"/>
    <col min="5" max="5" width="11.57421875" style="0" bestFit="1" customWidth="1"/>
    <col min="6" max="6" width="5.28125" style="0" customWidth="1"/>
    <col min="7" max="8" width="14.28125" style="0" bestFit="1" customWidth="1"/>
    <col min="9" max="9" width="3.7109375" style="1" customWidth="1"/>
    <col min="10" max="10" width="14.57421875" style="0" bestFit="1" customWidth="1"/>
    <col min="11" max="11" width="3.7109375" style="0" customWidth="1"/>
    <col min="12" max="12" width="12.57421875" style="0" bestFit="1" customWidth="1"/>
    <col min="13" max="13" width="2.57421875" style="0" customWidth="1"/>
    <col min="14" max="14" width="13.00390625" style="1" customWidth="1"/>
    <col min="15" max="15" width="13.8515625" style="1" customWidth="1"/>
    <col min="16" max="16" width="13.28125" style="0" bestFit="1" customWidth="1"/>
    <col min="17" max="17" width="2.57421875" style="0" customWidth="1"/>
    <col min="18" max="19" width="12.8515625" style="1" bestFit="1" customWidth="1"/>
    <col min="20" max="20" width="12.8515625" style="0" bestFit="1" customWidth="1"/>
  </cols>
  <sheetData>
    <row r="1" spans="1:17" ht="20.25">
      <c r="A1" s="27" t="s">
        <v>0</v>
      </c>
      <c r="B1" s="14"/>
      <c r="C1" s="14"/>
      <c r="D1" s="14"/>
      <c r="E1" s="14"/>
      <c r="F1" s="14"/>
      <c r="G1" s="14"/>
      <c r="H1" s="14"/>
      <c r="I1" s="14"/>
      <c r="J1" s="14"/>
      <c r="P1" s="1"/>
      <c r="Q1" s="1"/>
    </row>
    <row r="2" spans="1:17" ht="15.75">
      <c r="A2" s="28"/>
      <c r="B2" s="14"/>
      <c r="C2" s="14"/>
      <c r="D2" s="14"/>
      <c r="E2" s="14"/>
      <c r="F2" s="14"/>
      <c r="G2" s="14"/>
      <c r="H2" s="14"/>
      <c r="I2" s="14"/>
      <c r="J2" s="14"/>
      <c r="P2" s="1"/>
      <c r="Q2" s="1"/>
    </row>
    <row r="3" spans="1:19" ht="15">
      <c r="A3" s="17" t="s">
        <v>1</v>
      </c>
      <c r="B3" s="14"/>
      <c r="C3" s="14"/>
      <c r="D3" s="14"/>
      <c r="E3" s="14"/>
      <c r="F3" s="14"/>
      <c r="G3" s="14"/>
      <c r="H3" s="14"/>
      <c r="I3" s="14"/>
      <c r="J3" s="14"/>
      <c r="P3" s="1"/>
      <c r="Q3" s="1"/>
      <c r="R3" s="15" t="s">
        <v>4</v>
      </c>
      <c r="S3" s="15" t="s">
        <v>5</v>
      </c>
    </row>
    <row r="4" spans="1:19" ht="15">
      <c r="A4" s="14"/>
      <c r="B4" s="14"/>
      <c r="C4" s="584" t="s">
        <v>2</v>
      </c>
      <c r="D4" s="584"/>
      <c r="E4" s="584"/>
      <c r="F4" s="14"/>
      <c r="G4" s="584" t="s">
        <v>3</v>
      </c>
      <c r="H4" s="584"/>
      <c r="I4" s="584"/>
      <c r="J4" s="584"/>
      <c r="L4" s="15" t="s">
        <v>62</v>
      </c>
      <c r="N4" s="15" t="s">
        <v>4</v>
      </c>
      <c r="O4" s="15" t="s">
        <v>5</v>
      </c>
      <c r="P4" s="1"/>
      <c r="Q4" s="1"/>
      <c r="R4" s="15" t="s">
        <v>6</v>
      </c>
      <c r="S4" s="15" t="s">
        <v>6</v>
      </c>
    </row>
    <row r="5" spans="1:20" ht="15">
      <c r="A5" s="14"/>
      <c r="B5" s="14"/>
      <c r="C5" s="15" t="s">
        <v>4</v>
      </c>
      <c r="D5" s="15" t="s">
        <v>5</v>
      </c>
      <c r="E5" s="14"/>
      <c r="F5" s="14"/>
      <c r="G5" s="15" t="s">
        <v>4</v>
      </c>
      <c r="H5" s="15" t="s">
        <v>5</v>
      </c>
      <c r="I5" s="15"/>
      <c r="J5" s="14"/>
      <c r="L5" s="15" t="s">
        <v>71</v>
      </c>
      <c r="N5" s="15" t="s">
        <v>6</v>
      </c>
      <c r="O5" s="15" t="s">
        <v>6</v>
      </c>
      <c r="P5" s="15" t="s">
        <v>7</v>
      </c>
      <c r="Q5" s="1"/>
      <c r="R5" s="15" t="s">
        <v>62</v>
      </c>
      <c r="S5" s="15" t="s">
        <v>62</v>
      </c>
      <c r="T5" s="15" t="s">
        <v>62</v>
      </c>
    </row>
    <row r="6" spans="1:20" ht="15">
      <c r="A6" s="17"/>
      <c r="B6" s="17"/>
      <c r="C6" s="20" t="s">
        <v>6</v>
      </c>
      <c r="D6" s="20" t="s">
        <v>6</v>
      </c>
      <c r="E6" s="20" t="s">
        <v>7</v>
      </c>
      <c r="F6" s="17"/>
      <c r="G6" s="20" t="s">
        <v>6</v>
      </c>
      <c r="H6" s="20" t="s">
        <v>6</v>
      </c>
      <c r="I6" s="20"/>
      <c r="J6" s="20" t="s">
        <v>7</v>
      </c>
      <c r="L6" s="20" t="s">
        <v>72</v>
      </c>
      <c r="M6" s="20"/>
      <c r="N6" s="20" t="s">
        <v>73</v>
      </c>
      <c r="O6" s="20" t="s">
        <v>73</v>
      </c>
      <c r="P6" s="20" t="s">
        <v>73</v>
      </c>
      <c r="Q6" s="1"/>
      <c r="R6" s="17" t="s">
        <v>74</v>
      </c>
      <c r="S6" s="17" t="s">
        <v>74</v>
      </c>
      <c r="T6" s="17" t="s">
        <v>74</v>
      </c>
    </row>
    <row r="7" spans="1:25" ht="15">
      <c r="A7" s="1" t="s">
        <v>9</v>
      </c>
      <c r="B7" s="1"/>
      <c r="C7" s="3">
        <v>5699.94</v>
      </c>
      <c r="D7" s="3">
        <v>3709.79</v>
      </c>
      <c r="E7" s="3">
        <f>+D7+C7</f>
        <v>9409.73</v>
      </c>
      <c r="F7" s="1"/>
      <c r="G7" s="50">
        <f>+'CRC Prices &amp; Revenue'!M37</f>
        <v>557328.6648695047</v>
      </c>
      <c r="H7" s="50">
        <f>+'CRC Prices &amp; Revenue'!M134</f>
        <v>362735.8020691866</v>
      </c>
      <c r="I7" s="58"/>
      <c r="J7" s="50">
        <f>+H7+G7</f>
        <v>920064.4669386913</v>
      </c>
      <c r="L7" s="78">
        <f>+J7/E7</f>
        <v>97.77798799101477</v>
      </c>
      <c r="N7" s="96">
        <f>+'Customer Counts'!E6+'Customer Counts'!G6+'Customer Counts'!N6+'Customer Counts'!P6</f>
        <v>160291</v>
      </c>
      <c r="O7" s="77">
        <f aca="true" t="shared" si="0" ref="O7:O29">+P7-N7</f>
        <v>117050</v>
      </c>
      <c r="P7" s="91">
        <f>+'Customer Counts'!U6</f>
        <v>277341</v>
      </c>
      <c r="Q7" s="1"/>
      <c r="R7" s="3">
        <f aca="true" t="shared" si="1" ref="R7:R31">+C7*2000/N7</f>
        <v>71.11990068063709</v>
      </c>
      <c r="S7" s="3">
        <f aca="true" t="shared" si="2" ref="S7:S31">+D7*2000/O7</f>
        <v>63.38812473302008</v>
      </c>
      <c r="T7" s="3">
        <f aca="true" t="shared" si="3" ref="T7:T31">+E7*2000/P7</f>
        <v>67.85675395992659</v>
      </c>
      <c r="X7" s="3"/>
      <c r="Y7" s="3"/>
    </row>
    <row r="8" spans="1:25" ht="15">
      <c r="A8" s="1" t="s">
        <v>10</v>
      </c>
      <c r="B8" s="1"/>
      <c r="C8" s="3">
        <v>5309.59</v>
      </c>
      <c r="D8" s="3">
        <v>3537.4</v>
      </c>
      <c r="E8" s="3">
        <f aca="true" t="shared" si="4" ref="E8:E30">+D8+C8</f>
        <v>8846.99</v>
      </c>
      <c r="F8" s="1"/>
      <c r="G8" s="50">
        <f>+'CRC Prices &amp; Revenue'!M41</f>
        <v>541802.0189668377</v>
      </c>
      <c r="H8" s="50">
        <f>+'CRC Prices &amp; Revenue'!M138</f>
        <v>360963.927891474</v>
      </c>
      <c r="I8" s="58"/>
      <c r="J8" s="50">
        <f aca="true" t="shared" si="5" ref="J8:J30">+H8+G8</f>
        <v>902765.9468583117</v>
      </c>
      <c r="L8" s="78">
        <f aca="true" t="shared" si="6" ref="L8:L31">+J8/E8</f>
        <v>102.04215748614067</v>
      </c>
      <c r="N8" s="96">
        <f>+'Customer Counts'!E7+'Customer Counts'!G7+'Customer Counts'!N7+'Customer Counts'!P7</f>
        <v>160216</v>
      </c>
      <c r="O8" s="77">
        <f t="shared" si="0"/>
        <v>117180</v>
      </c>
      <c r="P8" s="91">
        <f>+'Customer Counts'!U7</f>
        <v>277396</v>
      </c>
      <c r="Q8" s="1"/>
      <c r="R8" s="3">
        <f t="shared" si="1"/>
        <v>66.28039646477255</v>
      </c>
      <c r="S8" s="3">
        <f t="shared" si="2"/>
        <v>60.375490698071346</v>
      </c>
      <c r="T8" s="3">
        <f t="shared" si="3"/>
        <v>63.78599547217696</v>
      </c>
      <c r="X8" s="3"/>
      <c r="Y8" s="3"/>
    </row>
    <row r="9" spans="1:25" ht="15">
      <c r="A9" s="1" t="s">
        <v>11</v>
      </c>
      <c r="B9" s="1"/>
      <c r="C9" s="3">
        <v>6013.43</v>
      </c>
      <c r="D9" s="3">
        <v>3993.82</v>
      </c>
      <c r="E9" s="3">
        <f t="shared" si="4"/>
        <v>10007.25</v>
      </c>
      <c r="F9" s="1"/>
      <c r="G9" s="50">
        <f>+'CRC Prices &amp; Revenue'!M45</f>
        <v>558017.8764875389</v>
      </c>
      <c r="H9" s="50">
        <f>+'CRC Prices &amp; Revenue'!M142</f>
        <v>370607.6158653983</v>
      </c>
      <c r="I9" s="58"/>
      <c r="J9" s="50">
        <f t="shared" si="5"/>
        <v>928625.4923529372</v>
      </c>
      <c r="L9" s="78">
        <f t="shared" si="6"/>
        <v>92.79527266261333</v>
      </c>
      <c r="N9" s="96">
        <f>+'Customer Counts'!E8+'Customer Counts'!G8+'Customer Counts'!N8+'Customer Counts'!P8</f>
        <v>160343</v>
      </c>
      <c r="O9" s="77">
        <f t="shared" si="0"/>
        <v>117617</v>
      </c>
      <c r="P9" s="91">
        <f>+'Customer Counts'!U8</f>
        <v>277960</v>
      </c>
      <c r="Q9" s="1"/>
      <c r="R9" s="3">
        <f t="shared" si="1"/>
        <v>75.00707857530419</v>
      </c>
      <c r="S9" s="3">
        <f t="shared" si="2"/>
        <v>67.91229159050137</v>
      </c>
      <c r="T9" s="3">
        <f t="shared" si="3"/>
        <v>72.00496474312851</v>
      </c>
      <c r="X9" s="3"/>
      <c r="Y9" s="3"/>
    </row>
    <row r="10" spans="1:25" ht="15">
      <c r="A10" s="1" t="s">
        <v>12</v>
      </c>
      <c r="B10" s="1"/>
      <c r="C10" s="3">
        <v>6053.67</v>
      </c>
      <c r="D10" s="3">
        <v>4278.18</v>
      </c>
      <c r="E10" s="3">
        <f t="shared" si="4"/>
        <v>10331.85</v>
      </c>
      <c r="F10" s="1"/>
      <c r="G10" s="52">
        <f>+'CRC Prices &amp; Revenue'!M49</f>
        <v>582236.9660013312</v>
      </c>
      <c r="H10" s="52">
        <f>+'CRC Prices &amp; Revenue'!M146</f>
        <v>411471.8085405343</v>
      </c>
      <c r="I10" s="58"/>
      <c r="J10" s="50">
        <f t="shared" si="5"/>
        <v>993708.7745418656</v>
      </c>
      <c r="L10" s="78">
        <f t="shared" si="6"/>
        <v>96.17917164320674</v>
      </c>
      <c r="N10" s="96">
        <f>+'Customer Counts'!E9+'Customer Counts'!G9+'Customer Counts'!N9+'Customer Counts'!P9</f>
        <v>160462</v>
      </c>
      <c r="O10" s="77">
        <f t="shared" si="0"/>
        <v>117805</v>
      </c>
      <c r="P10" s="91">
        <f>+'Customer Counts'!U9</f>
        <v>278267</v>
      </c>
      <c r="Q10" s="1"/>
      <c r="R10" s="3">
        <f t="shared" si="1"/>
        <v>75.45300444965163</v>
      </c>
      <c r="S10" s="3">
        <f t="shared" si="2"/>
        <v>72.63155214125037</v>
      </c>
      <c r="T10" s="3">
        <f t="shared" si="3"/>
        <v>74.25853586663169</v>
      </c>
      <c r="X10" s="3"/>
      <c r="Y10" s="3"/>
    </row>
    <row r="11" spans="1:25" ht="15">
      <c r="A11" s="1" t="s">
        <v>13</v>
      </c>
      <c r="B11" s="1"/>
      <c r="C11" s="3">
        <v>4763.92</v>
      </c>
      <c r="D11" s="3">
        <v>3169.6</v>
      </c>
      <c r="E11" s="3">
        <f t="shared" si="4"/>
        <v>7933.52</v>
      </c>
      <c r="F11" s="1"/>
      <c r="G11" s="52">
        <f>+'CRC Prices &amp; Revenue'!M53</f>
        <v>469222.2314863473</v>
      </c>
      <c r="H11" s="52">
        <f>+'CRC Prices &amp; Revenue'!M150</f>
        <v>312189.706149374</v>
      </c>
      <c r="I11" s="58"/>
      <c r="J11" s="50">
        <f t="shared" si="5"/>
        <v>781411.9376357213</v>
      </c>
      <c r="L11" s="78">
        <f t="shared" si="6"/>
        <v>98.49498553425481</v>
      </c>
      <c r="N11" s="96">
        <f>+'Customer Counts'!E10+'Customer Counts'!G10+'Customer Counts'!N10+'Customer Counts'!P10</f>
        <v>160622</v>
      </c>
      <c r="O11" s="77">
        <f t="shared" si="0"/>
        <v>117797</v>
      </c>
      <c r="P11" s="91">
        <f>+'Customer Counts'!U10</f>
        <v>278419</v>
      </c>
      <c r="Q11" s="1"/>
      <c r="R11" s="3">
        <f t="shared" si="1"/>
        <v>59.31839972108428</v>
      </c>
      <c r="S11" s="3">
        <f t="shared" si="2"/>
        <v>53.81461327538053</v>
      </c>
      <c r="T11" s="3">
        <f t="shared" si="3"/>
        <v>56.98978877159964</v>
      </c>
      <c r="X11" s="3"/>
      <c r="Y11" s="3"/>
    </row>
    <row r="12" spans="1:25" ht="15">
      <c r="A12" s="1" t="s">
        <v>14</v>
      </c>
      <c r="B12" s="1"/>
      <c r="C12" s="3">
        <v>5169.33</v>
      </c>
      <c r="D12" s="3">
        <v>3446.65</v>
      </c>
      <c r="E12" s="3">
        <f t="shared" si="4"/>
        <v>8615.98</v>
      </c>
      <c r="F12" s="1"/>
      <c r="G12" s="52">
        <f>+'CRC Prices &amp; Revenue'!M57</f>
        <v>508004.1346364452</v>
      </c>
      <c r="H12" s="52">
        <f>+'CRC Prices &amp; Revenue'!M154</f>
        <v>338711.68036180787</v>
      </c>
      <c r="I12" s="58"/>
      <c r="J12" s="50">
        <f t="shared" si="5"/>
        <v>846715.814998253</v>
      </c>
      <c r="L12" s="78">
        <f t="shared" si="6"/>
        <v>98.27272289376867</v>
      </c>
      <c r="N12" s="96">
        <f>+'Customer Counts'!E11+'Customer Counts'!G11+'Customer Counts'!N11+'Customer Counts'!P11</f>
        <v>161002</v>
      </c>
      <c r="O12" s="77">
        <f t="shared" si="0"/>
        <v>118177</v>
      </c>
      <c r="P12" s="91">
        <f>+'Customer Counts'!U11</f>
        <v>279179</v>
      </c>
      <c r="Q12" s="1"/>
      <c r="R12" s="3">
        <f t="shared" si="1"/>
        <v>64.2144818076794</v>
      </c>
      <c r="S12" s="3">
        <f t="shared" si="2"/>
        <v>58.330301158431844</v>
      </c>
      <c r="T12" s="3">
        <f t="shared" si="3"/>
        <v>61.72369698293926</v>
      </c>
      <c r="X12" s="3"/>
      <c r="Y12" s="3"/>
    </row>
    <row r="13" spans="1:25" ht="15">
      <c r="A13" s="1" t="s">
        <v>15</v>
      </c>
      <c r="B13" s="1"/>
      <c r="C13" s="3">
        <v>5538.98</v>
      </c>
      <c r="D13" s="3">
        <v>3719.78</v>
      </c>
      <c r="E13" s="3">
        <f t="shared" si="4"/>
        <v>9258.76</v>
      </c>
      <c r="F13" s="1"/>
      <c r="G13" s="58">
        <f>+'CRC Prices &amp; Revenue'!M61</f>
        <v>529061.2670474966</v>
      </c>
      <c r="H13" s="58">
        <f>+'CRC Prices &amp; Revenue'!M158</f>
        <v>355298.5423196938</v>
      </c>
      <c r="I13" s="58"/>
      <c r="J13" s="58">
        <f t="shared" si="5"/>
        <v>884359.8093671903</v>
      </c>
      <c r="L13" s="78">
        <f t="shared" si="6"/>
        <v>95.51600963489606</v>
      </c>
      <c r="N13" s="96">
        <f>+'Customer Counts'!E12+'Customer Counts'!G12+'Customer Counts'!N12+'Customer Counts'!P12</f>
        <v>161520</v>
      </c>
      <c r="O13" s="77">
        <f t="shared" si="0"/>
        <v>118662</v>
      </c>
      <c r="P13" s="96">
        <f>+'Customer Counts'!U12</f>
        <v>280182</v>
      </c>
      <c r="Q13" s="1"/>
      <c r="R13" s="3">
        <f t="shared" si="1"/>
        <v>68.58568598315998</v>
      </c>
      <c r="S13" s="3">
        <f t="shared" si="2"/>
        <v>62.69538689723753</v>
      </c>
      <c r="T13" s="3">
        <f t="shared" si="3"/>
        <v>66.09104082346475</v>
      </c>
      <c r="X13" s="3"/>
      <c r="Y13" s="3"/>
    </row>
    <row r="14" spans="1:25" ht="15">
      <c r="A14" s="1" t="s">
        <v>16</v>
      </c>
      <c r="B14" s="1"/>
      <c r="C14" s="3">
        <v>5456.55</v>
      </c>
      <c r="D14" s="3">
        <v>3720.99</v>
      </c>
      <c r="E14" s="3">
        <f t="shared" si="4"/>
        <v>9177.54</v>
      </c>
      <c r="F14" s="22"/>
      <c r="G14" s="58">
        <f>+'CRC Prices &amp; Revenue'!M65</f>
        <v>549517.6454319041</v>
      </c>
      <c r="H14" s="58">
        <f>+'CRC Prices &amp; Revenue'!M162</f>
        <v>374733.0572386692</v>
      </c>
      <c r="I14" s="58"/>
      <c r="J14" s="58">
        <f t="shared" si="5"/>
        <v>924250.7026705733</v>
      </c>
      <c r="L14" s="78">
        <f t="shared" si="6"/>
        <v>100.70789151238493</v>
      </c>
      <c r="N14" s="96">
        <f>+'Customer Counts'!E13+'Customer Counts'!G13+'Customer Counts'!N13+'Customer Counts'!P13</f>
        <v>161732</v>
      </c>
      <c r="O14" s="77">
        <f t="shared" si="0"/>
        <v>118876</v>
      </c>
      <c r="P14" s="96">
        <f>+'Customer Counts'!U13</f>
        <v>280608</v>
      </c>
      <c r="Q14" s="1"/>
      <c r="R14" s="3">
        <f t="shared" si="1"/>
        <v>67.47644250983107</v>
      </c>
      <c r="S14" s="3">
        <f t="shared" si="2"/>
        <v>62.60288031225815</v>
      </c>
      <c r="T14" s="3">
        <f t="shared" si="3"/>
        <v>65.411820047896</v>
      </c>
      <c r="X14" s="232"/>
      <c r="Y14" s="232"/>
    </row>
    <row r="15" spans="1:25" ht="15">
      <c r="A15" s="1" t="s">
        <v>47</v>
      </c>
      <c r="B15" s="1"/>
      <c r="C15" s="3">
        <v>5036.08</v>
      </c>
      <c r="D15" s="3">
        <v>3737.15</v>
      </c>
      <c r="E15" s="3">
        <f t="shared" si="4"/>
        <v>8773.23</v>
      </c>
      <c r="F15" s="22"/>
      <c r="G15" s="58">
        <f>+'CRC Prices &amp; Revenue'!M69</f>
        <v>504489.0205458194</v>
      </c>
      <c r="H15" s="58">
        <f>+'CRC Prices &amp; Revenue'!M166</f>
        <v>374368.78348493454</v>
      </c>
      <c r="I15" s="58"/>
      <c r="J15" s="58">
        <f t="shared" si="5"/>
        <v>878857.8040307539</v>
      </c>
      <c r="L15" s="78">
        <f t="shared" si="6"/>
        <v>100.17494172964278</v>
      </c>
      <c r="N15" s="96">
        <f>+'Customer Counts'!E14+'Customer Counts'!G14+'Customer Counts'!N14+'Customer Counts'!P14</f>
        <v>152300</v>
      </c>
      <c r="O15" s="77">
        <f t="shared" si="0"/>
        <v>119254</v>
      </c>
      <c r="P15" s="96">
        <f>+'Customer Counts'!U14</f>
        <v>271554</v>
      </c>
      <c r="Q15" s="1"/>
      <c r="R15" s="3">
        <f t="shared" si="1"/>
        <v>66.13368351936967</v>
      </c>
      <c r="S15" s="3">
        <f t="shared" si="2"/>
        <v>62.67546581246751</v>
      </c>
      <c r="T15" s="3">
        <f t="shared" si="3"/>
        <v>64.61499370290991</v>
      </c>
      <c r="X15" s="232"/>
      <c r="Y15" s="232"/>
    </row>
    <row r="16" spans="1:25" ht="15">
      <c r="A16" s="1" t="s">
        <v>48</v>
      </c>
      <c r="B16" s="1"/>
      <c r="C16" s="3">
        <v>5416.28</v>
      </c>
      <c r="D16" s="3">
        <v>4037.87</v>
      </c>
      <c r="E16" s="3">
        <f t="shared" si="4"/>
        <v>9454.15</v>
      </c>
      <c r="F16" s="1"/>
      <c r="G16" s="58">
        <f>+'CRC Prices &amp; Revenue'!M73</f>
        <v>549710.8376129603</v>
      </c>
      <c r="H16" s="58">
        <f>+'CRC Prices &amp; Revenue'!M170</f>
        <v>409812.8050751152</v>
      </c>
      <c r="I16" s="58"/>
      <c r="J16" s="58">
        <f t="shared" si="5"/>
        <v>959523.6426880754</v>
      </c>
      <c r="L16" s="78">
        <f t="shared" si="6"/>
        <v>101.4923227035826</v>
      </c>
      <c r="N16" s="96">
        <f>+'Customer Counts'!E15+'Customer Counts'!G15+'Customer Counts'!N15+'Customer Counts'!P15</f>
        <v>152693</v>
      </c>
      <c r="O16" s="77">
        <f t="shared" si="0"/>
        <v>119662</v>
      </c>
      <c r="P16" s="96">
        <f>+'Customer Counts'!U15</f>
        <v>272355</v>
      </c>
      <c r="Q16" s="1"/>
      <c r="R16" s="3">
        <f t="shared" si="1"/>
        <v>70.94339622641509</v>
      </c>
      <c r="S16" s="3">
        <f t="shared" si="2"/>
        <v>67.48792432016847</v>
      </c>
      <c r="T16" s="3">
        <f t="shared" si="3"/>
        <v>69.42519872959923</v>
      </c>
      <c r="X16" s="232"/>
      <c r="Y16" s="232"/>
    </row>
    <row r="17" spans="1:25" ht="15">
      <c r="A17" s="1" t="s">
        <v>49</v>
      </c>
      <c r="B17" s="1"/>
      <c r="C17" s="3">
        <v>4949.36</v>
      </c>
      <c r="D17" s="3">
        <v>3685.64</v>
      </c>
      <c r="E17" s="3">
        <f t="shared" si="4"/>
        <v>8635</v>
      </c>
      <c r="F17" s="1"/>
      <c r="G17" s="58">
        <f>+'CRC Prices &amp; Revenue'!M77</f>
        <v>507488.3271558293</v>
      </c>
      <c r="H17" s="58">
        <f>+'CRC Prices &amp; Revenue'!M174</f>
        <v>377911.34168834175</v>
      </c>
      <c r="I17" s="58"/>
      <c r="J17" s="58">
        <f t="shared" si="5"/>
        <v>885399.6688441711</v>
      </c>
      <c r="L17" s="78">
        <f t="shared" si="6"/>
        <v>102.5361515743105</v>
      </c>
      <c r="N17" s="96">
        <f>+'Customer Counts'!E16+'Customer Counts'!G16+'Customer Counts'!N16+'Customer Counts'!P16</f>
        <v>152830</v>
      </c>
      <c r="O17" s="77">
        <f t="shared" si="0"/>
        <v>119843</v>
      </c>
      <c r="P17" s="96">
        <f>+'Customer Counts'!U16</f>
        <v>272673</v>
      </c>
      <c r="Q17" s="1"/>
      <c r="R17" s="3">
        <f t="shared" si="1"/>
        <v>64.76948243145979</v>
      </c>
      <c r="S17" s="3">
        <f t="shared" si="2"/>
        <v>61.507806046243836</v>
      </c>
      <c r="T17" s="3">
        <f t="shared" si="3"/>
        <v>63.335937184833114</v>
      </c>
      <c r="X17" s="232"/>
      <c r="Y17" s="232"/>
    </row>
    <row r="18" spans="1:25" ht="15">
      <c r="A18" s="1" t="s">
        <v>8</v>
      </c>
      <c r="B18" s="1"/>
      <c r="C18" s="3">
        <v>5065.34</v>
      </c>
      <c r="D18" s="3">
        <v>3825.1</v>
      </c>
      <c r="E18" s="23">
        <f t="shared" si="4"/>
        <v>8890.44</v>
      </c>
      <c r="F18" s="99"/>
      <c r="G18" s="114">
        <f>+'CRC Prices &amp; Revenue'!M81</f>
        <v>516661.4603236077</v>
      </c>
      <c r="H18" s="114">
        <f>+'CRC Prices &amp; Revenue'!M178</f>
        <v>390157.7686559701</v>
      </c>
      <c r="I18" s="114"/>
      <c r="J18" s="114">
        <f t="shared" si="5"/>
        <v>906819.2289795778</v>
      </c>
      <c r="K18" s="99"/>
      <c r="L18" s="115">
        <f t="shared" si="6"/>
        <v>101.99936437111974</v>
      </c>
      <c r="M18" s="99"/>
      <c r="N18" s="116">
        <f>+'Customer Counts'!E17+'Customer Counts'!G17+'Customer Counts'!N17+'Customer Counts'!P17</f>
        <v>146424</v>
      </c>
      <c r="O18" s="100">
        <f t="shared" si="0"/>
        <v>119804</v>
      </c>
      <c r="P18" s="116">
        <f>+'Customer Counts'!U17</f>
        <v>266228</v>
      </c>
      <c r="Q18" s="99"/>
      <c r="R18" s="23">
        <f t="shared" si="1"/>
        <v>69.18729170081407</v>
      </c>
      <c r="S18" s="23">
        <f t="shared" si="2"/>
        <v>63.85596474241261</v>
      </c>
      <c r="T18" s="23">
        <f t="shared" si="3"/>
        <v>66.78816653394834</v>
      </c>
      <c r="X18" s="232"/>
      <c r="Y18" s="232"/>
    </row>
    <row r="19" spans="1:25" s="1" customFormat="1" ht="17.25">
      <c r="A19" s="1" t="s">
        <v>9</v>
      </c>
      <c r="C19" s="3">
        <v>5293.44</v>
      </c>
      <c r="D19" s="3">
        <v>3874.57</v>
      </c>
      <c r="E19" s="23">
        <f t="shared" si="4"/>
        <v>9168.01</v>
      </c>
      <c r="F19" s="24"/>
      <c r="G19" s="114">
        <f>+'CRC Prices &amp; Revenue'!M85</f>
        <v>500225.58585037896</v>
      </c>
      <c r="H19" s="114">
        <f>+'CRC Prices &amp; Revenue'!M182</f>
        <v>366143.5754761183</v>
      </c>
      <c r="I19" s="21"/>
      <c r="J19" s="114">
        <f t="shared" si="5"/>
        <v>866369.1613264973</v>
      </c>
      <c r="L19" s="115">
        <f t="shared" si="6"/>
        <v>94.49915099639914</v>
      </c>
      <c r="N19" s="116">
        <f>+'Customer Counts'!E18+'Customer Counts'!G18+'Customer Counts'!N18+'Customer Counts'!P18</f>
        <v>146668</v>
      </c>
      <c r="O19" s="100">
        <f t="shared" si="0"/>
        <v>119891</v>
      </c>
      <c r="P19" s="116">
        <f>+'Customer Counts'!U18</f>
        <v>266559</v>
      </c>
      <c r="R19" s="23">
        <f aca="true" t="shared" si="7" ref="R19:T21">+C19*2000/N19</f>
        <v>72.18261652166798</v>
      </c>
      <c r="S19" s="23">
        <f t="shared" si="7"/>
        <v>64.63487667965069</v>
      </c>
      <c r="T19" s="23">
        <f t="shared" si="7"/>
        <v>68.78784809366782</v>
      </c>
      <c r="X19" s="232"/>
      <c r="Y19" s="232"/>
    </row>
    <row r="20" spans="1:25" s="1" customFormat="1" ht="17.25">
      <c r="A20" s="1" t="s">
        <v>10</v>
      </c>
      <c r="C20" s="3">
        <v>4805.79</v>
      </c>
      <c r="D20" s="3">
        <v>3477.51</v>
      </c>
      <c r="E20" s="23">
        <f t="shared" si="4"/>
        <v>8283.3</v>
      </c>
      <c r="F20" s="24"/>
      <c r="G20" s="114">
        <f>+'CRC Prices &amp; Revenue'!M89</f>
        <v>449755.0337347629</v>
      </c>
      <c r="H20" s="114">
        <f>+'CRC Prices &amp; Revenue'!M186</f>
        <v>325446.5191702041</v>
      </c>
      <c r="I20" s="21"/>
      <c r="J20" s="114">
        <f t="shared" si="5"/>
        <v>775201.552904967</v>
      </c>
      <c r="L20" s="115">
        <f t="shared" si="6"/>
        <v>93.5860771558397</v>
      </c>
      <c r="N20" s="116">
        <f>+'Customer Counts'!E19+'Customer Counts'!G19+'Customer Counts'!N19+'Customer Counts'!P19</f>
        <v>146592</v>
      </c>
      <c r="O20" s="100">
        <f t="shared" si="0"/>
        <v>120027</v>
      </c>
      <c r="P20" s="116">
        <f>+'Customer Counts'!U19</f>
        <v>266619</v>
      </c>
      <c r="R20" s="23">
        <f t="shared" si="7"/>
        <v>65.56687950229208</v>
      </c>
      <c r="S20" s="23">
        <f t="shared" si="7"/>
        <v>57.945462270989026</v>
      </c>
      <c r="T20" s="23">
        <f t="shared" si="7"/>
        <v>62.135856784400204</v>
      </c>
      <c r="X20" s="232"/>
      <c r="Y20" s="232"/>
    </row>
    <row r="21" spans="1:25" s="1" customFormat="1" ht="15">
      <c r="A21" s="1" t="s">
        <v>11</v>
      </c>
      <c r="C21" s="3">
        <v>6009.91</v>
      </c>
      <c r="D21" s="3">
        <v>4297.95</v>
      </c>
      <c r="E21" s="120">
        <f t="shared" si="4"/>
        <v>10307.86</v>
      </c>
      <c r="F21" s="119"/>
      <c r="G21" s="130">
        <f>+'CRC Prices &amp; Revenue'!M93</f>
        <v>549505.4581468328</v>
      </c>
      <c r="H21" s="130">
        <f>+'CRC Prices &amp; Revenue'!M190</f>
        <v>392975.43288371706</v>
      </c>
      <c r="I21" s="130"/>
      <c r="J21" s="130">
        <f t="shared" si="5"/>
        <v>942480.8910305498</v>
      </c>
      <c r="K21" s="119"/>
      <c r="L21" s="131">
        <f t="shared" si="6"/>
        <v>91.4332258131707</v>
      </c>
      <c r="M21" s="119"/>
      <c r="N21" s="132">
        <f>+'Customer Counts'!E20+'Customer Counts'!G20+'Customer Counts'!N20+'Customer Counts'!P20</f>
        <v>146787</v>
      </c>
      <c r="O21" s="121">
        <f t="shared" si="0"/>
        <v>120178</v>
      </c>
      <c r="P21" s="132">
        <f>+'Customer Counts'!U20</f>
        <v>266965</v>
      </c>
      <c r="Q21" s="119"/>
      <c r="R21" s="120">
        <f t="shared" si="7"/>
        <v>81.88613433069686</v>
      </c>
      <c r="S21" s="120">
        <f t="shared" si="7"/>
        <v>71.52640250295396</v>
      </c>
      <c r="T21" s="120">
        <f t="shared" si="7"/>
        <v>77.22255726406082</v>
      </c>
      <c r="X21" s="232"/>
      <c r="Y21" s="232"/>
    </row>
    <row r="22" spans="1:25" s="1" customFormat="1" ht="17.25">
      <c r="A22" s="1" t="s">
        <v>12</v>
      </c>
      <c r="C22" s="3">
        <v>5077.73</v>
      </c>
      <c r="D22" s="3">
        <v>4222.02</v>
      </c>
      <c r="E22" s="120">
        <f t="shared" si="4"/>
        <v>9299.75</v>
      </c>
      <c r="F22" s="24"/>
      <c r="G22" s="130">
        <f>+'CRC Prices &amp; Revenue'!M97</f>
        <v>443524.2779491694</v>
      </c>
      <c r="H22" s="130">
        <f>+'CRC Prices &amp; Revenue'!M194</f>
        <v>375412.8656725805</v>
      </c>
      <c r="I22" s="21"/>
      <c r="J22" s="130">
        <f t="shared" si="5"/>
        <v>818937.14362175</v>
      </c>
      <c r="L22" s="131">
        <f t="shared" si="6"/>
        <v>88.06012458633296</v>
      </c>
      <c r="N22" s="132">
        <f>+'Customer Counts'!E21+'Customer Counts'!G21+'Customer Counts'!N21+'Customer Counts'!P21</f>
        <v>138211</v>
      </c>
      <c r="O22" s="121">
        <f t="shared" si="0"/>
        <v>120435</v>
      </c>
      <c r="P22" s="132">
        <f>+'Customer Counts'!U21</f>
        <v>258646</v>
      </c>
      <c r="R22" s="120">
        <f aca="true" t="shared" si="8" ref="R22:T24">+C22*2000/N22</f>
        <v>73.47794314490163</v>
      </c>
      <c r="S22" s="120">
        <f t="shared" si="8"/>
        <v>70.11284095155062</v>
      </c>
      <c r="T22" s="120">
        <f t="shared" si="8"/>
        <v>71.91102897396442</v>
      </c>
      <c r="X22" s="232"/>
      <c r="Y22" s="232"/>
    </row>
    <row r="23" spans="1:25" s="1" customFormat="1" ht="17.25">
      <c r="A23" s="1" t="s">
        <v>13</v>
      </c>
      <c r="C23" s="3">
        <v>4233.38</v>
      </c>
      <c r="D23" s="3">
        <v>3415.4</v>
      </c>
      <c r="E23" s="120">
        <f t="shared" si="4"/>
        <v>7648.780000000001</v>
      </c>
      <c r="F23" s="24"/>
      <c r="G23" s="130">
        <f>+'CRC Prices &amp; Revenue'!M101</f>
        <v>301926.8299174349</v>
      </c>
      <c r="H23" s="130">
        <f>+'CRC Prices &amp; Revenue'!M198</f>
        <v>301116.62889889616</v>
      </c>
      <c r="I23" s="21"/>
      <c r="J23" s="130">
        <f t="shared" si="5"/>
        <v>603043.4588163311</v>
      </c>
      <c r="L23" s="131">
        <f t="shared" si="6"/>
        <v>78.84178376372847</v>
      </c>
      <c r="N23" s="132">
        <f>+'Customer Counts'!E22+'Customer Counts'!G22+'Customer Counts'!N22+'Customer Counts'!P22</f>
        <v>138139</v>
      </c>
      <c r="O23" s="121">
        <f t="shared" si="0"/>
        <v>120349</v>
      </c>
      <c r="P23" s="132">
        <f>+'Customer Counts'!U22</f>
        <v>258488</v>
      </c>
      <c r="R23" s="120">
        <f t="shared" si="8"/>
        <v>61.291597593728056</v>
      </c>
      <c r="S23" s="120">
        <f t="shared" si="8"/>
        <v>56.75826138979136</v>
      </c>
      <c r="T23" s="120">
        <f t="shared" si="8"/>
        <v>59.18092909535453</v>
      </c>
      <c r="X23" s="232"/>
      <c r="Y23" s="232"/>
    </row>
    <row r="24" spans="1:25" s="1" customFormat="1" ht="15">
      <c r="A24" s="1" t="s">
        <v>14</v>
      </c>
      <c r="C24" s="3">
        <v>4608.05</v>
      </c>
      <c r="D24" s="3">
        <v>3696.8</v>
      </c>
      <c r="E24" s="136">
        <f t="shared" si="4"/>
        <v>8304.85</v>
      </c>
      <c r="F24" s="135"/>
      <c r="G24" s="226">
        <f>+'CRC Prices &amp; Revenue'!M105</f>
        <v>348315.5054112648</v>
      </c>
      <c r="H24" s="226">
        <f>+'CRC Prices &amp; Revenue'!M202</f>
        <v>258164.90211296183</v>
      </c>
      <c r="I24" s="226"/>
      <c r="J24" s="226">
        <f t="shared" si="5"/>
        <v>606480.4075242266</v>
      </c>
      <c r="K24" s="135"/>
      <c r="L24" s="227">
        <f t="shared" si="6"/>
        <v>73.02725606413439</v>
      </c>
      <c r="M24" s="135"/>
      <c r="N24" s="228">
        <f>+'Customer Counts'!E23+'Customer Counts'!G23+'Customer Counts'!N23+'Customer Counts'!P23</f>
        <v>138505</v>
      </c>
      <c r="O24" s="137">
        <f t="shared" si="0"/>
        <v>120891</v>
      </c>
      <c r="P24" s="228">
        <f>+'Customer Counts'!U23</f>
        <v>259396</v>
      </c>
      <c r="Q24" s="135"/>
      <c r="R24" s="136">
        <f t="shared" si="8"/>
        <v>66.53983610699974</v>
      </c>
      <c r="S24" s="136">
        <f t="shared" si="8"/>
        <v>61.15922607969162</v>
      </c>
      <c r="T24" s="136">
        <f t="shared" si="8"/>
        <v>64.03221329550186</v>
      </c>
      <c r="X24" s="232"/>
      <c r="Y24" s="232"/>
    </row>
    <row r="25" spans="1:25" s="1" customFormat="1" ht="15">
      <c r="A25" s="1" t="s">
        <v>15</v>
      </c>
      <c r="C25" s="3">
        <v>4671.35</v>
      </c>
      <c r="D25" s="3">
        <v>3766.63</v>
      </c>
      <c r="E25" s="136">
        <f t="shared" si="4"/>
        <v>8437.98</v>
      </c>
      <c r="F25" s="135"/>
      <c r="G25" s="226">
        <f>+'CRC Prices &amp; Revenue'!M109</f>
        <v>332097.5043413761</v>
      </c>
      <c r="H25" s="226">
        <f>+'CRC Prices &amp; Revenue'!M206</f>
        <v>262814.40141483705</v>
      </c>
      <c r="I25" s="226"/>
      <c r="J25" s="226">
        <f t="shared" si="5"/>
        <v>594911.9057562131</v>
      </c>
      <c r="K25" s="135"/>
      <c r="L25" s="227">
        <f t="shared" si="6"/>
        <v>70.50406682123129</v>
      </c>
      <c r="M25" s="135"/>
      <c r="N25" s="228">
        <f>+'Customer Counts'!E24+'Customer Counts'!G24+'Customer Counts'!N24+'Customer Counts'!P24</f>
        <v>139089</v>
      </c>
      <c r="O25" s="137">
        <f t="shared" si="0"/>
        <v>121559</v>
      </c>
      <c r="P25" s="228">
        <f>+'Customer Counts'!U24</f>
        <v>260648</v>
      </c>
      <c r="Q25" s="135"/>
      <c r="R25" s="136">
        <f aca="true" t="shared" si="9" ref="R25:T27">+C25*2000/N25</f>
        <v>67.17066051233382</v>
      </c>
      <c r="S25" s="136">
        <f t="shared" si="9"/>
        <v>61.97204649594024</v>
      </c>
      <c r="T25" s="136">
        <f t="shared" si="9"/>
        <v>64.74617108130505</v>
      </c>
      <c r="X25" s="232"/>
      <c r="Y25" s="232"/>
    </row>
    <row r="26" spans="1:25" s="1" customFormat="1" ht="15">
      <c r="A26" s="1" t="s">
        <v>16</v>
      </c>
      <c r="C26" s="3">
        <v>4504.83</v>
      </c>
      <c r="D26" s="3">
        <v>3651.19</v>
      </c>
      <c r="E26" s="136">
        <f t="shared" si="4"/>
        <v>8156.02</v>
      </c>
      <c r="F26" s="135"/>
      <c r="G26" s="226">
        <f>+'CRC Prices &amp; Revenue'!M113</f>
        <v>367347.7356552433</v>
      </c>
      <c r="H26" s="226">
        <f>+'CRC Prices &amp; Revenue'!M210</f>
        <v>307150.9916136922</v>
      </c>
      <c r="I26" s="226"/>
      <c r="J26" s="226">
        <f t="shared" si="5"/>
        <v>674498.7272689354</v>
      </c>
      <c r="K26" s="135"/>
      <c r="L26" s="227">
        <f t="shared" si="6"/>
        <v>82.69949402636769</v>
      </c>
      <c r="M26" s="135"/>
      <c r="N26" s="228">
        <f>+'Customer Counts'!E25+'Customer Counts'!G25+'Customer Counts'!N25+'Customer Counts'!P25</f>
        <v>139463</v>
      </c>
      <c r="O26" s="137">
        <f t="shared" si="0"/>
        <v>122012</v>
      </c>
      <c r="P26" s="228">
        <f>+'Customer Counts'!U25</f>
        <v>261475</v>
      </c>
      <c r="Q26" s="135"/>
      <c r="R26" s="136">
        <f t="shared" si="9"/>
        <v>64.60251106028122</v>
      </c>
      <c r="S26" s="136">
        <f t="shared" si="9"/>
        <v>59.849686916041044</v>
      </c>
      <c r="T26" s="136">
        <f t="shared" si="9"/>
        <v>62.384702170379576</v>
      </c>
      <c r="X26" s="232"/>
      <c r="Y26" s="232"/>
    </row>
    <row r="27" spans="1:25" s="1" customFormat="1" ht="15">
      <c r="A27" s="1" t="s">
        <v>47</v>
      </c>
      <c r="C27" s="3">
        <v>4955.27</v>
      </c>
      <c r="D27" s="3">
        <v>4011.43</v>
      </c>
      <c r="E27" s="136">
        <f t="shared" si="4"/>
        <v>8966.7</v>
      </c>
      <c r="F27" s="135"/>
      <c r="G27" s="226">
        <f>+'CRC Prices &amp; Revenue'!M117</f>
        <v>383535.3421575448</v>
      </c>
      <c r="H27" s="226">
        <f>+'CRC Prices &amp; Revenue'!M214</f>
        <v>282600.22277942585</v>
      </c>
      <c r="I27" s="226"/>
      <c r="J27" s="226">
        <f t="shared" si="5"/>
        <v>666135.5649369706</v>
      </c>
      <c r="K27" s="135"/>
      <c r="L27" s="227">
        <f t="shared" si="6"/>
        <v>74.2899355322438</v>
      </c>
      <c r="M27" s="135"/>
      <c r="N27" s="228">
        <f>+'Customer Counts'!E26+'Customer Counts'!G26+'Customer Counts'!N26+'Customer Counts'!P26</f>
        <v>139640</v>
      </c>
      <c r="O27" s="137">
        <f t="shared" si="0"/>
        <v>122397</v>
      </c>
      <c r="P27" s="228">
        <f>+'Customer Counts'!U26</f>
        <v>262037</v>
      </c>
      <c r="Q27" s="135"/>
      <c r="R27" s="136">
        <f t="shared" si="9"/>
        <v>70.97207103981667</v>
      </c>
      <c r="S27" s="136">
        <f t="shared" si="9"/>
        <v>65.547848394977</v>
      </c>
      <c r="T27" s="136">
        <f t="shared" si="9"/>
        <v>68.4384266344066</v>
      </c>
      <c r="X27" s="232"/>
      <c r="Y27" s="232"/>
    </row>
    <row r="28" spans="1:25" s="1" customFormat="1" ht="15">
      <c r="A28" s="1" t="s">
        <v>48</v>
      </c>
      <c r="C28" s="3">
        <v>5025.27</v>
      </c>
      <c r="D28" s="3">
        <v>4075.83</v>
      </c>
      <c r="E28" s="232">
        <f t="shared" si="4"/>
        <v>9101.1</v>
      </c>
      <c r="F28" s="135"/>
      <c r="G28" s="226">
        <f>+'CRC Prices &amp; Revenue'!M121</f>
        <v>430275.6276731223</v>
      </c>
      <c r="H28" s="226">
        <f>+'CRC Prices &amp; Revenue'!M218</f>
        <v>343468.2238201713</v>
      </c>
      <c r="I28" s="226"/>
      <c r="J28" s="226">
        <f t="shared" si="5"/>
        <v>773743.8514932937</v>
      </c>
      <c r="K28" s="135"/>
      <c r="L28" s="227">
        <f t="shared" si="6"/>
        <v>85.01652014517956</v>
      </c>
      <c r="M28" s="135"/>
      <c r="N28" s="228">
        <f>+'Customer Counts'!E27+'Customer Counts'!G27+'Customer Counts'!N27+'Customer Counts'!P27</f>
        <v>139959</v>
      </c>
      <c r="O28" s="233">
        <f t="shared" si="0"/>
        <v>122846</v>
      </c>
      <c r="P28" s="228">
        <f>+'Customer Counts'!U27</f>
        <v>262805</v>
      </c>
      <c r="Q28" s="135"/>
      <c r="R28" s="232">
        <f aca="true" t="shared" si="10" ref="R28:T29">+C28*2000/N28</f>
        <v>71.81060167620518</v>
      </c>
      <c r="S28" s="232">
        <f t="shared" si="10"/>
        <v>66.35673933217198</v>
      </c>
      <c r="T28" s="232">
        <f t="shared" si="10"/>
        <v>69.2612393219307</v>
      </c>
      <c r="X28" s="232"/>
      <c r="Y28" s="232"/>
    </row>
    <row r="29" spans="1:25" s="1" customFormat="1" ht="15">
      <c r="A29" s="1" t="s">
        <v>49</v>
      </c>
      <c r="C29" s="3">
        <v>4570.53</v>
      </c>
      <c r="D29" s="3">
        <v>3759</v>
      </c>
      <c r="E29" s="232">
        <f t="shared" si="4"/>
        <v>8329.529999999999</v>
      </c>
      <c r="F29" s="135"/>
      <c r="G29" s="226">
        <f>+'CRC Prices &amp; Revenue'!M125</f>
        <v>308679.53554394655</v>
      </c>
      <c r="H29" s="226">
        <f>+'CRC Prices &amp; Revenue'!M222</f>
        <v>275269.0194257742</v>
      </c>
      <c r="I29" s="226"/>
      <c r="J29" s="226">
        <f t="shared" si="5"/>
        <v>583948.5549697208</v>
      </c>
      <c r="K29" s="135"/>
      <c r="L29" s="227">
        <f t="shared" si="6"/>
        <v>70.1058228939353</v>
      </c>
      <c r="M29" s="135"/>
      <c r="N29" s="228">
        <f>+'Customer Counts'!E28+'Customer Counts'!G28+'Customer Counts'!N28+'Customer Counts'!P28</f>
        <v>140157</v>
      </c>
      <c r="O29" s="233">
        <f t="shared" si="0"/>
        <v>123136</v>
      </c>
      <c r="P29" s="228">
        <f>+'Customer Counts'!U28</f>
        <v>263293</v>
      </c>
      <c r="Q29" s="135"/>
      <c r="R29" s="232">
        <f t="shared" si="10"/>
        <v>65.22014597915195</v>
      </c>
      <c r="S29" s="232">
        <f t="shared" si="10"/>
        <v>61.05444386694387</v>
      </c>
      <c r="T29" s="232">
        <f t="shared" si="10"/>
        <v>63.271944183856</v>
      </c>
      <c r="X29" s="232"/>
      <c r="Y29" s="232"/>
    </row>
    <row r="30" spans="1:25" s="81" customFormat="1" ht="17.25">
      <c r="A30" s="81" t="s">
        <v>8</v>
      </c>
      <c r="C30" s="16">
        <v>4903.17</v>
      </c>
      <c r="D30" s="16">
        <v>3971.95</v>
      </c>
      <c r="E30" s="16">
        <f t="shared" si="4"/>
        <v>8875.119999999999</v>
      </c>
      <c r="F30" s="239"/>
      <c r="G30" s="21">
        <f>+'CRC Prices &amp; Revenue'!M129</f>
        <v>354677.1018218405</v>
      </c>
      <c r="H30" s="21">
        <f>+'CRC Prices &amp; Revenue'!M226</f>
        <v>271912.09477711335</v>
      </c>
      <c r="I30" s="239"/>
      <c r="J30" s="21">
        <f t="shared" si="5"/>
        <v>626589.1965989538</v>
      </c>
      <c r="K30" s="239"/>
      <c r="L30" s="103">
        <f>+J30/E30</f>
        <v>70.60064501651289</v>
      </c>
      <c r="M30" s="24"/>
      <c r="N30" s="240">
        <f>+'Customer Counts'!E29+'Customer Counts'!G29+'Customer Counts'!N29+'Customer Counts'!P29</f>
        <v>140360</v>
      </c>
      <c r="O30" s="102">
        <f>+P30-N30</f>
        <v>123454</v>
      </c>
      <c r="P30" s="101">
        <f>+'Customer Counts'!U29</f>
        <v>263814</v>
      </c>
      <c r="Q30" s="24"/>
      <c r="R30" s="16">
        <f>+C30*2000/N30</f>
        <v>69.8656312339698</v>
      </c>
      <c r="S30" s="16">
        <f>+D30*2000/O30</f>
        <v>64.3470442431999</v>
      </c>
      <c r="T30" s="16">
        <f>+E30*2000/P30</f>
        <v>67.2831616214454</v>
      </c>
      <c r="X30" s="458"/>
      <c r="Y30" s="458"/>
    </row>
    <row r="31" spans="1:20" ht="17.25">
      <c r="A31" s="1"/>
      <c r="B31" s="1"/>
      <c r="C31" s="12">
        <f>SUM(C7:C30)</f>
        <v>123131.19000000002</v>
      </c>
      <c r="D31" s="12">
        <f>SUM(D7:D30)</f>
        <v>91082.25</v>
      </c>
      <c r="E31" s="12">
        <f>SUM(E7:E30)</f>
        <v>214213.44</v>
      </c>
      <c r="F31" s="12"/>
      <c r="G31" s="18">
        <f>SUM(G7:G30)</f>
        <v>11143405.98876854</v>
      </c>
      <c r="H31" s="18">
        <f>SUM(H7:H30)</f>
        <v>8201437.7173859915</v>
      </c>
      <c r="I31" s="18"/>
      <c r="J31" s="18">
        <f>SUM(J7:J30)</f>
        <v>19344843.706154533</v>
      </c>
      <c r="L31" s="79">
        <f t="shared" si="6"/>
        <v>90.30639583657558</v>
      </c>
      <c r="N31" s="88">
        <f>SUM(N7:N30)</f>
        <v>3584005</v>
      </c>
      <c r="O31" s="88">
        <f>SUM(O7:O30)</f>
        <v>2878902</v>
      </c>
      <c r="P31" s="88">
        <f>SUM(P7:P30)</f>
        <v>6462907</v>
      </c>
      <c r="Q31" s="1"/>
      <c r="R31" s="12">
        <f t="shared" si="1"/>
        <v>68.7115057038146</v>
      </c>
      <c r="S31" s="12">
        <f t="shared" si="2"/>
        <v>63.275686355423005</v>
      </c>
      <c r="T31" s="12">
        <f t="shared" si="3"/>
        <v>66.29011991043659</v>
      </c>
    </row>
    <row r="32" spans="1:17" ht="15">
      <c r="A32" s="1"/>
      <c r="B32" s="1"/>
      <c r="C32" s="1"/>
      <c r="D32" s="1"/>
      <c r="E32" s="1"/>
      <c r="F32" s="1"/>
      <c r="G32" s="1"/>
      <c r="H32" s="1"/>
      <c r="J32" s="1"/>
      <c r="P32" s="1"/>
      <c r="Q32" s="1"/>
    </row>
    <row r="33" spans="1:17" ht="15">
      <c r="A33" s="1"/>
      <c r="B33" s="1"/>
      <c r="C33" s="1"/>
      <c r="D33" s="1"/>
      <c r="E33" s="1"/>
      <c r="F33" s="1"/>
      <c r="G33" s="1"/>
      <c r="H33" s="1"/>
      <c r="J33" s="1"/>
      <c r="P33" s="1"/>
      <c r="Q33" s="1"/>
    </row>
    <row r="34" spans="1:17" ht="15">
      <c r="A34" s="17" t="s">
        <v>17</v>
      </c>
      <c r="B34" s="1"/>
      <c r="C34" s="1"/>
      <c r="D34" s="1"/>
      <c r="E34" s="1"/>
      <c r="F34" s="1"/>
      <c r="G34" s="1"/>
      <c r="H34" s="1"/>
      <c r="J34" s="1"/>
      <c r="P34" s="1"/>
      <c r="Q34" s="1"/>
    </row>
    <row r="35" spans="1:23" ht="15">
      <c r="A35" s="1" t="s">
        <v>9</v>
      </c>
      <c r="B35" s="1"/>
      <c r="C35" s="3">
        <v>1255.56</v>
      </c>
      <c r="D35" s="3">
        <v>2708.55</v>
      </c>
      <c r="E35" s="3">
        <f>+D35+C35</f>
        <v>3964.11</v>
      </c>
      <c r="F35" s="1"/>
      <c r="G35" s="50">
        <f aca="true" t="shared" si="11" ref="G35:G57">+C35/C7*G7</f>
        <v>122766.13060199852</v>
      </c>
      <c r="H35" s="50">
        <f aca="true" t="shared" si="12" ref="H35:H57">+D35/D7*H7</f>
        <v>264836.569373063</v>
      </c>
      <c r="I35" s="58"/>
      <c r="J35" s="50">
        <f>+H35+G35</f>
        <v>387602.6999750615</v>
      </c>
      <c r="L35" s="78">
        <f>+J35/E35</f>
        <v>97.77798799101475</v>
      </c>
      <c r="N35" s="96">
        <f>+'Customer Counts'!E6+'Customer Counts'!G6</f>
        <v>37642</v>
      </c>
      <c r="O35" s="77">
        <f aca="true" t="shared" si="13" ref="O35:O43">+P35-N35</f>
        <v>87424</v>
      </c>
      <c r="P35" s="91">
        <f>+'Customer Counts'!J6+'Customer Counts'!E6</f>
        <v>125066</v>
      </c>
      <c r="Q35" s="1"/>
      <c r="R35" s="3">
        <f aca="true" t="shared" si="14" ref="R35:R59">+C35*2000/N35</f>
        <v>66.71058923542851</v>
      </c>
      <c r="S35" s="3">
        <f aca="true" t="shared" si="15" ref="S35:S59">+D35*2000/O35</f>
        <v>61.963534040995604</v>
      </c>
      <c r="T35" s="3">
        <f aca="true" t="shared" si="16" ref="T35:T59">+E35*2000/P35</f>
        <v>63.39228887147586</v>
      </c>
      <c r="V35" s="3"/>
      <c r="W35" s="3"/>
    </row>
    <row r="36" spans="1:23" ht="15">
      <c r="A36" s="1" t="s">
        <v>10</v>
      </c>
      <c r="B36" s="1"/>
      <c r="C36" s="3">
        <v>1174.07</v>
      </c>
      <c r="D36" s="3">
        <v>2579.37</v>
      </c>
      <c r="E36" s="3">
        <f aca="true" t="shared" si="17" ref="E36:E58">+D36+C36</f>
        <v>3753.4399999999996</v>
      </c>
      <c r="F36" s="1"/>
      <c r="G36" s="50">
        <f t="shared" si="11"/>
        <v>119804.63583975317</v>
      </c>
      <c r="H36" s="50">
        <f t="shared" si="12"/>
        <v>263204.47975502664</v>
      </c>
      <c r="I36" s="58"/>
      <c r="J36" s="50">
        <f aca="true" t="shared" si="18" ref="J36:J58">+H36+G36</f>
        <v>383009.11559477984</v>
      </c>
      <c r="L36" s="78">
        <f aca="true" t="shared" si="19" ref="L36:L59">+J36/E36</f>
        <v>102.04215748614068</v>
      </c>
      <c r="N36" s="96">
        <f>+'Customer Counts'!E7+'Customer Counts'!G7</f>
        <v>37529</v>
      </c>
      <c r="O36" s="77">
        <f t="shared" si="13"/>
        <v>87452</v>
      </c>
      <c r="P36" s="91">
        <f>+'Customer Counts'!J7+'Customer Counts'!E7</f>
        <v>124981</v>
      </c>
      <c r="Q36" s="1"/>
      <c r="R36" s="3">
        <f t="shared" si="14"/>
        <v>62.56868022062938</v>
      </c>
      <c r="S36" s="3">
        <f t="shared" si="15"/>
        <v>58.989388464529114</v>
      </c>
      <c r="T36" s="3">
        <f t="shared" si="16"/>
        <v>60.064169753802574</v>
      </c>
      <c r="V36" s="3"/>
      <c r="W36" s="3"/>
    </row>
    <row r="37" spans="1:23" ht="15">
      <c r="A37" s="1" t="s">
        <v>11</v>
      </c>
      <c r="B37" s="1"/>
      <c r="C37" s="3">
        <v>1327.75</v>
      </c>
      <c r="D37" s="3">
        <v>2882.22</v>
      </c>
      <c r="E37" s="3">
        <f t="shared" si="17"/>
        <v>4209.969999999999</v>
      </c>
      <c r="F37" s="1"/>
      <c r="G37" s="50">
        <f t="shared" si="11"/>
        <v>123208.92327778485</v>
      </c>
      <c r="H37" s="50">
        <f t="shared" si="12"/>
        <v>267456.39077363734</v>
      </c>
      <c r="I37" s="58"/>
      <c r="J37" s="50">
        <f t="shared" si="18"/>
        <v>390665.3140514222</v>
      </c>
      <c r="L37" s="78">
        <f t="shared" si="19"/>
        <v>92.79527266261333</v>
      </c>
      <c r="N37" s="96">
        <f>+'Customer Counts'!E8+'Customer Counts'!G8</f>
        <v>37561</v>
      </c>
      <c r="O37" s="77">
        <f t="shared" si="13"/>
        <v>86358</v>
      </c>
      <c r="P37" s="91">
        <f>+'Customer Counts'!J8+'Customer Counts'!E8</f>
        <v>123919</v>
      </c>
      <c r="Q37" s="1"/>
      <c r="R37" s="3">
        <f t="shared" si="14"/>
        <v>70.69833071536966</v>
      </c>
      <c r="S37" s="3">
        <f t="shared" si="15"/>
        <v>66.7505037170847</v>
      </c>
      <c r="T37" s="3">
        <f t="shared" si="16"/>
        <v>67.9471267521526</v>
      </c>
      <c r="V37" s="3"/>
      <c r="W37" s="3"/>
    </row>
    <row r="38" spans="1:23" ht="15">
      <c r="A38" s="1" t="s">
        <v>12</v>
      </c>
      <c r="B38" s="25"/>
      <c r="C38" s="3">
        <v>1424.12</v>
      </c>
      <c r="D38" s="3">
        <v>3011.16</v>
      </c>
      <c r="E38" s="29">
        <f t="shared" si="17"/>
        <v>4435.28</v>
      </c>
      <c r="F38" s="25"/>
      <c r="G38" s="52">
        <f t="shared" si="11"/>
        <v>136970.68192052352</v>
      </c>
      <c r="H38" s="52">
        <f t="shared" si="12"/>
        <v>289610.8744851584</v>
      </c>
      <c r="I38" s="58"/>
      <c r="J38" s="30">
        <f t="shared" si="18"/>
        <v>426581.55640568194</v>
      </c>
      <c r="L38" s="78">
        <f t="shared" si="19"/>
        <v>96.17917164320673</v>
      </c>
      <c r="N38" s="96">
        <f>+'Customer Counts'!E9+'Customer Counts'!G9</f>
        <v>37553</v>
      </c>
      <c r="O38" s="77">
        <f t="shared" si="13"/>
        <v>86555</v>
      </c>
      <c r="P38" s="91">
        <f>+'Customer Counts'!J9+'Customer Counts'!E9</f>
        <v>124108</v>
      </c>
      <c r="Q38" s="1"/>
      <c r="R38" s="3">
        <f t="shared" si="14"/>
        <v>75.84587116874818</v>
      </c>
      <c r="S38" s="3">
        <f t="shared" si="15"/>
        <v>69.57795621281267</v>
      </c>
      <c r="T38" s="3">
        <f t="shared" si="16"/>
        <v>71.47452219035034</v>
      </c>
      <c r="V38" s="3"/>
      <c r="W38" s="3"/>
    </row>
    <row r="39" spans="1:23" ht="15">
      <c r="A39" s="1" t="s">
        <v>13</v>
      </c>
      <c r="B39" s="25"/>
      <c r="C39" s="3">
        <v>984.77</v>
      </c>
      <c r="D39" s="3">
        <v>2228.12</v>
      </c>
      <c r="E39" s="29">
        <f t="shared" si="17"/>
        <v>3212.89</v>
      </c>
      <c r="F39" s="25"/>
      <c r="G39" s="52">
        <f t="shared" si="11"/>
        <v>96994.90690456812</v>
      </c>
      <c r="H39" s="52">
        <f t="shared" si="12"/>
        <v>219458.64716858382</v>
      </c>
      <c r="I39" s="58"/>
      <c r="J39" s="30">
        <f t="shared" si="18"/>
        <v>316453.55407315196</v>
      </c>
      <c r="L39" s="78">
        <f t="shared" si="19"/>
        <v>98.49498553425482</v>
      </c>
      <c r="N39" s="96">
        <f>+'Customer Counts'!E10+'Customer Counts'!G10</f>
        <v>35898</v>
      </c>
      <c r="O39" s="77">
        <f t="shared" si="13"/>
        <v>86533</v>
      </c>
      <c r="P39" s="91">
        <f>+'Customer Counts'!J10+'Customer Counts'!E10</f>
        <v>122431</v>
      </c>
      <c r="Q39" s="1"/>
      <c r="R39" s="3">
        <f t="shared" si="14"/>
        <v>54.86489498022174</v>
      </c>
      <c r="S39" s="3">
        <f t="shared" si="15"/>
        <v>51.49757895831648</v>
      </c>
      <c r="T39" s="3">
        <f t="shared" si="16"/>
        <v>52.484909867598894</v>
      </c>
      <c r="V39" s="3"/>
      <c r="W39" s="3"/>
    </row>
    <row r="40" spans="1:23" ht="15">
      <c r="A40" s="1" t="s">
        <v>14</v>
      </c>
      <c r="B40" s="25"/>
      <c r="C40" s="3">
        <v>1069.89</v>
      </c>
      <c r="D40" s="3">
        <v>2387.86</v>
      </c>
      <c r="E40" s="29">
        <f t="shared" si="17"/>
        <v>3457.75</v>
      </c>
      <c r="F40" s="25"/>
      <c r="G40" s="52">
        <f t="shared" si="11"/>
        <v>105141.00349681417</v>
      </c>
      <c r="H40" s="52">
        <f t="shared" si="12"/>
        <v>234661.50408911452</v>
      </c>
      <c r="I40" s="58"/>
      <c r="J40" s="30">
        <f t="shared" si="18"/>
        <v>339802.50758592866</v>
      </c>
      <c r="L40" s="78">
        <f t="shared" si="19"/>
        <v>98.27272289376869</v>
      </c>
      <c r="N40" s="96">
        <f>+'Customer Counts'!E11+'Customer Counts'!G11</f>
        <v>35978</v>
      </c>
      <c r="O40" s="77">
        <f t="shared" si="13"/>
        <v>86832</v>
      </c>
      <c r="P40" s="91">
        <f>+'Customer Counts'!J11+'Customer Counts'!E11</f>
        <v>122810</v>
      </c>
      <c r="R40" s="3">
        <f t="shared" si="14"/>
        <v>59.47467897048196</v>
      </c>
      <c r="S40" s="3">
        <f t="shared" si="15"/>
        <v>54.99953934033536</v>
      </c>
      <c r="T40" s="3">
        <f t="shared" si="16"/>
        <v>56.31056102923215</v>
      </c>
      <c r="V40" s="3"/>
      <c r="W40" s="3"/>
    </row>
    <row r="41" spans="1:23" ht="15">
      <c r="A41" s="1" t="s">
        <v>15</v>
      </c>
      <c r="B41" s="25"/>
      <c r="C41" s="3">
        <v>1180.33</v>
      </c>
      <c r="D41" s="3">
        <v>2704.66</v>
      </c>
      <c r="E41" s="29">
        <f t="shared" si="17"/>
        <v>3884.99</v>
      </c>
      <c r="F41" s="25"/>
      <c r="G41" s="58">
        <f t="shared" si="11"/>
        <v>112740.41165235688</v>
      </c>
      <c r="H41" s="58">
        <f t="shared" si="12"/>
        <v>258338.33061911806</v>
      </c>
      <c r="I41" s="58"/>
      <c r="J41" s="30">
        <f t="shared" si="18"/>
        <v>371078.7422714749</v>
      </c>
      <c r="L41" s="78">
        <f t="shared" si="19"/>
        <v>95.51600963489608</v>
      </c>
      <c r="N41" s="96">
        <f>+'Customer Counts'!E12+'Customer Counts'!G12</f>
        <v>36140</v>
      </c>
      <c r="O41" s="77">
        <f t="shared" si="13"/>
        <v>87206</v>
      </c>
      <c r="P41" s="96">
        <f>+'Customer Counts'!J12+'Customer Counts'!E12</f>
        <v>123346</v>
      </c>
      <c r="R41" s="3">
        <f t="shared" si="14"/>
        <v>65.31986718317654</v>
      </c>
      <c r="S41" s="3">
        <f t="shared" si="15"/>
        <v>62.02921817306149</v>
      </c>
      <c r="T41" s="3">
        <f t="shared" si="16"/>
        <v>62.99336824866635</v>
      </c>
      <c r="V41" s="29"/>
      <c r="W41" s="29"/>
    </row>
    <row r="42" spans="1:23" ht="15">
      <c r="A42" s="1" t="s">
        <v>16</v>
      </c>
      <c r="B42" s="25"/>
      <c r="C42" s="3">
        <v>1113</v>
      </c>
      <c r="D42" s="3">
        <v>2639.26</v>
      </c>
      <c r="E42" s="29">
        <f t="shared" si="17"/>
        <v>3752.26</v>
      </c>
      <c r="F42" s="32"/>
      <c r="G42" s="58">
        <f t="shared" si="11"/>
        <v>112087.88325328445</v>
      </c>
      <c r="H42" s="58">
        <f t="shared" si="12"/>
        <v>265794.30975297705</v>
      </c>
      <c r="I42" s="58"/>
      <c r="J42" s="30">
        <f t="shared" si="18"/>
        <v>377882.1930062615</v>
      </c>
      <c r="L42" s="78">
        <f t="shared" si="19"/>
        <v>100.70789151238493</v>
      </c>
      <c r="N42" s="96">
        <f>+'Customer Counts'!E13+'Customer Counts'!G13</f>
        <v>36174</v>
      </c>
      <c r="O42" s="77">
        <f t="shared" si="13"/>
        <v>87347</v>
      </c>
      <c r="P42" s="96">
        <f>+'Customer Counts'!J13+'Customer Counts'!E13</f>
        <v>123521</v>
      </c>
      <c r="R42" s="3">
        <f t="shared" si="14"/>
        <v>61.53590976944767</v>
      </c>
      <c r="S42" s="3">
        <f t="shared" si="15"/>
        <v>60.431611847001044</v>
      </c>
      <c r="T42" s="3">
        <f t="shared" si="16"/>
        <v>60.75501331757353</v>
      </c>
      <c r="V42" s="230"/>
      <c r="W42" s="230"/>
    </row>
    <row r="43" spans="1:23" ht="15">
      <c r="A43" s="1" t="s">
        <v>47</v>
      </c>
      <c r="B43" s="25"/>
      <c r="C43" s="3">
        <v>1116.35</v>
      </c>
      <c r="D43" s="3">
        <v>2638.63</v>
      </c>
      <c r="E43" s="29">
        <f t="shared" si="17"/>
        <v>3754.98</v>
      </c>
      <c r="F43" s="32"/>
      <c r="G43" s="58">
        <f t="shared" si="11"/>
        <v>111830.29619988671</v>
      </c>
      <c r="H43" s="58">
        <f t="shared" si="12"/>
        <v>264324.6064960874</v>
      </c>
      <c r="I43" s="58"/>
      <c r="J43" s="30">
        <f t="shared" si="18"/>
        <v>376154.9026959741</v>
      </c>
      <c r="L43" s="78">
        <f t="shared" si="19"/>
        <v>100.1749417296428</v>
      </c>
      <c r="N43" s="96">
        <f>+'Customer Counts'!E14+'Customer Counts'!G14</f>
        <v>36224</v>
      </c>
      <c r="O43" s="77">
        <f t="shared" si="13"/>
        <v>87717</v>
      </c>
      <c r="P43" s="96">
        <f>+'Customer Counts'!J14+'Customer Counts'!E14</f>
        <v>123941</v>
      </c>
      <c r="R43" s="3">
        <f t="shared" si="14"/>
        <v>61.63593197879859</v>
      </c>
      <c r="S43" s="3">
        <f t="shared" si="15"/>
        <v>60.16234025331464</v>
      </c>
      <c r="T43" s="3">
        <f t="shared" si="16"/>
        <v>60.5930241001767</v>
      </c>
      <c r="V43" s="230"/>
      <c r="W43" s="230"/>
    </row>
    <row r="44" spans="1:23" ht="17.25">
      <c r="A44" s="1" t="s">
        <v>48</v>
      </c>
      <c r="B44" s="25"/>
      <c r="C44" s="3">
        <v>1201.03</v>
      </c>
      <c r="D44" s="3">
        <v>2879.81</v>
      </c>
      <c r="E44" s="29">
        <f t="shared" si="17"/>
        <v>4080.84</v>
      </c>
      <c r="F44" s="33"/>
      <c r="G44" s="58">
        <f t="shared" si="11"/>
        <v>121895.32433668379</v>
      </c>
      <c r="H44" s="58">
        <f t="shared" si="12"/>
        <v>292278.60584500426</v>
      </c>
      <c r="I44" s="58"/>
      <c r="J44" s="30">
        <f t="shared" si="18"/>
        <v>414173.93018168805</v>
      </c>
      <c r="L44" s="78">
        <f t="shared" si="19"/>
        <v>101.4923227035826</v>
      </c>
      <c r="N44" s="96">
        <f>+'Customer Counts'!E15+'Customer Counts'!G15</f>
        <v>36333</v>
      </c>
      <c r="O44" s="77">
        <f aca="true" t="shared" si="20" ref="O44:O58">+P44-N44</f>
        <v>88088</v>
      </c>
      <c r="P44" s="96">
        <f>+'Customer Counts'!J15+'Customer Counts'!E15</f>
        <v>124421</v>
      </c>
      <c r="R44" s="3">
        <f t="shared" si="14"/>
        <v>66.11234965458398</v>
      </c>
      <c r="S44" s="3">
        <f t="shared" si="15"/>
        <v>65.38484243029697</v>
      </c>
      <c r="T44" s="3">
        <f t="shared" si="16"/>
        <v>65.59728663167793</v>
      </c>
      <c r="V44" s="230"/>
      <c r="W44" s="230"/>
    </row>
    <row r="45" spans="1:23" ht="17.25">
      <c r="A45" s="1" t="s">
        <v>49</v>
      </c>
      <c r="B45" s="25"/>
      <c r="C45" s="3">
        <v>1138.33</v>
      </c>
      <c r="D45" s="3">
        <v>2633.08</v>
      </c>
      <c r="E45" s="29">
        <f t="shared" si="17"/>
        <v>3771.41</v>
      </c>
      <c r="F45" s="33"/>
      <c r="G45" s="58">
        <f t="shared" si="11"/>
        <v>116719.97742158484</v>
      </c>
      <c r="H45" s="58">
        <f t="shared" si="12"/>
        <v>269985.8899872855</v>
      </c>
      <c r="I45" s="58"/>
      <c r="J45" s="30">
        <f t="shared" si="18"/>
        <v>386705.8674088703</v>
      </c>
      <c r="L45" s="78">
        <f t="shared" si="19"/>
        <v>102.5361515743105</v>
      </c>
      <c r="N45" s="96">
        <f>+'Customer Counts'!E16+'Customer Counts'!G16</f>
        <v>36419</v>
      </c>
      <c r="O45" s="77">
        <f t="shared" si="20"/>
        <v>88256</v>
      </c>
      <c r="P45" s="96">
        <f>+'Customer Counts'!J16+'Customer Counts'!E16</f>
        <v>124675</v>
      </c>
      <c r="R45" s="3">
        <f t="shared" si="14"/>
        <v>62.51297399708943</v>
      </c>
      <c r="S45" s="3">
        <f t="shared" si="15"/>
        <v>59.66914430746918</v>
      </c>
      <c r="T45" s="3">
        <f t="shared" si="16"/>
        <v>60.49985963505113</v>
      </c>
      <c r="V45" s="230"/>
      <c r="W45" s="230"/>
    </row>
    <row r="46" spans="1:23" ht="15">
      <c r="A46" s="1" t="s">
        <v>8</v>
      </c>
      <c r="B46" s="25"/>
      <c r="C46" s="3">
        <v>1205.09</v>
      </c>
      <c r="D46" s="3">
        <v>2733.7</v>
      </c>
      <c r="E46" s="31">
        <f t="shared" si="17"/>
        <v>3938.79</v>
      </c>
      <c r="F46" s="32"/>
      <c r="G46" s="114">
        <f t="shared" si="11"/>
        <v>122918.41400999269</v>
      </c>
      <c r="H46" s="114">
        <f t="shared" si="12"/>
        <v>278835.66238133004</v>
      </c>
      <c r="I46" s="114"/>
      <c r="J46" s="117">
        <f t="shared" si="18"/>
        <v>401754.0763913227</v>
      </c>
      <c r="K46" s="99"/>
      <c r="L46" s="115">
        <f t="shared" si="19"/>
        <v>101.99936437111974</v>
      </c>
      <c r="M46" s="99"/>
      <c r="N46" s="116">
        <f>+'Customer Counts'!E17+'Customer Counts'!G17</f>
        <v>36405</v>
      </c>
      <c r="O46" s="100">
        <f t="shared" si="20"/>
        <v>88186</v>
      </c>
      <c r="P46" s="116">
        <f>+'Customer Counts'!J17+'Customer Counts'!E17</f>
        <v>124591</v>
      </c>
      <c r="Q46" s="99"/>
      <c r="R46" s="23">
        <f t="shared" si="14"/>
        <v>66.20464221947535</v>
      </c>
      <c r="S46" s="23">
        <f t="shared" si="15"/>
        <v>61.99850316376749</v>
      </c>
      <c r="T46" s="23">
        <f t="shared" si="16"/>
        <v>63.22752044690226</v>
      </c>
      <c r="V46" s="230"/>
      <c r="W46" s="230"/>
    </row>
    <row r="47" spans="1:23" s="1" customFormat="1" ht="17.25">
      <c r="A47" s="1" t="s">
        <v>9</v>
      </c>
      <c r="B47" s="25"/>
      <c r="C47" s="3">
        <v>1199.76</v>
      </c>
      <c r="D47" s="3">
        <v>2775.26</v>
      </c>
      <c r="E47" s="31">
        <f t="shared" si="17"/>
        <v>3975.0200000000004</v>
      </c>
      <c r="F47" s="33"/>
      <c r="G47" s="114">
        <f t="shared" si="11"/>
        <v>113376.30139943982</v>
      </c>
      <c r="H47" s="114">
        <f t="shared" si="12"/>
        <v>262259.71379426675</v>
      </c>
      <c r="I47" s="21"/>
      <c r="J47" s="117">
        <f t="shared" si="18"/>
        <v>375636.01519370655</v>
      </c>
      <c r="L47" s="115">
        <f t="shared" si="19"/>
        <v>94.49915099639914</v>
      </c>
      <c r="N47" s="116">
        <f>+'Customer Counts'!E18+'Customer Counts'!G18</f>
        <v>36508</v>
      </c>
      <c r="O47" s="100">
        <f t="shared" si="20"/>
        <v>88338</v>
      </c>
      <c r="P47" s="116">
        <f>+'Customer Counts'!J18+'Customer Counts'!E18</f>
        <v>124846</v>
      </c>
      <c r="R47" s="23">
        <f aca="true" t="shared" si="21" ref="R47:T49">+C47*2000/N47</f>
        <v>65.72586830283774</v>
      </c>
      <c r="S47" s="23">
        <f t="shared" si="21"/>
        <v>62.832756005343114</v>
      </c>
      <c r="T47" s="23">
        <f t="shared" si="21"/>
        <v>63.678772247408816</v>
      </c>
      <c r="V47" s="230"/>
      <c r="W47" s="230"/>
    </row>
    <row r="48" spans="1:23" s="1" customFormat="1" ht="17.25">
      <c r="A48" s="1" t="s">
        <v>10</v>
      </c>
      <c r="B48" s="25"/>
      <c r="C48" s="3">
        <v>1104.13</v>
      </c>
      <c r="D48" s="3">
        <v>2486.55</v>
      </c>
      <c r="E48" s="31">
        <f t="shared" si="17"/>
        <v>3590.6800000000003</v>
      </c>
      <c r="F48" s="33"/>
      <c r="G48" s="114">
        <f t="shared" si="11"/>
        <v>103331.19537007732</v>
      </c>
      <c r="H48" s="114">
        <f t="shared" si="12"/>
        <v>232706.46015185319</v>
      </c>
      <c r="I48" s="21"/>
      <c r="J48" s="117">
        <f t="shared" si="18"/>
        <v>336037.6555219305</v>
      </c>
      <c r="L48" s="115">
        <f t="shared" si="19"/>
        <v>93.58607715583969</v>
      </c>
      <c r="N48" s="116">
        <f>+'Customer Counts'!E19+'Customer Counts'!G19</f>
        <v>36471</v>
      </c>
      <c r="O48" s="100">
        <f t="shared" si="20"/>
        <v>88461</v>
      </c>
      <c r="P48" s="116">
        <f>+'Customer Counts'!J19+'Customer Counts'!E19</f>
        <v>124932</v>
      </c>
      <c r="R48" s="23">
        <f t="shared" si="21"/>
        <v>60.548380905376874</v>
      </c>
      <c r="S48" s="23">
        <f t="shared" si="21"/>
        <v>56.21799437040052</v>
      </c>
      <c r="T48" s="23">
        <f t="shared" si="21"/>
        <v>57.482150289757634</v>
      </c>
      <c r="V48" s="230"/>
      <c r="W48" s="230"/>
    </row>
    <row r="49" spans="1:23" s="1" customFormat="1" ht="15">
      <c r="A49" s="1" t="s">
        <v>11</v>
      </c>
      <c r="B49" s="25"/>
      <c r="C49" s="3">
        <v>1419.73</v>
      </c>
      <c r="D49" s="3">
        <v>3078.67</v>
      </c>
      <c r="E49" s="118">
        <f t="shared" si="17"/>
        <v>4498.4</v>
      </c>
      <c r="F49" s="32"/>
      <c r="G49" s="130">
        <f t="shared" si="11"/>
        <v>129810.49368373286</v>
      </c>
      <c r="H49" s="130">
        <f t="shared" si="12"/>
        <v>281492.7293142343</v>
      </c>
      <c r="I49" s="130"/>
      <c r="J49" s="133">
        <f t="shared" si="18"/>
        <v>411303.22299796715</v>
      </c>
      <c r="K49" s="119"/>
      <c r="L49" s="131">
        <f t="shared" si="19"/>
        <v>91.43322581317072</v>
      </c>
      <c r="M49" s="119"/>
      <c r="N49" s="132">
        <f>+'Customer Counts'!E20+'Customer Counts'!G20</f>
        <v>36465</v>
      </c>
      <c r="O49" s="121">
        <f t="shared" si="20"/>
        <v>88556</v>
      </c>
      <c r="P49" s="132">
        <f>+'Customer Counts'!J20+'Customer Counts'!E20</f>
        <v>125021</v>
      </c>
      <c r="Q49" s="119"/>
      <c r="R49" s="120">
        <f t="shared" si="21"/>
        <v>77.86809269162211</v>
      </c>
      <c r="S49" s="120">
        <f t="shared" si="21"/>
        <v>69.53046659740728</v>
      </c>
      <c r="T49" s="120">
        <f t="shared" si="21"/>
        <v>71.96231033186424</v>
      </c>
      <c r="V49" s="230"/>
      <c r="W49" s="230"/>
    </row>
    <row r="50" spans="1:23" s="1" customFormat="1" ht="17.25">
      <c r="A50" s="1" t="s">
        <v>12</v>
      </c>
      <c r="B50" s="25"/>
      <c r="C50" s="3">
        <v>1287.71</v>
      </c>
      <c r="D50" s="3">
        <v>3025.15</v>
      </c>
      <c r="E50" s="118">
        <f t="shared" si="17"/>
        <v>4312.860000000001</v>
      </c>
      <c r="F50" s="33"/>
      <c r="G50" s="130">
        <f t="shared" si="11"/>
        <v>112477.55354418706</v>
      </c>
      <c r="H50" s="130">
        <f t="shared" si="12"/>
        <v>268989.7799132659</v>
      </c>
      <c r="I50" s="21"/>
      <c r="J50" s="133">
        <f t="shared" si="18"/>
        <v>381467.33345745294</v>
      </c>
      <c r="L50" s="131">
        <f t="shared" si="19"/>
        <v>88.44880971268553</v>
      </c>
      <c r="N50" s="132">
        <f>+'Customer Counts'!E21+'Customer Counts'!G21</f>
        <v>36465</v>
      </c>
      <c r="O50" s="121">
        <f t="shared" si="20"/>
        <v>88775</v>
      </c>
      <c r="P50" s="132">
        <f>+'Customer Counts'!J21+'Customer Counts'!E21</f>
        <v>125240</v>
      </c>
      <c r="R50" s="120">
        <f aca="true" t="shared" si="22" ref="R50:T52">+C50*2000/N50</f>
        <v>70.6271767448238</v>
      </c>
      <c r="S50" s="120">
        <f t="shared" si="22"/>
        <v>68.15319628273726</v>
      </c>
      <c r="T50" s="120">
        <f t="shared" si="22"/>
        <v>68.87352283615459</v>
      </c>
      <c r="V50" s="232"/>
      <c r="W50" s="230"/>
    </row>
    <row r="51" spans="1:23" s="1" customFormat="1" ht="17.25">
      <c r="A51" s="1" t="s">
        <v>13</v>
      </c>
      <c r="B51" s="25"/>
      <c r="C51" s="3">
        <v>1038.67</v>
      </c>
      <c r="D51" s="3">
        <v>2442.92</v>
      </c>
      <c r="E51" s="118">
        <f t="shared" si="17"/>
        <v>3481.59</v>
      </c>
      <c r="F51" s="33"/>
      <c r="G51" s="130">
        <f t="shared" si="11"/>
        <v>74078.47640191574</v>
      </c>
      <c r="H51" s="130">
        <f t="shared" si="12"/>
        <v>215378.5310855804</v>
      </c>
      <c r="I51" s="21"/>
      <c r="J51" s="133">
        <f t="shared" si="18"/>
        <v>289457.0074874961</v>
      </c>
      <c r="L51" s="131">
        <f t="shared" si="19"/>
        <v>83.13931493584717</v>
      </c>
      <c r="N51" s="132">
        <f>+'Customer Counts'!E22+'Customer Counts'!G22</f>
        <v>36424</v>
      </c>
      <c r="O51" s="121">
        <f t="shared" si="20"/>
        <v>88623</v>
      </c>
      <c r="P51" s="132">
        <f>+'Customer Counts'!J22+'Customer Counts'!E22</f>
        <v>125047</v>
      </c>
      <c r="R51" s="120">
        <f t="shared" si="22"/>
        <v>57.03217658686581</v>
      </c>
      <c r="S51" s="120">
        <f t="shared" si="22"/>
        <v>55.130609435473865</v>
      </c>
      <c r="T51" s="120">
        <f t="shared" si="22"/>
        <v>55.68450262701224</v>
      </c>
      <c r="V51" s="232"/>
      <c r="W51" s="230"/>
    </row>
    <row r="52" spans="1:23" s="1" customFormat="1" ht="15">
      <c r="A52" s="1" t="s">
        <v>14</v>
      </c>
      <c r="B52" s="25"/>
      <c r="C52" s="3">
        <v>1163.05</v>
      </c>
      <c r="D52" s="3">
        <v>2658.66</v>
      </c>
      <c r="E52" s="134">
        <f t="shared" si="17"/>
        <v>3821.71</v>
      </c>
      <c r="F52" s="32"/>
      <c r="G52" s="226">
        <f t="shared" si="11"/>
        <v>87913.18422512157</v>
      </c>
      <c r="H52" s="226">
        <f t="shared" si="12"/>
        <v>185666.71138596814</v>
      </c>
      <c r="I52" s="226"/>
      <c r="J52" s="229">
        <f t="shared" si="18"/>
        <v>273579.8956110897</v>
      </c>
      <c r="K52" s="135"/>
      <c r="L52" s="227">
        <f t="shared" si="19"/>
        <v>71.58572879969692</v>
      </c>
      <c r="M52" s="135"/>
      <c r="N52" s="228">
        <f>+'Customer Counts'!E23+'Customer Counts'!G23</f>
        <v>36519</v>
      </c>
      <c r="O52" s="137">
        <f t="shared" si="20"/>
        <v>89054</v>
      </c>
      <c r="P52" s="228">
        <f>+'Customer Counts'!J23+'Customer Counts'!E23</f>
        <v>125573</v>
      </c>
      <c r="Q52" s="135"/>
      <c r="R52" s="136">
        <f t="shared" si="22"/>
        <v>63.69561050412114</v>
      </c>
      <c r="S52" s="136">
        <f t="shared" si="22"/>
        <v>59.70894064275608</v>
      </c>
      <c r="T52" s="136">
        <f t="shared" si="22"/>
        <v>60.8683395315872</v>
      </c>
      <c r="V52" s="232"/>
      <c r="W52" s="230"/>
    </row>
    <row r="53" spans="1:23" s="1" customFormat="1" ht="17.25">
      <c r="A53" s="1" t="s">
        <v>15</v>
      </c>
      <c r="B53" s="25"/>
      <c r="C53" s="3">
        <v>1173.57</v>
      </c>
      <c r="D53" s="3">
        <v>2704.32</v>
      </c>
      <c r="E53" s="134">
        <f t="shared" si="17"/>
        <v>3877.8900000000003</v>
      </c>
      <c r="F53" s="33"/>
      <c r="G53" s="226">
        <f t="shared" si="11"/>
        <v>83431.91329485238</v>
      </c>
      <c r="H53" s="226">
        <f t="shared" si="12"/>
        <v>188692.34356285914</v>
      </c>
      <c r="I53" s="21"/>
      <c r="J53" s="229">
        <f t="shared" si="18"/>
        <v>272124.25685771153</v>
      </c>
      <c r="L53" s="227">
        <f t="shared" si="19"/>
        <v>70.17327898875716</v>
      </c>
      <c r="N53" s="228">
        <f>+'Customer Counts'!E24+'Customer Counts'!G24</f>
        <v>36669</v>
      </c>
      <c r="O53" s="137">
        <f t="shared" si="20"/>
        <v>89604</v>
      </c>
      <c r="P53" s="228">
        <f>+'Customer Counts'!J24+'Customer Counts'!E24</f>
        <v>126273</v>
      </c>
      <c r="R53" s="136">
        <f aca="true" t="shared" si="23" ref="R53:T55">+C53*2000/N53</f>
        <v>64.00883580135809</v>
      </c>
      <c r="S53" s="136">
        <f t="shared" si="23"/>
        <v>60.361591000401766</v>
      </c>
      <c r="T53" s="136">
        <f t="shared" si="23"/>
        <v>61.42073127271864</v>
      </c>
      <c r="V53" s="232"/>
      <c r="W53" s="230"/>
    </row>
    <row r="54" spans="1:23" s="1" customFormat="1" ht="17.25">
      <c r="A54" s="1" t="s">
        <v>16</v>
      </c>
      <c r="B54" s="25"/>
      <c r="C54" s="3">
        <v>1103.16</v>
      </c>
      <c r="D54" s="3">
        <v>2650.79</v>
      </c>
      <c r="E54" s="134">
        <f t="shared" si="17"/>
        <v>3753.95</v>
      </c>
      <c r="F54" s="33"/>
      <c r="G54" s="226">
        <f t="shared" si="11"/>
        <v>89957.51850024046</v>
      </c>
      <c r="H54" s="226">
        <f t="shared" si="12"/>
        <v>222993.81217073314</v>
      </c>
      <c r="I54" s="21"/>
      <c r="J54" s="229">
        <f t="shared" si="18"/>
        <v>312951.33067097364</v>
      </c>
      <c r="L54" s="227">
        <f t="shared" si="19"/>
        <v>83.36587612274369</v>
      </c>
      <c r="N54" s="228">
        <f>+'Customer Counts'!E25+'Customer Counts'!G25</f>
        <v>36833</v>
      </c>
      <c r="O54" s="137">
        <f t="shared" si="20"/>
        <v>89917</v>
      </c>
      <c r="P54" s="228">
        <f>+'Customer Counts'!J25+'Customer Counts'!E25</f>
        <v>126750</v>
      </c>
      <c r="R54" s="136">
        <f t="shared" si="23"/>
        <v>59.90063258491027</v>
      </c>
      <c r="S54" s="136">
        <f t="shared" si="23"/>
        <v>58.960819422356174</v>
      </c>
      <c r="T54" s="136">
        <f t="shared" si="23"/>
        <v>59.23392504930966</v>
      </c>
      <c r="V54" s="232"/>
      <c r="W54" s="230"/>
    </row>
    <row r="55" spans="1:23" s="1" customFormat="1" ht="17.25">
      <c r="A55" s="1" t="s">
        <v>47</v>
      </c>
      <c r="B55" s="25"/>
      <c r="C55" s="3">
        <v>1193.43</v>
      </c>
      <c r="D55" s="3">
        <v>2867.73</v>
      </c>
      <c r="E55" s="134">
        <f t="shared" si="17"/>
        <v>4061.16</v>
      </c>
      <c r="F55" s="33"/>
      <c r="G55" s="226">
        <f t="shared" si="11"/>
        <v>92370.86644947271</v>
      </c>
      <c r="H55" s="226">
        <f t="shared" si="12"/>
        <v>202027.98923856157</v>
      </c>
      <c r="I55" s="21"/>
      <c r="J55" s="229">
        <f t="shared" si="18"/>
        <v>294398.85568803427</v>
      </c>
      <c r="L55" s="227">
        <f t="shared" si="19"/>
        <v>72.49132161452252</v>
      </c>
      <c r="N55" s="228">
        <f>+'Customer Counts'!E26+'Customer Counts'!G26</f>
        <v>36979</v>
      </c>
      <c r="O55" s="137">
        <f t="shared" si="20"/>
        <v>90235</v>
      </c>
      <c r="P55" s="228">
        <f>+'Customer Counts'!J26+'Customer Counts'!E26</f>
        <v>127214</v>
      </c>
      <c r="R55" s="136">
        <f t="shared" si="23"/>
        <v>64.54636415262716</v>
      </c>
      <c r="S55" s="136">
        <f t="shared" si="23"/>
        <v>63.56136754031141</v>
      </c>
      <c r="T55" s="136">
        <f t="shared" si="23"/>
        <v>63.847689719684944</v>
      </c>
      <c r="V55" s="232"/>
      <c r="W55" s="230"/>
    </row>
    <row r="56" spans="1:23" s="1" customFormat="1" ht="17.25">
      <c r="A56" s="1" t="s">
        <v>48</v>
      </c>
      <c r="B56" s="25"/>
      <c r="C56" s="3">
        <v>1324.58</v>
      </c>
      <c r="D56" s="3">
        <v>2903.41</v>
      </c>
      <c r="E56" s="230">
        <f t="shared" si="17"/>
        <v>4227.99</v>
      </c>
      <c r="F56" s="33"/>
      <c r="G56" s="226">
        <f t="shared" si="11"/>
        <v>113413.7053139959</v>
      </c>
      <c r="H56" s="226">
        <f t="shared" si="12"/>
        <v>244668.95717478983</v>
      </c>
      <c r="I56" s="21"/>
      <c r="J56" s="229">
        <f t="shared" si="18"/>
        <v>358082.66248878575</v>
      </c>
      <c r="L56" s="227">
        <f t="shared" si="19"/>
        <v>84.69335606015761</v>
      </c>
      <c r="N56" s="228">
        <f>+'Customer Counts'!E27+'Customer Counts'!G27</f>
        <v>37073</v>
      </c>
      <c r="O56" s="233">
        <f t="shared" si="20"/>
        <v>90656</v>
      </c>
      <c r="P56" s="228">
        <f>+'Customer Counts'!J27+'Customer Counts'!E27</f>
        <v>127729</v>
      </c>
      <c r="R56" s="232">
        <f aca="true" t="shared" si="24" ref="R56:T57">+C56*2000/N56</f>
        <v>71.45793434575027</v>
      </c>
      <c r="S56" s="232">
        <f t="shared" si="24"/>
        <v>64.05334451111895</v>
      </c>
      <c r="T56" s="232">
        <f t="shared" si="24"/>
        <v>66.20250687001386</v>
      </c>
      <c r="V56" s="232"/>
      <c r="W56" s="230"/>
    </row>
    <row r="57" spans="1:23" s="1" customFormat="1" ht="17.25">
      <c r="A57" s="1" t="s">
        <v>49</v>
      </c>
      <c r="B57" s="25"/>
      <c r="C57" s="3">
        <v>1146.63</v>
      </c>
      <c r="D57" s="3">
        <v>2762.45</v>
      </c>
      <c r="E57" s="230">
        <f t="shared" si="17"/>
        <v>3909.08</v>
      </c>
      <c r="F57" s="33"/>
      <c r="G57" s="226">
        <f t="shared" si="11"/>
        <v>77439.86273818473</v>
      </c>
      <c r="H57" s="226">
        <f t="shared" si="12"/>
        <v>202292.33910953178</v>
      </c>
      <c r="I57" s="21"/>
      <c r="J57" s="229">
        <f t="shared" si="18"/>
        <v>279732.2018477165</v>
      </c>
      <c r="L57" s="227">
        <f t="shared" si="19"/>
        <v>71.55960017388146</v>
      </c>
      <c r="N57" s="228">
        <f>+'Customer Counts'!E28+'Customer Counts'!G28</f>
        <v>37151</v>
      </c>
      <c r="O57" s="233">
        <f t="shared" si="20"/>
        <v>90921</v>
      </c>
      <c r="P57" s="228">
        <f>+'Customer Counts'!J28+'Customer Counts'!E28</f>
        <v>128072</v>
      </c>
      <c r="R57" s="232">
        <f t="shared" si="24"/>
        <v>61.72808268956421</v>
      </c>
      <c r="S57" s="232">
        <f t="shared" si="24"/>
        <v>60.76593966190429</v>
      </c>
      <c r="T57" s="232">
        <f t="shared" si="24"/>
        <v>61.045037166593794</v>
      </c>
      <c r="V57" s="232"/>
      <c r="W57" s="230"/>
    </row>
    <row r="58" spans="1:23" s="1" customFormat="1" ht="17.25">
      <c r="A58" s="1" t="s">
        <v>8</v>
      </c>
      <c r="B58" s="25"/>
      <c r="C58" s="16">
        <v>1227.74</v>
      </c>
      <c r="D58" s="16">
        <v>2853.86</v>
      </c>
      <c r="E58" s="53">
        <f t="shared" si="17"/>
        <v>4081.6000000000004</v>
      </c>
      <c r="F58" s="33"/>
      <c r="G58" s="21">
        <f>+C58/C30*G30</f>
        <v>88810.15037021895</v>
      </c>
      <c r="H58" s="21">
        <f>+D58/D30*H30</f>
        <v>195369.79337620383</v>
      </c>
      <c r="I58" s="21"/>
      <c r="J58" s="54">
        <f t="shared" si="18"/>
        <v>284179.94374642277</v>
      </c>
      <c r="L58" s="103">
        <f t="shared" si="19"/>
        <v>69.62464321501929</v>
      </c>
      <c r="N58" s="101">
        <f>+'Customer Counts'!E29+'Customer Counts'!G29</f>
        <v>37164</v>
      </c>
      <c r="O58" s="102">
        <f t="shared" si="20"/>
        <v>91210</v>
      </c>
      <c r="P58" s="101">
        <f>+'Customer Counts'!J29+'Customer Counts'!E29</f>
        <v>128374</v>
      </c>
      <c r="R58" s="16">
        <f>+C58*2000/N58</f>
        <v>66.071467011086</v>
      </c>
      <c r="S58" s="16">
        <f>+D58*2000/O58</f>
        <v>62.577787523297886</v>
      </c>
      <c r="T58" s="16">
        <f>+E58*2000/P58</f>
        <v>63.58920030535779</v>
      </c>
      <c r="V58" s="458"/>
      <c r="W58" s="458"/>
    </row>
    <row r="59" spans="1:20" ht="17.25">
      <c r="A59" s="1"/>
      <c r="B59" s="1"/>
      <c r="C59" s="12">
        <f>SUM(C35:C58)</f>
        <v>28572.450000000004</v>
      </c>
      <c r="D59" s="12">
        <f aca="true" t="shared" si="25" ref="D59:P59">SUM(D35:D58)</f>
        <v>65236.19</v>
      </c>
      <c r="E59" s="12">
        <f t="shared" si="25"/>
        <v>93808.64000000003</v>
      </c>
      <c r="F59" s="12"/>
      <c r="G59" s="18">
        <f t="shared" si="25"/>
        <v>2569489.810206671</v>
      </c>
      <c r="H59" s="18">
        <f t="shared" si="25"/>
        <v>5871325.031004232</v>
      </c>
      <c r="I59" s="12"/>
      <c r="J59" s="18">
        <f t="shared" si="25"/>
        <v>8440814.841210905</v>
      </c>
      <c r="K59" s="12"/>
      <c r="L59" s="79">
        <f t="shared" si="19"/>
        <v>89.97907699345075</v>
      </c>
      <c r="M59" s="12"/>
      <c r="N59" s="88">
        <f t="shared" si="25"/>
        <v>880577</v>
      </c>
      <c r="O59" s="88">
        <f t="shared" si="25"/>
        <v>2122304</v>
      </c>
      <c r="P59" s="88">
        <f t="shared" si="25"/>
        <v>3002881</v>
      </c>
      <c r="Q59" s="1"/>
      <c r="R59" s="12">
        <f t="shared" si="14"/>
        <v>64.89483599957755</v>
      </c>
      <c r="S59" s="12">
        <f t="shared" si="15"/>
        <v>61.47676298965652</v>
      </c>
      <c r="T59" s="12">
        <f t="shared" si="16"/>
        <v>62.47909257809419</v>
      </c>
    </row>
    <row r="60" spans="1:10" ht="15">
      <c r="A60" s="1"/>
      <c r="B60" s="1"/>
      <c r="C60" s="1"/>
      <c r="D60" s="1"/>
      <c r="E60" s="1"/>
      <c r="F60" s="1"/>
      <c r="G60" s="1"/>
      <c r="H60" s="1"/>
      <c r="J60" s="1"/>
    </row>
    <row r="61" spans="1:20" s="81" customFormat="1" ht="17.25">
      <c r="A61" s="80" t="s">
        <v>60</v>
      </c>
      <c r="C61" s="82">
        <f>+C128/12*24</f>
        <v>28980</v>
      </c>
      <c r="D61" s="82">
        <f>+D128/12*24</f>
        <v>64158</v>
      </c>
      <c r="E61" s="83">
        <f>+D61+C61</f>
        <v>93138</v>
      </c>
      <c r="G61" s="84">
        <f>+G128/12*24</f>
        <v>2990000</v>
      </c>
      <c r="H61" s="84">
        <f>+H128/12*24</f>
        <v>6594000</v>
      </c>
      <c r="I61" s="84"/>
      <c r="J61" s="85">
        <f>+H61+G61</f>
        <v>9584000</v>
      </c>
      <c r="L61" s="95">
        <f>+J61/E61</f>
        <v>102.90107152826988</v>
      </c>
      <c r="N61" s="94">
        <f>+N128/12*24</f>
        <v>898440</v>
      </c>
      <c r="O61" s="94">
        <f>+O128/12*24</f>
        <v>2070864</v>
      </c>
      <c r="P61" s="94">
        <f>+O61+N61</f>
        <v>2969304</v>
      </c>
      <c r="R61" s="83">
        <f>+'2014-2015 RSA Budget vs. Actual'!C48</f>
        <v>64.51182048884733</v>
      </c>
      <c r="S61" s="83">
        <f>+'2014-2015 RSA Budget vs. Actual'!D48</f>
        <v>61.577177343192126</v>
      </c>
      <c r="T61" s="83">
        <f>+'2014-2015 RSA Budget vs. Actual'!E48</f>
        <v>62.461271034355114</v>
      </c>
    </row>
    <row r="62" ht="15">
      <c r="A62" s="123"/>
    </row>
    <row r="63" spans="1:20" s="14" customFormat="1" ht="17.25">
      <c r="A63" s="14" t="s">
        <v>61</v>
      </c>
      <c r="C63" s="12">
        <f>+C59-C61</f>
        <v>-407.54999999999563</v>
      </c>
      <c r="D63" s="12">
        <f>+D59-D61</f>
        <v>1078.1900000000023</v>
      </c>
      <c r="E63" s="12">
        <f>+E59-E61</f>
        <v>670.6400000000285</v>
      </c>
      <c r="F63" s="12"/>
      <c r="G63" s="18">
        <f>+G59-G61</f>
        <v>-420510.1897933292</v>
      </c>
      <c r="H63" s="18">
        <f>+H59-H61</f>
        <v>-722674.9689957676</v>
      </c>
      <c r="I63" s="18"/>
      <c r="J63" s="18">
        <f>+J59-J61</f>
        <v>-1143185.1587890945</v>
      </c>
      <c r="K63" s="12"/>
      <c r="L63" s="12">
        <f>+L59-L61</f>
        <v>-12.921994534819135</v>
      </c>
      <c r="M63" s="12">
        <f>+M59-M61</f>
        <v>0</v>
      </c>
      <c r="N63" s="88">
        <f>+N59-N61</f>
        <v>-17863</v>
      </c>
      <c r="O63" s="88">
        <f>+O59-O61</f>
        <v>51440</v>
      </c>
      <c r="P63" s="88">
        <f>+P59-P61</f>
        <v>33577</v>
      </c>
      <c r="Q63" s="12"/>
      <c r="R63" s="12">
        <f>+R59-R61</f>
        <v>0.38301551073021756</v>
      </c>
      <c r="S63" s="12">
        <f>+S59-S61</f>
        <v>-0.10041435353560502</v>
      </c>
      <c r="T63" s="12">
        <f>+T59-T61</f>
        <v>0.01782154373907474</v>
      </c>
    </row>
    <row r="64" spans="3:20" ht="15">
      <c r="C64" s="86">
        <f>+C63/C61</f>
        <v>-0.014063146997929456</v>
      </c>
      <c r="D64" s="86">
        <f aca="true" t="shared" si="26" ref="D64:L64">+D63/D61</f>
        <v>0.016805230836372743</v>
      </c>
      <c r="E64" s="86">
        <f t="shared" si="26"/>
        <v>0.007200498185488506</v>
      </c>
      <c r="F64" s="86"/>
      <c r="G64" s="86">
        <f t="shared" si="26"/>
        <v>-0.14063885946265192</v>
      </c>
      <c r="H64" s="86">
        <f t="shared" si="26"/>
        <v>-0.10959584000542427</v>
      </c>
      <c r="I64" s="86"/>
      <c r="J64" s="86">
        <f t="shared" si="26"/>
        <v>-0.11928058835445478</v>
      </c>
      <c r="L64" s="86">
        <f t="shared" si="26"/>
        <v>-0.12557687051168454</v>
      </c>
      <c r="M64" s="86"/>
      <c r="N64" s="86">
        <f>+N63/N61</f>
        <v>-0.019882240327679088</v>
      </c>
      <c r="O64" s="86">
        <f>+O63/O61</f>
        <v>0.024839873598652543</v>
      </c>
      <c r="P64" s="86">
        <f>+P63/P61</f>
        <v>0.011308037169653225</v>
      </c>
      <c r="Q64" s="86"/>
      <c r="R64" s="86">
        <f>+R63/R61</f>
        <v>0.005937136912706292</v>
      </c>
      <c r="S64" s="86">
        <f>+S63/S61</f>
        <v>-0.0016307073150813507</v>
      </c>
      <c r="T64" s="86">
        <f>+T63/T61</f>
        <v>0.0002853215031322768</v>
      </c>
    </row>
    <row r="67" ht="15">
      <c r="A67" s="17" t="s">
        <v>83</v>
      </c>
    </row>
    <row r="68" spans="1:16" s="1" customFormat="1" ht="15">
      <c r="A68" s="17"/>
      <c r="E68" s="15" t="s">
        <v>7</v>
      </c>
      <c r="G68" s="15" t="s">
        <v>7</v>
      </c>
      <c r="N68" s="15" t="s">
        <v>7</v>
      </c>
      <c r="O68" s="15" t="s">
        <v>7</v>
      </c>
      <c r="P68" s="15" t="s">
        <v>62</v>
      </c>
    </row>
    <row r="69" spans="1:16" s="1" customFormat="1" ht="15">
      <c r="A69" s="17"/>
      <c r="D69" s="15" t="s">
        <v>88</v>
      </c>
      <c r="E69" s="15" t="s">
        <v>4</v>
      </c>
      <c r="G69" s="15" t="s">
        <v>5</v>
      </c>
      <c r="L69" s="15" t="s">
        <v>88</v>
      </c>
      <c r="N69" s="15" t="s">
        <v>4</v>
      </c>
      <c r="O69" s="15" t="s">
        <v>5</v>
      </c>
      <c r="P69" s="15" t="s">
        <v>71</v>
      </c>
    </row>
    <row r="70" spans="1:16" s="1" customFormat="1" ht="15">
      <c r="A70" s="17"/>
      <c r="C70" s="20" t="s">
        <v>56</v>
      </c>
      <c r="D70" s="20" t="s">
        <v>89</v>
      </c>
      <c r="E70" s="20" t="s">
        <v>6</v>
      </c>
      <c r="G70" s="20" t="s">
        <v>6</v>
      </c>
      <c r="H70" s="20" t="s">
        <v>7</v>
      </c>
      <c r="I70" s="20"/>
      <c r="J70" s="20" t="s">
        <v>56</v>
      </c>
      <c r="L70" s="20" t="s">
        <v>89</v>
      </c>
      <c r="N70" s="20" t="s">
        <v>6</v>
      </c>
      <c r="O70" s="20" t="s">
        <v>6</v>
      </c>
      <c r="P70" s="20" t="s">
        <v>72</v>
      </c>
    </row>
    <row r="71" spans="1:20" ht="15">
      <c r="A71" s="1" t="s">
        <v>9</v>
      </c>
      <c r="C71" s="112">
        <v>655.87</v>
      </c>
      <c r="D71" s="112">
        <v>513.47</v>
      </c>
      <c r="E71" s="3">
        <f>+D71+C71</f>
        <v>1169.3400000000001</v>
      </c>
      <c r="G71" s="3">
        <v>2542.59</v>
      </c>
      <c r="H71" s="3">
        <f aca="true" t="shared" si="27" ref="H71:H94">+G71+E71</f>
        <v>3711.9300000000003</v>
      </c>
      <c r="I71" s="3"/>
      <c r="J71" s="58">
        <f>+C71/E71*N71</f>
        <v>64129.64898366686</v>
      </c>
      <c r="L71" s="58">
        <f>+N71-J71</f>
        <v>50206.06349374638</v>
      </c>
      <c r="N71" s="58">
        <f aca="true" t="shared" si="28" ref="N71:N93">+E71/C7*G7</f>
        <v>114335.71247741324</v>
      </c>
      <c r="O71" s="58">
        <f aca="true" t="shared" si="29" ref="O71:O93">+G71/D7*H7</f>
        <v>248609.33448607416</v>
      </c>
      <c r="P71" s="106">
        <f>(O71+N71)/H71</f>
        <v>97.77798799101475</v>
      </c>
      <c r="Q71" s="58"/>
      <c r="S71" s="3"/>
      <c r="T71" s="3"/>
    </row>
    <row r="72" spans="1:20" ht="15">
      <c r="A72" s="1" t="s">
        <v>10</v>
      </c>
      <c r="C72" s="234">
        <v>670.13</v>
      </c>
      <c r="D72" s="234">
        <v>424.58</v>
      </c>
      <c r="E72" s="3">
        <f aca="true" t="shared" si="30" ref="E72:E94">+D72+C72</f>
        <v>1094.71</v>
      </c>
      <c r="G72" s="3">
        <v>2424.07</v>
      </c>
      <c r="H72" s="3">
        <f t="shared" si="27"/>
        <v>3518.78</v>
      </c>
      <c r="I72" s="3"/>
      <c r="J72" s="58">
        <f aca="true" t="shared" si="31" ref="J72:J85">+C72/E72*N72</f>
        <v>68381.51099618746</v>
      </c>
      <c r="L72" s="58">
        <f aca="true" t="shared" si="32" ref="L72:L85">+N72-J72</f>
        <v>43325.05922546561</v>
      </c>
      <c r="N72" s="58">
        <f t="shared" si="28"/>
        <v>111706.57022165306</v>
      </c>
      <c r="O72" s="58">
        <f t="shared" si="29"/>
        <v>247357.332697429</v>
      </c>
      <c r="P72" s="131">
        <f aca="true" t="shared" si="33" ref="P72:P93">(O72+N72)/H72</f>
        <v>102.04215748614067</v>
      </c>
      <c r="Q72" s="58"/>
      <c r="S72" s="3"/>
      <c r="T72" s="3"/>
    </row>
    <row r="73" spans="1:20" ht="15">
      <c r="A73" s="1" t="s">
        <v>11</v>
      </c>
      <c r="C73" s="234">
        <v>785.36</v>
      </c>
      <c r="D73" s="234">
        <v>460.68</v>
      </c>
      <c r="E73" s="3">
        <f t="shared" si="30"/>
        <v>1246.04</v>
      </c>
      <c r="G73" s="3">
        <v>2717.39</v>
      </c>
      <c r="H73" s="3">
        <f t="shared" si="27"/>
        <v>3963.43</v>
      </c>
      <c r="I73" s="3"/>
      <c r="J73" s="58">
        <f t="shared" si="31"/>
        <v>72877.69533831</v>
      </c>
      <c r="L73" s="58">
        <f t="shared" si="32"/>
        <v>42748.92621021271</v>
      </c>
      <c r="N73" s="58">
        <f t="shared" si="28"/>
        <v>115626.62154852271</v>
      </c>
      <c r="O73" s="58">
        <f t="shared" si="29"/>
        <v>252160.94598065878</v>
      </c>
      <c r="P73" s="131">
        <f t="shared" si="33"/>
        <v>92.79527266261331</v>
      </c>
      <c r="Q73" s="58"/>
      <c r="S73" s="3"/>
      <c r="T73" s="3"/>
    </row>
    <row r="74" spans="1:20" ht="15">
      <c r="A74" s="1" t="s">
        <v>12</v>
      </c>
      <c r="C74" s="234">
        <v>812.2</v>
      </c>
      <c r="D74" s="234">
        <v>521.41</v>
      </c>
      <c r="E74" s="3">
        <f t="shared" si="30"/>
        <v>1333.6100000000001</v>
      </c>
      <c r="G74" s="3">
        <v>2838.97</v>
      </c>
      <c r="H74" s="29">
        <f t="shared" si="27"/>
        <v>4172.58</v>
      </c>
      <c r="I74" s="29"/>
      <c r="J74" s="58">
        <f t="shared" si="31"/>
        <v>78116.7232086125</v>
      </c>
      <c r="L74" s="58">
        <f t="shared" si="32"/>
        <v>50148.781886484416</v>
      </c>
      <c r="N74" s="58">
        <f t="shared" si="28"/>
        <v>128265.50509509692</v>
      </c>
      <c r="O74" s="58">
        <f t="shared" si="29"/>
        <v>273049.78291991464</v>
      </c>
      <c r="P74" s="131">
        <f t="shared" si="33"/>
        <v>96.17917164320674</v>
      </c>
      <c r="Q74" s="30"/>
      <c r="S74" s="3"/>
      <c r="T74" s="3"/>
    </row>
    <row r="75" spans="1:20" ht="15">
      <c r="A75" s="1" t="s">
        <v>13</v>
      </c>
      <c r="C75" s="234">
        <v>538.94</v>
      </c>
      <c r="D75" s="234">
        <v>375.9</v>
      </c>
      <c r="E75" s="3">
        <f t="shared" si="30"/>
        <v>914.84</v>
      </c>
      <c r="G75" s="3">
        <v>2076.01</v>
      </c>
      <c r="H75" s="29">
        <f t="shared" si="27"/>
        <v>2990.8500000000004</v>
      </c>
      <c r="I75" s="29"/>
      <c r="J75" s="58">
        <f t="shared" si="31"/>
        <v>53082.8875038313</v>
      </c>
      <c r="L75" s="58">
        <f t="shared" si="32"/>
        <v>37024.26506232639</v>
      </c>
      <c r="N75" s="58">
        <f t="shared" si="28"/>
        <v>90107.15256615769</v>
      </c>
      <c r="O75" s="58">
        <f t="shared" si="29"/>
        <v>204476.5749189683</v>
      </c>
      <c r="P75" s="131">
        <f t="shared" si="33"/>
        <v>98.4949855342548</v>
      </c>
      <c r="Q75" s="30"/>
      <c r="S75" s="3"/>
      <c r="T75" s="3"/>
    </row>
    <row r="76" spans="1:20" ht="15">
      <c r="A76" s="1" t="s">
        <v>14</v>
      </c>
      <c r="C76" s="234">
        <v>595.26</v>
      </c>
      <c r="D76" s="234">
        <v>402.3</v>
      </c>
      <c r="E76" s="3">
        <f t="shared" si="30"/>
        <v>997.56</v>
      </c>
      <c r="G76" s="3">
        <v>2209</v>
      </c>
      <c r="H76" s="29">
        <f t="shared" si="27"/>
        <v>3206.56</v>
      </c>
      <c r="I76" s="29"/>
      <c r="J76" s="58">
        <f t="shared" si="31"/>
        <v>58497.82102974475</v>
      </c>
      <c r="L76" s="58">
        <f t="shared" si="32"/>
        <v>39535.11642016313</v>
      </c>
      <c r="N76" s="58">
        <f t="shared" si="28"/>
        <v>98032.93744990788</v>
      </c>
      <c r="O76" s="58">
        <f t="shared" si="29"/>
        <v>217084.44487233504</v>
      </c>
      <c r="P76" s="131">
        <f t="shared" si="33"/>
        <v>98.2727228937687</v>
      </c>
      <c r="Q76" s="30"/>
      <c r="S76" s="3"/>
      <c r="T76" s="3"/>
    </row>
    <row r="77" spans="1:20" ht="15">
      <c r="A77" s="1" t="s">
        <v>15</v>
      </c>
      <c r="C77" s="234">
        <v>640.17</v>
      </c>
      <c r="D77" s="234">
        <v>463.97</v>
      </c>
      <c r="E77" s="3">
        <f t="shared" si="30"/>
        <v>1104.1399999999999</v>
      </c>
      <c r="G77" s="3">
        <v>2533.64</v>
      </c>
      <c r="H77" s="29">
        <f t="shared" si="27"/>
        <v>3637.7799999999997</v>
      </c>
      <c r="I77" s="29"/>
      <c r="J77" s="58">
        <f t="shared" si="31"/>
        <v>61146.483887971415</v>
      </c>
      <c r="L77" s="58">
        <f t="shared" si="32"/>
        <v>44316.56299030272</v>
      </c>
      <c r="N77" s="58">
        <f t="shared" si="28"/>
        <v>105463.04687827414</v>
      </c>
      <c r="O77" s="58">
        <f t="shared" si="29"/>
        <v>242003.1826513581</v>
      </c>
      <c r="P77" s="131">
        <f t="shared" si="33"/>
        <v>95.51600963489608</v>
      </c>
      <c r="Q77" s="30"/>
      <c r="S77" s="3"/>
      <c r="T77" s="3"/>
    </row>
    <row r="78" spans="1:20" ht="15">
      <c r="A78" s="1" t="s">
        <v>16</v>
      </c>
      <c r="C78" s="234">
        <v>604.46</v>
      </c>
      <c r="D78" s="234">
        <v>441.51</v>
      </c>
      <c r="E78" s="3">
        <f t="shared" si="30"/>
        <v>1045.97</v>
      </c>
      <c r="G78" s="3">
        <v>2464.18</v>
      </c>
      <c r="H78" s="29">
        <f t="shared" si="27"/>
        <v>3510.1499999999996</v>
      </c>
      <c r="I78" s="29"/>
      <c r="J78" s="58">
        <f t="shared" si="31"/>
        <v>60873.89210357622</v>
      </c>
      <c r="L78" s="58">
        <f t="shared" si="32"/>
        <v>44463.541181633074</v>
      </c>
      <c r="N78" s="58">
        <f t="shared" si="28"/>
        <v>105337.43328520929</v>
      </c>
      <c r="O78" s="58">
        <f t="shared" si="29"/>
        <v>248162.37210698868</v>
      </c>
      <c r="P78" s="131">
        <f t="shared" si="33"/>
        <v>100.70789151238495</v>
      </c>
      <c r="Q78" s="30"/>
      <c r="S78" s="29"/>
      <c r="T78" s="29"/>
    </row>
    <row r="79" spans="1:20" ht="15">
      <c r="A79" s="1" t="s">
        <v>47</v>
      </c>
      <c r="C79" s="234">
        <v>558.41</v>
      </c>
      <c r="D79" s="234">
        <v>485.11</v>
      </c>
      <c r="E79" s="3">
        <f t="shared" si="30"/>
        <v>1043.52</v>
      </c>
      <c r="G79" s="3">
        <v>2454.05</v>
      </c>
      <c r="H79" s="29">
        <f t="shared" si="27"/>
        <v>3497.57</v>
      </c>
      <c r="I79" s="29"/>
      <c r="J79" s="58">
        <f t="shared" si="31"/>
        <v>55938.689211249824</v>
      </c>
      <c r="L79" s="58">
        <f t="shared" si="32"/>
        <v>48595.86598246701</v>
      </c>
      <c r="N79" s="58">
        <f t="shared" si="28"/>
        <v>104534.55519371683</v>
      </c>
      <c r="O79" s="58">
        <f t="shared" si="29"/>
        <v>245834.31575162988</v>
      </c>
      <c r="P79" s="131">
        <f t="shared" si="33"/>
        <v>100.17494172964278</v>
      </c>
      <c r="Q79" s="30"/>
      <c r="S79" s="230"/>
      <c r="T79" s="230"/>
    </row>
    <row r="80" spans="1:20" ht="15">
      <c r="A80" s="1" t="s">
        <v>48</v>
      </c>
      <c r="C80" s="234">
        <v>642.33</v>
      </c>
      <c r="D80" s="234">
        <v>484.36</v>
      </c>
      <c r="E80" s="3">
        <f t="shared" si="30"/>
        <v>1126.69</v>
      </c>
      <c r="G80" s="3">
        <v>2701.04</v>
      </c>
      <c r="H80" s="29">
        <f t="shared" si="27"/>
        <v>3827.73</v>
      </c>
      <c r="I80" s="29"/>
      <c r="J80" s="58">
        <f t="shared" si="31"/>
        <v>65191.5636421922</v>
      </c>
      <c r="L80" s="58">
        <f t="shared" si="32"/>
        <v>49158.82142470727</v>
      </c>
      <c r="N80" s="58">
        <f t="shared" si="28"/>
        <v>114350.38506689947</v>
      </c>
      <c r="O80" s="58">
        <f t="shared" si="29"/>
        <v>274134.82331528486</v>
      </c>
      <c r="P80" s="131">
        <f t="shared" si="33"/>
        <v>101.49232270358263</v>
      </c>
      <c r="Q80" s="30"/>
      <c r="S80" s="230"/>
      <c r="T80" s="230"/>
    </row>
    <row r="81" spans="1:20" ht="15">
      <c r="A81" s="1" t="s">
        <v>49</v>
      </c>
      <c r="C81" s="234">
        <v>618.36</v>
      </c>
      <c r="D81" s="234">
        <v>443.21</v>
      </c>
      <c r="E81" s="3">
        <f t="shared" si="30"/>
        <v>1061.57</v>
      </c>
      <c r="G81" s="3">
        <v>2471.47</v>
      </c>
      <c r="H81" s="29">
        <f t="shared" si="27"/>
        <v>3533.04</v>
      </c>
      <c r="I81" s="29"/>
      <c r="J81" s="58">
        <f t="shared" si="31"/>
        <v>63404.254687490626</v>
      </c>
      <c r="L81" s="58">
        <f t="shared" si="32"/>
        <v>45445.047739250134</v>
      </c>
      <c r="N81" s="58">
        <f t="shared" si="28"/>
        <v>108849.30242674076</v>
      </c>
      <c r="O81" s="58">
        <f t="shared" si="29"/>
        <v>253415.02253136117</v>
      </c>
      <c r="P81" s="131">
        <f t="shared" si="33"/>
        <v>102.5361515743105</v>
      </c>
      <c r="Q81" s="30"/>
      <c r="S81" s="230"/>
      <c r="T81" s="230"/>
    </row>
    <row r="82" spans="1:20" ht="15">
      <c r="A82" s="1" t="s">
        <v>8</v>
      </c>
      <c r="C82" s="234">
        <v>668.66</v>
      </c>
      <c r="D82" s="234">
        <v>459.94</v>
      </c>
      <c r="E82" s="3">
        <f t="shared" si="30"/>
        <v>1128.6</v>
      </c>
      <c r="F82" s="119"/>
      <c r="G82" s="3">
        <v>2553.7</v>
      </c>
      <c r="H82" s="118">
        <f t="shared" si="27"/>
        <v>3682.2999999999997</v>
      </c>
      <c r="I82" s="118"/>
      <c r="J82" s="58">
        <f t="shared" si="31"/>
        <v>68202.89498039293</v>
      </c>
      <c r="K82" s="119"/>
      <c r="L82" s="58">
        <f t="shared" si="32"/>
        <v>46913.587648852816</v>
      </c>
      <c r="M82" s="119"/>
      <c r="N82" s="58">
        <f t="shared" si="28"/>
        <v>115116.48262924574</v>
      </c>
      <c r="O82" s="58">
        <f t="shared" si="29"/>
        <v>260475.77679452844</v>
      </c>
      <c r="P82" s="131">
        <f t="shared" si="33"/>
        <v>101.99936437111974</v>
      </c>
      <c r="Q82" s="30"/>
      <c r="S82" s="230"/>
      <c r="T82" s="230"/>
    </row>
    <row r="83" spans="1:20" s="1" customFormat="1" ht="17.25">
      <c r="A83" s="1" t="s">
        <v>9</v>
      </c>
      <c r="C83" s="234">
        <v>658.22</v>
      </c>
      <c r="D83" s="234">
        <v>454.13</v>
      </c>
      <c r="E83" s="3">
        <f t="shared" si="30"/>
        <v>1112.35</v>
      </c>
      <c r="G83" s="3">
        <v>2583.07</v>
      </c>
      <c r="H83" s="118">
        <f t="shared" si="27"/>
        <v>3695.42</v>
      </c>
      <c r="I83" s="53"/>
      <c r="J83" s="58">
        <f t="shared" si="31"/>
        <v>62201.23116884983</v>
      </c>
      <c r="K83" s="24"/>
      <c r="L83" s="58">
        <f t="shared" si="32"/>
        <v>42914.89944199473</v>
      </c>
      <c r="N83" s="58">
        <f t="shared" si="28"/>
        <v>105116.13061084456</v>
      </c>
      <c r="O83" s="58">
        <f t="shared" si="29"/>
        <v>244097.9219642688</v>
      </c>
      <c r="P83" s="131">
        <f t="shared" si="33"/>
        <v>94.49915099639915</v>
      </c>
      <c r="Q83" s="30"/>
      <c r="S83" s="230"/>
      <c r="T83" s="230"/>
    </row>
    <row r="84" spans="1:20" s="1" customFormat="1" ht="17.25">
      <c r="A84" s="1" t="s">
        <v>10</v>
      </c>
      <c r="C84" s="234">
        <v>619.42</v>
      </c>
      <c r="D84" s="234">
        <v>411.7</v>
      </c>
      <c r="E84" s="3">
        <f t="shared" si="30"/>
        <v>1031.12</v>
      </c>
      <c r="G84" s="3">
        <v>2307.72</v>
      </c>
      <c r="H84" s="118">
        <f t="shared" si="27"/>
        <v>3338.8399999999997</v>
      </c>
      <c r="I84" s="53"/>
      <c r="J84" s="58">
        <f t="shared" si="31"/>
        <v>57969.08791187023</v>
      </c>
      <c r="K84" s="24"/>
      <c r="L84" s="58">
        <f t="shared" si="32"/>
        <v>38529.3879650592</v>
      </c>
      <c r="N84" s="58">
        <f t="shared" si="28"/>
        <v>96498.47587692943</v>
      </c>
      <c r="O84" s="58">
        <f t="shared" si="29"/>
        <v>215970.46197407437</v>
      </c>
      <c r="P84" s="131">
        <f t="shared" si="33"/>
        <v>93.58607715583969</v>
      </c>
      <c r="Q84" s="30"/>
      <c r="S84" s="230"/>
      <c r="T84" s="230"/>
    </row>
    <row r="85" spans="1:20" s="1" customFormat="1" ht="15">
      <c r="A85" s="1" t="s">
        <v>11</v>
      </c>
      <c r="C85" s="234">
        <v>799.03</v>
      </c>
      <c r="D85" s="234">
        <v>509.46</v>
      </c>
      <c r="E85" s="3">
        <f t="shared" si="30"/>
        <v>1308.49</v>
      </c>
      <c r="F85" s="135"/>
      <c r="G85" s="3">
        <v>2858.07</v>
      </c>
      <c r="H85" s="134">
        <f t="shared" si="27"/>
        <v>4166.56</v>
      </c>
      <c r="I85" s="134"/>
      <c r="J85" s="114">
        <f t="shared" si="31"/>
        <v>73057.8904214978</v>
      </c>
      <c r="K85" s="135"/>
      <c r="L85" s="114">
        <f t="shared" si="32"/>
        <v>46581.571222777944</v>
      </c>
      <c r="M85" s="135"/>
      <c r="N85" s="114">
        <f t="shared" si="28"/>
        <v>119639.46164427574</v>
      </c>
      <c r="O85" s="114">
        <f t="shared" si="29"/>
        <v>261322.55969984885</v>
      </c>
      <c r="P85" s="131">
        <f t="shared" si="33"/>
        <v>91.43322581317071</v>
      </c>
      <c r="Q85" s="30"/>
      <c r="S85" s="230"/>
      <c r="T85" s="230"/>
    </row>
    <row r="86" spans="1:20" s="1" customFormat="1" ht="17.25">
      <c r="A86" s="1" t="s">
        <v>12</v>
      </c>
      <c r="C86" s="234">
        <v>699.11</v>
      </c>
      <c r="D86" s="234">
        <v>499.83</v>
      </c>
      <c r="E86" s="3">
        <f t="shared" si="30"/>
        <v>1198.94</v>
      </c>
      <c r="G86" s="3">
        <v>2832.31</v>
      </c>
      <c r="H86" s="134">
        <f t="shared" si="27"/>
        <v>4031.25</v>
      </c>
      <c r="I86" s="53"/>
      <c r="J86" s="114">
        <f aca="true" t="shared" si="34" ref="J86:J93">+C86/E86*N86</f>
        <v>61065.1330332735</v>
      </c>
      <c r="K86" s="135"/>
      <c r="L86" s="114">
        <f aca="true" t="shared" si="35" ref="L86:L93">+N86-J86</f>
        <v>43658.63089359484</v>
      </c>
      <c r="M86" s="135"/>
      <c r="N86" s="114">
        <f t="shared" si="28"/>
        <v>104723.76392686834</v>
      </c>
      <c r="O86" s="114">
        <f t="shared" si="29"/>
        <v>251842.86516243557</v>
      </c>
      <c r="P86" s="131">
        <f t="shared" si="33"/>
        <v>88.4506366733157</v>
      </c>
      <c r="Q86" s="117"/>
      <c r="S86" s="230"/>
      <c r="T86" s="230"/>
    </row>
    <row r="87" spans="1:20" s="1" customFormat="1" ht="17.25">
      <c r="A87" s="1" t="s">
        <v>13</v>
      </c>
      <c r="C87" s="234">
        <v>565.55</v>
      </c>
      <c r="D87" s="234">
        <v>397.31</v>
      </c>
      <c r="E87" s="3">
        <f t="shared" si="30"/>
        <v>962.8599999999999</v>
      </c>
      <c r="G87" s="3">
        <v>2259.38</v>
      </c>
      <c r="H87" s="134">
        <f t="shared" si="27"/>
        <v>3222.24</v>
      </c>
      <c r="I87" s="53"/>
      <c r="J87" s="114">
        <f t="shared" si="34"/>
        <v>40335.31567206471</v>
      </c>
      <c r="K87" s="135"/>
      <c r="L87" s="114">
        <f t="shared" si="35"/>
        <v>28336.352700323623</v>
      </c>
      <c r="M87" s="135"/>
      <c r="N87" s="114">
        <f t="shared" si="28"/>
        <v>68671.66837238833</v>
      </c>
      <c r="O87" s="114">
        <f t="shared" si="29"/>
        <v>199196.84048766998</v>
      </c>
      <c r="P87" s="131">
        <f t="shared" si="33"/>
        <v>83.13114754334201</v>
      </c>
      <c r="Q87" s="117"/>
      <c r="S87" s="230"/>
      <c r="T87" s="230"/>
    </row>
    <row r="88" spans="1:20" s="1" customFormat="1" ht="15">
      <c r="A88" s="1" t="s">
        <v>14</v>
      </c>
      <c r="C88" s="234">
        <v>626.64</v>
      </c>
      <c r="D88" s="234">
        <v>453.51</v>
      </c>
      <c r="E88" s="3">
        <f t="shared" si="30"/>
        <v>1080.15</v>
      </c>
      <c r="F88" s="231"/>
      <c r="G88" s="3">
        <v>2463.52</v>
      </c>
      <c r="H88" s="230">
        <f t="shared" si="27"/>
        <v>3543.67</v>
      </c>
      <c r="I88" s="230"/>
      <c r="J88" s="219">
        <f t="shared" si="34"/>
        <v>47366.766487107336</v>
      </c>
      <c r="K88" s="231"/>
      <c r="L88" s="219">
        <f t="shared" si="35"/>
        <v>34280.132563462364</v>
      </c>
      <c r="M88" s="231"/>
      <c r="N88" s="219">
        <f t="shared" si="28"/>
        <v>81646.8990505697</v>
      </c>
      <c r="O88" s="219">
        <f t="shared" si="29"/>
        <v>172039.16891725917</v>
      </c>
      <c r="P88" s="131">
        <f t="shared" si="33"/>
        <v>71.58851359405048</v>
      </c>
      <c r="Q88" s="133"/>
      <c r="S88" s="230"/>
      <c r="T88" s="230"/>
    </row>
    <row r="89" spans="1:20" s="1" customFormat="1" ht="15">
      <c r="A89" s="1" t="s">
        <v>15</v>
      </c>
      <c r="C89" s="234">
        <v>623.68</v>
      </c>
      <c r="D89" s="234">
        <v>463.84</v>
      </c>
      <c r="E89" s="3">
        <f t="shared" si="30"/>
        <v>1087.52</v>
      </c>
      <c r="F89" s="231"/>
      <c r="G89" s="3">
        <v>2519.11</v>
      </c>
      <c r="H89" s="230">
        <f t="shared" si="27"/>
        <v>3606.63</v>
      </c>
      <c r="I89" s="230"/>
      <c r="J89" s="219">
        <f t="shared" si="34"/>
        <v>44338.910916036984</v>
      </c>
      <c r="K89" s="231"/>
      <c r="L89" s="219">
        <f t="shared" si="35"/>
        <v>32975.50096090078</v>
      </c>
      <c r="M89" s="231"/>
      <c r="N89" s="219">
        <f t="shared" si="28"/>
        <v>77314.41187693777</v>
      </c>
      <c r="O89" s="219">
        <f t="shared" si="29"/>
        <v>175769.4243257581</v>
      </c>
      <c r="P89" s="131">
        <f t="shared" si="33"/>
        <v>70.17183248702968</v>
      </c>
      <c r="Q89" s="133"/>
      <c r="R89" s="231"/>
      <c r="S89" s="230"/>
      <c r="T89" s="230"/>
    </row>
    <row r="90" spans="1:20" s="1" customFormat="1" ht="15">
      <c r="A90" s="1" t="s">
        <v>16</v>
      </c>
      <c r="C90" s="234">
        <v>612.61</v>
      </c>
      <c r="D90" s="234">
        <v>408.36</v>
      </c>
      <c r="E90" s="3">
        <f t="shared" si="30"/>
        <v>1020.97</v>
      </c>
      <c r="F90" s="231"/>
      <c r="G90" s="3">
        <v>2479.18</v>
      </c>
      <c r="H90" s="230">
        <f t="shared" si="27"/>
        <v>3500.1499999999996</v>
      </c>
      <c r="I90" s="230"/>
      <c r="J90" s="219">
        <f t="shared" si="34"/>
        <v>49955.46920522164</v>
      </c>
      <c r="K90" s="231"/>
      <c r="L90" s="219">
        <f t="shared" si="35"/>
        <v>33299.84068925468</v>
      </c>
      <c r="M90" s="231"/>
      <c r="N90" s="219">
        <f t="shared" si="28"/>
        <v>83255.30989447632</v>
      </c>
      <c r="O90" s="219">
        <f t="shared" si="29"/>
        <v>208557.37318212236</v>
      </c>
      <c r="P90" s="131">
        <f t="shared" si="33"/>
        <v>83.37147924420346</v>
      </c>
      <c r="Q90" s="133"/>
      <c r="R90" s="231"/>
      <c r="S90" s="230"/>
      <c r="T90" s="230"/>
    </row>
    <row r="91" spans="1:20" s="1" customFormat="1" ht="15">
      <c r="A91" s="1" t="s">
        <v>47</v>
      </c>
      <c r="C91" s="234">
        <v>657.03</v>
      </c>
      <c r="D91" s="234">
        <v>448.91</v>
      </c>
      <c r="E91" s="3">
        <f t="shared" si="30"/>
        <v>1105.94</v>
      </c>
      <c r="F91" s="231"/>
      <c r="G91" s="3">
        <v>2670.15</v>
      </c>
      <c r="H91" s="230">
        <f t="shared" si="27"/>
        <v>3776.09</v>
      </c>
      <c r="I91" s="230"/>
      <c r="J91" s="219">
        <f t="shared" si="34"/>
        <v>50853.783115303835</v>
      </c>
      <c r="K91" s="231"/>
      <c r="L91" s="219">
        <f t="shared" si="35"/>
        <v>34745.402459995814</v>
      </c>
      <c r="M91" s="231"/>
      <c r="N91" s="219">
        <f t="shared" si="28"/>
        <v>85599.18557529965</v>
      </c>
      <c r="O91" s="219">
        <f t="shared" si="29"/>
        <v>188108.7255304178</v>
      </c>
      <c r="P91" s="131">
        <f t="shared" si="33"/>
        <v>72.4844776225454</v>
      </c>
      <c r="Q91" s="133"/>
      <c r="R91" s="231"/>
      <c r="S91" s="230"/>
      <c r="T91" s="230"/>
    </row>
    <row r="92" spans="1:20" s="1" customFormat="1" ht="15">
      <c r="A92" s="1" t="s">
        <v>48</v>
      </c>
      <c r="C92" s="234">
        <v>728.46</v>
      </c>
      <c r="D92" s="234">
        <v>513.24</v>
      </c>
      <c r="E92" s="3">
        <f t="shared" si="30"/>
        <v>1241.7</v>
      </c>
      <c r="F92" s="231"/>
      <c r="G92" s="3">
        <v>2705.01</v>
      </c>
      <c r="H92" s="230">
        <f t="shared" si="27"/>
        <v>3946.71</v>
      </c>
      <c r="I92" s="230"/>
      <c r="J92" s="226">
        <f t="shared" si="34"/>
        <v>62372.486201689186</v>
      </c>
      <c r="K92" s="231"/>
      <c r="L92" s="226">
        <f t="shared" si="35"/>
        <v>43944.83543112177</v>
      </c>
      <c r="M92" s="231"/>
      <c r="N92" s="226">
        <f t="shared" si="28"/>
        <v>106317.32163281096</v>
      </c>
      <c r="O92" s="226">
        <f t="shared" si="29"/>
        <v>227949.88508249895</v>
      </c>
      <c r="P92" s="227">
        <f t="shared" si="33"/>
        <v>84.69515285270766</v>
      </c>
      <c r="Q92" s="133"/>
      <c r="R92" s="231"/>
      <c r="S92" s="230"/>
      <c r="T92" s="230"/>
    </row>
    <row r="93" spans="1:20" s="1" customFormat="1" ht="15">
      <c r="A93" s="1" t="s">
        <v>49</v>
      </c>
      <c r="C93" s="234">
        <v>620.62</v>
      </c>
      <c r="D93" s="234">
        <v>453.12</v>
      </c>
      <c r="E93" s="3">
        <f t="shared" si="30"/>
        <v>1073.74</v>
      </c>
      <c r="F93" s="231"/>
      <c r="G93" s="3">
        <v>2577.4</v>
      </c>
      <c r="H93" s="230">
        <f t="shared" si="27"/>
        <v>3651.1400000000003</v>
      </c>
      <c r="I93" s="230"/>
      <c r="J93" s="226">
        <f t="shared" si="34"/>
        <v>41914.7655412576</v>
      </c>
      <c r="K93" s="231"/>
      <c r="L93" s="226">
        <f t="shared" si="35"/>
        <v>30602.330833770495</v>
      </c>
      <c r="M93" s="231"/>
      <c r="N93" s="226">
        <f t="shared" si="28"/>
        <v>72517.0963750281</v>
      </c>
      <c r="O93" s="226">
        <f t="shared" si="29"/>
        <v>188741.25317052155</v>
      </c>
      <c r="P93" s="227">
        <f t="shared" si="33"/>
        <v>71.55528123970859</v>
      </c>
      <c r="Q93" s="133"/>
      <c r="R93" s="231"/>
      <c r="S93" s="230"/>
      <c r="T93" s="230"/>
    </row>
    <row r="94" spans="1:20" s="81" customFormat="1" ht="17.25">
      <c r="A94" s="484" t="s">
        <v>8</v>
      </c>
      <c r="C94" s="243">
        <v>676.36</v>
      </c>
      <c r="D94" s="243">
        <v>465.31</v>
      </c>
      <c r="E94" s="16">
        <f t="shared" si="30"/>
        <v>1141.67</v>
      </c>
      <c r="G94" s="16">
        <v>2660.78</v>
      </c>
      <c r="H94" s="53">
        <f t="shared" si="27"/>
        <v>3802.4500000000003</v>
      </c>
      <c r="I94" s="241"/>
      <c r="J94" s="21">
        <f>+C94/E94*N94</f>
        <v>48925.3696258176</v>
      </c>
      <c r="K94" s="24"/>
      <c r="L94" s="21">
        <f>+N94-J94</f>
        <v>33658.79670676738</v>
      </c>
      <c r="M94" s="24"/>
      <c r="N94" s="21">
        <f>+E94/C30*G30</f>
        <v>82584.16633258498</v>
      </c>
      <c r="O94" s="21">
        <f>+G94/D30*H30</f>
        <v>182151.90612697738</v>
      </c>
      <c r="P94" s="103">
        <f>(O94+N94)/H94</f>
        <v>69.62249929902097</v>
      </c>
      <c r="Q94" s="242"/>
      <c r="S94" s="459"/>
      <c r="T94" s="459"/>
    </row>
    <row r="95" spans="3:17" ht="17.25">
      <c r="C95" s="12">
        <f>SUM(C71:C94)</f>
        <v>15676.880000000003</v>
      </c>
      <c r="D95" s="12">
        <f aca="true" t="shared" si="36" ref="D95:O95">SUM(D71:D94)</f>
        <v>10955.160000000002</v>
      </c>
      <c r="E95" s="12">
        <f t="shared" si="36"/>
        <v>26632.040000000008</v>
      </c>
      <c r="F95" s="12"/>
      <c r="G95" s="12">
        <f t="shared" si="36"/>
        <v>60901.81</v>
      </c>
      <c r="H95" s="12">
        <f t="shared" si="36"/>
        <v>87533.84999999999</v>
      </c>
      <c r="I95" s="12"/>
      <c r="J95" s="18">
        <f t="shared" si="36"/>
        <v>1410200.2748732162</v>
      </c>
      <c r="K95" s="18"/>
      <c r="L95" s="18">
        <f t="shared" si="36"/>
        <v>985409.3211346352</v>
      </c>
      <c r="M95" s="18"/>
      <c r="N95" s="18">
        <f t="shared" si="36"/>
        <v>2395609.5960078514</v>
      </c>
      <c r="O95" s="18">
        <f t="shared" si="36"/>
        <v>5482512.294650383</v>
      </c>
      <c r="P95" s="79">
        <f>(O95+N95)/H95</f>
        <v>90.00086127433256</v>
      </c>
      <c r="Q95" s="18"/>
    </row>
    <row r="96" spans="2:17" ht="15">
      <c r="B96" s="110" t="s">
        <v>85</v>
      </c>
      <c r="E96" s="86">
        <f>+E95/C59</f>
        <v>0.932088077851217</v>
      </c>
      <c r="G96" s="86">
        <f>+G95/D59</f>
        <v>0.9335586581619802</v>
      </c>
      <c r="H96" s="86">
        <f>+H95/E59</f>
        <v>0.9331107454494593</v>
      </c>
      <c r="I96" s="86"/>
      <c r="N96" s="86">
        <f>+N95/G59</f>
        <v>0.9323288952117565</v>
      </c>
      <c r="O96" s="86">
        <f>+O95/H59</f>
        <v>0.9337776848836205</v>
      </c>
      <c r="Q96" s="86"/>
    </row>
    <row r="97" spans="14:15" ht="15">
      <c r="N97"/>
      <c r="O97"/>
    </row>
    <row r="98" s="1" customFormat="1" ht="15"/>
    <row r="99" spans="1:15" ht="15">
      <c r="A99" s="17" t="s">
        <v>84</v>
      </c>
      <c r="N99"/>
      <c r="O99"/>
    </row>
    <row r="100" spans="1:17" ht="15">
      <c r="A100" s="1" t="s">
        <v>9</v>
      </c>
      <c r="C100" s="112">
        <v>33.58</v>
      </c>
      <c r="D100" s="234">
        <v>52.64</v>
      </c>
      <c r="E100" s="3">
        <f>+D100+C100</f>
        <v>86.22</v>
      </c>
      <c r="G100" s="3">
        <f aca="true" t="shared" si="37" ref="G100:G122">+D35-G71</f>
        <v>165.96000000000004</v>
      </c>
      <c r="H100" s="3">
        <f aca="true" t="shared" si="38" ref="H100:H111">+G100+E100</f>
        <v>252.18000000000004</v>
      </c>
      <c r="I100" s="3"/>
      <c r="J100" s="58">
        <f>+C100/E100*N100</f>
        <v>3283.3848367382716</v>
      </c>
      <c r="K100" s="1"/>
      <c r="L100" s="58">
        <f>+N100-J100</f>
        <v>5147.03328784701</v>
      </c>
      <c r="N100" s="226">
        <f aca="true" t="shared" si="39" ref="N100:N122">+G35-N71</f>
        <v>8430.418124585281</v>
      </c>
      <c r="O100" s="226">
        <f aca="true" t="shared" si="40" ref="O100:O122">+H35-O71</f>
        <v>16227.234886988823</v>
      </c>
      <c r="P100" s="131">
        <f aca="true" t="shared" si="41" ref="P100:P122">(O100+N100)/H100</f>
        <v>97.77798799101475</v>
      </c>
      <c r="Q100" s="77"/>
    </row>
    <row r="101" spans="1:17" ht="15">
      <c r="A101" s="1" t="s">
        <v>10</v>
      </c>
      <c r="C101" s="234">
        <v>31.54</v>
      </c>
      <c r="D101" s="234">
        <v>47.82</v>
      </c>
      <c r="E101" s="3">
        <f aca="true" t="shared" si="42" ref="E101:E123">+D101+C101</f>
        <v>79.36</v>
      </c>
      <c r="G101" s="3">
        <f t="shared" si="37"/>
        <v>155.29999999999973</v>
      </c>
      <c r="H101" s="3">
        <f t="shared" si="38"/>
        <v>234.65999999999974</v>
      </c>
      <c r="I101" s="3"/>
      <c r="J101" s="58">
        <f aca="true" t="shared" si="43" ref="J101:J111">+C101/E101*N101</f>
        <v>3218.4096471128714</v>
      </c>
      <c r="K101" s="1"/>
      <c r="L101" s="58">
        <f aca="true" t="shared" si="44" ref="L101:L111">+N101-J101</f>
        <v>4879.655970987239</v>
      </c>
      <c r="N101" s="226">
        <f t="shared" si="39"/>
        <v>8098.06561810011</v>
      </c>
      <c r="O101" s="226">
        <f t="shared" si="40"/>
        <v>15847.147057597642</v>
      </c>
      <c r="P101" s="131">
        <f t="shared" si="41"/>
        <v>102.04215748614071</v>
      </c>
      <c r="Q101" s="77"/>
    </row>
    <row r="102" spans="1:17" ht="15">
      <c r="A102" s="1" t="s">
        <v>11</v>
      </c>
      <c r="C102" s="234">
        <v>37.76</v>
      </c>
      <c r="D102" s="234">
        <v>43.95</v>
      </c>
      <c r="E102" s="3">
        <f t="shared" si="42"/>
        <v>81.71000000000001</v>
      </c>
      <c r="G102" s="3">
        <f t="shared" si="37"/>
        <v>164.82999999999993</v>
      </c>
      <c r="H102" s="3">
        <f t="shared" si="38"/>
        <v>246.53999999999994</v>
      </c>
      <c r="I102" s="3"/>
      <c r="J102" s="58">
        <f t="shared" si="43"/>
        <v>3503.94949574028</v>
      </c>
      <c r="K102" s="1"/>
      <c r="L102" s="58">
        <f t="shared" si="44"/>
        <v>4078.352233521857</v>
      </c>
      <c r="N102" s="226">
        <f t="shared" si="39"/>
        <v>7582.301729262137</v>
      </c>
      <c r="O102" s="226">
        <f t="shared" si="40"/>
        <v>15295.444792978553</v>
      </c>
      <c r="P102" s="131">
        <f t="shared" si="41"/>
        <v>92.79527266261336</v>
      </c>
      <c r="Q102" s="77"/>
    </row>
    <row r="103" spans="1:17" ht="15">
      <c r="A103" s="1" t="s">
        <v>12</v>
      </c>
      <c r="C103" s="234">
        <v>36.96</v>
      </c>
      <c r="D103" s="234">
        <v>53.55</v>
      </c>
      <c r="E103" s="3">
        <f t="shared" si="42"/>
        <v>90.50999999999999</v>
      </c>
      <c r="G103" s="3">
        <f t="shared" si="37"/>
        <v>172.19000000000005</v>
      </c>
      <c r="H103" s="29">
        <f t="shared" si="38"/>
        <v>262.70000000000005</v>
      </c>
      <c r="I103" s="29"/>
      <c r="J103" s="58">
        <f t="shared" si="43"/>
        <v>3554.7821839329067</v>
      </c>
      <c r="K103" s="1"/>
      <c r="L103" s="58">
        <f t="shared" si="44"/>
        <v>5150.3946414937</v>
      </c>
      <c r="N103" s="226">
        <f t="shared" si="39"/>
        <v>8705.176825426606</v>
      </c>
      <c r="O103" s="226">
        <f t="shared" si="40"/>
        <v>16561.091565243783</v>
      </c>
      <c r="P103" s="131">
        <f t="shared" si="41"/>
        <v>96.17917164320664</v>
      </c>
      <c r="Q103" s="108"/>
    </row>
    <row r="104" spans="1:17" ht="15">
      <c r="A104" s="1" t="s">
        <v>13</v>
      </c>
      <c r="C104" s="234">
        <v>25.77</v>
      </c>
      <c r="D104" s="234">
        <v>44.16</v>
      </c>
      <c r="E104" s="3">
        <f t="shared" si="42"/>
        <v>69.92999999999999</v>
      </c>
      <c r="G104" s="3">
        <f t="shared" si="37"/>
        <v>152.10999999999967</v>
      </c>
      <c r="H104" s="29">
        <f t="shared" si="38"/>
        <v>222.03999999999968</v>
      </c>
      <c r="I104" s="29"/>
      <c r="J104" s="58">
        <f t="shared" si="43"/>
        <v>2538.2157772177457</v>
      </c>
      <c r="K104" s="1"/>
      <c r="L104" s="58">
        <f t="shared" si="44"/>
        <v>4349.53856119269</v>
      </c>
      <c r="N104" s="226">
        <f t="shared" si="39"/>
        <v>6887.754338410436</v>
      </c>
      <c r="O104" s="226">
        <f t="shared" si="40"/>
        <v>14982.072249615507</v>
      </c>
      <c r="P104" s="131">
        <f t="shared" si="41"/>
        <v>98.49498553425497</v>
      </c>
      <c r="Q104" s="108"/>
    </row>
    <row r="105" spans="1:17" ht="15">
      <c r="A105" s="1" t="s">
        <v>14</v>
      </c>
      <c r="C105" s="234">
        <v>24.22</v>
      </c>
      <c r="D105" s="234">
        <v>48.11</v>
      </c>
      <c r="E105" s="3">
        <f t="shared" si="42"/>
        <v>72.33</v>
      </c>
      <c r="G105" s="3">
        <f t="shared" si="37"/>
        <v>178.86000000000013</v>
      </c>
      <c r="H105" s="29">
        <f t="shared" si="38"/>
        <v>251.1900000000001</v>
      </c>
      <c r="I105" s="29"/>
      <c r="J105" s="58">
        <f t="shared" si="43"/>
        <v>2380.1653484870767</v>
      </c>
      <c r="K105" s="1"/>
      <c r="L105" s="58">
        <f t="shared" si="44"/>
        <v>4727.900698419209</v>
      </c>
      <c r="N105" s="226">
        <f t="shared" si="39"/>
        <v>7108.066046906286</v>
      </c>
      <c r="O105" s="226">
        <f t="shared" si="40"/>
        <v>17577.059216779482</v>
      </c>
      <c r="P105" s="131">
        <f t="shared" si="41"/>
        <v>98.27272289376869</v>
      </c>
      <c r="Q105" s="108"/>
    </row>
    <row r="106" spans="1:17" ht="15">
      <c r="A106" s="1" t="s">
        <v>15</v>
      </c>
      <c r="C106" s="234">
        <v>25.14</v>
      </c>
      <c r="D106" s="234">
        <v>51.05</v>
      </c>
      <c r="E106" s="3">
        <f t="shared" si="42"/>
        <v>76.19</v>
      </c>
      <c r="G106" s="3">
        <f t="shared" si="37"/>
        <v>171.01999999999998</v>
      </c>
      <c r="H106" s="29">
        <f t="shared" si="38"/>
        <v>247.20999999999998</v>
      </c>
      <c r="I106" s="29"/>
      <c r="J106" s="58">
        <f t="shared" si="43"/>
        <v>2401.2724822212913</v>
      </c>
      <c r="K106" s="1"/>
      <c r="L106" s="58">
        <f t="shared" si="44"/>
        <v>4876.092291861452</v>
      </c>
      <c r="N106" s="226">
        <f t="shared" si="39"/>
        <v>7277.364774082744</v>
      </c>
      <c r="O106" s="226">
        <f t="shared" si="40"/>
        <v>16335.147967759956</v>
      </c>
      <c r="P106" s="131">
        <f t="shared" si="41"/>
        <v>95.51600963489625</v>
      </c>
      <c r="Q106" s="108"/>
    </row>
    <row r="107" spans="1:17" ht="15">
      <c r="A107" s="1" t="s">
        <v>16</v>
      </c>
      <c r="C107" s="234">
        <v>23.67</v>
      </c>
      <c r="D107" s="234">
        <v>43.36</v>
      </c>
      <c r="E107" s="3">
        <f t="shared" si="42"/>
        <v>67.03</v>
      </c>
      <c r="G107" s="3">
        <f t="shared" si="37"/>
        <v>175.08000000000038</v>
      </c>
      <c r="H107" s="29">
        <f t="shared" si="38"/>
        <v>242.11000000000038</v>
      </c>
      <c r="I107" s="29"/>
      <c r="J107" s="58">
        <f t="shared" si="43"/>
        <v>2383.7557920981512</v>
      </c>
      <c r="K107" s="1"/>
      <c r="L107" s="58">
        <f t="shared" si="44"/>
        <v>4366.694175977011</v>
      </c>
      <c r="N107" s="226">
        <f t="shared" si="39"/>
        <v>6750.449968075161</v>
      </c>
      <c r="O107" s="226">
        <f t="shared" si="40"/>
        <v>17631.937645988364</v>
      </c>
      <c r="P107" s="131">
        <f t="shared" si="41"/>
        <v>100.70789151238482</v>
      </c>
      <c r="Q107" s="108"/>
    </row>
    <row r="108" spans="1:17" ht="15">
      <c r="A108" s="1" t="s">
        <v>47</v>
      </c>
      <c r="C108" s="234">
        <v>31.02</v>
      </c>
      <c r="D108" s="234">
        <v>41.81</v>
      </c>
      <c r="E108" s="3">
        <f t="shared" si="42"/>
        <v>72.83</v>
      </c>
      <c r="G108" s="3">
        <f t="shared" si="37"/>
        <v>184.57999999999993</v>
      </c>
      <c r="H108" s="29">
        <f t="shared" si="38"/>
        <v>257.4099999999999</v>
      </c>
      <c r="I108" s="29"/>
      <c r="J108" s="58">
        <f t="shared" si="43"/>
        <v>3107.4266924535154</v>
      </c>
      <c r="K108" s="1"/>
      <c r="L108" s="58">
        <f t="shared" si="44"/>
        <v>4188.314313716361</v>
      </c>
      <c r="N108" s="226">
        <f t="shared" si="39"/>
        <v>7295.741006169876</v>
      </c>
      <c r="O108" s="226">
        <f t="shared" si="40"/>
        <v>18490.29074445751</v>
      </c>
      <c r="P108" s="131">
        <f t="shared" si="41"/>
        <v>100.17494172964297</v>
      </c>
      <c r="Q108" s="108"/>
    </row>
    <row r="109" spans="1:17" ht="15">
      <c r="A109" s="1" t="s">
        <v>48</v>
      </c>
      <c r="C109" s="234">
        <v>27.34</v>
      </c>
      <c r="D109" s="234">
        <v>47</v>
      </c>
      <c r="E109" s="3">
        <f t="shared" si="42"/>
        <v>74.34</v>
      </c>
      <c r="G109" s="3">
        <f t="shared" si="37"/>
        <v>178.76999999999998</v>
      </c>
      <c r="H109" s="29">
        <f t="shared" si="38"/>
        <v>253.10999999999999</v>
      </c>
      <c r="I109" s="29"/>
      <c r="J109" s="58">
        <f t="shared" si="43"/>
        <v>2774.800102715942</v>
      </c>
      <c r="K109" s="1"/>
      <c r="L109" s="58">
        <f t="shared" si="44"/>
        <v>4770.1391670683715</v>
      </c>
      <c r="N109" s="226">
        <f t="shared" si="39"/>
        <v>7544.939269784314</v>
      </c>
      <c r="O109" s="226">
        <f t="shared" si="40"/>
        <v>18143.782529719407</v>
      </c>
      <c r="P109" s="131">
        <f t="shared" si="41"/>
        <v>101.49232270358233</v>
      </c>
      <c r="Q109" s="108"/>
    </row>
    <row r="110" spans="1:17" ht="15">
      <c r="A110" s="1" t="s">
        <v>49</v>
      </c>
      <c r="C110" s="234">
        <v>25.83</v>
      </c>
      <c r="D110" s="234">
        <v>50.93</v>
      </c>
      <c r="E110" s="3">
        <f t="shared" si="42"/>
        <v>76.75999999999999</v>
      </c>
      <c r="G110" s="3">
        <f t="shared" si="37"/>
        <v>161.61000000000013</v>
      </c>
      <c r="H110" s="29">
        <f t="shared" si="38"/>
        <v>238.37000000000012</v>
      </c>
      <c r="I110" s="29"/>
      <c r="J110" s="58">
        <f t="shared" si="43"/>
        <v>2648.5087951644437</v>
      </c>
      <c r="K110" s="1"/>
      <c r="L110" s="58">
        <f t="shared" si="44"/>
        <v>5222.166199679641</v>
      </c>
      <c r="N110" s="226">
        <f t="shared" si="39"/>
        <v>7870.674994844085</v>
      </c>
      <c r="O110" s="226">
        <f t="shared" si="40"/>
        <v>16570.867455924308</v>
      </c>
      <c r="P110" s="131">
        <f t="shared" si="41"/>
        <v>102.53615157431045</v>
      </c>
      <c r="Q110" s="108"/>
    </row>
    <row r="111" spans="1:17" ht="15">
      <c r="A111" s="1" t="s">
        <v>8</v>
      </c>
      <c r="C111" s="234">
        <v>25.91</v>
      </c>
      <c r="D111" s="234">
        <v>50.58</v>
      </c>
      <c r="E111" s="3">
        <f t="shared" si="42"/>
        <v>76.49</v>
      </c>
      <c r="F111" s="119"/>
      <c r="G111" s="120">
        <f t="shared" si="37"/>
        <v>180</v>
      </c>
      <c r="H111" s="118">
        <f t="shared" si="38"/>
        <v>256.49</v>
      </c>
      <c r="I111" s="118"/>
      <c r="J111" s="58">
        <f t="shared" si="43"/>
        <v>2642.803530855711</v>
      </c>
      <c r="K111" s="119"/>
      <c r="L111" s="58">
        <f t="shared" si="44"/>
        <v>5159.127849891233</v>
      </c>
      <c r="M111" s="119"/>
      <c r="N111" s="226">
        <f t="shared" si="39"/>
        <v>7801.931380746944</v>
      </c>
      <c r="O111" s="226">
        <f t="shared" si="40"/>
        <v>18359.885586801596</v>
      </c>
      <c r="P111" s="131">
        <f t="shared" si="41"/>
        <v>101.99936437111988</v>
      </c>
      <c r="Q111" s="108"/>
    </row>
    <row r="112" spans="1:17" s="1" customFormat="1" ht="15">
      <c r="A112" s="1" t="s">
        <v>9</v>
      </c>
      <c r="C112" s="234">
        <v>29.9</v>
      </c>
      <c r="D112" s="234">
        <v>57.51</v>
      </c>
      <c r="E112" s="3">
        <f t="shared" si="42"/>
        <v>87.41</v>
      </c>
      <c r="G112" s="120">
        <f t="shared" si="37"/>
        <v>192.19000000000005</v>
      </c>
      <c r="H112" s="118">
        <f aca="true" t="shared" si="45" ref="H112:H122">+G112+E112</f>
        <v>279.6</v>
      </c>
      <c r="I112" s="118"/>
      <c r="J112" s="58">
        <f aca="true" t="shared" si="46" ref="J112:J122">+C112/E112*N112</f>
        <v>2825.5246147923394</v>
      </c>
      <c r="K112" s="119"/>
      <c r="L112" s="58">
        <f aca="true" t="shared" si="47" ref="L112:L122">+N112-J112</f>
        <v>5434.646173802925</v>
      </c>
      <c r="N112" s="226">
        <f t="shared" si="39"/>
        <v>8260.170788595264</v>
      </c>
      <c r="O112" s="226">
        <f t="shared" si="40"/>
        <v>18161.791829997936</v>
      </c>
      <c r="P112" s="131">
        <f t="shared" si="41"/>
        <v>94.49915099639914</v>
      </c>
      <c r="Q112" s="108"/>
    </row>
    <row r="113" spans="1:17" s="1" customFormat="1" ht="15">
      <c r="A113" s="1" t="s">
        <v>10</v>
      </c>
      <c r="C113" s="234">
        <v>26.31</v>
      </c>
      <c r="D113" s="234">
        <v>46.7</v>
      </c>
      <c r="E113" s="3">
        <f t="shared" si="42"/>
        <v>73.01</v>
      </c>
      <c r="G113" s="120">
        <f t="shared" si="37"/>
        <v>178.83000000000038</v>
      </c>
      <c r="H113" s="118">
        <f t="shared" si="45"/>
        <v>251.84000000000037</v>
      </c>
      <c r="I113" s="118"/>
      <c r="J113" s="58">
        <f t="shared" si="46"/>
        <v>2462.2496899701537</v>
      </c>
      <c r="K113" s="119"/>
      <c r="L113" s="58">
        <f t="shared" si="47"/>
        <v>4370.469803177734</v>
      </c>
      <c r="N113" s="226">
        <f t="shared" si="39"/>
        <v>6832.719493147888</v>
      </c>
      <c r="O113" s="226">
        <f t="shared" si="40"/>
        <v>16735.99817777882</v>
      </c>
      <c r="P113" s="131">
        <f t="shared" si="41"/>
        <v>93.58607715583972</v>
      </c>
      <c r="Q113" s="108"/>
    </row>
    <row r="114" spans="1:17" s="1" customFormat="1" ht="15">
      <c r="A114" s="1" t="s">
        <v>11</v>
      </c>
      <c r="C114" s="234">
        <v>44.88</v>
      </c>
      <c r="D114" s="234">
        <v>66.36</v>
      </c>
      <c r="E114" s="3">
        <f t="shared" si="42"/>
        <v>111.24000000000001</v>
      </c>
      <c r="F114" s="135"/>
      <c r="G114" s="136">
        <f t="shared" si="37"/>
        <v>220.5999999999999</v>
      </c>
      <c r="H114" s="134">
        <f t="shared" si="45"/>
        <v>331.8399999999999</v>
      </c>
      <c r="I114" s="134"/>
      <c r="J114" s="114">
        <f t="shared" si="46"/>
        <v>4103.523174495104</v>
      </c>
      <c r="K114" s="135"/>
      <c r="L114" s="114">
        <f t="shared" si="47"/>
        <v>6067.508864962013</v>
      </c>
      <c r="M114" s="135"/>
      <c r="N114" s="226">
        <f t="shared" si="39"/>
        <v>10171.032039457117</v>
      </c>
      <c r="O114" s="226">
        <f t="shared" si="40"/>
        <v>20170.169614385435</v>
      </c>
      <c r="P114" s="131">
        <f t="shared" si="41"/>
        <v>91.43322581317068</v>
      </c>
      <c r="Q114" s="108"/>
    </row>
    <row r="115" spans="1:17" s="1" customFormat="1" ht="15">
      <c r="A115" s="1" t="s">
        <v>12</v>
      </c>
      <c r="C115" s="234">
        <v>34.16</v>
      </c>
      <c r="D115" s="234">
        <v>54.61</v>
      </c>
      <c r="E115" s="3">
        <f t="shared" si="42"/>
        <v>88.77</v>
      </c>
      <c r="G115" s="136">
        <f t="shared" si="37"/>
        <v>192.84000000000015</v>
      </c>
      <c r="H115" s="134">
        <f t="shared" si="45"/>
        <v>281.6100000000001</v>
      </c>
      <c r="I115" s="118"/>
      <c r="J115" s="114">
        <f t="shared" si="46"/>
        <v>2983.772145179761</v>
      </c>
      <c r="K115" s="135"/>
      <c r="L115" s="114">
        <f t="shared" si="47"/>
        <v>4770.017472138958</v>
      </c>
      <c r="M115" s="135"/>
      <c r="N115" s="226">
        <f t="shared" si="39"/>
        <v>7753.789617318718</v>
      </c>
      <c r="O115" s="226">
        <f t="shared" si="40"/>
        <v>17146.91475083033</v>
      </c>
      <c r="P115" s="131">
        <f t="shared" si="41"/>
        <v>88.42265675277524</v>
      </c>
      <c r="Q115" s="108"/>
    </row>
    <row r="116" spans="1:17" s="1" customFormat="1" ht="15">
      <c r="A116" s="1" t="s">
        <v>13</v>
      </c>
      <c r="C116" s="234">
        <v>28.82</v>
      </c>
      <c r="D116" s="234">
        <v>46.99</v>
      </c>
      <c r="E116" s="3">
        <f t="shared" si="42"/>
        <v>75.81</v>
      </c>
      <c r="G116" s="136">
        <f t="shared" si="37"/>
        <v>183.53999999999996</v>
      </c>
      <c r="H116" s="134">
        <f t="shared" si="45"/>
        <v>259.34999999999997</v>
      </c>
      <c r="I116" s="118"/>
      <c r="J116" s="114">
        <f t="shared" si="46"/>
        <v>2055.4571614691995</v>
      </c>
      <c r="K116" s="135"/>
      <c r="L116" s="114">
        <f t="shared" si="47"/>
        <v>3351.3508680582127</v>
      </c>
      <c r="M116" s="135"/>
      <c r="N116" s="226">
        <f t="shared" si="39"/>
        <v>5406.808029527412</v>
      </c>
      <c r="O116" s="226">
        <f t="shared" si="40"/>
        <v>16181.690597910434</v>
      </c>
      <c r="P116" s="131">
        <f t="shared" si="41"/>
        <v>83.24078900110989</v>
      </c>
      <c r="Q116" s="108"/>
    </row>
    <row r="117" spans="1:17" s="1" customFormat="1" ht="15">
      <c r="A117" s="1" t="s">
        <v>14</v>
      </c>
      <c r="C117" s="234">
        <v>31.21</v>
      </c>
      <c r="D117" s="234">
        <v>51.69</v>
      </c>
      <c r="E117" s="3">
        <f t="shared" si="42"/>
        <v>82.9</v>
      </c>
      <c r="F117" s="231"/>
      <c r="G117" s="232">
        <f t="shared" si="37"/>
        <v>195.13999999999987</v>
      </c>
      <c r="H117" s="230">
        <f t="shared" si="45"/>
        <v>278.03999999999985</v>
      </c>
      <c r="I117" s="230"/>
      <c r="J117" s="219">
        <f t="shared" si="46"/>
        <v>2359.1165295267056</v>
      </c>
      <c r="K117" s="231"/>
      <c r="L117" s="219">
        <f t="shared" si="47"/>
        <v>3907.1686450251655</v>
      </c>
      <c r="M117" s="231"/>
      <c r="N117" s="219">
        <f t="shared" si="39"/>
        <v>6266.285174551871</v>
      </c>
      <c r="O117" s="219">
        <f t="shared" si="40"/>
        <v>13627.542468708969</v>
      </c>
      <c r="P117" s="131">
        <f t="shared" si="41"/>
        <v>71.5502360928674</v>
      </c>
      <c r="Q117" s="108"/>
    </row>
    <row r="118" spans="1:17" s="1" customFormat="1" ht="15">
      <c r="A118" s="1" t="s">
        <v>15</v>
      </c>
      <c r="C118" s="234">
        <v>35.1</v>
      </c>
      <c r="D118" s="234">
        <v>50.95</v>
      </c>
      <c r="E118" s="3">
        <f t="shared" si="42"/>
        <v>86.05000000000001</v>
      </c>
      <c r="F118" s="231"/>
      <c r="G118" s="232">
        <f t="shared" si="37"/>
        <v>185.21000000000004</v>
      </c>
      <c r="H118" s="230">
        <f t="shared" si="45"/>
        <v>271.26000000000005</v>
      </c>
      <c r="I118" s="230"/>
      <c r="J118" s="219">
        <f t="shared" si="46"/>
        <v>2495.343402310317</v>
      </c>
      <c r="K118" s="231"/>
      <c r="L118" s="219">
        <f t="shared" si="47"/>
        <v>3622.1580156042924</v>
      </c>
      <c r="M118" s="231"/>
      <c r="N118" s="219">
        <f t="shared" si="39"/>
        <v>6117.501417914609</v>
      </c>
      <c r="O118" s="219">
        <f t="shared" si="40"/>
        <v>12922.919237101043</v>
      </c>
      <c r="P118" s="131">
        <f t="shared" si="41"/>
        <v>70.19251144664031</v>
      </c>
      <c r="Q118" s="108"/>
    </row>
    <row r="119" spans="1:17" s="1" customFormat="1" ht="15">
      <c r="A119" s="1" t="s">
        <v>16</v>
      </c>
      <c r="C119" s="234">
        <v>29.14</v>
      </c>
      <c r="D119" s="234">
        <v>53.05</v>
      </c>
      <c r="E119" s="3">
        <f t="shared" si="42"/>
        <v>82.19</v>
      </c>
      <c r="F119" s="231"/>
      <c r="G119" s="232">
        <f t="shared" si="37"/>
        <v>171.61000000000013</v>
      </c>
      <c r="H119" s="230">
        <f t="shared" si="45"/>
        <v>253.80000000000013</v>
      </c>
      <c r="I119" s="230"/>
      <c r="J119" s="219">
        <f t="shared" si="46"/>
        <v>2376.230183379573</v>
      </c>
      <c r="K119" s="231"/>
      <c r="L119" s="219">
        <f t="shared" si="47"/>
        <v>4325.978422384569</v>
      </c>
      <c r="M119" s="231"/>
      <c r="N119" s="219">
        <f t="shared" si="39"/>
        <v>6702.208605764143</v>
      </c>
      <c r="O119" s="219">
        <f t="shared" si="40"/>
        <v>14436.438988610782</v>
      </c>
      <c r="P119" s="131">
        <f t="shared" si="41"/>
        <v>83.28860360273804</v>
      </c>
      <c r="Q119" s="108"/>
    </row>
    <row r="120" spans="1:17" s="1" customFormat="1" ht="15">
      <c r="A120" s="1" t="s">
        <v>47</v>
      </c>
      <c r="C120" s="234">
        <v>31.48</v>
      </c>
      <c r="D120" s="234">
        <v>56.01</v>
      </c>
      <c r="E120" s="3">
        <f t="shared" si="42"/>
        <v>87.49</v>
      </c>
      <c r="F120" s="231"/>
      <c r="G120" s="232">
        <f t="shared" si="37"/>
        <v>197.57999999999993</v>
      </c>
      <c r="H120" s="230">
        <f t="shared" si="45"/>
        <v>285.06999999999994</v>
      </c>
      <c r="I120" s="230"/>
      <c r="J120" s="219">
        <f t="shared" si="46"/>
        <v>2436.535763161139</v>
      </c>
      <c r="K120" s="231"/>
      <c r="L120" s="219">
        <f t="shared" si="47"/>
        <v>4335.145111011925</v>
      </c>
      <c r="M120" s="231"/>
      <c r="N120" s="219">
        <f t="shared" si="39"/>
        <v>6771.680874173064</v>
      </c>
      <c r="O120" s="219">
        <f t="shared" si="40"/>
        <v>13919.263708143757</v>
      </c>
      <c r="P120" s="131">
        <f t="shared" si="41"/>
        <v>72.58197839939953</v>
      </c>
      <c r="Q120" s="108"/>
    </row>
    <row r="121" spans="1:17" s="1" customFormat="1" ht="15">
      <c r="A121" s="1" t="s">
        <v>48</v>
      </c>
      <c r="C121" s="234">
        <v>32.18</v>
      </c>
      <c r="D121" s="234">
        <v>50.7</v>
      </c>
      <c r="E121" s="3">
        <f t="shared" si="42"/>
        <v>82.88</v>
      </c>
      <c r="F121" s="231"/>
      <c r="G121" s="232">
        <f t="shared" si="37"/>
        <v>198.39999999999964</v>
      </c>
      <c r="H121" s="230">
        <f t="shared" si="45"/>
        <v>281.27999999999963</v>
      </c>
      <c r="I121" s="230"/>
      <c r="J121" s="226">
        <f t="shared" si="46"/>
        <v>2755.3285094176113</v>
      </c>
      <c r="K121" s="231"/>
      <c r="L121" s="226">
        <f t="shared" si="47"/>
        <v>4341.055171767335</v>
      </c>
      <c r="M121" s="231"/>
      <c r="N121" s="226">
        <f t="shared" si="39"/>
        <v>7096.383681184947</v>
      </c>
      <c r="O121" s="226">
        <f t="shared" si="40"/>
        <v>16719.07209229088</v>
      </c>
      <c r="P121" s="227">
        <f t="shared" si="41"/>
        <v>84.66814481468948</v>
      </c>
      <c r="Q121" s="108"/>
    </row>
    <row r="122" spans="1:17" s="1" customFormat="1" ht="15">
      <c r="A122" s="1" t="s">
        <v>49</v>
      </c>
      <c r="C122" s="234">
        <v>25.32</v>
      </c>
      <c r="D122" s="234">
        <v>47.57</v>
      </c>
      <c r="E122" s="3">
        <f t="shared" si="42"/>
        <v>72.89</v>
      </c>
      <c r="F122" s="231"/>
      <c r="G122" s="232">
        <f t="shared" si="37"/>
        <v>185.04999999999973</v>
      </c>
      <c r="H122" s="230">
        <f t="shared" si="45"/>
        <v>257.9399999999997</v>
      </c>
      <c r="I122" s="230"/>
      <c r="J122" s="226">
        <f t="shared" si="46"/>
        <v>1710.034906230294</v>
      </c>
      <c r="K122" s="231"/>
      <c r="L122" s="226">
        <f t="shared" si="47"/>
        <v>3212.7314569263453</v>
      </c>
      <c r="M122" s="231"/>
      <c r="N122" s="226">
        <f t="shared" si="39"/>
        <v>4922.766363156639</v>
      </c>
      <c r="O122" s="226">
        <f t="shared" si="40"/>
        <v>13551.085939010227</v>
      </c>
      <c r="P122" s="227">
        <f t="shared" si="41"/>
        <v>71.62073467537756</v>
      </c>
      <c r="Q122" s="108"/>
    </row>
    <row r="123" spans="1:17" s="1" customFormat="1" ht="17.25">
      <c r="A123" s="1" t="s">
        <v>8</v>
      </c>
      <c r="C123" s="243">
        <v>27.22</v>
      </c>
      <c r="D123" s="243">
        <v>58.85</v>
      </c>
      <c r="E123" s="16">
        <f t="shared" si="42"/>
        <v>86.07</v>
      </c>
      <c r="F123" s="231"/>
      <c r="G123" s="16">
        <f>+D58-G94</f>
        <v>193.07999999999993</v>
      </c>
      <c r="H123" s="53">
        <f>+G123+E123</f>
        <v>279.1499999999999</v>
      </c>
      <c r="I123" s="230"/>
      <c r="J123" s="21">
        <f>+C123/E123*N123</f>
        <v>1968.993673805004</v>
      </c>
      <c r="K123" s="24"/>
      <c r="L123" s="21">
        <f>+N123-J123</f>
        <v>4256.990363828967</v>
      </c>
      <c r="M123" s="24"/>
      <c r="N123" s="21">
        <f>+G58-N94</f>
        <v>6225.984037633971</v>
      </c>
      <c r="O123" s="21">
        <f>+H58-O94</f>
        <v>13217.887249226449</v>
      </c>
      <c r="P123" s="103">
        <f>(O123+N123)/H123</f>
        <v>69.65384663034364</v>
      </c>
      <c r="Q123" s="108"/>
    </row>
    <row r="124" spans="3:17" ht="17.25">
      <c r="C124" s="12">
        <f>SUM(C100:C123)</f>
        <v>724.4600000000002</v>
      </c>
      <c r="D124" s="12">
        <f aca="true" t="shared" si="48" ref="D124:O124">SUM(D100:D123)</f>
        <v>1215.95</v>
      </c>
      <c r="E124" s="12">
        <f t="shared" si="48"/>
        <v>1940.4100000000003</v>
      </c>
      <c r="F124" s="12"/>
      <c r="G124" s="12">
        <f t="shared" si="48"/>
        <v>4334.379999999999</v>
      </c>
      <c r="H124" s="12">
        <f t="shared" si="48"/>
        <v>6274.790000000001</v>
      </c>
      <c r="I124" s="12"/>
      <c r="J124" s="79">
        <f t="shared" si="48"/>
        <v>64969.584438475395</v>
      </c>
      <c r="K124" s="79"/>
      <c r="L124" s="18">
        <f t="shared" si="48"/>
        <v>108910.62976034424</v>
      </c>
      <c r="M124" s="18"/>
      <c r="N124" s="18">
        <f t="shared" si="48"/>
        <v>173880.2141988196</v>
      </c>
      <c r="O124" s="18">
        <f t="shared" si="48"/>
        <v>388812.73635385</v>
      </c>
      <c r="P124" s="79">
        <f>(O124+N124)/H124</f>
        <v>89.67518443687669</v>
      </c>
      <c r="Q124" s="88"/>
    </row>
    <row r="125" spans="2:18" ht="17.25">
      <c r="B125" s="110" t="s">
        <v>85</v>
      </c>
      <c r="C125" s="455">
        <f>+C124/E124</f>
        <v>0.3733540849614257</v>
      </c>
      <c r="D125" s="456">
        <f>+D124/E124</f>
        <v>0.6266459150385743</v>
      </c>
      <c r="E125" s="86">
        <f>+E124/C59</f>
        <v>0.06791192214878318</v>
      </c>
      <c r="G125" s="86">
        <f>+G124/D59</f>
        <v>0.06644134183801965</v>
      </c>
      <c r="H125" s="86">
        <f>+H124/E59</f>
        <v>0.06688925455054032</v>
      </c>
      <c r="I125" s="86"/>
      <c r="N125" s="86">
        <f>+N124/G59</f>
        <v>0.06767110478824352</v>
      </c>
      <c r="O125" s="86">
        <f>+O124/H59</f>
        <v>0.06622231511637969</v>
      </c>
      <c r="Q125" s="86"/>
      <c r="R125" s="109"/>
    </row>
    <row r="126" spans="13:15" ht="15">
      <c r="M126" s="1"/>
      <c r="O126"/>
    </row>
    <row r="127" ht="15">
      <c r="O127"/>
    </row>
    <row r="128" spans="1:16" ht="17.25">
      <c r="A128" s="80" t="s">
        <v>60</v>
      </c>
      <c r="C128" s="82">
        <v>14490</v>
      </c>
      <c r="D128" s="82">
        <v>32079</v>
      </c>
      <c r="E128" s="83">
        <f>+D128+C128</f>
        <v>46569</v>
      </c>
      <c r="G128" s="84">
        <v>1495000</v>
      </c>
      <c r="H128" s="84">
        <v>3297000</v>
      </c>
      <c r="N128" s="94">
        <f>37435*12</f>
        <v>449220</v>
      </c>
      <c r="O128" s="94">
        <f>86286*12</f>
        <v>1035432</v>
      </c>
      <c r="P128" s="94">
        <f>+O128+N128</f>
        <v>1484652</v>
      </c>
    </row>
  </sheetData>
  <sheetProtection/>
  <mergeCells count="2">
    <mergeCell ref="C4:E4"/>
    <mergeCell ref="G4:J4"/>
  </mergeCells>
  <printOptions/>
  <pageMargins left="0.7" right="0.7" top="0.75" bottom="0.75" header="0.3" footer="0.05"/>
  <pageSetup fitToHeight="1" fitToWidth="1" horizontalDpi="600" verticalDpi="600" orientation="landscape" scale="51" r:id="rId1"/>
  <headerFooter>
    <oddFooter>&amp;CPage &amp;P&amp;R&amp;A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226"/>
  <sheetViews>
    <sheetView zoomScalePageLayoutView="0" workbookViewId="0" topLeftCell="A1">
      <pane xSplit="2" ySplit="3" topLeftCell="C188" activePane="bottomRight" state="frozen"/>
      <selection pane="topLeft" activeCell="A1" sqref="A1"/>
      <selection pane="topRight" activeCell="C1" sqref="C1"/>
      <selection pane="bottomLeft" activeCell="A3" sqref="A3"/>
      <selection pane="bottomRight" activeCell="M54" sqref="M54"/>
    </sheetView>
  </sheetViews>
  <sheetFormatPr defaultColWidth="9.140625" defaultRowHeight="15"/>
  <cols>
    <col min="1" max="1" width="3.00390625" style="1" bestFit="1" customWidth="1"/>
    <col min="2" max="2" width="9.140625" style="1" customWidth="1"/>
    <col min="3" max="3" width="16.00390625" style="1" customWidth="1"/>
    <col min="4" max="5" width="12.57421875" style="1" bestFit="1" customWidth="1"/>
    <col min="6" max="6" width="10.57421875" style="1" bestFit="1" customWidth="1"/>
    <col min="7" max="7" width="10.28125" style="1" bestFit="1" customWidth="1"/>
    <col min="8" max="8" width="10.57421875" style="1" bestFit="1" customWidth="1"/>
    <col min="9" max="11" width="9.00390625" style="1" bestFit="1" customWidth="1"/>
    <col min="12" max="12" width="11.00390625" style="1" bestFit="1" customWidth="1"/>
    <col min="13" max="13" width="13.28125" style="1" bestFit="1" customWidth="1"/>
    <col min="14" max="14" width="9.140625" style="1" customWidth="1"/>
    <col min="15" max="15" width="17.28125" style="1" customWidth="1"/>
    <col min="16" max="16" width="10.421875" style="1" bestFit="1" customWidth="1"/>
    <col min="17" max="16384" width="9.140625" style="1" customWidth="1"/>
  </cols>
  <sheetData>
    <row r="1" spans="2:13" ht="15">
      <c r="B1" s="44"/>
      <c r="C1" s="585" t="s">
        <v>32</v>
      </c>
      <c r="D1" s="586"/>
      <c r="E1" s="586"/>
      <c r="F1" s="586"/>
      <c r="G1" s="586"/>
      <c r="H1" s="586"/>
      <c r="I1" s="586"/>
      <c r="J1" s="586"/>
      <c r="K1" s="586"/>
      <c r="L1" s="587"/>
      <c r="M1" s="57"/>
    </row>
    <row r="2" spans="2:13" ht="15">
      <c r="B2" s="43"/>
      <c r="C2" s="5"/>
      <c r="D2" s="6"/>
      <c r="E2" s="6"/>
      <c r="F2" s="7"/>
      <c r="G2" s="6"/>
      <c r="H2" s="6"/>
      <c r="I2" s="6"/>
      <c r="J2" s="7" t="s">
        <v>33</v>
      </c>
      <c r="K2" s="7" t="s">
        <v>34</v>
      </c>
      <c r="L2" s="7" t="s">
        <v>35</v>
      </c>
      <c r="M2" s="57"/>
    </row>
    <row r="3" spans="2:13" ht="15">
      <c r="B3" s="43" t="s">
        <v>31</v>
      </c>
      <c r="C3" s="8" t="s">
        <v>36</v>
      </c>
      <c r="D3" s="8" t="s">
        <v>37</v>
      </c>
      <c r="E3" s="8" t="s">
        <v>22</v>
      </c>
      <c r="F3" s="8" t="s">
        <v>38</v>
      </c>
      <c r="G3" s="8" t="s">
        <v>39</v>
      </c>
      <c r="H3" s="8" t="s">
        <v>24</v>
      </c>
      <c r="I3" s="8" t="s">
        <v>25</v>
      </c>
      <c r="J3" s="8" t="s">
        <v>40</v>
      </c>
      <c r="K3" s="8" t="s">
        <v>40</v>
      </c>
      <c r="L3" s="7" t="s">
        <v>41</v>
      </c>
      <c r="M3" s="57"/>
    </row>
    <row r="4" spans="2:16" ht="15">
      <c r="B4" s="9"/>
      <c r="C4" s="10"/>
      <c r="D4" s="9"/>
      <c r="E4" s="9"/>
      <c r="F4" s="9"/>
      <c r="G4" s="9"/>
      <c r="H4" s="9"/>
      <c r="I4" s="9"/>
      <c r="J4" s="9"/>
      <c r="K4" s="9"/>
      <c r="L4" s="9"/>
      <c r="M4" s="57"/>
      <c r="O4" s="46"/>
      <c r="P4" s="47"/>
    </row>
    <row r="5" spans="2:13" ht="15">
      <c r="B5" s="55">
        <v>41548</v>
      </c>
      <c r="C5" s="51">
        <v>97.82</v>
      </c>
      <c r="D5" s="51">
        <v>95.08</v>
      </c>
      <c r="E5" s="51">
        <v>152.81</v>
      </c>
      <c r="F5" s="51">
        <v>1149.36</v>
      </c>
      <c r="G5" s="51">
        <v>185.51</v>
      </c>
      <c r="H5" s="51">
        <v>-53.34</v>
      </c>
      <c r="I5" s="51">
        <v>368.04</v>
      </c>
      <c r="J5" s="51">
        <v>632.46</v>
      </c>
      <c r="K5" s="51">
        <v>191.58</v>
      </c>
      <c r="L5" s="51">
        <v>29.08</v>
      </c>
      <c r="M5" s="57"/>
    </row>
    <row r="6" spans="2:13" ht="15">
      <c r="B6" s="55">
        <v>41579</v>
      </c>
      <c r="C6" s="51">
        <v>99.97</v>
      </c>
      <c r="D6" s="51">
        <v>93.73</v>
      </c>
      <c r="E6" s="51">
        <v>152.09</v>
      </c>
      <c r="F6" s="51">
        <v>952.76</v>
      </c>
      <c r="G6" s="51">
        <v>186.42</v>
      </c>
      <c r="H6" s="51">
        <v>-53.34</v>
      </c>
      <c r="I6" s="51">
        <v>342.35</v>
      </c>
      <c r="J6" s="51">
        <v>611.63</v>
      </c>
      <c r="K6" s="51">
        <v>550.7</v>
      </c>
      <c r="L6" s="51">
        <v>15.96</v>
      </c>
      <c r="M6" s="57"/>
    </row>
    <row r="7" spans="2:13" ht="15">
      <c r="B7" s="48" t="s">
        <v>59</v>
      </c>
      <c r="C7" s="51">
        <v>97.45</v>
      </c>
      <c r="D7" s="51">
        <v>87.56</v>
      </c>
      <c r="E7" s="51">
        <v>132.25</v>
      </c>
      <c r="F7" s="51">
        <v>985.48</v>
      </c>
      <c r="G7" s="51">
        <v>223.69</v>
      </c>
      <c r="H7" s="51">
        <v>-53.34</v>
      </c>
      <c r="I7" s="51">
        <v>326.08</v>
      </c>
      <c r="J7" s="51">
        <v>621.35</v>
      </c>
      <c r="K7" s="51">
        <v>491.34</v>
      </c>
      <c r="L7" s="51">
        <v>20.96</v>
      </c>
      <c r="M7" s="57"/>
    </row>
    <row r="8" spans="2:13" ht="15">
      <c r="B8" s="11">
        <v>41649</v>
      </c>
      <c r="C8" s="51">
        <v>99.47</v>
      </c>
      <c r="D8" s="51">
        <v>90.85</v>
      </c>
      <c r="E8" s="51">
        <v>142.37</v>
      </c>
      <c r="F8" s="51">
        <v>1135.39</v>
      </c>
      <c r="G8" s="51">
        <v>223.86</v>
      </c>
      <c r="H8" s="51">
        <v>-53.34</v>
      </c>
      <c r="I8" s="51">
        <v>331.12</v>
      </c>
      <c r="J8" s="51">
        <v>612.36</v>
      </c>
      <c r="K8" s="51">
        <v>492.36</v>
      </c>
      <c r="L8" s="51">
        <v>18.38</v>
      </c>
      <c r="M8" s="57"/>
    </row>
    <row r="9" spans="2:13" ht="15">
      <c r="B9" s="11">
        <v>41680</v>
      </c>
      <c r="C9" s="51">
        <v>92.63</v>
      </c>
      <c r="D9" s="51">
        <v>88.56</v>
      </c>
      <c r="E9" s="51">
        <v>148.83</v>
      </c>
      <c r="F9" s="51">
        <v>1126</v>
      </c>
      <c r="G9" s="51">
        <v>239.15</v>
      </c>
      <c r="H9" s="51">
        <v>-53.34</v>
      </c>
      <c r="I9" s="51">
        <v>351.43</v>
      </c>
      <c r="J9" s="51">
        <v>661.05</v>
      </c>
      <c r="K9" s="51">
        <v>551.05</v>
      </c>
      <c r="L9" s="51">
        <v>50.97</v>
      </c>
      <c r="M9" s="57"/>
    </row>
    <row r="10" spans="2:13" ht="15">
      <c r="B10" s="11">
        <v>41708</v>
      </c>
      <c r="C10" s="51">
        <v>93.8</v>
      </c>
      <c r="D10" s="51">
        <v>90.4</v>
      </c>
      <c r="E10" s="51">
        <v>149.45</v>
      </c>
      <c r="F10" s="51">
        <v>1261.63</v>
      </c>
      <c r="G10" s="51">
        <v>161.13</v>
      </c>
      <c r="H10" s="51">
        <v>-53.34</v>
      </c>
      <c r="I10" s="51">
        <v>359.99</v>
      </c>
      <c r="J10" s="51">
        <v>720.12</v>
      </c>
      <c r="K10" s="51">
        <v>583.53</v>
      </c>
      <c r="L10" s="51">
        <v>51.23</v>
      </c>
      <c r="M10" s="45"/>
    </row>
    <row r="11" spans="2:13" ht="15">
      <c r="B11" s="11">
        <v>41739</v>
      </c>
      <c r="C11" s="105">
        <v>92.9</v>
      </c>
      <c r="D11" s="105">
        <v>89.21</v>
      </c>
      <c r="E11" s="105">
        <v>126.04</v>
      </c>
      <c r="F11" s="105">
        <v>1436.65</v>
      </c>
      <c r="G11" s="105">
        <v>119.74</v>
      </c>
      <c r="H11" s="105">
        <v>-53.34</v>
      </c>
      <c r="I11" s="105">
        <v>324.2</v>
      </c>
      <c r="J11" s="105">
        <v>745.63</v>
      </c>
      <c r="K11" s="105">
        <v>560.39</v>
      </c>
      <c r="L11" s="105">
        <v>70.68</v>
      </c>
      <c r="M11" s="45"/>
    </row>
    <row r="12" spans="2:13" ht="15">
      <c r="B12" s="11">
        <v>41769</v>
      </c>
      <c r="C12" s="51">
        <v>105.93</v>
      </c>
      <c r="D12" s="51">
        <v>95.93</v>
      </c>
      <c r="E12" s="51">
        <v>137.8</v>
      </c>
      <c r="F12" s="51">
        <v>1440</v>
      </c>
      <c r="G12" s="51">
        <v>230</v>
      </c>
      <c r="H12" s="56">
        <f aca="true" t="shared" si="0" ref="H12:H28">+H11</f>
        <v>-53.34</v>
      </c>
      <c r="I12" s="51">
        <v>330</v>
      </c>
      <c r="J12" s="51">
        <v>830</v>
      </c>
      <c r="K12" s="51">
        <v>560</v>
      </c>
      <c r="L12" s="51">
        <v>79.93</v>
      </c>
      <c r="M12" s="45"/>
    </row>
    <row r="13" spans="2:13" ht="15">
      <c r="B13" s="11">
        <v>41800</v>
      </c>
      <c r="C13" s="51">
        <v>102.87</v>
      </c>
      <c r="D13" s="51">
        <v>92.87</v>
      </c>
      <c r="E13" s="51">
        <v>132.38</v>
      </c>
      <c r="F13" s="51">
        <v>1405.35</v>
      </c>
      <c r="G13" s="51">
        <v>186.81</v>
      </c>
      <c r="H13" s="56">
        <f t="shared" si="0"/>
        <v>-53.34</v>
      </c>
      <c r="I13" s="51">
        <v>342.41</v>
      </c>
      <c r="J13" s="51">
        <v>900</v>
      </c>
      <c r="K13" s="51">
        <v>580.05</v>
      </c>
      <c r="L13" s="51">
        <v>100</v>
      </c>
      <c r="M13" s="45"/>
    </row>
    <row r="14" spans="2:13" ht="15">
      <c r="B14" s="11">
        <v>41830</v>
      </c>
      <c r="C14" s="51">
        <v>102.1</v>
      </c>
      <c r="D14" s="51">
        <v>94.1</v>
      </c>
      <c r="E14" s="51">
        <v>137.91</v>
      </c>
      <c r="F14" s="51">
        <v>1487.07</v>
      </c>
      <c r="G14" s="51">
        <v>177</v>
      </c>
      <c r="H14" s="56">
        <f t="shared" si="0"/>
        <v>-53.34</v>
      </c>
      <c r="I14" s="51">
        <v>357</v>
      </c>
      <c r="J14" s="51">
        <v>965.4</v>
      </c>
      <c r="K14" s="51">
        <v>620</v>
      </c>
      <c r="L14" s="51">
        <v>115</v>
      </c>
      <c r="M14" s="45"/>
    </row>
    <row r="15" spans="2:13" ht="15">
      <c r="B15" s="11">
        <v>41861</v>
      </c>
      <c r="C15" s="51">
        <v>100</v>
      </c>
      <c r="D15" s="51">
        <v>91.84</v>
      </c>
      <c r="E15" s="51">
        <v>133.99</v>
      </c>
      <c r="F15" s="51">
        <v>1559.08</v>
      </c>
      <c r="G15" s="51">
        <v>198.12</v>
      </c>
      <c r="H15" s="56">
        <f t="shared" si="0"/>
        <v>-53.34</v>
      </c>
      <c r="I15" s="51">
        <v>351</v>
      </c>
      <c r="J15" s="51">
        <v>985.6</v>
      </c>
      <c r="K15" s="51">
        <v>668.48</v>
      </c>
      <c r="L15" s="51">
        <v>120.12</v>
      </c>
      <c r="M15" s="45"/>
    </row>
    <row r="16" spans="2:13" ht="15">
      <c r="B16" s="11">
        <v>41892</v>
      </c>
      <c r="C16" s="51">
        <v>93.93</v>
      </c>
      <c r="D16" s="51">
        <v>85.93</v>
      </c>
      <c r="E16" s="51">
        <v>123.74</v>
      </c>
      <c r="F16" s="51">
        <v>1637.89</v>
      </c>
      <c r="G16" s="51">
        <v>232</v>
      </c>
      <c r="H16" s="51">
        <f t="shared" si="0"/>
        <v>-53.34</v>
      </c>
      <c r="I16" s="51">
        <v>365</v>
      </c>
      <c r="J16" s="51">
        <v>985.6</v>
      </c>
      <c r="K16" s="51">
        <v>670</v>
      </c>
      <c r="L16" s="51">
        <v>99.77</v>
      </c>
      <c r="M16" s="45"/>
    </row>
    <row r="17" spans="2:13" ht="15">
      <c r="B17" s="11">
        <v>41922</v>
      </c>
      <c r="C17" s="51">
        <v>90.1</v>
      </c>
      <c r="D17" s="51">
        <v>81.1</v>
      </c>
      <c r="E17" s="51">
        <v>127.91</v>
      </c>
      <c r="F17" s="51">
        <v>1633.11</v>
      </c>
      <c r="G17" s="51">
        <v>206.84</v>
      </c>
      <c r="H17" s="51">
        <f t="shared" si="0"/>
        <v>-53.34</v>
      </c>
      <c r="I17" s="51">
        <v>350</v>
      </c>
      <c r="J17" s="51">
        <v>982</v>
      </c>
      <c r="K17" s="51">
        <v>660</v>
      </c>
      <c r="L17" s="51">
        <v>122.61</v>
      </c>
      <c r="M17" s="45"/>
    </row>
    <row r="18" spans="2:13" ht="15">
      <c r="B18" s="11">
        <v>41953</v>
      </c>
      <c r="C18" s="51">
        <v>89.1</v>
      </c>
      <c r="D18" s="51">
        <v>79.1</v>
      </c>
      <c r="E18" s="51">
        <v>126.91</v>
      </c>
      <c r="F18" s="51">
        <v>1737.55</v>
      </c>
      <c r="G18" s="51">
        <v>201</v>
      </c>
      <c r="H18" s="51">
        <f t="shared" si="0"/>
        <v>-53.34</v>
      </c>
      <c r="I18" s="51">
        <v>325</v>
      </c>
      <c r="J18" s="51">
        <v>840</v>
      </c>
      <c r="K18" s="51">
        <v>660</v>
      </c>
      <c r="L18" s="51">
        <v>140</v>
      </c>
      <c r="M18" s="45"/>
    </row>
    <row r="19" spans="2:13" ht="15">
      <c r="B19" s="11">
        <v>41983</v>
      </c>
      <c r="C19" s="51">
        <v>87.57</v>
      </c>
      <c r="D19" s="51">
        <v>76.57</v>
      </c>
      <c r="E19" s="51">
        <v>124.37</v>
      </c>
      <c r="F19" s="51">
        <v>1708.09</v>
      </c>
      <c r="G19" s="51">
        <v>195</v>
      </c>
      <c r="H19" s="51">
        <f t="shared" si="0"/>
        <v>-53.34</v>
      </c>
      <c r="I19" s="51">
        <v>254.66</v>
      </c>
      <c r="J19" s="51">
        <v>772.4</v>
      </c>
      <c r="K19" s="51">
        <v>600</v>
      </c>
      <c r="L19" s="51">
        <v>60</v>
      </c>
      <c r="M19" s="45"/>
    </row>
    <row r="20" spans="2:12" ht="15">
      <c r="B20" s="11">
        <v>42014</v>
      </c>
      <c r="C20" s="129">
        <v>85.23</v>
      </c>
      <c r="D20" s="129">
        <v>74.18</v>
      </c>
      <c r="E20" s="129">
        <v>122.84</v>
      </c>
      <c r="F20" s="129">
        <v>1609.97</v>
      </c>
      <c r="G20" s="129">
        <v>151.14</v>
      </c>
      <c r="H20" s="51">
        <f t="shared" si="0"/>
        <v>-53.34</v>
      </c>
      <c r="I20" s="129">
        <v>235.7</v>
      </c>
      <c r="J20" s="129">
        <v>590</v>
      </c>
      <c r="K20" s="129">
        <v>420</v>
      </c>
      <c r="L20" s="129">
        <v>60</v>
      </c>
    </row>
    <row r="21" spans="2:13" ht="15">
      <c r="B21" s="11">
        <v>42045</v>
      </c>
      <c r="C21" s="129">
        <v>83.08</v>
      </c>
      <c r="D21" s="129">
        <v>71.33</v>
      </c>
      <c r="E21" s="129">
        <v>112.97</v>
      </c>
      <c r="F21" s="129">
        <v>1750</v>
      </c>
      <c r="G21" s="129">
        <v>82.14</v>
      </c>
      <c r="H21" s="51">
        <f t="shared" si="0"/>
        <v>-53.34</v>
      </c>
      <c r="I21" s="129">
        <v>163</v>
      </c>
      <c r="J21" s="129">
        <v>490</v>
      </c>
      <c r="K21" s="129">
        <v>323</v>
      </c>
      <c r="L21" s="129">
        <v>40</v>
      </c>
      <c r="M21" s="45"/>
    </row>
    <row r="22" spans="2:13" ht="15">
      <c r="B22" s="11">
        <v>42073</v>
      </c>
      <c r="C22" s="129">
        <v>74.91</v>
      </c>
      <c r="D22" s="129">
        <v>59.33</v>
      </c>
      <c r="E22" s="129">
        <v>97.86</v>
      </c>
      <c r="F22" s="129">
        <v>1750</v>
      </c>
      <c r="G22" s="129">
        <v>150</v>
      </c>
      <c r="H22" s="51">
        <f t="shared" si="0"/>
        <v>-53.34</v>
      </c>
      <c r="I22" s="129">
        <v>170</v>
      </c>
      <c r="J22" s="129">
        <v>530</v>
      </c>
      <c r="K22" s="129">
        <v>480</v>
      </c>
      <c r="L22" s="129">
        <v>60</v>
      </c>
      <c r="M22" s="45"/>
    </row>
    <row r="23" spans="2:13" ht="15">
      <c r="B23" s="11">
        <v>42104</v>
      </c>
      <c r="C23" s="129">
        <v>74.9</v>
      </c>
      <c r="D23" s="129">
        <v>59.83</v>
      </c>
      <c r="E23" s="129">
        <v>96.19</v>
      </c>
      <c r="F23" s="129">
        <v>1339.87</v>
      </c>
      <c r="G23" s="129">
        <v>82.14</v>
      </c>
      <c r="H23" s="51">
        <f t="shared" si="0"/>
        <v>-53.34</v>
      </c>
      <c r="I23" s="129">
        <v>206.54</v>
      </c>
      <c r="J23" s="129">
        <v>580.67</v>
      </c>
      <c r="K23" s="129">
        <v>610</v>
      </c>
      <c r="L23" s="129">
        <v>40</v>
      </c>
      <c r="M23" s="45"/>
    </row>
    <row r="24" spans="2:13" ht="15">
      <c r="B24" s="11">
        <v>42134</v>
      </c>
      <c r="C24" s="129">
        <v>78.47</v>
      </c>
      <c r="D24" s="129">
        <v>66.61</v>
      </c>
      <c r="E24" s="129">
        <v>113.05</v>
      </c>
      <c r="F24" s="129">
        <v>1088</v>
      </c>
      <c r="G24" s="129">
        <v>73.21</v>
      </c>
      <c r="H24" s="51">
        <f t="shared" si="0"/>
        <v>-53.34</v>
      </c>
      <c r="I24" s="129">
        <v>244</v>
      </c>
      <c r="J24" s="129">
        <v>700</v>
      </c>
      <c r="K24" s="129">
        <v>625</v>
      </c>
      <c r="L24" s="129">
        <v>93</v>
      </c>
      <c r="M24" s="45"/>
    </row>
    <row r="25" spans="2:13" ht="15">
      <c r="B25" s="11">
        <v>42165</v>
      </c>
      <c r="C25" s="129">
        <v>88.25</v>
      </c>
      <c r="D25" s="129">
        <v>79.24</v>
      </c>
      <c r="E25" s="129">
        <v>129.06</v>
      </c>
      <c r="F25" s="129">
        <v>1057.98</v>
      </c>
      <c r="G25" s="129">
        <v>102.69</v>
      </c>
      <c r="H25" s="51">
        <f t="shared" si="0"/>
        <v>-53.34</v>
      </c>
      <c r="I25" s="129">
        <v>271</v>
      </c>
      <c r="J25" s="129">
        <v>720</v>
      </c>
      <c r="K25" s="129">
        <v>560</v>
      </c>
      <c r="L25" s="129">
        <v>125</v>
      </c>
      <c r="M25" s="45"/>
    </row>
    <row r="26" spans="2:13" ht="15">
      <c r="B26" s="11">
        <v>42195</v>
      </c>
      <c r="C26" s="129">
        <v>92.65</v>
      </c>
      <c r="D26" s="129">
        <v>82.65</v>
      </c>
      <c r="E26" s="129">
        <v>131.09</v>
      </c>
      <c r="F26" s="129">
        <v>1064.83</v>
      </c>
      <c r="G26" s="129">
        <v>116.7</v>
      </c>
      <c r="H26" s="51">
        <f t="shared" si="0"/>
        <v>-53.34</v>
      </c>
      <c r="I26" s="129">
        <v>255</v>
      </c>
      <c r="J26" s="129">
        <v>750</v>
      </c>
      <c r="K26" s="129">
        <v>480</v>
      </c>
      <c r="L26" s="129">
        <v>80</v>
      </c>
      <c r="M26" s="45"/>
    </row>
    <row r="27" spans="2:13" ht="15">
      <c r="B27" s="11">
        <v>42226</v>
      </c>
      <c r="C27" s="129">
        <v>82.81</v>
      </c>
      <c r="D27" s="129">
        <v>72.49</v>
      </c>
      <c r="E27" s="129">
        <v>117.23</v>
      </c>
      <c r="F27" s="129">
        <v>1079.27</v>
      </c>
      <c r="G27" s="129">
        <v>89.63</v>
      </c>
      <c r="H27" s="51">
        <f t="shared" si="0"/>
        <v>-53.34</v>
      </c>
      <c r="I27" s="129">
        <v>175</v>
      </c>
      <c r="J27" s="129">
        <v>603</v>
      </c>
      <c r="K27" s="129">
        <v>403</v>
      </c>
      <c r="L27" s="129">
        <v>45</v>
      </c>
      <c r="M27" s="45"/>
    </row>
    <row r="28" spans="2:13" s="81" customFormat="1" ht="15">
      <c r="B28" s="237">
        <v>42257</v>
      </c>
      <c r="C28" s="129">
        <v>82.64</v>
      </c>
      <c r="D28" s="129">
        <v>76.64</v>
      </c>
      <c r="E28" s="129">
        <v>124.44</v>
      </c>
      <c r="F28" s="129">
        <v>1104.04</v>
      </c>
      <c r="G28" s="129">
        <v>96.26</v>
      </c>
      <c r="H28" s="51">
        <f t="shared" si="0"/>
        <v>-53.34</v>
      </c>
      <c r="I28" s="129">
        <v>145</v>
      </c>
      <c r="J28" s="129">
        <v>510</v>
      </c>
      <c r="K28" s="129">
        <v>281</v>
      </c>
      <c r="L28" s="129">
        <v>0</v>
      </c>
      <c r="M28" s="238"/>
    </row>
    <row r="29" spans="2:12" s="14" customFormat="1" ht="17.25">
      <c r="B29" s="14" t="s">
        <v>62</v>
      </c>
      <c r="C29" s="87">
        <f aca="true" t="shared" si="1" ref="C29:L29">AVERAGE(C5:C28)</f>
        <v>91.19083333333333</v>
      </c>
      <c r="D29" s="87">
        <f t="shared" si="1"/>
        <v>82.29708333333333</v>
      </c>
      <c r="E29" s="87">
        <f t="shared" si="1"/>
        <v>128.8991666666667</v>
      </c>
      <c r="F29" s="87">
        <f>AVERAGE(F5:F28)</f>
        <v>1354.1404166666666</v>
      </c>
      <c r="G29" s="87">
        <f t="shared" si="1"/>
        <v>162.92416666666665</v>
      </c>
      <c r="H29" s="87">
        <f t="shared" si="1"/>
        <v>-53.34</v>
      </c>
      <c r="I29" s="87">
        <f t="shared" si="1"/>
        <v>289.31333333333333</v>
      </c>
      <c r="J29" s="87">
        <f t="shared" si="1"/>
        <v>722.4695833333334</v>
      </c>
      <c r="K29" s="87">
        <f t="shared" si="1"/>
        <v>525.895</v>
      </c>
      <c r="L29" s="87">
        <f t="shared" si="1"/>
        <v>68.23708333333333</v>
      </c>
    </row>
    <row r="30" spans="9:10" ht="17.25">
      <c r="I30" s="87">
        <f>AVERAGE(I29:L29)</f>
        <v>401.47875000000005</v>
      </c>
      <c r="J30" s="14" t="s">
        <v>63</v>
      </c>
    </row>
    <row r="31" spans="9:10" ht="17.25">
      <c r="I31" s="87"/>
      <c r="J31" s="14"/>
    </row>
    <row r="32" spans="3:12" ht="17.25">
      <c r="C32" s="87">
        <f>AVERAGE(C20:C25)</f>
        <v>80.80666666666667</v>
      </c>
      <c r="D32" s="87">
        <f aca="true" t="shared" si="2" ref="D32:L32">AVERAGE(D20:D25)</f>
        <v>68.42</v>
      </c>
      <c r="E32" s="87">
        <f t="shared" si="2"/>
        <v>111.995</v>
      </c>
      <c r="F32" s="87">
        <f t="shared" si="2"/>
        <v>1432.6366666666665</v>
      </c>
      <c r="G32" s="87">
        <f t="shared" si="2"/>
        <v>106.88666666666666</v>
      </c>
      <c r="H32" s="87">
        <f t="shared" si="2"/>
        <v>-53.34000000000001</v>
      </c>
      <c r="I32" s="87">
        <f t="shared" si="2"/>
        <v>215.04</v>
      </c>
      <c r="J32" s="87">
        <f t="shared" si="2"/>
        <v>601.7783333333333</v>
      </c>
      <c r="K32" s="87">
        <f t="shared" si="2"/>
        <v>503</v>
      </c>
      <c r="L32" s="87">
        <f t="shared" si="2"/>
        <v>69.66666666666667</v>
      </c>
    </row>
    <row r="33" spans="9:10" ht="17.25">
      <c r="I33" s="87">
        <f>AVERAGE(I32:L32)</f>
        <v>347.37125</v>
      </c>
      <c r="J33" s="14"/>
    </row>
    <row r="34" ht="15">
      <c r="B34" s="17" t="s">
        <v>42</v>
      </c>
    </row>
    <row r="35" spans="2:13" ht="15">
      <c r="B35" s="1" t="s">
        <v>9</v>
      </c>
      <c r="C35" s="49">
        <f>+'2014-2015 Composition'!C$6</f>
        <v>0.39610971234744347</v>
      </c>
      <c r="D35" s="49">
        <f>+'2014-2015 Composition'!C$7</f>
        <v>0.14019912391926187</v>
      </c>
      <c r="E35" s="49">
        <f>+'2014-2015 Composition'!C$8</f>
        <v>0.22445890020218798</v>
      </c>
      <c r="F35" s="49">
        <f>+'2014-2015 Composition'!C$9</f>
        <v>0.0061482886591287976</v>
      </c>
      <c r="G35" s="49">
        <f>+'2014-2015 Composition'!C$15</f>
        <v>0.015964720246146567</v>
      </c>
      <c r="H35" s="49">
        <f>+'2014-2015 Composition'!C$10</f>
        <v>0.14304413530535492</v>
      </c>
      <c r="I35" s="49">
        <f>+'2014-2015 Composition'!C$11</f>
        <v>0.014107466710208644</v>
      </c>
      <c r="J35" s="49">
        <f>+'2014-2015 Composition'!C$12</f>
        <v>0.0037158509601073497</v>
      </c>
      <c r="K35" s="49">
        <f>+'2014-2015 Composition'!C$13</f>
        <v>0.006720785045749315</v>
      </c>
      <c r="L35" s="49">
        <f>+'2014-2015 Composition'!C$14</f>
        <v>0.005942001815593001</v>
      </c>
      <c r="M35" s="26">
        <f>SUM(C35:L35)</f>
        <v>0.956410985211182</v>
      </c>
    </row>
    <row r="36" spans="3:13" ht="15">
      <c r="C36" s="13">
        <f aca="true" t="shared" si="3" ref="C36:L36">+C35*$M36</f>
        <v>2257.8015937976866</v>
      </c>
      <c r="D36" s="13">
        <f t="shared" si="3"/>
        <v>799.1265943923574</v>
      </c>
      <c r="E36" s="13">
        <f t="shared" si="3"/>
        <v>1279.4022636184593</v>
      </c>
      <c r="F36" s="13">
        <f t="shared" si="3"/>
        <v>35.044876459714594</v>
      </c>
      <c r="G36" s="13">
        <f t="shared" si="3"/>
        <v>90.99794751982066</v>
      </c>
      <c r="H36" s="13">
        <f t="shared" si="3"/>
        <v>815.3429885924047</v>
      </c>
      <c r="I36" s="13">
        <f t="shared" si="3"/>
        <v>80.41171380018666</v>
      </c>
      <c r="J36" s="13">
        <f t="shared" si="3"/>
        <v>21.180127521554287</v>
      </c>
      <c r="K36" s="13">
        <f t="shared" si="3"/>
        <v>38.308071513668345</v>
      </c>
      <c r="L36" s="13">
        <f t="shared" si="3"/>
        <v>33.869053828771165</v>
      </c>
      <c r="M36" s="3">
        <f>+'2014-2015 RSA'!C7</f>
        <v>5699.94</v>
      </c>
    </row>
    <row r="37" spans="3:13" ht="15">
      <c r="C37" s="19">
        <f>+C36*C5</f>
        <v>220858.15190528968</v>
      </c>
      <c r="D37" s="19">
        <f aca="true" t="shared" si="4" ref="D37:L37">+D36*D5</f>
        <v>75980.95659482534</v>
      </c>
      <c r="E37" s="19">
        <f t="shared" si="4"/>
        <v>195505.45990353677</v>
      </c>
      <c r="F37" s="19">
        <f t="shared" si="4"/>
        <v>40279.179207737565</v>
      </c>
      <c r="G37" s="19">
        <f t="shared" si="4"/>
        <v>16881.02924440193</v>
      </c>
      <c r="H37" s="19">
        <f t="shared" si="4"/>
        <v>-43490.39501151887</v>
      </c>
      <c r="I37" s="19">
        <f t="shared" si="4"/>
        <v>29594.7271470207</v>
      </c>
      <c r="J37" s="19">
        <f t="shared" si="4"/>
        <v>13395.583452282224</v>
      </c>
      <c r="K37" s="19">
        <f t="shared" si="4"/>
        <v>7339.060340588582</v>
      </c>
      <c r="L37" s="19">
        <f t="shared" si="4"/>
        <v>984.9120853406654</v>
      </c>
      <c r="M37" s="3">
        <f>SUM(C37:L37)</f>
        <v>557328.6648695047</v>
      </c>
    </row>
    <row r="38" spans="3:12" ht="15">
      <c r="C38" s="49"/>
      <c r="D38" s="49"/>
      <c r="E38" s="49"/>
      <c r="F38" s="49"/>
      <c r="G38" s="49"/>
      <c r="H38" s="49"/>
      <c r="I38" s="49"/>
      <c r="J38" s="49"/>
      <c r="K38" s="49"/>
      <c r="L38" s="49"/>
    </row>
    <row r="39" spans="2:13" ht="15">
      <c r="B39" s="1" t="s">
        <v>10</v>
      </c>
      <c r="C39" s="49">
        <f>+'2014-2015 Composition'!E$6</f>
        <v>0.41137680876672195</v>
      </c>
      <c r="D39" s="49">
        <f>+'2014-2015 Composition'!E$7</f>
        <v>0.16031128346274712</v>
      </c>
      <c r="E39" s="49">
        <f>+'2014-2015 Composition'!E$8</f>
        <v>0.2191245283924975</v>
      </c>
      <c r="F39" s="49">
        <f>+'2014-2015 Composition'!E$9</f>
        <v>0.006528218411676957</v>
      </c>
      <c r="G39" s="49">
        <f>+'2014-2015 Composition'!E$15</f>
        <v>0.01728327065243165</v>
      </c>
      <c r="H39" s="49">
        <f>+'2014-2015 Composition'!E$10</f>
        <v>0.1149619262296312</v>
      </c>
      <c r="I39" s="49">
        <f>+'2014-2015 Composition'!E$11</f>
        <v>0.012193511401120752</v>
      </c>
      <c r="J39" s="49">
        <f>+'2014-2015 Composition'!E$12</f>
        <v>0.0031290426180106794</v>
      </c>
      <c r="K39" s="49">
        <f>+'2014-2015 Composition'!E$13</f>
        <v>0.005586504146544246</v>
      </c>
      <c r="L39" s="49">
        <f>+'2014-2015 Composition'!E$14</f>
        <v>0.005622521903298327</v>
      </c>
      <c r="M39" s="26">
        <f>SUM(C39:L39)</f>
        <v>0.9561176159846805</v>
      </c>
    </row>
    <row r="40" spans="3:13" ht="15">
      <c r="C40" s="13">
        <f aca="true" t="shared" si="5" ref="C40:L40">+C39*$M40</f>
        <v>2184.242190059699</v>
      </c>
      <c r="D40" s="13">
        <f t="shared" si="5"/>
        <v>851.1871875609675</v>
      </c>
      <c r="E40" s="13">
        <f t="shared" si="5"/>
        <v>1163.4614047075208</v>
      </c>
      <c r="F40" s="13">
        <f t="shared" si="5"/>
        <v>34.66216319645586</v>
      </c>
      <c r="G40" s="13">
        <f t="shared" si="5"/>
        <v>91.76708102344458</v>
      </c>
      <c r="H40" s="13">
        <f t="shared" si="5"/>
        <v>610.4006938895875</v>
      </c>
      <c r="I40" s="13">
        <f t="shared" si="5"/>
        <v>64.74254620027673</v>
      </c>
      <c r="J40" s="13">
        <f t="shared" si="5"/>
        <v>16.613933394163322</v>
      </c>
      <c r="K40" s="13">
        <f t="shared" si="5"/>
        <v>29.662046551449865</v>
      </c>
      <c r="L40" s="13">
        <f t="shared" si="5"/>
        <v>29.853286072533763</v>
      </c>
      <c r="M40" s="3">
        <f>+'2014-2015 RSA'!C8</f>
        <v>5309.59</v>
      </c>
    </row>
    <row r="41" spans="3:13" ht="15">
      <c r="C41" s="19">
        <f>+C40*C6</f>
        <v>218358.6917402681</v>
      </c>
      <c r="D41" s="19">
        <f aca="true" t="shared" si="6" ref="D41:L41">+D40*D6</f>
        <v>79781.77509008949</v>
      </c>
      <c r="E41" s="19">
        <f t="shared" si="6"/>
        <v>176950.84504196685</v>
      </c>
      <c r="F41" s="19">
        <f t="shared" si="6"/>
        <v>33024.72260705528</v>
      </c>
      <c r="G41" s="19">
        <f t="shared" si="6"/>
        <v>17107.219244390537</v>
      </c>
      <c r="H41" s="19">
        <f t="shared" si="6"/>
        <v>-32558.7730120706</v>
      </c>
      <c r="I41" s="19">
        <f t="shared" si="6"/>
        <v>22164.61069166474</v>
      </c>
      <c r="J41" s="19">
        <f t="shared" si="6"/>
        <v>10161.580081872113</v>
      </c>
      <c r="K41" s="19">
        <f t="shared" si="6"/>
        <v>16334.889035883441</v>
      </c>
      <c r="L41" s="19">
        <f t="shared" si="6"/>
        <v>476.4584457176389</v>
      </c>
      <c r="M41" s="3">
        <f>SUM(C41:L41)</f>
        <v>541802.0189668377</v>
      </c>
    </row>
    <row r="43" spans="2:13" ht="15">
      <c r="B43" s="1" t="s">
        <v>44</v>
      </c>
      <c r="C43" s="49">
        <f>+'2014-2015 Composition'!G$6</f>
        <v>0.40474750864559184</v>
      </c>
      <c r="D43" s="49">
        <f>+'2014-2015 Composition'!G$7</f>
        <v>0.15367866089745286</v>
      </c>
      <c r="E43" s="49">
        <f>+'2014-2015 Composition'!G$8</f>
        <v>0.22250708927803492</v>
      </c>
      <c r="F43" s="49">
        <f>+'2014-2015 Composition'!G$9</f>
        <v>0.005760150207544294</v>
      </c>
      <c r="G43" s="49">
        <f>+'2014-2015 Composition'!G$15</f>
        <v>0.01655488636046519</v>
      </c>
      <c r="H43" s="49">
        <f>+'2014-2015 Composition'!G$10</f>
        <v>0.13056364321987388</v>
      </c>
      <c r="I43" s="49">
        <f>+'2014-2015 Composition'!G$11</f>
        <v>0.011302058699150573</v>
      </c>
      <c r="J43" s="49">
        <f>+'2014-2015 Composition'!G$12</f>
        <v>0.0029838293621689076</v>
      </c>
      <c r="K43" s="49">
        <f>+'2014-2015 Composition'!G$13</f>
        <v>0.004896485449717466</v>
      </c>
      <c r="L43" s="49">
        <f>+'2014-2015 Composition'!G$14</f>
        <v>0.005216334784223342</v>
      </c>
      <c r="M43" s="26">
        <f>SUM(C43:L43)</f>
        <v>0.9582106469042232</v>
      </c>
    </row>
    <row r="44" spans="3:13" ht="15">
      <c r="C44" s="13">
        <f aca="true" t="shared" si="7" ref="C44:L44">+C43*$M44</f>
        <v>2433.9208109146616</v>
      </c>
      <c r="D44" s="13">
        <f t="shared" si="7"/>
        <v>924.1358698005699</v>
      </c>
      <c r="E44" s="13">
        <f t="shared" si="7"/>
        <v>1338.0308058772137</v>
      </c>
      <c r="F44" s="13">
        <f t="shared" si="7"/>
        <v>34.63826006255309</v>
      </c>
      <c r="G44" s="13">
        <f t="shared" si="7"/>
        <v>99.55165028661219</v>
      </c>
      <c r="H44" s="13">
        <f t="shared" si="7"/>
        <v>785.1353290476862</v>
      </c>
      <c r="I44" s="13">
        <f t="shared" si="7"/>
        <v>67.96413884323303</v>
      </c>
      <c r="J44" s="13">
        <f t="shared" si="7"/>
        <v>17.943049001347376</v>
      </c>
      <c r="K44" s="13">
        <f t="shared" si="7"/>
        <v>29.444672497894505</v>
      </c>
      <c r="L44" s="13">
        <f t="shared" si="7"/>
        <v>31.368064081492175</v>
      </c>
      <c r="M44" s="3">
        <f>+'2014-2015 RSA'!C9</f>
        <v>6013.43</v>
      </c>
    </row>
    <row r="45" spans="3:13" ht="15">
      <c r="C45" s="19">
        <f>+C44*C7</f>
        <v>237185.58302363378</v>
      </c>
      <c r="D45" s="19">
        <f aca="true" t="shared" si="8" ref="D45:L45">+D44*D7</f>
        <v>80917.33675973791</v>
      </c>
      <c r="E45" s="19">
        <f t="shared" si="8"/>
        <v>176954.5740772615</v>
      </c>
      <c r="F45" s="19">
        <f t="shared" si="8"/>
        <v>34135.31252644482</v>
      </c>
      <c r="G45" s="19">
        <f t="shared" si="8"/>
        <v>22268.70865261228</v>
      </c>
      <c r="H45" s="19">
        <f t="shared" si="8"/>
        <v>-41879.118451403585</v>
      </c>
      <c r="I45" s="19">
        <f t="shared" si="8"/>
        <v>22161.746394001424</v>
      </c>
      <c r="J45" s="19">
        <f t="shared" si="8"/>
        <v>11148.913496987192</v>
      </c>
      <c r="K45" s="19">
        <f t="shared" si="8"/>
        <v>14467.345385115485</v>
      </c>
      <c r="L45" s="19">
        <f t="shared" si="8"/>
        <v>657.474623148076</v>
      </c>
      <c r="M45" s="3">
        <f>SUM(C45:L45)</f>
        <v>558017.8764875389</v>
      </c>
    </row>
    <row r="47" spans="2:13" ht="15">
      <c r="B47" s="1" t="s">
        <v>12</v>
      </c>
      <c r="C47" s="49">
        <f>+'2014-2015 Composition'!I$6</f>
        <v>0.3861062196639974</v>
      </c>
      <c r="D47" s="49">
        <f>+'2014-2015 Composition'!I$7</f>
        <v>0.15312772944424746</v>
      </c>
      <c r="E47" s="49">
        <f>+'2014-2015 Composition'!I$8</f>
        <v>0.22403177835588842</v>
      </c>
      <c r="F47" s="49">
        <f>+'2014-2015 Composition'!I$9</f>
        <v>0.006133394287430297</v>
      </c>
      <c r="G47" s="49">
        <f>+'2014-2015 Composition'!I$15</f>
        <v>0.016989837334339706</v>
      </c>
      <c r="H47" s="49">
        <f>+'2014-2015 Composition'!I$10</f>
        <v>0.14559739595517734</v>
      </c>
      <c r="I47" s="49">
        <f>+'2014-2015 Composition'!I$11</f>
        <v>0.012504750866886578</v>
      </c>
      <c r="J47" s="49">
        <f>+'2014-2015 Composition'!I$12</f>
        <v>0.003331472088363779</v>
      </c>
      <c r="K47" s="49">
        <f>+'2014-2015 Composition'!I$13</f>
        <v>0.005444309115028292</v>
      </c>
      <c r="L47" s="49">
        <f>+'2014-2015 Composition'!I$14</f>
        <v>0.005656129070747196</v>
      </c>
      <c r="M47" s="26">
        <f>SUM(C47:L47)</f>
        <v>0.9589230161821064</v>
      </c>
    </row>
    <row r="48" spans="3:13" ht="15">
      <c r="C48" s="13">
        <f aca="true" t="shared" si="9" ref="C48:L48">+C47*$M48</f>
        <v>2337.359638793351</v>
      </c>
      <c r="D48" s="13">
        <f t="shared" si="9"/>
        <v>926.9847419047576</v>
      </c>
      <c r="E48" s="13">
        <f t="shared" si="9"/>
        <v>1356.2144556796911</v>
      </c>
      <c r="F48" s="13">
        <f t="shared" si="9"/>
        <v>37.12954499598817</v>
      </c>
      <c r="G48" s="13">
        <f t="shared" si="9"/>
        <v>102.85086857577225</v>
      </c>
      <c r="H48" s="13">
        <f t="shared" si="9"/>
        <v>881.3985879719785</v>
      </c>
      <c r="I48" s="13">
        <f t="shared" si="9"/>
        <v>75.69963518034527</v>
      </c>
      <c r="J48" s="13">
        <f t="shared" si="9"/>
        <v>20.167632637165156</v>
      </c>
      <c r="K48" s="13">
        <f t="shared" si="9"/>
        <v>32.95805076037332</v>
      </c>
      <c r="L48" s="13">
        <f t="shared" si="9"/>
        <v>34.24033887171018</v>
      </c>
      <c r="M48" s="3">
        <f>+'2014-2015 RSA'!C10</f>
        <v>6053.67</v>
      </c>
    </row>
    <row r="49" spans="3:13" ht="15">
      <c r="C49" s="19">
        <f>+C48*C8</f>
        <v>232497.16327077465</v>
      </c>
      <c r="D49" s="19">
        <f>+D48*D8</f>
        <v>84216.56380204723</v>
      </c>
      <c r="E49" s="19">
        <f>+E48*E8</f>
        <v>193084.25205511763</v>
      </c>
      <c r="F49" s="19">
        <f>+F48*F8</f>
        <v>42156.514092995014</v>
      </c>
      <c r="G49" s="19">
        <f aca="true" t="shared" si="10" ref="G49:L49">+G48*G8</f>
        <v>23024.19543937238</v>
      </c>
      <c r="H49" s="19">
        <f t="shared" si="10"/>
        <v>-47013.80068242534</v>
      </c>
      <c r="I49" s="19">
        <f t="shared" si="10"/>
        <v>25065.663200915926</v>
      </c>
      <c r="J49" s="19">
        <f t="shared" si="10"/>
        <v>12349.851521694454</v>
      </c>
      <c r="K49" s="19">
        <f t="shared" si="10"/>
        <v>16227.225872377407</v>
      </c>
      <c r="L49" s="19">
        <f t="shared" si="10"/>
        <v>629.337428462033</v>
      </c>
      <c r="M49" s="3">
        <f>SUM(C49:L49)</f>
        <v>582236.9660013312</v>
      </c>
    </row>
    <row r="50" spans="3:12" ht="15">
      <c r="C50" s="49"/>
      <c r="D50" s="49"/>
      <c r="E50" s="49"/>
      <c r="F50" s="49"/>
      <c r="G50" s="49"/>
      <c r="H50" s="49"/>
      <c r="I50" s="49"/>
      <c r="J50" s="49"/>
      <c r="K50" s="49"/>
      <c r="L50" s="49"/>
    </row>
    <row r="51" spans="2:13" ht="15">
      <c r="B51" s="1" t="s">
        <v>45</v>
      </c>
      <c r="C51" s="49">
        <f>+'2014-2015 Composition'!K$6</f>
        <v>0.356604435827581</v>
      </c>
      <c r="D51" s="49">
        <f>+'2014-2015 Composition'!K$7</f>
        <v>0.173542979391954</v>
      </c>
      <c r="E51" s="49">
        <f>+'2014-2015 Composition'!K$8</f>
        <v>0.23164830940482356</v>
      </c>
      <c r="F51" s="49">
        <f>+'2014-2015 Composition'!K$9</f>
        <v>0.006769066203138841</v>
      </c>
      <c r="G51" s="49">
        <f>+'2014-2015 Composition'!K$15</f>
        <v>0.01786114221724524</v>
      </c>
      <c r="H51" s="49">
        <f>+'2014-2015 Composition'!K$10</f>
        <v>0.14173505373468603</v>
      </c>
      <c r="I51" s="49">
        <f>+'2014-2015 Composition'!K$11</f>
        <v>0.014611990439738596</v>
      </c>
      <c r="J51" s="49">
        <f>+'2014-2015 Composition'!K$12</f>
        <v>0.003484815563838144</v>
      </c>
      <c r="K51" s="49">
        <f>+'2014-2015 Composition'!K$13</f>
        <v>0.006409720713342582</v>
      </c>
      <c r="L51" s="49">
        <f>+'2014-2015 Composition'!K$14</f>
        <v>0.0061489863114439</v>
      </c>
      <c r="M51" s="26">
        <f>SUM(C51:L51)</f>
        <v>0.9588164998077919</v>
      </c>
    </row>
    <row r="52" spans="3:13" ht="15">
      <c r="C52" s="13">
        <f aca="true" t="shared" si="11" ref="C52:L52">+C51*$M52</f>
        <v>1698.8350039277298</v>
      </c>
      <c r="D52" s="13">
        <f t="shared" si="11"/>
        <v>826.7448703849176</v>
      </c>
      <c r="E52" s="13">
        <f t="shared" si="11"/>
        <v>1103.5540141398271</v>
      </c>
      <c r="F52" s="13">
        <f t="shared" si="11"/>
        <v>32.24728986645719</v>
      </c>
      <c r="G52" s="13">
        <f t="shared" si="11"/>
        <v>85.08905263157894</v>
      </c>
      <c r="H52" s="13">
        <f t="shared" si="11"/>
        <v>675.2144571877456</v>
      </c>
      <c r="I52" s="13">
        <f t="shared" si="11"/>
        <v>69.61035349567949</v>
      </c>
      <c r="J52" s="13">
        <f t="shared" si="11"/>
        <v>16.601382560879813</v>
      </c>
      <c r="K52" s="13">
        <f t="shared" si="11"/>
        <v>30.535396700706993</v>
      </c>
      <c r="L52" s="13">
        <f t="shared" si="11"/>
        <v>29.29327886881382</v>
      </c>
      <c r="M52" s="3">
        <f>+'2014-2015 RSA'!C11</f>
        <v>4763.92</v>
      </c>
    </row>
    <row r="53" spans="3:13" ht="15">
      <c r="C53" s="19">
        <f>+C52*C9</f>
        <v>157363.0864138256</v>
      </c>
      <c r="D53" s="19">
        <f>+D52*D9</f>
        <v>73216.5257212883</v>
      </c>
      <c r="E53" s="19">
        <f>+E52*E9</f>
        <v>164241.9439244305</v>
      </c>
      <c r="F53" s="19">
        <f>+F52*F9</f>
        <v>36310.448389630794</v>
      </c>
      <c r="G53" s="19">
        <f aca="true" t="shared" si="12" ref="G53:L53">+G52*G9</f>
        <v>20349.046936842104</v>
      </c>
      <c r="H53" s="19">
        <f t="shared" si="12"/>
        <v>-36015.93914639435</v>
      </c>
      <c r="I53" s="19">
        <f t="shared" si="12"/>
        <v>24463.166528986643</v>
      </c>
      <c r="J53" s="19">
        <f t="shared" si="12"/>
        <v>10974.3439418696</v>
      </c>
      <c r="K53" s="19">
        <f t="shared" si="12"/>
        <v>16826.530351924586</v>
      </c>
      <c r="L53" s="19">
        <f t="shared" si="12"/>
        <v>1493.0784239434404</v>
      </c>
      <c r="M53" s="3">
        <f>SUM(C53:L53)</f>
        <v>469222.2314863473</v>
      </c>
    </row>
    <row r="55" spans="2:13" ht="15">
      <c r="B55" s="1" t="s">
        <v>46</v>
      </c>
      <c r="C55" s="49">
        <f>+'2014-2015 Composition'!M$6</f>
        <v>0.3225003224618833</v>
      </c>
      <c r="D55" s="49">
        <f>+'2014-2015 Composition'!M$7</f>
        <v>0.1705964306245681</v>
      </c>
      <c r="E55" s="49">
        <f>+'2014-2015 Composition'!M$8</f>
        <v>0.25576139016521154</v>
      </c>
      <c r="F55" s="49">
        <f>+'2014-2015 Composition'!M$9</f>
        <v>0.006961759864557467</v>
      </c>
      <c r="G55" s="49">
        <f>+'2014-2015 Composition'!M$15</f>
        <v>0.016661242473397963</v>
      </c>
      <c r="H55" s="49">
        <f>+'2014-2015 Composition'!M$10</f>
        <v>0.15995219876294225</v>
      </c>
      <c r="I55" s="49">
        <f>+'2014-2015 Composition'!M$11</f>
        <v>0.014269472213181901</v>
      </c>
      <c r="J55" s="49">
        <f>+'2014-2015 Composition'!M$12</f>
        <v>0.003698701866691268</v>
      </c>
      <c r="K55" s="49">
        <f>+'2014-2015 Composition'!M$13</f>
        <v>0.005717185125580753</v>
      </c>
      <c r="L55" s="49">
        <f>+'2014-2015 Composition'!M$14</f>
        <v>0.005939278078315101</v>
      </c>
      <c r="M55" s="26">
        <f>SUM(C55:L55)</f>
        <v>0.9620579816363297</v>
      </c>
    </row>
    <row r="56" spans="3:13" ht="15">
      <c r="C56" s="13">
        <f aca="true" t="shared" si="13" ref="C56:L56">+C55*$M56</f>
        <v>1667.1105919118872</v>
      </c>
      <c r="D56" s="13">
        <f t="shared" si="13"/>
        <v>881.8692467204987</v>
      </c>
      <c r="E56" s="13">
        <f t="shared" si="13"/>
        <v>1322.1150270227329</v>
      </c>
      <c r="F56" s="13">
        <f t="shared" si="13"/>
        <v>35.98763412065285</v>
      </c>
      <c r="G56" s="13">
        <f t="shared" si="13"/>
        <v>86.12746055501029</v>
      </c>
      <c r="H56" s="13">
        <f t="shared" si="13"/>
        <v>826.8456996312402</v>
      </c>
      <c r="I56" s="13">
        <f t="shared" si="13"/>
        <v>73.76361079576759</v>
      </c>
      <c r="J56" s="13">
        <f t="shared" si="13"/>
        <v>19.119810520543172</v>
      </c>
      <c r="K56" s="13">
        <f t="shared" si="13"/>
        <v>29.554016585218353</v>
      </c>
      <c r="L56" s="13">
        <f t="shared" si="13"/>
        <v>30.702088348576602</v>
      </c>
      <c r="M56" s="3">
        <f>+'2014-2015 RSA'!C12</f>
        <v>5169.33</v>
      </c>
    </row>
    <row r="57" spans="3:13" ht="15">
      <c r="C57" s="19">
        <f>+C56*C10</f>
        <v>156374.97352133502</v>
      </c>
      <c r="D57" s="19">
        <f>+D56*D10</f>
        <v>79720.9799035331</v>
      </c>
      <c r="E57" s="19">
        <f>+E56*E10</f>
        <v>197590.09078854742</v>
      </c>
      <c r="F57" s="19">
        <f>+F56*F10</f>
        <v>45403.07883563926</v>
      </c>
      <c r="G57" s="19">
        <f aca="true" t="shared" si="14" ref="G57:L57">+G56*G10</f>
        <v>13877.717719228807</v>
      </c>
      <c r="H57" s="19">
        <f t="shared" si="14"/>
        <v>-44103.949618330356</v>
      </c>
      <c r="I57" s="19">
        <f t="shared" si="14"/>
        <v>26554.162250368376</v>
      </c>
      <c r="J57" s="19">
        <f t="shared" si="14"/>
        <v>13768.557952053548</v>
      </c>
      <c r="K57" s="19">
        <f t="shared" si="14"/>
        <v>17245.655297972466</v>
      </c>
      <c r="L57" s="19">
        <f t="shared" si="14"/>
        <v>1572.8679860975792</v>
      </c>
      <c r="M57" s="3">
        <f>SUM(C57:L57)</f>
        <v>508004.1346364452</v>
      </c>
    </row>
    <row r="59" spans="2:13" ht="15">
      <c r="B59" s="1" t="s">
        <v>76</v>
      </c>
      <c r="C59" s="49">
        <f>+'2014-2015 Composition'!O$6</f>
        <v>0.30377145472066486</v>
      </c>
      <c r="D59" s="49">
        <f>+'2014-2015 Composition'!O$7</f>
        <v>0.1920048232934343</v>
      </c>
      <c r="E59" s="49">
        <f>+'2014-2015 Composition'!O$8</f>
        <v>0.2672719165075882</v>
      </c>
      <c r="F59" s="49">
        <f>+'2014-2015 Composition'!O$9</f>
        <v>0.007139743570473027</v>
      </c>
      <c r="G59" s="49">
        <f>+'2014-2015 Composition'!O$15</f>
        <v>0.015487815672697454</v>
      </c>
      <c r="H59" s="49">
        <f>+'2014-2015 Composition'!O$10</f>
        <v>0.14269883977079337</v>
      </c>
      <c r="I59" s="49">
        <f>+'2014-2015 Composition'!O$11</f>
        <v>0.016066510677883162</v>
      </c>
      <c r="J59" s="49">
        <f>+'2014-2015 Composition'!O$12</f>
        <v>0.004258794410457595</v>
      </c>
      <c r="K59" s="49">
        <f>+'2014-2015 Composition'!O$13</f>
        <v>0.005589041370429939</v>
      </c>
      <c r="L59" s="49">
        <f>+'2014-2015 Composition'!O$14</f>
        <v>0.006556038218922075</v>
      </c>
      <c r="M59" s="26">
        <f>SUM(C59:L59)</f>
        <v>0.9608449782133438</v>
      </c>
    </row>
    <row r="60" spans="3:13" ht="15">
      <c r="C60" s="13">
        <f>+C59*$M60</f>
        <v>1682.5840122686682</v>
      </c>
      <c r="D60" s="13">
        <f>+D59*$M60</f>
        <v>1063.5108761258666</v>
      </c>
      <c r="E60" s="13">
        <f>+E59*$M60</f>
        <v>1480.4138000972007</v>
      </c>
      <c r="F60" s="13">
        <f>+F59*$M60</f>
        <v>39.546896841978686</v>
      </c>
      <c r="G60" s="13">
        <f aca="true" t="shared" si="15" ref="G60:L60">+G59*$M60</f>
        <v>85.78670125475773</v>
      </c>
      <c r="H60" s="13">
        <f t="shared" si="15"/>
        <v>790.406019513629</v>
      </c>
      <c r="I60" s="13">
        <f t="shared" si="15"/>
        <v>88.99208131458127</v>
      </c>
      <c r="J60" s="13">
        <f t="shared" si="15"/>
        <v>23.589377063636405</v>
      </c>
      <c r="K60" s="13">
        <f t="shared" si="15"/>
        <v>30.95758836998402</v>
      </c>
      <c r="L60" s="13">
        <f t="shared" si="15"/>
        <v>36.31376457384499</v>
      </c>
      <c r="M60" s="3">
        <f>+'2014-2015 RSA'!C13</f>
        <v>5538.98</v>
      </c>
    </row>
    <row r="61" spans="3:13" ht="15">
      <c r="C61" s="96">
        <f>+C60*C11</f>
        <v>156312.05473975927</v>
      </c>
      <c r="D61" s="96">
        <f aca="true" t="shared" si="16" ref="D61:L61">+D60*D11</f>
        <v>94875.80525918855</v>
      </c>
      <c r="E61" s="96">
        <f t="shared" si="16"/>
        <v>186591.35536425118</v>
      </c>
      <c r="F61" s="96">
        <f t="shared" si="16"/>
        <v>56815.04934802868</v>
      </c>
      <c r="G61" s="96">
        <f t="shared" si="16"/>
        <v>10272.09960824469</v>
      </c>
      <c r="H61" s="96">
        <f t="shared" si="16"/>
        <v>-42160.25708085697</v>
      </c>
      <c r="I61" s="96">
        <f t="shared" si="16"/>
        <v>28851.232762187246</v>
      </c>
      <c r="J61" s="96">
        <f t="shared" si="16"/>
        <v>17588.947219959213</v>
      </c>
      <c r="K61" s="96">
        <f t="shared" si="16"/>
        <v>17348.322946655346</v>
      </c>
      <c r="L61" s="96">
        <f t="shared" si="16"/>
        <v>2566.6568800793643</v>
      </c>
      <c r="M61" s="3">
        <f>SUM(C61:L61)</f>
        <v>529061.2670474966</v>
      </c>
    </row>
    <row r="63" spans="2:13" ht="15">
      <c r="B63" s="1" t="s">
        <v>16</v>
      </c>
      <c r="C63" s="49">
        <f>+'2014-2015 Composition'!Q$6</f>
        <v>0.2983721417679878</v>
      </c>
      <c r="D63" s="49">
        <f>+'2014-2015 Composition'!Q$7</f>
        <v>0.1801516176981182</v>
      </c>
      <c r="E63" s="49">
        <f>+'2014-2015 Composition'!Q$8</f>
        <v>0.2501292014470562</v>
      </c>
      <c r="F63" s="49">
        <f>+'2014-2015 Composition'!Q$9</f>
        <v>0.007800087360978442</v>
      </c>
      <c r="G63" s="49">
        <f>+'2014-2015 Composition'!Q$15</f>
        <v>0.01416015859377625</v>
      </c>
      <c r="H63" s="49">
        <f>+'2014-2015 Composition'!Q$10</f>
        <v>0.17890600374724197</v>
      </c>
      <c r="I63" s="49">
        <f>+'2014-2015 Composition'!Q$11</f>
        <v>0.016328182875648207</v>
      </c>
      <c r="J63" s="49">
        <f>+'2014-2015 Composition'!Q$12</f>
        <v>0.003984044621299758</v>
      </c>
      <c r="K63" s="49">
        <f>+'2014-2015 Composition'!Q$13</f>
        <v>0.0057752646829644485</v>
      </c>
      <c r="L63" s="49">
        <f>+'2014-2015 Composition'!Q$14</f>
        <v>0.00595846673482743</v>
      </c>
      <c r="M63" s="26">
        <f>SUM(C63:L63)</f>
        <v>0.9615651695298988</v>
      </c>
    </row>
    <row r="64" spans="3:13" ht="15">
      <c r="C64" s="13">
        <f>+C63*$M64</f>
        <v>1628.082510164114</v>
      </c>
      <c r="D64" s="13">
        <f>+D63*$M64</f>
        <v>983.0063095506669</v>
      </c>
      <c r="E64" s="13">
        <f>+E63*$M64</f>
        <v>1364.8424941559344</v>
      </c>
      <c r="F64" s="13">
        <f>+F63*$M64</f>
        <v>42.56156668954692</v>
      </c>
      <c r="G64" s="13">
        <f aca="true" t="shared" si="17" ref="G64:L64">+G63*$M64</f>
        <v>77.2656133748698</v>
      </c>
      <c r="H64" s="13">
        <f t="shared" si="17"/>
        <v>976.2095547470132</v>
      </c>
      <c r="I64" s="13">
        <f t="shared" si="17"/>
        <v>89.09554627011822</v>
      </c>
      <c r="J64" s="13">
        <f t="shared" si="17"/>
        <v>21.739138678353196</v>
      </c>
      <c r="K64" s="13">
        <f t="shared" si="17"/>
        <v>31.51302050582966</v>
      </c>
      <c r="L64" s="13">
        <f t="shared" si="17"/>
        <v>32.51267166192261</v>
      </c>
      <c r="M64" s="3">
        <f>+'2014-2015 RSA'!C14</f>
        <v>5456.55</v>
      </c>
    </row>
    <row r="65" spans="3:13" ht="15">
      <c r="C65" s="96">
        <f>+C64*C12</f>
        <v>172462.7803016846</v>
      </c>
      <c r="D65" s="96">
        <f aca="true" t="shared" si="18" ref="D65:L65">+D64*D12</f>
        <v>94299.79527519547</v>
      </c>
      <c r="E65" s="96">
        <f t="shared" si="18"/>
        <v>188075.29569468778</v>
      </c>
      <c r="F65" s="96">
        <f t="shared" si="18"/>
        <v>61288.65603294757</v>
      </c>
      <c r="G65" s="96">
        <f t="shared" si="18"/>
        <v>17771.091076220055</v>
      </c>
      <c r="H65" s="96">
        <f t="shared" si="18"/>
        <v>-52071.017650205686</v>
      </c>
      <c r="I65" s="96">
        <f t="shared" si="18"/>
        <v>29401.530269139013</v>
      </c>
      <c r="J65" s="96">
        <f t="shared" si="18"/>
        <v>18043.485103033152</v>
      </c>
      <c r="K65" s="96">
        <f t="shared" si="18"/>
        <v>17647.29148326461</v>
      </c>
      <c r="L65" s="96">
        <f t="shared" si="18"/>
        <v>2598.7378459374745</v>
      </c>
      <c r="M65" s="3">
        <f>SUM(C65:L65)</f>
        <v>549517.6454319041</v>
      </c>
    </row>
    <row r="67" spans="2:13" ht="15">
      <c r="B67" s="1" t="s">
        <v>77</v>
      </c>
      <c r="C67" s="49">
        <f>+'2014-2015 Composition'!S$6</f>
        <v>0.34138191541182034</v>
      </c>
      <c r="D67" s="49">
        <f>+'2014-2015 Composition'!S$7</f>
        <v>0.15267313383193773</v>
      </c>
      <c r="E67" s="49">
        <f>+'2014-2015 Composition'!S$8</f>
        <v>0.2441272213769386</v>
      </c>
      <c r="F67" s="49">
        <f>+'2014-2015 Composition'!S$9</f>
        <v>0.008498014554781292</v>
      </c>
      <c r="G67" s="49">
        <f>+'2014-2015 Composition'!S$15</f>
        <v>0.01382452128529014</v>
      </c>
      <c r="H67" s="49">
        <f>+'2014-2015 Composition'!S$10</f>
        <v>0.17015546080788876</v>
      </c>
      <c r="I67" s="49">
        <f>+'2014-2015 Composition'!S$11</f>
        <v>0.01702042532359545</v>
      </c>
      <c r="J67" s="49">
        <f>+'2014-2015 Composition'!S$12</f>
        <v>0.003992847030045564</v>
      </c>
      <c r="K67" s="49">
        <f>+'2014-2015 Composition'!S$13</f>
        <v>0.005503785885814334</v>
      </c>
      <c r="L67" s="49">
        <f>+'2014-2015 Composition'!S$14</f>
        <v>0.004975201248435593</v>
      </c>
      <c r="M67" s="26">
        <f>SUM(C67:L67)</f>
        <v>0.9621525267565478</v>
      </c>
    </row>
    <row r="68" spans="3:13" ht="15">
      <c r="C68" s="13">
        <f>+C67*$M68</f>
        <v>1719.22663656716</v>
      </c>
      <c r="D68" s="13">
        <f>+D67*$M68</f>
        <v>768.874115828345</v>
      </c>
      <c r="E68" s="13">
        <f>+E67*$M68</f>
        <v>1229.4442170319728</v>
      </c>
      <c r="F68" s="13">
        <f>+F67*$M68</f>
        <v>42.79668113904297</v>
      </c>
      <c r="G68" s="13">
        <f aca="true" t="shared" si="19" ref="G68:L68">+G67*$M68</f>
        <v>69.62139515442396</v>
      </c>
      <c r="H68" s="13">
        <f t="shared" si="19"/>
        <v>856.9165130653925</v>
      </c>
      <c r="I68" s="13">
        <f t="shared" si="19"/>
        <v>85.71622356365258</v>
      </c>
      <c r="J68" s="13">
        <f t="shared" si="19"/>
        <v>20.108297071071863</v>
      </c>
      <c r="K68" s="13">
        <f t="shared" si="19"/>
        <v>27.717506023831852</v>
      </c>
      <c r="L68" s="13">
        <f t="shared" si="19"/>
        <v>25.05551150322152</v>
      </c>
      <c r="M68" s="3">
        <f>+'2014-2015 RSA'!C15</f>
        <v>5036.08</v>
      </c>
    </row>
    <row r="69" spans="3:13" ht="15">
      <c r="C69" s="96">
        <f>+C68*C13</f>
        <v>176856.84410366375</v>
      </c>
      <c r="D69" s="96">
        <f aca="true" t="shared" si="20" ref="D69:L69">+D68*D13</f>
        <v>71405.33913697841</v>
      </c>
      <c r="E69" s="96">
        <f t="shared" si="20"/>
        <v>162753.82545069256</v>
      </c>
      <c r="F69" s="96">
        <f t="shared" si="20"/>
        <v>60144.31583875403</v>
      </c>
      <c r="G69" s="96">
        <f t="shared" si="20"/>
        <v>13005.972828797941</v>
      </c>
      <c r="H69" s="96">
        <f t="shared" si="20"/>
        <v>-45707.926806908035</v>
      </c>
      <c r="I69" s="96">
        <f t="shared" si="20"/>
        <v>29350.09211043028</v>
      </c>
      <c r="J69" s="96">
        <f t="shared" si="20"/>
        <v>18097.467363964675</v>
      </c>
      <c r="K69" s="96">
        <f t="shared" si="20"/>
        <v>16077.539369123664</v>
      </c>
      <c r="L69" s="96">
        <f t="shared" si="20"/>
        <v>2505.551150322152</v>
      </c>
      <c r="M69" s="3">
        <f>SUM(C69:L69)</f>
        <v>504489.0205458194</v>
      </c>
    </row>
    <row r="71" spans="2:13" ht="15">
      <c r="B71" s="1" t="s">
        <v>79</v>
      </c>
      <c r="C71" s="49">
        <f>+'2014-2015 Composition'!U$6</f>
        <v>0.339313659736195</v>
      </c>
      <c r="D71" s="49">
        <f>+'2014-2015 Composition'!U$7</f>
        <v>0.11071114185110664</v>
      </c>
      <c r="E71" s="49">
        <f>+'2014-2015 Composition'!U$8</f>
        <v>0.28213028169014087</v>
      </c>
      <c r="F71" s="49">
        <f>+'2014-2015 Composition'!U$9</f>
        <v>0.00842729991057456</v>
      </c>
      <c r="G71" s="49">
        <f>+'2014-2015 Composition'!U$15</f>
        <v>0.012684614632237872</v>
      </c>
      <c r="H71" s="49">
        <f>+'2014-2015 Composition'!U$10</f>
        <v>0.17986215906550415</v>
      </c>
      <c r="I71" s="49">
        <f>+'2014-2015 Composition'!U$11</f>
        <v>0.01424781326849989</v>
      </c>
      <c r="J71" s="49">
        <f>+'2014-2015 Composition'!U$12</f>
        <v>0.0039909596467695065</v>
      </c>
      <c r="K71" s="49">
        <f>+'2014-2015 Composition'!U$13</f>
        <v>0.004662523753632909</v>
      </c>
      <c r="L71" s="49">
        <f>+'2014-2015 Composition'!U$14</f>
        <v>0.004421494243237202</v>
      </c>
      <c r="M71" s="26">
        <f>SUM(C71:L71)</f>
        <v>0.9604519477978988</v>
      </c>
    </row>
    <row r="72" spans="3:13" ht="15">
      <c r="C72" s="13">
        <f>+C71*$M72</f>
        <v>1837.8177889559581</v>
      </c>
      <c r="D72" s="13">
        <f>+D71*$M72</f>
        <v>599.6425433853119</v>
      </c>
      <c r="E72" s="13">
        <f>+E71*$M72</f>
        <v>1528.0966021126762</v>
      </c>
      <c r="F72" s="13">
        <f>+F71*$M72</f>
        <v>45.64461595964677</v>
      </c>
      <c r="G72" s="13">
        <f aca="true" t="shared" si="21" ref="G72:L72">+G71*$M72</f>
        <v>68.70342454029733</v>
      </c>
      <c r="H72" s="13">
        <f t="shared" si="21"/>
        <v>974.1838149033088</v>
      </c>
      <c r="I72" s="13">
        <f t="shared" si="21"/>
        <v>77.17014604991058</v>
      </c>
      <c r="J72" s="13">
        <f t="shared" si="21"/>
        <v>21.616154915604742</v>
      </c>
      <c r="K72" s="13">
        <f t="shared" si="21"/>
        <v>25.25353415632685</v>
      </c>
      <c r="L72" s="13">
        <f t="shared" si="21"/>
        <v>23.94805083976079</v>
      </c>
      <c r="M72" s="3">
        <f>+'2014-2015 RSA'!C16</f>
        <v>5416.28</v>
      </c>
    </row>
    <row r="73" spans="3:13" ht="15">
      <c r="C73" s="96">
        <f>+C72*C14</f>
        <v>187641.19625240332</v>
      </c>
      <c r="D73" s="96">
        <f aca="true" t="shared" si="22" ref="D73:L73">+D72*D14</f>
        <v>56426.36333255785</v>
      </c>
      <c r="E73" s="96">
        <f t="shared" si="22"/>
        <v>210739.80239735916</v>
      </c>
      <c r="F73" s="96">
        <f t="shared" si="22"/>
        <v>67876.73905511192</v>
      </c>
      <c r="G73" s="96">
        <f t="shared" si="22"/>
        <v>12160.506143632629</v>
      </c>
      <c r="H73" s="96">
        <f t="shared" si="22"/>
        <v>-51962.96468694249</v>
      </c>
      <c r="I73" s="96">
        <f t="shared" si="22"/>
        <v>27549.742139818078</v>
      </c>
      <c r="J73" s="96">
        <f t="shared" si="22"/>
        <v>20868.23595552482</v>
      </c>
      <c r="K73" s="96">
        <f t="shared" si="22"/>
        <v>15657.191176922646</v>
      </c>
      <c r="L73" s="96">
        <f t="shared" si="22"/>
        <v>2754.0258465724905</v>
      </c>
      <c r="M73" s="3">
        <f>SUM(C73:L73)</f>
        <v>549710.8376129603</v>
      </c>
    </row>
    <row r="74" spans="3:13" ht="15">
      <c r="C74" s="96"/>
      <c r="D74" s="96"/>
      <c r="E74" s="96"/>
      <c r="F74" s="96"/>
      <c r="G74" s="96"/>
      <c r="H74" s="96"/>
      <c r="I74" s="96"/>
      <c r="J74" s="96"/>
      <c r="K74" s="96"/>
      <c r="L74" s="96"/>
      <c r="M74" s="3"/>
    </row>
    <row r="75" spans="2:13" ht="15">
      <c r="B75" s="1" t="s">
        <v>80</v>
      </c>
      <c r="C75" s="49">
        <f>+'2014-2015 Composition'!W$6</f>
        <v>0.34526614697811586</v>
      </c>
      <c r="D75" s="49">
        <f>+'2014-2015 Composition'!W$7</f>
        <v>0.11864189272208497</v>
      </c>
      <c r="E75" s="49">
        <f>+'2014-2015 Composition'!W$8</f>
        <v>0.27211110959421525</v>
      </c>
      <c r="F75" s="49">
        <f>+'2014-2015 Composition'!W$9</f>
        <v>0.009419923821485621</v>
      </c>
      <c r="G75" s="49">
        <f>+'2014-2015 Composition'!W$15</f>
        <v>0.01340905677893214</v>
      </c>
      <c r="H75" s="49">
        <f>+'2014-2015 Composition'!W$10</f>
        <v>0.17424583725830164</v>
      </c>
      <c r="I75" s="49">
        <f>+'2014-2015 Composition'!W$11</f>
        <v>0.013521003699709216</v>
      </c>
      <c r="J75" s="49">
        <f>+'2014-2015 Composition'!W$12</f>
        <v>0.004304950693297293</v>
      </c>
      <c r="K75" s="49">
        <f>+'2014-2015 Composition'!W$13</f>
        <v>0.004654443519137919</v>
      </c>
      <c r="L75" s="49">
        <f>+'2014-2015 Composition'!W$14</f>
        <v>0.0041984645979239775</v>
      </c>
      <c r="M75" s="26">
        <f>SUM(C75:L75)</f>
        <v>0.9597728296632039</v>
      </c>
    </row>
    <row r="76" spans="3:13" ht="15">
      <c r="C76" s="13">
        <f>+C75*$M76</f>
        <v>1708.8464572076075</v>
      </c>
      <c r="D76" s="13">
        <f>+D75*$M76</f>
        <v>587.2014381629784</v>
      </c>
      <c r="E76" s="13">
        <f>+E75*$M76</f>
        <v>1346.775841381225</v>
      </c>
      <c r="F76" s="13">
        <f>+F75*$M76</f>
        <v>46.62259416510807</v>
      </c>
      <c r="G76" s="13">
        <f aca="true" t="shared" si="23" ref="G76:L76">+G75*$M76</f>
        <v>66.36624925937558</v>
      </c>
      <c r="H76" s="13">
        <f t="shared" si="23"/>
        <v>862.4053770927478</v>
      </c>
      <c r="I76" s="13">
        <f t="shared" si="23"/>
        <v>66.9203148711928</v>
      </c>
      <c r="J76" s="13">
        <f t="shared" si="23"/>
        <v>21.306750763377888</v>
      </c>
      <c r="K76" s="13">
        <f t="shared" si="23"/>
        <v>23.036516575880448</v>
      </c>
      <c r="L76" s="13">
        <f t="shared" si="23"/>
        <v>20.779712742381015</v>
      </c>
      <c r="M76" s="3">
        <f>+'2014-2015 RSA'!C17</f>
        <v>4949.36</v>
      </c>
    </row>
    <row r="77" spans="3:13" ht="15">
      <c r="C77" s="96">
        <f>+C76*C15</f>
        <v>170884.64572076075</v>
      </c>
      <c r="D77" s="96">
        <f aca="true" t="shared" si="24" ref="D77:L77">+D76*D15</f>
        <v>53928.58008088794</v>
      </c>
      <c r="E77" s="96">
        <f t="shared" si="24"/>
        <v>180454.49498667035</v>
      </c>
      <c r="F77" s="96">
        <f t="shared" si="24"/>
        <v>72688.35411093668</v>
      </c>
      <c r="G77" s="96">
        <f t="shared" si="24"/>
        <v>13148.48130326749</v>
      </c>
      <c r="H77" s="96">
        <f t="shared" si="24"/>
        <v>-46000.70281412717</v>
      </c>
      <c r="I77" s="96">
        <f t="shared" si="24"/>
        <v>23489.030519788674</v>
      </c>
      <c r="J77" s="96">
        <f t="shared" si="24"/>
        <v>20999.933552385246</v>
      </c>
      <c r="K77" s="96">
        <f t="shared" si="24"/>
        <v>15399.450600644563</v>
      </c>
      <c r="L77" s="96">
        <f t="shared" si="24"/>
        <v>2496.0590946148077</v>
      </c>
      <c r="M77" s="3">
        <f>SUM(C77:L77)</f>
        <v>507488.3271558293</v>
      </c>
    </row>
    <row r="78" spans="3:13" ht="15">
      <c r="C78" s="96"/>
      <c r="D78" s="96"/>
      <c r="E78" s="96"/>
      <c r="F78" s="96"/>
      <c r="G78" s="96"/>
      <c r="H78" s="96"/>
      <c r="I78" s="96"/>
      <c r="J78" s="96"/>
      <c r="K78" s="96"/>
      <c r="L78" s="96"/>
      <c r="M78" s="3"/>
    </row>
    <row r="79" spans="2:13" ht="15">
      <c r="B79" s="1" t="s">
        <v>82</v>
      </c>
      <c r="C79" s="49">
        <f>+'2014-2015 Composition'!Y$6</f>
        <v>0.3535192899378316</v>
      </c>
      <c r="D79" s="49">
        <f>+'2014-2015 Composition'!Y$7</f>
        <v>0.12454112274570879</v>
      </c>
      <c r="E79" s="49">
        <f>+'2014-2015 Composition'!Y$8</f>
        <v>0.2719693420613919</v>
      </c>
      <c r="F79" s="49">
        <f>+'2014-2015 Composition'!Y$9</f>
        <v>0.009369579255245066</v>
      </c>
      <c r="G79" s="49">
        <f>+'2014-2015 Composition'!Y$15</f>
        <v>0.013749646530512331</v>
      </c>
      <c r="H79" s="49">
        <f>+'2014-2015 Composition'!Y$10</f>
        <v>0.15772715954029976</v>
      </c>
      <c r="I79" s="49">
        <f>+'2014-2015 Composition'!Y$11</f>
        <v>0.017283075247850697</v>
      </c>
      <c r="J79" s="49">
        <f>+'2014-2015 Composition'!Y$12</f>
        <v>0.004431557755859153</v>
      </c>
      <c r="K79" s="49">
        <f>+'2014-2015 Composition'!Y$13</f>
        <v>0.004760759189151547</v>
      </c>
      <c r="L79" s="49">
        <f>+'2014-2015 Composition'!Y$14</f>
        <v>0.004501618573713688</v>
      </c>
      <c r="M79" s="26">
        <f>SUM(C79:L79)</f>
        <v>0.9618531508375645</v>
      </c>
    </row>
    <row r="80" spans="3:13" ht="15">
      <c r="C80" s="13">
        <f>+C79*$M80</f>
        <v>1790.695400093696</v>
      </c>
      <c r="D80" s="13">
        <f>+D79*$M80</f>
        <v>630.8431306887486</v>
      </c>
      <c r="E80" s="13">
        <f>+E79*$M80</f>
        <v>1377.6171871172508</v>
      </c>
      <c r="F80" s="13">
        <f>+F79*$M80</f>
        <v>47.460104584763044</v>
      </c>
      <c r="G80" s="13">
        <f aca="true" t="shared" si="25" ref="G80:L80">+G79*$M80</f>
        <v>69.64663455686534</v>
      </c>
      <c r="H80" s="13">
        <f t="shared" si="25"/>
        <v>798.941690305862</v>
      </c>
      <c r="I80" s="13">
        <f t="shared" si="25"/>
        <v>87.54465237594805</v>
      </c>
      <c r="J80" s="13">
        <f t="shared" si="25"/>
        <v>22.447346763063603</v>
      </c>
      <c r="K80" s="13">
        <f t="shared" si="25"/>
        <v>24.114863951176897</v>
      </c>
      <c r="L80" s="13">
        <f t="shared" si="25"/>
        <v>22.802228626174895</v>
      </c>
      <c r="M80" s="3">
        <f>+'2014-2015 RSA'!C18</f>
        <v>5065.34</v>
      </c>
    </row>
    <row r="81" spans="3:13" ht="15">
      <c r="C81" s="96">
        <f>+C80*C16</f>
        <v>168200.01893080087</v>
      </c>
      <c r="D81" s="96">
        <f aca="true" t="shared" si="26" ref="D81:L81">+D80*D16</f>
        <v>54208.35022008417</v>
      </c>
      <c r="E81" s="96">
        <f t="shared" si="26"/>
        <v>170466.3507338886</v>
      </c>
      <c r="F81" s="96">
        <f t="shared" si="26"/>
        <v>77734.43069833754</v>
      </c>
      <c r="G81" s="96">
        <f t="shared" si="26"/>
        <v>16158.019217192757</v>
      </c>
      <c r="H81" s="96">
        <f t="shared" si="26"/>
        <v>-42615.549760914684</v>
      </c>
      <c r="I81" s="96">
        <f t="shared" si="26"/>
        <v>31953.79811722104</v>
      </c>
      <c r="J81" s="96">
        <f t="shared" si="26"/>
        <v>22124.10496967549</v>
      </c>
      <c r="K81" s="96">
        <f t="shared" si="26"/>
        <v>16156.95884728852</v>
      </c>
      <c r="L81" s="96">
        <f t="shared" si="26"/>
        <v>2274.9783500334693</v>
      </c>
      <c r="M81" s="3">
        <f>SUM(C81:L81)</f>
        <v>516661.4603236077</v>
      </c>
    </row>
    <row r="82" spans="3:13" ht="15">
      <c r="C82" s="107"/>
      <c r="D82" s="107"/>
      <c r="E82" s="107"/>
      <c r="F82" s="107"/>
      <c r="G82" s="107"/>
      <c r="H82" s="107"/>
      <c r="I82" s="107"/>
      <c r="J82" s="107"/>
      <c r="K82" s="107"/>
      <c r="L82" s="107"/>
      <c r="M82" s="3"/>
    </row>
    <row r="83" spans="2:13" ht="15">
      <c r="B83" s="1" t="s">
        <v>90</v>
      </c>
      <c r="C83" s="109">
        <f>+'2014-2015 Composition'!$C$24</f>
        <v>0.3381275679695002</v>
      </c>
      <c r="D83" s="109">
        <f>+'2014-2015 Composition'!$C$25</f>
        <v>0.122630165088644</v>
      </c>
      <c r="E83" s="109">
        <f>+'2014-2015 Composition'!$C$26</f>
        <v>0.26296505611254545</v>
      </c>
      <c r="F83" s="109">
        <f>+'2014-2015 Composition'!$C$27</f>
        <v>0.008423313407840239</v>
      </c>
      <c r="G83" s="109">
        <f>+'2014-2015 Composition'!$C$33</f>
        <v>0.014522954151448688</v>
      </c>
      <c r="H83" s="109">
        <f>+'2014-2015 Composition'!$C$28</f>
        <v>0.1848614385691488</v>
      </c>
      <c r="I83" s="109">
        <f>+'2014-2015 Composition'!$C$29</f>
        <v>0.014510505905033161</v>
      </c>
      <c r="J83" s="109">
        <f>+'2014-2015 Composition'!$C$30</f>
        <v>0.005012493889985719</v>
      </c>
      <c r="K83" s="109">
        <f>+'2014-2015 Composition'!$C$31</f>
        <v>0.00468054065223832</v>
      </c>
      <c r="L83" s="109">
        <f>+'2014-2015 Composition'!$C$32</f>
        <v>0.003775968079376659</v>
      </c>
      <c r="M83" s="26">
        <f>SUM(C83:L83)</f>
        <v>0.9595100038257611</v>
      </c>
    </row>
    <row r="84" spans="3:13" ht="15">
      <c r="C84" s="112">
        <f>+C83*$M84</f>
        <v>1789.8579933924711</v>
      </c>
      <c r="D84" s="112">
        <f>+D83*$M84</f>
        <v>649.1354210868316</v>
      </c>
      <c r="E84" s="112">
        <f>+E83*$M84</f>
        <v>1391.9897466283924</v>
      </c>
      <c r="F84" s="112">
        <f>+F83*$M84</f>
        <v>44.58830412559783</v>
      </c>
      <c r="G84" s="112">
        <f aca="true" t="shared" si="27" ref="G84:L84">+G83*$M84</f>
        <v>76.87638642344454</v>
      </c>
      <c r="H84" s="112">
        <f t="shared" si="27"/>
        <v>978.552933379475</v>
      </c>
      <c r="I84" s="112">
        <f t="shared" si="27"/>
        <v>76.81049237793873</v>
      </c>
      <c r="J84" s="112">
        <f t="shared" si="27"/>
        <v>26.533335657006</v>
      </c>
      <c r="K84" s="112">
        <f t="shared" si="27"/>
        <v>24.77616111018441</v>
      </c>
      <c r="L84" s="112">
        <f t="shared" si="27"/>
        <v>19.98786047009558</v>
      </c>
      <c r="M84" s="3">
        <f>+'2014-2015 RSA'!C19</f>
        <v>5293.44</v>
      </c>
    </row>
    <row r="85" spans="3:13" ht="15">
      <c r="C85" s="107">
        <f>+C84*C17</f>
        <v>161266.20520466164</v>
      </c>
      <c r="D85" s="107">
        <f aca="true" t="shared" si="28" ref="D85:L85">+D84*D17</f>
        <v>52644.88265014203</v>
      </c>
      <c r="E85" s="107">
        <f t="shared" si="28"/>
        <v>178049.40849123767</v>
      </c>
      <c r="F85" s="107">
        <f t="shared" si="28"/>
        <v>72817.60535055507</v>
      </c>
      <c r="G85" s="107">
        <f t="shared" si="28"/>
        <v>15901.11176782527</v>
      </c>
      <c r="H85" s="107">
        <f t="shared" si="28"/>
        <v>-52196.0134664612</v>
      </c>
      <c r="I85" s="107">
        <f t="shared" si="28"/>
        <v>26883.672332278555</v>
      </c>
      <c r="J85" s="107">
        <f t="shared" si="28"/>
        <v>26055.735615179892</v>
      </c>
      <c r="K85" s="107">
        <f t="shared" si="28"/>
        <v>16352.26633272171</v>
      </c>
      <c r="L85" s="107">
        <f t="shared" si="28"/>
        <v>2450.711572238419</v>
      </c>
      <c r="M85" s="3">
        <f>SUM(C85:L85)</f>
        <v>500225.58585037896</v>
      </c>
    </row>
    <row r="86" spans="3:13" ht="15">
      <c r="C86" s="107"/>
      <c r="D86" s="107"/>
      <c r="E86" s="107"/>
      <c r="F86" s="107"/>
      <c r="G86" s="107"/>
      <c r="H86" s="107"/>
      <c r="I86" s="107"/>
      <c r="J86" s="107"/>
      <c r="K86" s="107"/>
      <c r="L86" s="107"/>
      <c r="M86" s="3"/>
    </row>
    <row r="87" spans="2:13" ht="15">
      <c r="B87" s="1" t="s">
        <v>91</v>
      </c>
      <c r="C87" s="109">
        <f>+'2014-2015 Composition'!$E$24</f>
        <v>0.3423216116774232</v>
      </c>
      <c r="D87" s="109">
        <f>+'2014-2015 Composition'!$E$25</f>
        <v>0.13569676498381483</v>
      </c>
      <c r="E87" s="109">
        <f>+'2014-2015 Composition'!$E$26</f>
        <v>0.2535285602267929</v>
      </c>
      <c r="F87" s="109">
        <f>+'2014-2015 Composition'!$E$27</f>
        <v>0.00814283129259907</v>
      </c>
      <c r="G87" s="109">
        <f>+'2014-2015 Composition'!$E$33</f>
        <v>0.01689687757605002</v>
      </c>
      <c r="H87" s="109">
        <f>+'2014-2015 Composition'!$E$28</f>
        <v>0.1773016064499266</v>
      </c>
      <c r="I87" s="109">
        <f>+'2014-2015 Composition'!$E$29</f>
        <v>0.01502905281782174</v>
      </c>
      <c r="J87" s="109">
        <f>+'2014-2015 Composition'!$E$30</f>
        <v>0.00461427106580614</v>
      </c>
      <c r="K87" s="109">
        <f>+'2014-2015 Composition'!$E$31</f>
        <v>0.0043086635703802</v>
      </c>
      <c r="L87" s="109">
        <f>+'2014-2015 Composition'!$E$32</f>
        <v>0.0034612059432615554</v>
      </c>
      <c r="M87" s="26">
        <f>SUM(C87:L87)</f>
        <v>0.9613014456038764</v>
      </c>
    </row>
    <row r="88" spans="3:13" ht="15">
      <c r="C88" s="112">
        <f>+C87*$M88</f>
        <v>1645.1257781832437</v>
      </c>
      <c r="D88" s="112">
        <f>+D87*$M88</f>
        <v>652.1301561915675</v>
      </c>
      <c r="E88" s="112">
        <f>+E87*$M88</f>
        <v>1218.405019452319</v>
      </c>
      <c r="F88" s="112">
        <f>+F87*$M88</f>
        <v>39.13273719765968</v>
      </c>
      <c r="G88" s="112">
        <f aca="true" t="shared" si="29" ref="G88:L88">+G87*$M88</f>
        <v>81.20284528620543</v>
      </c>
      <c r="H88" s="112">
        <f t="shared" si="29"/>
        <v>852.0742872609927</v>
      </c>
      <c r="I88" s="112">
        <f t="shared" si="29"/>
        <v>72.22647174135955</v>
      </c>
      <c r="J88" s="112">
        <f t="shared" si="29"/>
        <v>22.175217745340486</v>
      </c>
      <c r="K88" s="112">
        <f t="shared" si="29"/>
        <v>20.70653229989746</v>
      </c>
      <c r="L88" s="112">
        <f t="shared" si="29"/>
        <v>16.63382891006695</v>
      </c>
      <c r="M88" s="3">
        <f>+'2014-2015 RSA'!C20</f>
        <v>4805.79</v>
      </c>
    </row>
    <row r="89" spans="3:13" ht="15">
      <c r="C89" s="107">
        <f>+C88*C18</f>
        <v>146580.706836127</v>
      </c>
      <c r="D89" s="107">
        <f aca="true" t="shared" si="30" ref="D89:L89">+D88*D18</f>
        <v>51583.49535475299</v>
      </c>
      <c r="E89" s="107">
        <f t="shared" si="30"/>
        <v>154627.78101869381</v>
      </c>
      <c r="F89" s="107">
        <f t="shared" si="30"/>
        <v>67995.08751779358</v>
      </c>
      <c r="G89" s="107">
        <f t="shared" si="30"/>
        <v>16321.77190252729</v>
      </c>
      <c r="H89" s="107">
        <f t="shared" si="30"/>
        <v>-45449.64248250135</v>
      </c>
      <c r="I89" s="107">
        <f t="shared" si="30"/>
        <v>23473.60331594185</v>
      </c>
      <c r="J89" s="107">
        <f t="shared" si="30"/>
        <v>18627.182906086007</v>
      </c>
      <c r="K89" s="107">
        <f t="shared" si="30"/>
        <v>13666.311317932325</v>
      </c>
      <c r="L89" s="107">
        <f t="shared" si="30"/>
        <v>2328.736047409373</v>
      </c>
      <c r="M89" s="3">
        <f>SUM(C89:L89)</f>
        <v>449755.0337347629</v>
      </c>
    </row>
    <row r="90" spans="3:13" ht="15">
      <c r="C90" s="107"/>
      <c r="D90" s="107"/>
      <c r="E90" s="107"/>
      <c r="F90" s="107"/>
      <c r="G90" s="107"/>
      <c r="H90" s="107"/>
      <c r="I90" s="107"/>
      <c r="J90" s="107"/>
      <c r="K90" s="107"/>
      <c r="L90" s="107"/>
      <c r="M90" s="3"/>
    </row>
    <row r="91" spans="2:13" ht="15">
      <c r="B91" s="1" t="s">
        <v>44</v>
      </c>
      <c r="C91" s="109">
        <f>+'2014-2015 Composition'!$G$24</f>
        <v>0.34424915506463627</v>
      </c>
      <c r="D91" s="109">
        <f>+'2014-2015 Composition'!$G$25</f>
        <v>0.15927291971551846</v>
      </c>
      <c r="E91" s="109">
        <f>+'2014-2015 Composition'!$G$26</f>
        <v>0.2472017422524769</v>
      </c>
      <c r="F91" s="109">
        <f>+'2014-2015 Composition'!$G$27</f>
        <v>0.008215988699736856</v>
      </c>
      <c r="G91" s="109">
        <f>+'2014-2015 Composition'!$G$33</f>
        <v>0.017128600666690835</v>
      </c>
      <c r="H91" s="109">
        <f>+'2014-2015 Composition'!$G$28</f>
        <v>0.16049336047823995</v>
      </c>
      <c r="I91" s="109">
        <f>+'2014-2015 Composition'!$G$29</f>
        <v>0.014163901645743536</v>
      </c>
      <c r="J91" s="109">
        <f>+'2014-2015 Composition'!$G$30</f>
        <v>0.004474435160420072</v>
      </c>
      <c r="K91" s="109">
        <f>+'2014-2015 Composition'!$G$31</f>
        <v>0.0037477251740208116</v>
      </c>
      <c r="L91" s="109">
        <f>+'2014-2015 Composition'!$G$32</f>
        <v>0.0037106953657966455</v>
      </c>
      <c r="M91" s="26">
        <f>SUM(C91:L91)</f>
        <v>0.9626585242232804</v>
      </c>
    </row>
    <row r="92" spans="3:13" ht="15">
      <c r="C92" s="112">
        <f>+C91*$M92</f>
        <v>2068.9064395145083</v>
      </c>
      <c r="D92" s="112">
        <f>+D91*$M92</f>
        <v>957.2159129274916</v>
      </c>
      <c r="E92" s="112">
        <f>+E91*$M92</f>
        <v>1485.6602227805834</v>
      </c>
      <c r="F92" s="112">
        <f>+F91*$M92</f>
        <v>49.377352646435526</v>
      </c>
      <c r="G92" s="112">
        <f aca="true" t="shared" si="31" ref="G92:L92">+G91*$M92</f>
        <v>102.94134843275191</v>
      </c>
      <c r="H92" s="112">
        <f t="shared" si="31"/>
        <v>964.550652071779</v>
      </c>
      <c r="I92" s="112">
        <f t="shared" si="31"/>
        <v>85.12377413977053</v>
      </c>
      <c r="J92" s="112">
        <f t="shared" si="31"/>
        <v>26.890952614960195</v>
      </c>
      <c r="K92" s="112">
        <f t="shared" si="31"/>
        <v>22.523491000599414</v>
      </c>
      <c r="L92" s="112">
        <f t="shared" si="31"/>
        <v>22.300945185854918</v>
      </c>
      <c r="M92" s="3">
        <f>+'2014-2015 RSA'!C21</f>
        <v>6009.91</v>
      </c>
    </row>
    <row r="93" spans="3:13" ht="15">
      <c r="C93" s="107">
        <f>+C92*C19</f>
        <v>181174.13690828547</v>
      </c>
      <c r="D93" s="107">
        <f aca="true" t="shared" si="32" ref="D93:L93">+D92*D19</f>
        <v>73294.02245285803</v>
      </c>
      <c r="E93" s="107">
        <f t="shared" si="32"/>
        <v>184771.56190722116</v>
      </c>
      <c r="F93" s="107">
        <f t="shared" si="32"/>
        <v>84340.96228185005</v>
      </c>
      <c r="G93" s="107">
        <f t="shared" si="32"/>
        <v>20073.562944386624</v>
      </c>
      <c r="H93" s="107">
        <f t="shared" si="32"/>
        <v>-51449.131781508695</v>
      </c>
      <c r="I93" s="107">
        <f t="shared" si="32"/>
        <v>21677.620322433962</v>
      </c>
      <c r="J93" s="107">
        <f t="shared" si="32"/>
        <v>20770.571799795252</v>
      </c>
      <c r="K93" s="107">
        <f t="shared" si="32"/>
        <v>13514.09460035965</v>
      </c>
      <c r="L93" s="107">
        <f t="shared" si="32"/>
        <v>1338.056711151295</v>
      </c>
      <c r="M93" s="3">
        <f>SUM(C93:L93)</f>
        <v>549505.4581468328</v>
      </c>
    </row>
    <row r="94" spans="3:13" ht="15">
      <c r="C94" s="116"/>
      <c r="D94" s="116"/>
      <c r="E94" s="116"/>
      <c r="F94" s="116"/>
      <c r="G94" s="116"/>
      <c r="H94" s="116"/>
      <c r="I94" s="116"/>
      <c r="J94" s="116"/>
      <c r="K94" s="116"/>
      <c r="L94" s="116"/>
      <c r="M94" s="3"/>
    </row>
    <row r="95" spans="2:13" ht="15">
      <c r="B95" s="1" t="s">
        <v>94</v>
      </c>
      <c r="C95" s="109">
        <f>+'2014-2015 Composition'!$U$24</f>
        <v>0.35379470328658835</v>
      </c>
      <c r="D95" s="109">
        <f>+'2014-2015 Composition'!$U$25</f>
        <v>0.13573335724727922</v>
      </c>
      <c r="E95" s="109">
        <f>+'2014-2015 Composition'!$U$26</f>
        <v>0.24674623693757106</v>
      </c>
      <c r="F95" s="109">
        <f>+'2014-2015 Composition'!$U$27</f>
        <v>0.009538787969029185</v>
      </c>
      <c r="G95" s="109">
        <f>+'2014-2015 Composition'!$U$33</f>
        <v>0.016736660079051384</v>
      </c>
      <c r="H95" s="109">
        <f>+'2014-2015 Composition'!$U$28</f>
        <v>0.16989956142725648</v>
      </c>
      <c r="I95" s="109">
        <f>+'2014-2015 Composition'!$U$29</f>
        <v>0.013589494558449293</v>
      </c>
      <c r="J95" s="109">
        <f>+'2014-2015 Composition'!$U$30</f>
        <v>0.004847650116411284</v>
      </c>
      <c r="K95" s="109">
        <f>+'2014-2015 Composition'!$U$31</f>
        <v>0.003864583897341491</v>
      </c>
      <c r="L95" s="109">
        <f>+'2014-2015 Composition'!$U$32</f>
        <v>0.0050574611511180895</v>
      </c>
      <c r="M95" s="26">
        <f>SUM(C95:L95)</f>
        <v>0.9598084966700957</v>
      </c>
    </row>
    <row r="96" spans="3:13" ht="15">
      <c r="C96" s="112">
        <f aca="true" t="shared" si="33" ref="C96:L96">+C95*$M96</f>
        <v>1796.473978719408</v>
      </c>
      <c r="D96" s="112">
        <f t="shared" si="33"/>
        <v>689.2173400952271</v>
      </c>
      <c r="E96" s="112">
        <f t="shared" si="33"/>
        <v>1252.9107696850126</v>
      </c>
      <c r="F96" s="112">
        <f t="shared" si="33"/>
        <v>48.43538983397856</v>
      </c>
      <c r="G96" s="112">
        <f t="shared" si="33"/>
        <v>84.98424098320157</v>
      </c>
      <c r="H96" s="112">
        <f t="shared" si="33"/>
        <v>862.704100046023</v>
      </c>
      <c r="I96" s="112">
        <f t="shared" si="33"/>
        <v>69.00378420427472</v>
      </c>
      <c r="J96" s="112">
        <f t="shared" si="33"/>
        <v>24.615058425605064</v>
      </c>
      <c r="K96" s="112">
        <f t="shared" si="33"/>
        <v>19.623313593047808</v>
      </c>
      <c r="L96" s="112">
        <f t="shared" si="33"/>
        <v>25.680422210866855</v>
      </c>
      <c r="M96" s="3">
        <f>+'2014-2015 RSA'!C22</f>
        <v>5077.73</v>
      </c>
    </row>
    <row r="97" spans="3:13" ht="15">
      <c r="C97" s="116">
        <f>+C96*C20</f>
        <v>153113.47720625516</v>
      </c>
      <c r="D97" s="116">
        <f aca="true" t="shared" si="34" ref="D97:L97">+D96*D20</f>
        <v>51126.14228826395</v>
      </c>
      <c r="E97" s="116">
        <f t="shared" si="34"/>
        <v>153907.55894810695</v>
      </c>
      <c r="F97" s="116">
        <f t="shared" si="34"/>
        <v>77979.52457101046</v>
      </c>
      <c r="G97" s="116">
        <f t="shared" si="34"/>
        <v>12844.518182201085</v>
      </c>
      <c r="H97" s="116">
        <f t="shared" si="34"/>
        <v>-46016.636696454865</v>
      </c>
      <c r="I97" s="116">
        <f t="shared" si="34"/>
        <v>16264.19193694755</v>
      </c>
      <c r="J97" s="116">
        <f t="shared" si="34"/>
        <v>14522.884471106987</v>
      </c>
      <c r="K97" s="116">
        <f t="shared" si="34"/>
        <v>8241.791709080078</v>
      </c>
      <c r="L97" s="116">
        <f t="shared" si="34"/>
        <v>1540.8253326520112</v>
      </c>
      <c r="M97" s="3">
        <f>SUM(C97:L97)</f>
        <v>443524.2779491694</v>
      </c>
    </row>
    <row r="98" spans="3:12" ht="15">
      <c r="C98" s="109"/>
      <c r="D98" s="109"/>
      <c r="E98" s="109"/>
      <c r="F98" s="109"/>
      <c r="G98" s="109"/>
      <c r="H98" s="109"/>
      <c r="I98" s="109"/>
      <c r="J98" s="109"/>
      <c r="K98" s="109"/>
      <c r="L98" s="109"/>
    </row>
    <row r="99" spans="2:13" ht="15">
      <c r="B99" s="1" t="s">
        <v>45</v>
      </c>
      <c r="C99" s="109">
        <f>+'2014-2015 Composition'!$W$24</f>
        <v>0.2962166570215785</v>
      </c>
      <c r="D99" s="109">
        <f>+'2014-2015 Composition'!$W$25</f>
        <v>0.142330417865446</v>
      </c>
      <c r="E99" s="109">
        <f>+'2014-2015 Composition'!$W$26</f>
        <v>0.2341105171687141</v>
      </c>
      <c r="F99" s="109">
        <f>+'2014-2015 Composition'!$W$27</f>
        <v>0.008731776040138195</v>
      </c>
      <c r="G99" s="109">
        <f>+'2014-2015 Composition'!$W$33</f>
        <v>0.015998961438846028</v>
      </c>
      <c r="H99" s="109">
        <f>+'2014-2015 Composition'!$W$28</f>
        <v>0.23547819981514345</v>
      </c>
      <c r="I99" s="109">
        <f>+'2014-2015 Composition'!$W$29</f>
        <v>0.015028053036100057</v>
      </c>
      <c r="J99" s="109">
        <f>+'2014-2015 Composition'!$W$30</f>
        <v>0.004543705048632272</v>
      </c>
      <c r="K99" s="109">
        <f>+'2014-2015 Composition'!$W$31</f>
        <v>0.0038397507453230466</v>
      </c>
      <c r="L99" s="109">
        <f>+'2014-2015 Composition'!$W$32</f>
        <v>0.004008882623390848</v>
      </c>
      <c r="M99" s="26">
        <f>SUM(C99:L99)</f>
        <v>0.9602869208033126</v>
      </c>
    </row>
    <row r="100" spans="3:13" ht="15">
      <c r="C100" s="112">
        <f aca="true" t="shared" si="35" ref="C100:L100">+C99*$M100</f>
        <v>1253.99767150201</v>
      </c>
      <c r="D100" s="112">
        <f t="shared" si="35"/>
        <v>602.5387443832218</v>
      </c>
      <c r="E100" s="112">
        <f t="shared" si="35"/>
        <v>991.0787811716908</v>
      </c>
      <c r="F100" s="112">
        <f t="shared" si="35"/>
        <v>36.96492605280023</v>
      </c>
      <c r="G100" s="112">
        <f t="shared" si="35"/>
        <v>67.729683375982</v>
      </c>
      <c r="H100" s="112">
        <f t="shared" si="35"/>
        <v>996.868701533432</v>
      </c>
      <c r="I100" s="112">
        <f t="shared" si="35"/>
        <v>63.61945916196526</v>
      </c>
      <c r="J100" s="112">
        <f t="shared" si="35"/>
        <v>19.235230078778887</v>
      </c>
      <c r="K100" s="112">
        <f t="shared" si="35"/>
        <v>16.25512401023568</v>
      </c>
      <c r="L100" s="112">
        <f t="shared" si="35"/>
        <v>16.971123520210348</v>
      </c>
      <c r="M100" s="3">
        <f>+'2014-2015 RSA'!C23</f>
        <v>4233.38</v>
      </c>
    </row>
    <row r="101" spans="3:13" ht="15">
      <c r="C101" s="116">
        <f>+C100*C21</f>
        <v>104182.126548387</v>
      </c>
      <c r="D101" s="116">
        <f aca="true" t="shared" si="36" ref="D101:L101">+D100*D21</f>
        <v>42979.08863685521</v>
      </c>
      <c r="E101" s="116">
        <f t="shared" si="36"/>
        <v>111962.16990896591</v>
      </c>
      <c r="F101" s="116">
        <f t="shared" si="36"/>
        <v>64688.6205924004</v>
      </c>
      <c r="G101" s="116">
        <f t="shared" si="36"/>
        <v>5563.316192503162</v>
      </c>
      <c r="H101" s="116">
        <f t="shared" si="36"/>
        <v>-53172.97653979327</v>
      </c>
      <c r="I101" s="116">
        <f t="shared" si="36"/>
        <v>10369.971843400337</v>
      </c>
      <c r="J101" s="116">
        <f t="shared" si="36"/>
        <v>9425.262738601654</v>
      </c>
      <c r="K101" s="116">
        <f t="shared" si="36"/>
        <v>5250.405055306124</v>
      </c>
      <c r="L101" s="116">
        <f t="shared" si="36"/>
        <v>678.8449408084139</v>
      </c>
      <c r="M101" s="3">
        <f>SUM(C101:L101)</f>
        <v>301926.8299174349</v>
      </c>
    </row>
    <row r="103" spans="2:13" ht="15">
      <c r="B103" s="1" t="s">
        <v>46</v>
      </c>
      <c r="C103" s="109">
        <f>+'2014-2015 Composition'!$Y$24</f>
        <v>0.3482085642899588</v>
      </c>
      <c r="D103" s="109">
        <f>+'2014-2015 Composition'!$Y$25</f>
        <v>0.1411121623404793</v>
      </c>
      <c r="E103" s="109">
        <f>+'2014-2015 Composition'!$Y$26</f>
        <v>0.2485939926985077</v>
      </c>
      <c r="F103" s="109">
        <f>+'2014-2015 Composition'!$Y$27</f>
        <v>0.008901334984635472</v>
      </c>
      <c r="G103" s="109">
        <f>+'2014-2015 Composition'!$Y$33</f>
        <v>0.016550394182264776</v>
      </c>
      <c r="H103" s="109">
        <f>+'2014-2015 Composition'!$Y$28</f>
        <v>0.1687113892412951</v>
      </c>
      <c r="I103" s="109">
        <f>+'2014-2015 Composition'!$Y$29</f>
        <v>0.01568622039536382</v>
      </c>
      <c r="J103" s="109">
        <f>+'2014-2015 Composition'!$Y$30</f>
        <v>0.0048124648013047125</v>
      </c>
      <c r="K103" s="109">
        <f>+'2014-2015 Composition'!$Y$31</f>
        <v>0.004752093379066124</v>
      </c>
      <c r="L103" s="109">
        <f>+'2014-2015 Composition'!$Y$32</f>
        <v>0.0040914575299981285</v>
      </c>
      <c r="M103" s="26">
        <f>SUM(C103:L103)</f>
        <v>0.9614200738428741</v>
      </c>
    </row>
    <row r="104" spans="3:13" ht="15">
      <c r="C104" s="112">
        <f aca="true" t="shared" si="37" ref="C104:L104">+C103*$M104</f>
        <v>1604.5624746763447</v>
      </c>
      <c r="D104" s="112">
        <f t="shared" si="37"/>
        <v>650.2518996730456</v>
      </c>
      <c r="E104" s="112">
        <f t="shared" si="37"/>
        <v>1145.5335480543586</v>
      </c>
      <c r="F104" s="112">
        <f t="shared" si="37"/>
        <v>41.01779667594949</v>
      </c>
      <c r="G104" s="112">
        <f t="shared" si="37"/>
        <v>76.26504391158521</v>
      </c>
      <c r="H104" s="112">
        <f t="shared" si="37"/>
        <v>777.4305171933499</v>
      </c>
      <c r="I104" s="112">
        <f t="shared" si="37"/>
        <v>72.28288789285625</v>
      </c>
      <c r="J104" s="112">
        <f t="shared" si="37"/>
        <v>22.176078427652183</v>
      </c>
      <c r="K104" s="112">
        <f t="shared" si="37"/>
        <v>21.897883895405652</v>
      </c>
      <c r="L104" s="112">
        <f t="shared" si="37"/>
        <v>18.853640871107878</v>
      </c>
      <c r="M104" s="3">
        <f>+'2014-2015 RSA'!C24</f>
        <v>4608.05</v>
      </c>
    </row>
    <row r="105" spans="3:13" ht="15">
      <c r="C105" s="116">
        <f>+C104*C22</f>
        <v>120197.77497800498</v>
      </c>
      <c r="D105" s="116">
        <f aca="true" t="shared" si="38" ref="D105:L105">+D104*D22</f>
        <v>38579.4452076018</v>
      </c>
      <c r="E105" s="116">
        <f t="shared" si="38"/>
        <v>112101.91301259953</v>
      </c>
      <c r="F105" s="116">
        <f t="shared" si="38"/>
        <v>71781.14418291161</v>
      </c>
      <c r="G105" s="116">
        <f t="shared" si="38"/>
        <v>11439.756586737782</v>
      </c>
      <c r="H105" s="116">
        <f t="shared" si="38"/>
        <v>-41468.143787093286</v>
      </c>
      <c r="I105" s="116">
        <f t="shared" si="38"/>
        <v>12288.090941785562</v>
      </c>
      <c r="J105" s="116">
        <f t="shared" si="38"/>
        <v>11753.321566655657</v>
      </c>
      <c r="K105" s="116">
        <f t="shared" si="38"/>
        <v>10510.984269794713</v>
      </c>
      <c r="L105" s="116">
        <f t="shared" si="38"/>
        <v>1131.2184522664727</v>
      </c>
      <c r="M105" s="3">
        <f>SUM(C105:L105)</f>
        <v>348315.5054112648</v>
      </c>
    </row>
    <row r="106" spans="3:13" ht="15">
      <c r="C106" s="132"/>
      <c r="D106" s="132"/>
      <c r="E106" s="132"/>
      <c r="F106" s="132"/>
      <c r="G106" s="132"/>
      <c r="H106" s="132"/>
      <c r="I106" s="132"/>
      <c r="J106" s="132"/>
      <c r="K106" s="132"/>
      <c r="L106" s="132"/>
      <c r="M106" s="3"/>
    </row>
    <row r="107" spans="2:13" ht="15">
      <c r="B107" s="1" t="s">
        <v>76</v>
      </c>
      <c r="C107" s="109">
        <f>+'2014-2015 Composition'!$I$24</f>
        <v>0.33717338601059527</v>
      </c>
      <c r="D107" s="109">
        <f>+'2014-2015 Composition'!$I$25</f>
        <v>0.1297449941635988</v>
      </c>
      <c r="E107" s="109">
        <f>+'2014-2015 Composition'!$I$26</f>
        <v>0.2734452725150399</v>
      </c>
      <c r="F107" s="109">
        <f>+'2014-2015 Composition'!$I$27</f>
        <v>0.008619915596659781</v>
      </c>
      <c r="G107" s="109">
        <f>+'2014-2015 Composition'!$I$33</f>
        <v>0.014456316781898175</v>
      </c>
      <c r="H107" s="109">
        <f>+'2014-2015 Composition'!$I$28</f>
        <v>0.17069049115560742</v>
      </c>
      <c r="I107" s="109">
        <f>+'2014-2015 Composition'!$I$29</f>
        <v>0.01438448415192601</v>
      </c>
      <c r="J107" s="109">
        <f>+'2014-2015 Composition'!$I$30</f>
        <v>0.004274041483343809</v>
      </c>
      <c r="K107" s="109">
        <f>+'2014-2015 Composition'!$I$31</f>
        <v>0.00414833438089252</v>
      </c>
      <c r="L107" s="109">
        <f>+'2014-2015 Composition'!$I$32</f>
        <v>0.0039283469516027646</v>
      </c>
      <c r="M107" s="26">
        <f>SUM(C107:L107)</f>
        <v>0.9608655831911644</v>
      </c>
    </row>
    <row r="108" spans="3:13" ht="15">
      <c r="C108" s="112">
        <f aca="true" t="shared" si="39" ref="C108:L108">+C107*$M108</f>
        <v>1575.0548967405944</v>
      </c>
      <c r="D108" s="112">
        <f t="shared" si="39"/>
        <v>606.0842784861273</v>
      </c>
      <c r="E108" s="112">
        <f t="shared" si="39"/>
        <v>1277.3585737631317</v>
      </c>
      <c r="F108" s="112">
        <f t="shared" si="39"/>
        <v>40.26664272245667</v>
      </c>
      <c r="G108" s="112">
        <f t="shared" si="39"/>
        <v>67.53051539912005</v>
      </c>
      <c r="H108" s="112">
        <f t="shared" si="39"/>
        <v>797.3550258597468</v>
      </c>
      <c r="I108" s="112">
        <f t="shared" si="39"/>
        <v>67.19496004309957</v>
      </c>
      <c r="J108" s="112">
        <f t="shared" si="39"/>
        <v>19.9655436832181</v>
      </c>
      <c r="K108" s="112">
        <f t="shared" si="39"/>
        <v>19.378321810182275</v>
      </c>
      <c r="L108" s="112">
        <f t="shared" si="39"/>
        <v>18.350683532369576</v>
      </c>
      <c r="M108" s="3">
        <f>+'2014-2015 RSA'!C25</f>
        <v>4671.35</v>
      </c>
    </row>
    <row r="109" spans="3:13" ht="15">
      <c r="C109" s="132">
        <f>+C108*C23</f>
        <v>117971.61176587053</v>
      </c>
      <c r="D109" s="132">
        <f aca="true" t="shared" si="40" ref="D109:L109">+D108*D23</f>
        <v>36262.022381825</v>
      </c>
      <c r="E109" s="132">
        <f t="shared" si="40"/>
        <v>122869.12121027564</v>
      </c>
      <c r="F109" s="132">
        <f t="shared" si="40"/>
        <v>53952.06658453802</v>
      </c>
      <c r="G109" s="132">
        <f t="shared" si="40"/>
        <v>5546.95653488372</v>
      </c>
      <c r="H109" s="132">
        <f t="shared" si="40"/>
        <v>-42530.91707935889</v>
      </c>
      <c r="I109" s="132">
        <f t="shared" si="40"/>
        <v>13878.447047301785</v>
      </c>
      <c r="J109" s="132">
        <f t="shared" si="40"/>
        <v>11593.392250534254</v>
      </c>
      <c r="K109" s="132">
        <f t="shared" si="40"/>
        <v>11820.776304211187</v>
      </c>
      <c r="L109" s="132">
        <f t="shared" si="40"/>
        <v>734.027341294783</v>
      </c>
      <c r="M109" s="3">
        <f>SUM(C109:L109)</f>
        <v>332097.5043413761</v>
      </c>
    </row>
    <row r="110" spans="3:13" ht="15">
      <c r="C110" s="132"/>
      <c r="D110" s="132"/>
      <c r="E110" s="132"/>
      <c r="F110" s="132"/>
      <c r="G110" s="132"/>
      <c r="H110" s="132"/>
      <c r="I110" s="132"/>
      <c r="J110" s="132"/>
      <c r="K110" s="132"/>
      <c r="L110" s="132"/>
      <c r="M110" s="3"/>
    </row>
    <row r="111" spans="2:13" ht="15">
      <c r="B111" s="1" t="s">
        <v>16</v>
      </c>
      <c r="C111" s="109">
        <f>+'2014-2015 Composition'!$K$24</f>
        <v>0.36354202278004766</v>
      </c>
      <c r="D111" s="109">
        <f>+'2014-2015 Composition'!$K$25</f>
        <v>0.1257199328218378</v>
      </c>
      <c r="E111" s="109">
        <f>+'2014-2015 Composition'!$K$26</f>
        <v>0.2682110545065974</v>
      </c>
      <c r="F111" s="109">
        <f>+'2014-2015 Composition'!$K$27</f>
        <v>0.009667602602686756</v>
      </c>
      <c r="G111" s="109">
        <f>+'2014-2015 Composition'!$K$33</f>
        <v>0.01618366016368606</v>
      </c>
      <c r="H111" s="109">
        <f>+'2014-2015 Composition'!$K$28</f>
        <v>0.14514761074775875</v>
      </c>
      <c r="I111" s="109">
        <f>+'2014-2015 Composition'!$K$29</f>
        <v>0.016521792737809016</v>
      </c>
      <c r="J111" s="109">
        <f>+'2014-2015 Composition'!$K$30</f>
        <v>0.004558251275469697</v>
      </c>
      <c r="K111" s="109">
        <f>+'2014-2015 Composition'!$K$31</f>
        <v>0.004302316675166686</v>
      </c>
      <c r="L111" s="109">
        <f>+'2014-2015 Composition'!$K$32</f>
        <v>0.004845944183839507</v>
      </c>
      <c r="M111" s="26">
        <f>SUM(C111:L111)</f>
        <v>0.9587001884948994</v>
      </c>
    </row>
    <row r="112" spans="3:13" ht="15">
      <c r="C112" s="112">
        <f aca="true" t="shared" si="41" ref="C112:L112">+C111*$M112</f>
        <v>1637.695010480242</v>
      </c>
      <c r="D112" s="112">
        <f t="shared" si="41"/>
        <v>566.3469249737996</v>
      </c>
      <c r="E112" s="112">
        <f t="shared" si="41"/>
        <v>1208.245204672955</v>
      </c>
      <c r="F112" s="112">
        <f t="shared" si="41"/>
        <v>43.550906232661376</v>
      </c>
      <c r="G112" s="112">
        <f t="shared" si="41"/>
        <v>72.90463781517788</v>
      </c>
      <c r="H112" s="112">
        <f t="shared" si="41"/>
        <v>653.865311324826</v>
      </c>
      <c r="I112" s="112">
        <f t="shared" si="41"/>
        <v>74.42786757906418</v>
      </c>
      <c r="J112" s="112">
        <f t="shared" si="41"/>
        <v>20.534147093274154</v>
      </c>
      <c r="K112" s="112">
        <f t="shared" si="41"/>
        <v>19.381205227791142</v>
      </c>
      <c r="L112" s="112">
        <f t="shared" si="41"/>
        <v>21.830154737685724</v>
      </c>
      <c r="M112" s="3">
        <f>+'2014-2015 RSA'!C26</f>
        <v>4504.83</v>
      </c>
    </row>
    <row r="113" spans="3:13" ht="15">
      <c r="C113" s="132">
        <f>+C112*C24</f>
        <v>128509.92747238459</v>
      </c>
      <c r="D113" s="132">
        <f aca="true" t="shared" si="42" ref="D113:L113">+D112*D24</f>
        <v>37724.36867250479</v>
      </c>
      <c r="E113" s="132">
        <f t="shared" si="42"/>
        <v>136592.12038827754</v>
      </c>
      <c r="F113" s="132">
        <f t="shared" si="42"/>
        <v>47383.38598113558</v>
      </c>
      <c r="G113" s="132">
        <f t="shared" si="42"/>
        <v>5337.348534449172</v>
      </c>
      <c r="H113" s="132">
        <f t="shared" si="42"/>
        <v>-34877.17570606622</v>
      </c>
      <c r="I113" s="132">
        <f t="shared" si="42"/>
        <v>18160.399689291662</v>
      </c>
      <c r="J113" s="132">
        <f t="shared" si="42"/>
        <v>14373.902965291907</v>
      </c>
      <c r="K113" s="132">
        <f t="shared" si="42"/>
        <v>12113.253267369464</v>
      </c>
      <c r="L113" s="132">
        <f t="shared" si="42"/>
        <v>2030.2043906047725</v>
      </c>
      <c r="M113" s="3">
        <f>SUM(C113:L113)</f>
        <v>367347.7356552433</v>
      </c>
    </row>
    <row r="114" spans="3:13" ht="15">
      <c r="C114" s="132"/>
      <c r="D114" s="132"/>
      <c r="E114" s="132"/>
      <c r="F114" s="132"/>
      <c r="G114" s="132"/>
      <c r="H114" s="132"/>
      <c r="I114" s="132"/>
      <c r="J114" s="132"/>
      <c r="K114" s="132"/>
      <c r="L114" s="132"/>
      <c r="M114" s="3"/>
    </row>
    <row r="115" spans="2:13" ht="15">
      <c r="B115" s="1" t="s">
        <v>47</v>
      </c>
      <c r="C115" s="109">
        <f>+'2014-2015 Composition'!$M$24</f>
        <v>0.37972116726313754</v>
      </c>
      <c r="D115" s="109">
        <f>+'2014-2015 Composition'!$M$25</f>
        <v>0.10450949747974993</v>
      </c>
      <c r="E115" s="109">
        <f>+'2014-2015 Composition'!$M$26</f>
        <v>0.23205130426047565</v>
      </c>
      <c r="F115" s="109">
        <f>+'2014-2015 Composition'!$M$27</f>
        <v>0.0074654182863581565</v>
      </c>
      <c r="G115" s="109">
        <f>+'2014-2015 Composition'!$M$33</f>
        <v>0.011745538513276324</v>
      </c>
      <c r="H115" s="109">
        <f>+'2014-2015 Composition'!$M$28</f>
        <v>0.19219982669509253</v>
      </c>
      <c r="I115" s="109">
        <f>+'2014-2015 Composition'!$M$29</f>
        <v>0.01344537354173939</v>
      </c>
      <c r="J115" s="109">
        <f>+'2014-2015 Composition'!$M$30</f>
        <v>0.0009995216386818632</v>
      </c>
      <c r="K115" s="109">
        <f>+'2014-2015 Composition'!$M$31</f>
        <v>0.003466864261383539</v>
      </c>
      <c r="L115" s="109">
        <f>+'2014-2015 Composition'!$M$32</f>
        <v>0.004015581356339233</v>
      </c>
      <c r="M115" s="26">
        <f>SUM(C115:L115)</f>
        <v>0.9496200932962341</v>
      </c>
    </row>
    <row r="116" spans="3:13" ht="15">
      <c r="C116" s="112">
        <f aca="true" t="shared" si="43" ref="C116:L116">+C115*$M116</f>
        <v>1881.6209085040077</v>
      </c>
      <c r="D116" s="112">
        <f t="shared" si="43"/>
        <v>517.8727775764804</v>
      </c>
      <c r="E116" s="112">
        <f t="shared" si="43"/>
        <v>1149.8768664628074</v>
      </c>
      <c r="F116" s="112">
        <f t="shared" si="43"/>
        <v>36.993163271841986</v>
      </c>
      <c r="G116" s="112">
        <f t="shared" si="43"/>
        <v>58.20231462868278</v>
      </c>
      <c r="H116" s="112">
        <f t="shared" si="43"/>
        <v>952.4020352273913</v>
      </c>
      <c r="I116" s="112">
        <f t="shared" si="43"/>
        <v>66.62545615017495</v>
      </c>
      <c r="J116" s="112">
        <f t="shared" si="43"/>
        <v>4.952899590511077</v>
      </c>
      <c r="K116" s="112">
        <f t="shared" si="43"/>
        <v>17.17924846850601</v>
      </c>
      <c r="L116" s="112">
        <f t="shared" si="43"/>
        <v>19.898289827627114</v>
      </c>
      <c r="M116" s="3">
        <f>+'2014-2015 RSA'!C27</f>
        <v>4955.27</v>
      </c>
    </row>
    <row r="117" spans="3:13" ht="15">
      <c r="C117" s="132">
        <f>+C116*C25</f>
        <v>166053.04517547868</v>
      </c>
      <c r="D117" s="132">
        <f aca="true" t="shared" si="44" ref="D117:L117">+D116*D25</f>
        <v>41036.238895160306</v>
      </c>
      <c r="E117" s="132">
        <f t="shared" si="44"/>
        <v>148403.1083856899</v>
      </c>
      <c r="F117" s="132">
        <f t="shared" si="44"/>
        <v>39138.026878343386</v>
      </c>
      <c r="G117" s="132">
        <f t="shared" si="44"/>
        <v>5976.795689219434</v>
      </c>
      <c r="H117" s="132">
        <f t="shared" si="44"/>
        <v>-50801.12455902905</v>
      </c>
      <c r="I117" s="132">
        <f t="shared" si="44"/>
        <v>18055.498616697412</v>
      </c>
      <c r="J117" s="132">
        <f t="shared" si="44"/>
        <v>3566.0877051679754</v>
      </c>
      <c r="K117" s="132">
        <f t="shared" si="44"/>
        <v>9620.379142363367</v>
      </c>
      <c r="L117" s="132">
        <f t="shared" si="44"/>
        <v>2487.2862284533894</v>
      </c>
      <c r="M117" s="3">
        <f>SUM(C117:L117)</f>
        <v>383535.3421575448</v>
      </c>
    </row>
    <row r="118" spans="3:13" ht="15">
      <c r="C118" s="112"/>
      <c r="D118" s="112"/>
      <c r="E118" s="112"/>
      <c r="F118" s="112"/>
      <c r="G118" s="112"/>
      <c r="H118" s="112"/>
      <c r="I118" s="112"/>
      <c r="J118" s="112"/>
      <c r="K118" s="112"/>
      <c r="L118" s="112"/>
      <c r="M118" s="3"/>
    </row>
    <row r="119" spans="2:13" ht="15">
      <c r="B119" s="1" t="s">
        <v>48</v>
      </c>
      <c r="C119" s="109">
        <f>+'2014-2015 Composition'!$O$24</f>
        <v>0.359874022139994</v>
      </c>
      <c r="D119" s="109">
        <f>+'2014-2015 Composition'!$O$25</f>
        <v>0.12733221266153708</v>
      </c>
      <c r="E119" s="109">
        <f>+'2014-2015 Composition'!$O$26</f>
        <v>0.2579175213107653</v>
      </c>
      <c r="F119" s="109">
        <f>+'2014-2015 Composition'!$O$27</f>
        <v>0.00911487068907755</v>
      </c>
      <c r="G119" s="109">
        <f>+'2014-2015 Composition'!$O$33</f>
        <v>0.01256855975597692</v>
      </c>
      <c r="H119" s="109">
        <f>+'2014-2015 Composition'!$O$28</f>
        <v>0.1633959377797415</v>
      </c>
      <c r="I119" s="109">
        <f>+'2014-2015 Composition'!$O$29</f>
        <v>0.015419665222631107</v>
      </c>
      <c r="J119" s="109">
        <f>+'2014-2015 Composition'!$O$30</f>
        <v>-3.969077874241197E-06</v>
      </c>
      <c r="K119" s="109">
        <f>+'2014-2015 Composition'!$O$31</f>
        <v>0.0027032110221280347</v>
      </c>
      <c r="L119" s="109">
        <f>+'2014-2015 Composition'!$O$32</f>
        <v>0.003275851339054342</v>
      </c>
      <c r="M119" s="26">
        <f>SUM(C119:L119)</f>
        <v>0.9515978828430315</v>
      </c>
    </row>
    <row r="120" spans="3:13" ht="15">
      <c r="C120" s="234">
        <f aca="true" t="shared" si="45" ref="C120:L120">+C119*$M120</f>
        <v>1808.4641272394476</v>
      </c>
      <c r="D120" s="234">
        <f t="shared" si="45"/>
        <v>639.8787483216424</v>
      </c>
      <c r="E120" s="234">
        <f t="shared" si="45"/>
        <v>1296.1051823173495</v>
      </c>
      <c r="F120" s="234">
        <f t="shared" si="45"/>
        <v>45.80468622770075</v>
      </c>
      <c r="G120" s="234">
        <f t="shared" si="45"/>
        <v>63.16040628491814</v>
      </c>
      <c r="H120" s="234">
        <f t="shared" si="45"/>
        <v>821.1087042464017</v>
      </c>
      <c r="I120" s="234">
        <f t="shared" si="45"/>
        <v>77.48798105333142</v>
      </c>
      <c r="J120" s="234">
        <f t="shared" si="45"/>
        <v>-0.01994568796908806</v>
      </c>
      <c r="K120" s="234">
        <f t="shared" si="45"/>
        <v>13.58436525316935</v>
      </c>
      <c r="L120" s="234">
        <f t="shared" si="45"/>
        <v>16.462037458609615</v>
      </c>
      <c r="M120" s="3">
        <f>+'2014-2015 RSA'!C28</f>
        <v>5025.27</v>
      </c>
    </row>
    <row r="121" spans="3:13" ht="15">
      <c r="C121" s="228">
        <f>+C120*C26</f>
        <v>167554.20138873483</v>
      </c>
      <c r="D121" s="228">
        <f aca="true" t="shared" si="46" ref="D121:L121">+D120*D26</f>
        <v>52885.97854878375</v>
      </c>
      <c r="E121" s="228">
        <f t="shared" si="46"/>
        <v>169906.42834998135</v>
      </c>
      <c r="F121" s="228">
        <f t="shared" si="46"/>
        <v>48774.20403584259</v>
      </c>
      <c r="G121" s="228">
        <f t="shared" si="46"/>
        <v>7370.819413449947</v>
      </c>
      <c r="H121" s="228">
        <f t="shared" si="46"/>
        <v>-43797.93828450307</v>
      </c>
      <c r="I121" s="228">
        <f t="shared" si="46"/>
        <v>19759.435168599513</v>
      </c>
      <c r="J121" s="228">
        <f t="shared" si="46"/>
        <v>-14.959265976816045</v>
      </c>
      <c r="K121" s="228">
        <f t="shared" si="46"/>
        <v>6520.495321521288</v>
      </c>
      <c r="L121" s="228">
        <f t="shared" si="46"/>
        <v>1316.9629966887692</v>
      </c>
      <c r="M121" s="3">
        <f>SUM(C121:L121)</f>
        <v>430275.6276731223</v>
      </c>
    </row>
    <row r="122" spans="3:13" ht="15">
      <c r="C122" s="112"/>
      <c r="D122" s="112"/>
      <c r="E122" s="112"/>
      <c r="F122" s="112"/>
      <c r="G122" s="112"/>
      <c r="H122" s="112"/>
      <c r="I122" s="112"/>
      <c r="J122" s="112"/>
      <c r="K122" s="112"/>
      <c r="L122" s="112"/>
      <c r="M122" s="3"/>
    </row>
    <row r="123" spans="2:13" ht="15">
      <c r="B123" s="1" t="s">
        <v>49</v>
      </c>
      <c r="C123" s="109">
        <f>+'2014-2015 Composition'!$Q$24</f>
        <v>0.3377624685144184</v>
      </c>
      <c r="D123" s="109">
        <f>+'2014-2015 Composition'!$Q$25</f>
        <v>0.11919201114567843</v>
      </c>
      <c r="E123" s="109">
        <f>+'2014-2015 Composition'!$Q$26</f>
        <v>0.24907703589204114</v>
      </c>
      <c r="F123" s="109">
        <f>+'2014-2015 Composition'!$Q$27</f>
        <v>0.007451730798477829</v>
      </c>
      <c r="G123" s="109">
        <f>+'2014-2015 Composition'!$Q$33</f>
        <v>0.012501731553695947</v>
      </c>
      <c r="H123" s="109">
        <f>+'2014-2015 Composition'!$Q$28</f>
        <v>0.2064552308550927</v>
      </c>
      <c r="I123" s="109">
        <f>+'2014-2015 Composition'!$Q$29</f>
        <v>0.01343069869727874</v>
      </c>
      <c r="J123" s="109">
        <f>+'2014-2015 Composition'!$Q$30</f>
        <v>0.00017496599621589902</v>
      </c>
      <c r="K123" s="109">
        <f>+'2014-2015 Composition'!$Q$31</f>
        <v>0.002303280391366735</v>
      </c>
      <c r="L123" s="109">
        <f>+'2014-2015 Composition'!$Q$32</f>
        <v>0.004278830085610151</v>
      </c>
      <c r="M123" s="26">
        <f>SUM(C123:L123)</f>
        <v>0.9526279839298759</v>
      </c>
    </row>
    <row r="124" spans="3:13" ht="15">
      <c r="C124" s="234">
        <f aca="true" t="shared" si="47" ref="C124:L124">+C123*$M124</f>
        <v>1543.7534952192045</v>
      </c>
      <c r="D124" s="234">
        <f t="shared" si="47"/>
        <v>544.7706627016576</v>
      </c>
      <c r="E124" s="234">
        <f t="shared" si="47"/>
        <v>1138.4140648556506</v>
      </c>
      <c r="F124" s="234">
        <f t="shared" si="47"/>
        <v>34.05835916636687</v>
      </c>
      <c r="G124" s="234">
        <f t="shared" si="47"/>
        <v>57.13953911811393</v>
      </c>
      <c r="H124" s="234">
        <f t="shared" si="47"/>
        <v>943.6098262801269</v>
      </c>
      <c r="I124" s="234">
        <f t="shared" si="47"/>
        <v>61.385411316873395</v>
      </c>
      <c r="J124" s="234">
        <f t="shared" si="47"/>
        <v>0.7996873346846529</v>
      </c>
      <c r="K124" s="234">
        <f t="shared" si="47"/>
        <v>10.527212127153403</v>
      </c>
      <c r="L124" s="234">
        <f t="shared" si="47"/>
        <v>19.55652127118376</v>
      </c>
      <c r="M124" s="3">
        <f>+'2014-2015 RSA'!C29</f>
        <v>4570.53</v>
      </c>
    </row>
    <row r="125" spans="3:13" ht="15">
      <c r="C125" s="228">
        <f>+C124*C27</f>
        <v>127838.22693910233</v>
      </c>
      <c r="D125" s="228">
        <f aca="true" t="shared" si="48" ref="D125:L125">+D124*D27</f>
        <v>39490.42533924316</v>
      </c>
      <c r="E125" s="228">
        <f t="shared" si="48"/>
        <v>133456.28082302792</v>
      </c>
      <c r="F125" s="228">
        <f t="shared" si="48"/>
        <v>36758.16529748477</v>
      </c>
      <c r="G125" s="228">
        <f t="shared" si="48"/>
        <v>5121.416891156551</v>
      </c>
      <c r="H125" s="228">
        <f t="shared" si="48"/>
        <v>-50332.14813378197</v>
      </c>
      <c r="I125" s="228">
        <f t="shared" si="48"/>
        <v>10742.446980452843</v>
      </c>
      <c r="J125" s="228">
        <f t="shared" si="48"/>
        <v>482.21146281484573</v>
      </c>
      <c r="K125" s="228">
        <f t="shared" si="48"/>
        <v>4242.466487242821</v>
      </c>
      <c r="L125" s="228">
        <f t="shared" si="48"/>
        <v>880.0434572032693</v>
      </c>
      <c r="M125" s="3">
        <f>SUM(C125:L125)</f>
        <v>308679.53554394655</v>
      </c>
    </row>
    <row r="126" spans="3:13" ht="15">
      <c r="C126" s="132"/>
      <c r="D126" s="132"/>
      <c r="E126" s="132"/>
      <c r="F126" s="132"/>
      <c r="G126" s="132"/>
      <c r="H126" s="132"/>
      <c r="I126" s="132"/>
      <c r="J126" s="132"/>
      <c r="K126" s="132"/>
      <c r="L126" s="132"/>
      <c r="M126" s="3"/>
    </row>
    <row r="127" spans="2:13" ht="15">
      <c r="B127" s="1" t="s">
        <v>8</v>
      </c>
      <c r="C127" s="109">
        <f>+'2014-2015 Composition'!$S$24</f>
        <v>0.35734684516302834</v>
      </c>
      <c r="D127" s="109">
        <f>+'2014-2015 Composition'!$S$25</f>
        <v>0.13091133457728368</v>
      </c>
      <c r="E127" s="109">
        <f>+'2014-2015 Composition'!$S$26</f>
        <v>0.24798859646966812</v>
      </c>
      <c r="F127" s="109">
        <f>+'2014-2015 Composition'!$S$27</f>
        <v>0.006834475354400147</v>
      </c>
      <c r="G127" s="109">
        <f>+'2014-2015 Composition'!$S$33</f>
        <v>0.013262755259848963</v>
      </c>
      <c r="H127" s="109">
        <f>+'2014-2015 Composition'!$S$28</f>
        <v>0.18210334395220631</v>
      </c>
      <c r="I127" s="109">
        <f>+'2014-2015 Composition'!$Q$29</f>
        <v>0.01343069869727874</v>
      </c>
      <c r="J127" s="109">
        <f>+'2014-2015 Composition'!$S$30</f>
        <v>0.0005243171955267546</v>
      </c>
      <c r="K127" s="109">
        <f>+'2014-2015 Composition'!$S$31</f>
        <v>0.002095118291627816</v>
      </c>
      <c r="L127" s="109">
        <f>+'2014-2015 Composition'!$S$32</f>
        <v>0.002220051176028317</v>
      </c>
      <c r="M127" s="26">
        <f>SUM(C127:L127)</f>
        <v>0.9567175361368971</v>
      </c>
    </row>
    <row r="128" spans="3:13" ht="15">
      <c r="C128" s="234">
        <f aca="true" t="shared" si="49" ref="C128:L128">+C127*$M128</f>
        <v>1752.1323307980056</v>
      </c>
      <c r="D128" s="234">
        <f t="shared" si="49"/>
        <v>641.8805283593</v>
      </c>
      <c r="E128" s="234">
        <f t="shared" si="49"/>
        <v>1215.9302465521826</v>
      </c>
      <c r="F128" s="234">
        <f t="shared" si="49"/>
        <v>33.51059452343417</v>
      </c>
      <c r="G128" s="234">
        <f t="shared" si="49"/>
        <v>65.02954370743365</v>
      </c>
      <c r="H128" s="234">
        <f t="shared" si="49"/>
        <v>892.8836529661395</v>
      </c>
      <c r="I128" s="234">
        <f t="shared" si="49"/>
        <v>65.85299893153619</v>
      </c>
      <c r="J128" s="234">
        <f t="shared" si="49"/>
        <v>2.5708163435909173</v>
      </c>
      <c r="K128" s="234">
        <f t="shared" si="49"/>
        <v>10.27272115396076</v>
      </c>
      <c r="L128" s="234">
        <f t="shared" si="49"/>
        <v>10.885288324766764</v>
      </c>
      <c r="M128" s="3">
        <f>+'2014-2015 RSA'!C30</f>
        <v>4903.17</v>
      </c>
    </row>
    <row r="129" spans="3:13" ht="15">
      <c r="C129" s="228">
        <f>+C128*C28</f>
        <v>144796.21581714717</v>
      </c>
      <c r="D129" s="228">
        <f aca="true" t="shared" si="50" ref="D129:L129">+D128*D28</f>
        <v>49193.723693456755</v>
      </c>
      <c r="E129" s="228">
        <f t="shared" si="50"/>
        <v>151310.3598809536</v>
      </c>
      <c r="F129" s="228">
        <f>+F128*F28</f>
        <v>36997.03677765226</v>
      </c>
      <c r="G129" s="228">
        <f>+G128*G28</f>
        <v>6259.743877277563</v>
      </c>
      <c r="H129" s="228">
        <f t="shared" si="50"/>
        <v>-47626.41404921388</v>
      </c>
      <c r="I129" s="228">
        <f t="shared" si="50"/>
        <v>9548.684845072748</v>
      </c>
      <c r="J129" s="228">
        <f t="shared" si="50"/>
        <v>1311.1163352313679</v>
      </c>
      <c r="K129" s="228">
        <f t="shared" si="50"/>
        <v>2886.6346442629733</v>
      </c>
      <c r="L129" s="228">
        <f t="shared" si="50"/>
        <v>0</v>
      </c>
      <c r="M129" s="3">
        <f>SUM(C129:L129)</f>
        <v>354677.1018218405</v>
      </c>
    </row>
    <row r="131" ht="15">
      <c r="B131" s="17" t="s">
        <v>43</v>
      </c>
    </row>
    <row r="132" spans="2:13" ht="15">
      <c r="B132" s="1" t="s">
        <v>9</v>
      </c>
      <c r="C132" s="49">
        <f>+C35</f>
        <v>0.39610971234744347</v>
      </c>
      <c r="D132" s="49">
        <f>+D35</f>
        <v>0.14019912391926187</v>
      </c>
      <c r="E132" s="49">
        <f>+E35</f>
        <v>0.22445890020218798</v>
      </c>
      <c r="F132" s="49">
        <f>+F35</f>
        <v>0.0061482886591287976</v>
      </c>
      <c r="G132" s="49">
        <f aca="true" t="shared" si="51" ref="G132:M132">+G35</f>
        <v>0.015964720246146567</v>
      </c>
      <c r="H132" s="49">
        <f t="shared" si="51"/>
        <v>0.14304413530535492</v>
      </c>
      <c r="I132" s="49">
        <f t="shared" si="51"/>
        <v>0.014107466710208644</v>
      </c>
      <c r="J132" s="49">
        <f t="shared" si="51"/>
        <v>0.0037158509601073497</v>
      </c>
      <c r="K132" s="49">
        <f t="shared" si="51"/>
        <v>0.006720785045749315</v>
      </c>
      <c r="L132" s="49">
        <f t="shared" si="51"/>
        <v>0.005942001815593001</v>
      </c>
      <c r="M132" s="49">
        <f t="shared" si="51"/>
        <v>0.956410985211182</v>
      </c>
    </row>
    <row r="133" spans="3:13" ht="15">
      <c r="C133" s="13">
        <f aca="true" t="shared" si="52" ref="C133:L133">+C132*$M133</f>
        <v>1469.4838497694222</v>
      </c>
      <c r="D133" s="13">
        <f t="shared" si="52"/>
        <v>520.1093079244384</v>
      </c>
      <c r="E133" s="13">
        <f t="shared" si="52"/>
        <v>832.695383381075</v>
      </c>
      <c r="F133" s="13">
        <f t="shared" si="52"/>
        <v>22.808859784749423</v>
      </c>
      <c r="G133" s="13">
        <f t="shared" si="52"/>
        <v>59.22575952195207</v>
      </c>
      <c r="H133" s="13">
        <f t="shared" si="52"/>
        <v>530.6637027144526</v>
      </c>
      <c r="I133" s="13">
        <f t="shared" si="52"/>
        <v>52.33573892686493</v>
      </c>
      <c r="J133" s="13">
        <f t="shared" si="52"/>
        <v>13.785026733296645</v>
      </c>
      <c r="K133" s="13">
        <f t="shared" si="52"/>
        <v>24.93270115487035</v>
      </c>
      <c r="L133" s="13">
        <f t="shared" si="52"/>
        <v>22.043578915468757</v>
      </c>
      <c r="M133" s="3">
        <f>+'2014-2015 RSA'!D7</f>
        <v>3709.79</v>
      </c>
    </row>
    <row r="134" spans="3:13" ht="15">
      <c r="C134" s="19">
        <f>+C133*C5</f>
        <v>143744.9101844449</v>
      </c>
      <c r="D134" s="19">
        <f>+D133*D5</f>
        <v>49451.99299745561</v>
      </c>
      <c r="E134" s="19">
        <f>+E133*E5</f>
        <v>127244.18153446207</v>
      </c>
      <c r="F134" s="19">
        <f>+F133*F5</f>
        <v>26215.591082199593</v>
      </c>
      <c r="G134" s="19">
        <f aca="true" t="shared" si="53" ref="G134:L134">+G133*G5</f>
        <v>10986.970648917328</v>
      </c>
      <c r="H134" s="19">
        <f t="shared" si="53"/>
        <v>-28305.601902788905</v>
      </c>
      <c r="I134" s="19">
        <f t="shared" si="53"/>
        <v>19261.64535464337</v>
      </c>
      <c r="J134" s="19">
        <f t="shared" si="53"/>
        <v>8718.478007740796</v>
      </c>
      <c r="K134" s="19">
        <f t="shared" si="53"/>
        <v>4776.606887250062</v>
      </c>
      <c r="L134" s="19">
        <f t="shared" si="53"/>
        <v>641.0272748618314</v>
      </c>
      <c r="M134" s="3">
        <f>SUM(C134:L134)</f>
        <v>362735.8020691866</v>
      </c>
    </row>
    <row r="135" spans="3:12" ht="15">
      <c r="C135" s="49"/>
      <c r="D135" s="49"/>
      <c r="E135" s="49"/>
      <c r="F135" s="49"/>
      <c r="G135" s="49"/>
      <c r="H135" s="49"/>
      <c r="I135" s="49"/>
      <c r="J135" s="49"/>
      <c r="K135" s="49"/>
      <c r="L135" s="49"/>
    </row>
    <row r="136" spans="2:13" ht="15">
      <c r="B136" s="1" t="s">
        <v>10</v>
      </c>
      <c r="C136" s="49">
        <f>+C39</f>
        <v>0.41137680876672195</v>
      </c>
      <c r="D136" s="49">
        <f>+D39</f>
        <v>0.16031128346274712</v>
      </c>
      <c r="E136" s="49">
        <f>+E39</f>
        <v>0.2191245283924975</v>
      </c>
      <c r="F136" s="49">
        <f>+F39</f>
        <v>0.006528218411676957</v>
      </c>
      <c r="G136" s="49">
        <f aca="true" t="shared" si="54" ref="G136:M136">+G39</f>
        <v>0.01728327065243165</v>
      </c>
      <c r="H136" s="49">
        <f t="shared" si="54"/>
        <v>0.1149619262296312</v>
      </c>
      <c r="I136" s="49">
        <f t="shared" si="54"/>
        <v>0.012193511401120752</v>
      </c>
      <c r="J136" s="49">
        <f t="shared" si="54"/>
        <v>0.0031290426180106794</v>
      </c>
      <c r="K136" s="49">
        <f t="shared" si="54"/>
        <v>0.005586504146544246</v>
      </c>
      <c r="L136" s="49">
        <f t="shared" si="54"/>
        <v>0.005622521903298327</v>
      </c>
      <c r="M136" s="49">
        <f t="shared" si="54"/>
        <v>0.9561176159846805</v>
      </c>
    </row>
    <row r="137" spans="3:13" ht="15">
      <c r="C137" s="13">
        <f aca="true" t="shared" si="55" ref="C137:L137">+C136*$M137</f>
        <v>1455.2043233314023</v>
      </c>
      <c r="D137" s="13">
        <f t="shared" si="55"/>
        <v>567.0851341211217</v>
      </c>
      <c r="E137" s="13">
        <f t="shared" si="55"/>
        <v>775.1311067356206</v>
      </c>
      <c r="F137" s="13">
        <f t="shared" si="55"/>
        <v>23.092919809466068</v>
      </c>
      <c r="G137" s="13">
        <f t="shared" si="55"/>
        <v>61.137841605911724</v>
      </c>
      <c r="H137" s="13">
        <f t="shared" si="55"/>
        <v>406.6663178446974</v>
      </c>
      <c r="I137" s="13">
        <f t="shared" si="55"/>
        <v>43.13332723032455</v>
      </c>
      <c r="J137" s="13">
        <f t="shared" si="55"/>
        <v>11.068675356950978</v>
      </c>
      <c r="K137" s="13">
        <f t="shared" si="55"/>
        <v>19.76169976798562</v>
      </c>
      <c r="L137" s="13">
        <f t="shared" si="55"/>
        <v>19.889108980727503</v>
      </c>
      <c r="M137" s="3">
        <f>+'2014-2015 RSA'!D8</f>
        <v>3537.4</v>
      </c>
    </row>
    <row r="138" spans="3:13" ht="15">
      <c r="C138" s="19">
        <f>+C137*C6</f>
        <v>145476.7762034403</v>
      </c>
      <c r="D138" s="19">
        <f>+D137*D6</f>
        <v>53152.88962117273</v>
      </c>
      <c r="E138" s="19">
        <f>+E137*E6</f>
        <v>117889.69002342054</v>
      </c>
      <c r="F138" s="19">
        <f>+F137*F6</f>
        <v>22002.01027766689</v>
      </c>
      <c r="G138" s="19">
        <f aca="true" t="shared" si="56" ref="G138:L138">+G137*G6</f>
        <v>11397.316432174062</v>
      </c>
      <c r="H138" s="19">
        <f t="shared" si="56"/>
        <v>-21691.58139383616</v>
      </c>
      <c r="I138" s="19">
        <f t="shared" si="56"/>
        <v>14766.694577301609</v>
      </c>
      <c r="J138" s="19">
        <f t="shared" si="56"/>
        <v>6769.933908571927</v>
      </c>
      <c r="K138" s="19">
        <f t="shared" si="56"/>
        <v>10882.768062229681</v>
      </c>
      <c r="L138" s="19">
        <f t="shared" si="56"/>
        <v>317.43017933241094</v>
      </c>
      <c r="M138" s="3">
        <f>SUM(C138:L138)</f>
        <v>360963.927891474</v>
      </c>
    </row>
    <row r="140" spans="2:13" ht="15">
      <c r="B140" s="1" t="s">
        <v>11</v>
      </c>
      <c r="C140" s="49">
        <f>+C43</f>
        <v>0.40474750864559184</v>
      </c>
      <c r="D140" s="49">
        <f>+D43</f>
        <v>0.15367866089745286</v>
      </c>
      <c r="E140" s="49">
        <f>+E43</f>
        <v>0.22250708927803492</v>
      </c>
      <c r="F140" s="49">
        <f>+F43</f>
        <v>0.005760150207544294</v>
      </c>
      <c r="G140" s="49">
        <f aca="true" t="shared" si="57" ref="G140:M140">+G43</f>
        <v>0.01655488636046519</v>
      </c>
      <c r="H140" s="49">
        <f t="shared" si="57"/>
        <v>0.13056364321987388</v>
      </c>
      <c r="I140" s="49">
        <f t="shared" si="57"/>
        <v>0.011302058699150573</v>
      </c>
      <c r="J140" s="49">
        <f t="shared" si="57"/>
        <v>0.0029838293621689076</v>
      </c>
      <c r="K140" s="49">
        <f t="shared" si="57"/>
        <v>0.004896485449717466</v>
      </c>
      <c r="L140" s="49">
        <f t="shared" si="57"/>
        <v>0.005216334784223342</v>
      </c>
      <c r="M140" s="49">
        <f t="shared" si="57"/>
        <v>0.9582106469042232</v>
      </c>
    </row>
    <row r="141" spans="3:13" ht="15">
      <c r="C141" s="13">
        <f aca="true" t="shared" si="58" ref="C141:L141">+C140*$M141</f>
        <v>1616.4886949789377</v>
      </c>
      <c r="D141" s="13">
        <f t="shared" si="58"/>
        <v>613.7649094654652</v>
      </c>
      <c r="E141" s="13">
        <f t="shared" si="58"/>
        <v>888.6532633004015</v>
      </c>
      <c r="F141" s="13">
        <f t="shared" si="58"/>
        <v>23.00500310189455</v>
      </c>
      <c r="G141" s="13">
        <f t="shared" si="58"/>
        <v>66.11723624415309</v>
      </c>
      <c r="H141" s="13">
        <f t="shared" si="58"/>
        <v>521.4476895643967</v>
      </c>
      <c r="I141" s="13">
        <f t="shared" si="58"/>
        <v>45.13838807384154</v>
      </c>
      <c r="J141" s="13">
        <f t="shared" si="58"/>
        <v>11.916877383217427</v>
      </c>
      <c r="K141" s="13">
        <f t="shared" si="58"/>
        <v>19.55568151879061</v>
      </c>
      <c r="L141" s="13">
        <f t="shared" si="58"/>
        <v>20.83310218792687</v>
      </c>
      <c r="M141" s="3">
        <f>+'2014-2015 RSA'!D9</f>
        <v>3993.82</v>
      </c>
    </row>
    <row r="142" spans="3:13" ht="15">
      <c r="C142" s="19">
        <f>+C141*C7</f>
        <v>157526.82332569748</v>
      </c>
      <c r="D142" s="19">
        <f>+D141*D7</f>
        <v>53741.25547279613</v>
      </c>
      <c r="E142" s="19">
        <f>+E141*E7</f>
        <v>117524.39407147809</v>
      </c>
      <c r="F142" s="19">
        <f>+F141*F7</f>
        <v>22670.970456855044</v>
      </c>
      <c r="G142" s="19">
        <f aca="true" t="shared" si="59" ref="G142:L142">+G141*G7</f>
        <v>14789.764575454605</v>
      </c>
      <c r="H142" s="19">
        <f t="shared" si="59"/>
        <v>-27814.01976136492</v>
      </c>
      <c r="I142" s="19">
        <f t="shared" si="59"/>
        <v>14718.725583118248</v>
      </c>
      <c r="J142" s="19">
        <f t="shared" si="59"/>
        <v>7404.551762062149</v>
      </c>
      <c r="K142" s="19">
        <f t="shared" si="59"/>
        <v>9608.488557442579</v>
      </c>
      <c r="L142" s="19">
        <f t="shared" si="59"/>
        <v>436.6618218589472</v>
      </c>
      <c r="M142" s="3">
        <f>SUM(C142:L142)</f>
        <v>370607.6158653983</v>
      </c>
    </row>
    <row r="144" spans="2:13" ht="15">
      <c r="B144" s="1" t="s">
        <v>12</v>
      </c>
      <c r="C144" s="49">
        <f>+C47</f>
        <v>0.3861062196639974</v>
      </c>
      <c r="D144" s="49">
        <f>+D47</f>
        <v>0.15312772944424746</v>
      </c>
      <c r="E144" s="49">
        <f>+E47</f>
        <v>0.22403177835588842</v>
      </c>
      <c r="F144" s="49">
        <f>+F47</f>
        <v>0.006133394287430297</v>
      </c>
      <c r="G144" s="49">
        <f aca="true" t="shared" si="60" ref="G144:L144">+G47</f>
        <v>0.016989837334339706</v>
      </c>
      <c r="H144" s="49">
        <f t="shared" si="60"/>
        <v>0.14559739595517734</v>
      </c>
      <c r="I144" s="49">
        <f t="shared" si="60"/>
        <v>0.012504750866886578</v>
      </c>
      <c r="J144" s="49">
        <f t="shared" si="60"/>
        <v>0.003331472088363779</v>
      </c>
      <c r="K144" s="49">
        <f t="shared" si="60"/>
        <v>0.005444309115028292</v>
      </c>
      <c r="L144" s="49">
        <f t="shared" si="60"/>
        <v>0.005656129070747196</v>
      </c>
      <c r="M144" s="26">
        <f>SUM(C144:L144)</f>
        <v>0.9589230161821064</v>
      </c>
    </row>
    <row r="145" spans="3:13" ht="15">
      <c r="C145" s="13">
        <f aca="true" t="shared" si="61" ref="C145:L145">+C144*$M145</f>
        <v>1651.8319068421204</v>
      </c>
      <c r="D145" s="13">
        <f t="shared" si="61"/>
        <v>655.1079895537906</v>
      </c>
      <c r="E145" s="13">
        <f t="shared" si="61"/>
        <v>958.4482735265948</v>
      </c>
      <c r="F145" s="13">
        <f t="shared" si="61"/>
        <v>26.239764772598548</v>
      </c>
      <c r="G145" s="13">
        <f t="shared" si="61"/>
        <v>72.68558228702545</v>
      </c>
      <c r="H145" s="13">
        <f t="shared" si="61"/>
        <v>622.8918674275207</v>
      </c>
      <c r="I145" s="13">
        <f t="shared" si="61"/>
        <v>53.49757506369683</v>
      </c>
      <c r="J145" s="13">
        <f t="shared" si="61"/>
        <v>14.252637258996153</v>
      </c>
      <c r="K145" s="13">
        <f t="shared" si="61"/>
        <v>23.29173436973174</v>
      </c>
      <c r="L145" s="13">
        <f t="shared" si="61"/>
        <v>24.19793826788924</v>
      </c>
      <c r="M145" s="3">
        <f>+'2014-2015 RSA'!D10</f>
        <v>4278.18</v>
      </c>
    </row>
    <row r="146" spans="3:13" ht="15">
      <c r="C146" s="19">
        <f>+C145*C8</f>
        <v>164307.7197735857</v>
      </c>
      <c r="D146" s="19">
        <f>+D145*D8</f>
        <v>59516.560850961876</v>
      </c>
      <c r="E146" s="19">
        <f>+E145*E8</f>
        <v>136454.2807019813</v>
      </c>
      <c r="F146" s="19">
        <f>+F145*F8</f>
        <v>29792.36652516067</v>
      </c>
      <c r="G146" s="19">
        <f aca="true" t="shared" si="62" ref="G146:L146">+G145*G8</f>
        <v>16271.39445077352</v>
      </c>
      <c r="H146" s="19">
        <f t="shared" si="62"/>
        <v>-33225.052208583955</v>
      </c>
      <c r="I146" s="19">
        <f t="shared" si="62"/>
        <v>17714.117055091294</v>
      </c>
      <c r="J146" s="19">
        <f t="shared" si="62"/>
        <v>8727.744951918885</v>
      </c>
      <c r="K146" s="19">
        <f t="shared" si="62"/>
        <v>11467.91833428112</v>
      </c>
      <c r="L146" s="19">
        <f t="shared" si="62"/>
        <v>444.7581053638042</v>
      </c>
      <c r="M146" s="3">
        <f>SUM(C146:L146)</f>
        <v>411471.8085405343</v>
      </c>
    </row>
    <row r="147" spans="3:12" ht="15">
      <c r="C147" s="49"/>
      <c r="D147" s="49"/>
      <c r="E147" s="49"/>
      <c r="F147" s="49"/>
      <c r="G147" s="49"/>
      <c r="H147" s="49"/>
      <c r="I147" s="49"/>
      <c r="J147" s="49"/>
      <c r="K147" s="49"/>
      <c r="L147" s="49"/>
    </row>
    <row r="148" spans="2:13" ht="15">
      <c r="B148" s="1" t="s">
        <v>45</v>
      </c>
      <c r="C148" s="49">
        <f>+C51</f>
        <v>0.356604435827581</v>
      </c>
      <c r="D148" s="49">
        <f>+D51</f>
        <v>0.173542979391954</v>
      </c>
      <c r="E148" s="49">
        <f>+E51</f>
        <v>0.23164830940482356</v>
      </c>
      <c r="F148" s="49">
        <f>+F51</f>
        <v>0.006769066203138841</v>
      </c>
      <c r="G148" s="49">
        <f aca="true" t="shared" si="63" ref="G148:L148">+G51</f>
        <v>0.01786114221724524</v>
      </c>
      <c r="H148" s="49">
        <f t="shared" si="63"/>
        <v>0.14173505373468603</v>
      </c>
      <c r="I148" s="49">
        <f t="shared" si="63"/>
        <v>0.014611990439738596</v>
      </c>
      <c r="J148" s="49">
        <f t="shared" si="63"/>
        <v>0.003484815563838144</v>
      </c>
      <c r="K148" s="49">
        <f t="shared" si="63"/>
        <v>0.006409720713342582</v>
      </c>
      <c r="L148" s="49">
        <f t="shared" si="63"/>
        <v>0.0061489863114439</v>
      </c>
      <c r="M148" s="26">
        <f>SUM(C148:L148)</f>
        <v>0.9588164998077919</v>
      </c>
    </row>
    <row r="149" spans="3:13" ht="15">
      <c r="C149" s="13">
        <f aca="true" t="shared" si="64" ref="C149:L149">+C148*$M149</f>
        <v>1130.2934197991008</v>
      </c>
      <c r="D149" s="13">
        <f t="shared" si="64"/>
        <v>550.0618274807374</v>
      </c>
      <c r="E149" s="13">
        <f t="shared" si="64"/>
        <v>734.2324814895287</v>
      </c>
      <c r="F149" s="13">
        <f t="shared" si="64"/>
        <v>21.45523223746887</v>
      </c>
      <c r="G149" s="13">
        <f t="shared" si="64"/>
        <v>56.61267637178051</v>
      </c>
      <c r="H149" s="13">
        <f t="shared" si="64"/>
        <v>449.24342631746083</v>
      </c>
      <c r="I149" s="13">
        <f t="shared" si="64"/>
        <v>46.31416489779545</v>
      </c>
      <c r="J149" s="13">
        <f t="shared" si="64"/>
        <v>11.045471411141381</v>
      </c>
      <c r="K149" s="13">
        <f t="shared" si="64"/>
        <v>20.316250773010648</v>
      </c>
      <c r="L149" s="13">
        <f t="shared" si="64"/>
        <v>19.489827012752585</v>
      </c>
      <c r="M149" s="3">
        <f>+'2014-2015 RSA'!D11</f>
        <v>3169.6</v>
      </c>
    </row>
    <row r="150" spans="3:13" ht="15">
      <c r="C150" s="19">
        <f>+C149*C9</f>
        <v>104699.0794759907</v>
      </c>
      <c r="D150" s="19">
        <f>+D149*D9</f>
        <v>48713.47544169411</v>
      </c>
      <c r="E150" s="19">
        <f>+E149*E9</f>
        <v>109275.82022008656</v>
      </c>
      <c r="F150" s="19">
        <f>+F149*F9</f>
        <v>24158.591499389946</v>
      </c>
      <c r="G150" s="19">
        <f aca="true" t="shared" si="65" ref="G150:L150">+G149*G9</f>
        <v>13538.92155431131</v>
      </c>
      <c r="H150" s="19">
        <f t="shared" si="65"/>
        <v>-23962.644359773363</v>
      </c>
      <c r="I150" s="19">
        <f t="shared" si="65"/>
        <v>16276.186970032255</v>
      </c>
      <c r="J150" s="19">
        <f t="shared" si="65"/>
        <v>7301.60887633501</v>
      </c>
      <c r="K150" s="19">
        <f t="shared" si="65"/>
        <v>11195.269988467517</v>
      </c>
      <c r="L150" s="19">
        <f t="shared" si="65"/>
        <v>993.3964828399992</v>
      </c>
      <c r="M150" s="3">
        <f>SUM(C150:L150)</f>
        <v>312189.706149374</v>
      </c>
    </row>
    <row r="152" spans="2:13" ht="15">
      <c r="B152" s="1" t="s">
        <v>46</v>
      </c>
      <c r="C152" s="49">
        <f>+C55</f>
        <v>0.3225003224618833</v>
      </c>
      <c r="D152" s="49">
        <f>+D55</f>
        <v>0.1705964306245681</v>
      </c>
      <c r="E152" s="49">
        <f>+E55</f>
        <v>0.25576139016521154</v>
      </c>
      <c r="F152" s="49">
        <f>+F55</f>
        <v>0.006961759864557467</v>
      </c>
      <c r="G152" s="49">
        <f aca="true" t="shared" si="66" ref="G152:L152">+G55</f>
        <v>0.016661242473397963</v>
      </c>
      <c r="H152" s="49">
        <f t="shared" si="66"/>
        <v>0.15995219876294225</v>
      </c>
      <c r="I152" s="49">
        <f t="shared" si="66"/>
        <v>0.014269472213181901</v>
      </c>
      <c r="J152" s="49">
        <f t="shared" si="66"/>
        <v>0.003698701866691268</v>
      </c>
      <c r="K152" s="49">
        <f t="shared" si="66"/>
        <v>0.005717185125580753</v>
      </c>
      <c r="L152" s="49">
        <f t="shared" si="66"/>
        <v>0.005939278078315101</v>
      </c>
      <c r="M152" s="26">
        <f>SUM(C152:L152)</f>
        <v>0.9620579816363297</v>
      </c>
    </row>
    <row r="153" spans="3:13" ht="15">
      <c r="C153" s="13">
        <f aca="true" t="shared" si="67" ref="C153:L153">+C152*$M153</f>
        <v>1111.54573641325</v>
      </c>
      <c r="D153" s="13">
        <f t="shared" si="67"/>
        <v>587.9861876121677</v>
      </c>
      <c r="E153" s="13">
        <f t="shared" si="67"/>
        <v>881.5199954129264</v>
      </c>
      <c r="F153" s="13">
        <f t="shared" si="67"/>
        <v>23.994749637176994</v>
      </c>
      <c r="G153" s="13">
        <f t="shared" si="67"/>
        <v>57.42547137093709</v>
      </c>
      <c r="H153" s="13">
        <f t="shared" si="67"/>
        <v>551.2992458662949</v>
      </c>
      <c r="I153" s="13">
        <f t="shared" si="67"/>
        <v>49.1818764035634</v>
      </c>
      <c r="J153" s="13">
        <f t="shared" si="67"/>
        <v>12.748130788831459</v>
      </c>
      <c r="K153" s="13">
        <f t="shared" si="67"/>
        <v>19.7051361130829</v>
      </c>
      <c r="L153" s="13">
        <f t="shared" si="67"/>
        <v>20.470612788624745</v>
      </c>
      <c r="M153" s="3">
        <f>+'2014-2015 RSA'!D12</f>
        <v>3446.65</v>
      </c>
    </row>
    <row r="154" spans="3:13" ht="15">
      <c r="C154" s="19">
        <f>+C153*C10</f>
        <v>104262.99007556286</v>
      </c>
      <c r="D154" s="19">
        <f>+D153*D10</f>
        <v>53153.95136013996</v>
      </c>
      <c r="E154" s="19">
        <f>+E153*E10</f>
        <v>131743.16331446185</v>
      </c>
      <c r="F154" s="19">
        <f>+F153*F10</f>
        <v>30272.495984751615</v>
      </c>
      <c r="G154" s="19">
        <f aca="true" t="shared" si="68" ref="G154:L154">+G153*G10</f>
        <v>9252.966201999094</v>
      </c>
      <c r="H154" s="19">
        <f t="shared" si="68"/>
        <v>-29406.30177450817</v>
      </c>
      <c r="I154" s="19">
        <f t="shared" si="68"/>
        <v>17704.98368651879</v>
      </c>
      <c r="J154" s="19">
        <f t="shared" si="68"/>
        <v>9180.18394365331</v>
      </c>
      <c r="K154" s="19">
        <f t="shared" si="68"/>
        <v>11498.538076067265</v>
      </c>
      <c r="L154" s="19">
        <f t="shared" si="68"/>
        <v>1048.7094931612455</v>
      </c>
      <c r="M154" s="3">
        <f>SUM(C154:L154)</f>
        <v>338711.68036180787</v>
      </c>
    </row>
    <row r="156" spans="2:13" ht="15">
      <c r="B156" s="1" t="s">
        <v>76</v>
      </c>
      <c r="C156" s="49">
        <f>+C59</f>
        <v>0.30377145472066486</v>
      </c>
      <c r="D156" s="49">
        <f aca="true" t="shared" si="69" ref="D156:M156">+D59</f>
        <v>0.1920048232934343</v>
      </c>
      <c r="E156" s="49">
        <f t="shared" si="69"/>
        <v>0.2672719165075882</v>
      </c>
      <c r="F156" s="49">
        <f t="shared" si="69"/>
        <v>0.007139743570473027</v>
      </c>
      <c r="G156" s="49">
        <f t="shared" si="69"/>
        <v>0.015487815672697454</v>
      </c>
      <c r="H156" s="49">
        <f t="shared" si="69"/>
        <v>0.14269883977079337</v>
      </c>
      <c r="I156" s="49">
        <f t="shared" si="69"/>
        <v>0.016066510677883162</v>
      </c>
      <c r="J156" s="49">
        <f t="shared" si="69"/>
        <v>0.004258794410457595</v>
      </c>
      <c r="K156" s="49">
        <f t="shared" si="69"/>
        <v>0.005589041370429939</v>
      </c>
      <c r="L156" s="49">
        <f t="shared" si="69"/>
        <v>0.006556038218922075</v>
      </c>
      <c r="M156" s="49">
        <f t="shared" si="69"/>
        <v>0.9608449782133438</v>
      </c>
    </row>
    <row r="157" spans="3:13" ht="15">
      <c r="C157" s="13">
        <f>+C156*$M157</f>
        <v>1129.9629818408348</v>
      </c>
      <c r="D157" s="13">
        <f>+D156*$M157</f>
        <v>714.2157015904511</v>
      </c>
      <c r="E157" s="13">
        <f>+E156*$M157</f>
        <v>994.1927295865964</v>
      </c>
      <c r="F157" s="13">
        <f>+F156*$M157</f>
        <v>26.55827533857416</v>
      </c>
      <c r="G157" s="13">
        <f aca="true" t="shared" si="70" ref="G157:L157">+G156*$M157</f>
        <v>57.611266982986535</v>
      </c>
      <c r="H157" s="13">
        <f t="shared" si="70"/>
        <v>530.8082902026018</v>
      </c>
      <c r="I157" s="13">
        <f t="shared" si="70"/>
        <v>59.76388508937623</v>
      </c>
      <c r="J157" s="13">
        <f t="shared" si="70"/>
        <v>15.841778272131952</v>
      </c>
      <c r="K157" s="13">
        <f t="shared" si="70"/>
        <v>20.790004308897878</v>
      </c>
      <c r="L157" s="13">
        <f t="shared" si="70"/>
        <v>24.387019845981957</v>
      </c>
      <c r="M157" s="3">
        <f>+'2014-2015 RSA'!D13</f>
        <v>3719.78</v>
      </c>
    </row>
    <row r="158" spans="3:13" ht="15">
      <c r="C158" s="96">
        <f>+C157*C11</f>
        <v>104973.56101301356</v>
      </c>
      <c r="D158" s="96">
        <f aca="true" t="shared" si="71" ref="D158:L158">+D157*D11</f>
        <v>63715.182738884134</v>
      </c>
      <c r="E158" s="96">
        <f t="shared" si="71"/>
        <v>125308.05163709463</v>
      </c>
      <c r="F158" s="96">
        <f t="shared" si="71"/>
        <v>38154.946265162565</v>
      </c>
      <c r="G158" s="96">
        <f t="shared" si="71"/>
        <v>6898.373108542807</v>
      </c>
      <c r="H158" s="96">
        <f t="shared" si="71"/>
        <v>-28313.314199406785</v>
      </c>
      <c r="I158" s="96">
        <f t="shared" si="71"/>
        <v>19375.451545975775</v>
      </c>
      <c r="J158" s="96">
        <f t="shared" si="71"/>
        <v>11812.105133049747</v>
      </c>
      <c r="K158" s="96">
        <f t="shared" si="71"/>
        <v>11650.510514663281</v>
      </c>
      <c r="L158" s="96">
        <f t="shared" si="71"/>
        <v>1723.6745627140049</v>
      </c>
      <c r="M158" s="3">
        <f>SUM(C158:L158)</f>
        <v>355298.5423196938</v>
      </c>
    </row>
    <row r="160" spans="2:13" ht="15">
      <c r="B160" s="1" t="s">
        <v>16</v>
      </c>
      <c r="C160" s="49">
        <f>+C63</f>
        <v>0.2983721417679878</v>
      </c>
      <c r="D160" s="49">
        <f aca="true" t="shared" si="72" ref="D160:M160">+D63</f>
        <v>0.1801516176981182</v>
      </c>
      <c r="E160" s="49">
        <f t="shared" si="72"/>
        <v>0.2501292014470562</v>
      </c>
      <c r="F160" s="49">
        <f t="shared" si="72"/>
        <v>0.007800087360978442</v>
      </c>
      <c r="G160" s="49">
        <f t="shared" si="72"/>
        <v>0.01416015859377625</v>
      </c>
      <c r="H160" s="49">
        <f t="shared" si="72"/>
        <v>0.17890600374724197</v>
      </c>
      <c r="I160" s="49">
        <f t="shared" si="72"/>
        <v>0.016328182875648207</v>
      </c>
      <c r="J160" s="49">
        <f t="shared" si="72"/>
        <v>0.003984044621299758</v>
      </c>
      <c r="K160" s="49">
        <f t="shared" si="72"/>
        <v>0.0057752646829644485</v>
      </c>
      <c r="L160" s="49">
        <f t="shared" si="72"/>
        <v>0.00595846673482743</v>
      </c>
      <c r="M160" s="49">
        <f t="shared" si="72"/>
        <v>0.9615651695298988</v>
      </c>
    </row>
    <row r="161" spans="3:13" ht="15">
      <c r="C161" s="13">
        <f>+C160*$M161</f>
        <v>1110.239755797265</v>
      </c>
      <c r="D161" s="13">
        <f>+D160*$M161</f>
        <v>670.3423679385207</v>
      </c>
      <c r="E161" s="13">
        <f>+E160*$M161</f>
        <v>930.7282572924815</v>
      </c>
      <c r="F161" s="13">
        <f>+F160*$M161</f>
        <v>29.02404706932717</v>
      </c>
      <c r="G161" s="13">
        <f aca="true" t="shared" si="73" ref="G161:L161">+G160*$M161</f>
        <v>52.68980852585548</v>
      </c>
      <c r="H161" s="13">
        <f t="shared" si="73"/>
        <v>665.7074508834498</v>
      </c>
      <c r="I161" s="13">
        <f t="shared" si="73"/>
        <v>60.75700519845822</v>
      </c>
      <c r="J161" s="13">
        <f t="shared" si="73"/>
        <v>14.824590195410186</v>
      </c>
      <c r="K161" s="13">
        <f t="shared" si="73"/>
        <v>21.489702132663883</v>
      </c>
      <c r="L161" s="13">
        <f t="shared" si="73"/>
        <v>22.171395135625517</v>
      </c>
      <c r="M161" s="3">
        <f>+'2014-2015 RSA'!D14</f>
        <v>3720.99</v>
      </c>
    </row>
    <row r="162" spans="3:13" ht="15">
      <c r="C162" s="96">
        <f>+C161*C12</f>
        <v>117607.69733160429</v>
      </c>
      <c r="D162" s="96">
        <f aca="true" t="shared" si="74" ref="D162:L162">+D161*D12</f>
        <v>64305.9433563423</v>
      </c>
      <c r="E162" s="96">
        <f t="shared" si="74"/>
        <v>128254.35385490397</v>
      </c>
      <c r="F162" s="96">
        <f t="shared" si="74"/>
        <v>41794.62777983113</v>
      </c>
      <c r="G162" s="96">
        <f t="shared" si="74"/>
        <v>12118.65596094676</v>
      </c>
      <c r="H162" s="96">
        <f t="shared" si="74"/>
        <v>-35508.83543012322</v>
      </c>
      <c r="I162" s="96">
        <f t="shared" si="74"/>
        <v>20049.81171549121</v>
      </c>
      <c r="J162" s="96">
        <f t="shared" si="74"/>
        <v>12304.409862190454</v>
      </c>
      <c r="K162" s="96">
        <f t="shared" si="74"/>
        <v>12034.233194291774</v>
      </c>
      <c r="L162" s="96">
        <f t="shared" si="74"/>
        <v>1772.1596131905476</v>
      </c>
      <c r="M162" s="3">
        <f>SUM(C162:L162)</f>
        <v>374733.0572386692</v>
      </c>
    </row>
    <row r="164" spans="2:13" ht="15">
      <c r="B164" s="1" t="s">
        <v>77</v>
      </c>
      <c r="C164" s="49">
        <f>+C67</f>
        <v>0.34138191541182034</v>
      </c>
      <c r="D164" s="49">
        <f aca="true" t="shared" si="75" ref="D164:M164">+D67</f>
        <v>0.15267313383193773</v>
      </c>
      <c r="E164" s="49">
        <f t="shared" si="75"/>
        <v>0.2441272213769386</v>
      </c>
      <c r="F164" s="49">
        <f t="shared" si="75"/>
        <v>0.008498014554781292</v>
      </c>
      <c r="G164" s="49">
        <f t="shared" si="75"/>
        <v>0.01382452128529014</v>
      </c>
      <c r="H164" s="49">
        <f t="shared" si="75"/>
        <v>0.17015546080788876</v>
      </c>
      <c r="I164" s="49">
        <f t="shared" si="75"/>
        <v>0.01702042532359545</v>
      </c>
      <c r="J164" s="49">
        <f t="shared" si="75"/>
        <v>0.003992847030045564</v>
      </c>
      <c r="K164" s="49">
        <f t="shared" si="75"/>
        <v>0.005503785885814334</v>
      </c>
      <c r="L164" s="49">
        <f t="shared" si="75"/>
        <v>0.004975201248435593</v>
      </c>
      <c r="M164" s="49">
        <f t="shared" si="75"/>
        <v>0.9621525267565478</v>
      </c>
    </row>
    <row r="165" spans="3:13" ht="15">
      <c r="C165" s="13">
        <f>+C164*$M165</f>
        <v>1275.7954251812844</v>
      </c>
      <c r="D165" s="13">
        <f>+D164*$M165</f>
        <v>570.5624021000261</v>
      </c>
      <c r="E165" s="13">
        <f>+E164*$M165</f>
        <v>912.340045368826</v>
      </c>
      <c r="F165" s="13">
        <f>+F164*$M165</f>
        <v>31.758355093400905</v>
      </c>
      <c r="G165" s="13">
        <f aca="true" t="shared" si="76" ref="G165:L165">+G164*$M165</f>
        <v>51.66430972132205</v>
      </c>
      <c r="H165" s="13">
        <f t="shared" si="76"/>
        <v>635.8964803582015</v>
      </c>
      <c r="I165" s="13">
        <f t="shared" si="76"/>
        <v>63.607882498074744</v>
      </c>
      <c r="J165" s="13">
        <f t="shared" si="76"/>
        <v>14.92186827833478</v>
      </c>
      <c r="K165" s="13">
        <f t="shared" si="76"/>
        <v>20.56847342317104</v>
      </c>
      <c r="L165" s="13">
        <f t="shared" si="76"/>
        <v>18.593073345591076</v>
      </c>
      <c r="M165" s="3">
        <f>+'2014-2015 RSA'!D15</f>
        <v>3737.15</v>
      </c>
    </row>
    <row r="166" spans="3:13" ht="15">
      <c r="C166" s="96">
        <f>+C165*C13</f>
        <v>131241.07538839872</v>
      </c>
      <c r="D166" s="96">
        <f>+D165*D13</f>
        <v>52988.13028302943</v>
      </c>
      <c r="E166" s="96">
        <f>+E165*E13</f>
        <v>120775.57520592518</v>
      </c>
      <c r="F166" s="96">
        <f>+F165*F13</f>
        <v>44631.604330510956</v>
      </c>
      <c r="G166" s="96">
        <f aca="true" t="shared" si="77" ref="G166:L166">+G165*G13</f>
        <v>9651.409699040172</v>
      </c>
      <c r="H166" s="96">
        <f t="shared" si="77"/>
        <v>-33918.71826230647</v>
      </c>
      <c r="I166" s="96">
        <f t="shared" si="77"/>
        <v>21779.975046165775</v>
      </c>
      <c r="J166" s="96">
        <f t="shared" si="77"/>
        <v>13429.6814505013</v>
      </c>
      <c r="K166" s="96">
        <f t="shared" si="77"/>
        <v>11930.74300911036</v>
      </c>
      <c r="L166" s="96">
        <f t="shared" si="77"/>
        <v>1859.3073345591076</v>
      </c>
      <c r="M166" s="3">
        <f>SUM(C166:L166)</f>
        <v>374368.78348493454</v>
      </c>
    </row>
    <row r="168" spans="2:13" ht="15">
      <c r="B168" s="1" t="s">
        <v>79</v>
      </c>
      <c r="C168" s="49">
        <f>+C71</f>
        <v>0.339313659736195</v>
      </c>
      <c r="D168" s="49">
        <f aca="true" t="shared" si="78" ref="D168:M168">+D71</f>
        <v>0.11071114185110664</v>
      </c>
      <c r="E168" s="49">
        <f t="shared" si="78"/>
        <v>0.28213028169014087</v>
      </c>
      <c r="F168" s="49">
        <f t="shared" si="78"/>
        <v>0.00842729991057456</v>
      </c>
      <c r="G168" s="49">
        <f t="shared" si="78"/>
        <v>0.012684614632237872</v>
      </c>
      <c r="H168" s="49">
        <f t="shared" si="78"/>
        <v>0.17986215906550415</v>
      </c>
      <c r="I168" s="49">
        <f t="shared" si="78"/>
        <v>0.01424781326849989</v>
      </c>
      <c r="J168" s="49">
        <f t="shared" si="78"/>
        <v>0.0039909596467695065</v>
      </c>
      <c r="K168" s="49">
        <f t="shared" si="78"/>
        <v>0.004662523753632909</v>
      </c>
      <c r="L168" s="49">
        <f t="shared" si="78"/>
        <v>0.004421494243237202</v>
      </c>
      <c r="M168" s="49">
        <f t="shared" si="78"/>
        <v>0.9604519477978988</v>
      </c>
    </row>
    <row r="169" spans="3:13" ht="15">
      <c r="C169" s="13">
        <f>+C168*$M169</f>
        <v>1370.1044472389897</v>
      </c>
      <c r="D169" s="13">
        <f>+D168*$M169</f>
        <v>447.03719834632795</v>
      </c>
      <c r="E169" s="13">
        <f>+E168*$M169</f>
        <v>1139.205400528169</v>
      </c>
      <c r="F169" s="13">
        <f>+F168*$M169</f>
        <v>34.028341489911696</v>
      </c>
      <c r="G169" s="13">
        <f aca="true" t="shared" si="79" ref="G169:L169">+G168*$M169</f>
        <v>51.21882488507433</v>
      </c>
      <c r="H169" s="13">
        <f t="shared" si="79"/>
        <v>726.2600162258273</v>
      </c>
      <c r="I169" s="13">
        <f t="shared" si="79"/>
        <v>57.53081776247765</v>
      </c>
      <c r="J169" s="13">
        <f t="shared" si="79"/>
        <v>16.114976228901188</v>
      </c>
      <c r="K169" s="13">
        <f t="shared" si="79"/>
        <v>18.82666478908171</v>
      </c>
      <c r="L169" s="13">
        <f t="shared" si="79"/>
        <v>17.8534189599402</v>
      </c>
      <c r="M169" s="3">
        <f>+'2014-2015 RSA'!D16</f>
        <v>4037.87</v>
      </c>
    </row>
    <row r="170" spans="3:13" ht="15">
      <c r="C170" s="96">
        <f>+C169*C14</f>
        <v>139887.66406310085</v>
      </c>
      <c r="D170" s="96">
        <f aca="true" t="shared" si="80" ref="D170:L170">+D169*D14</f>
        <v>42066.20036438946</v>
      </c>
      <c r="E170" s="96">
        <f t="shared" si="80"/>
        <v>157107.8167868398</v>
      </c>
      <c r="F170" s="96">
        <f t="shared" si="80"/>
        <v>50602.52577940298</v>
      </c>
      <c r="G170" s="96">
        <f t="shared" si="80"/>
        <v>9065.732004658157</v>
      </c>
      <c r="H170" s="96">
        <f t="shared" si="80"/>
        <v>-38738.70926548563</v>
      </c>
      <c r="I170" s="96">
        <f t="shared" si="80"/>
        <v>20538.501941204522</v>
      </c>
      <c r="J170" s="96">
        <f t="shared" si="80"/>
        <v>15557.398051381208</v>
      </c>
      <c r="K170" s="96">
        <f t="shared" si="80"/>
        <v>11672.53216923066</v>
      </c>
      <c r="L170" s="96">
        <f t="shared" si="80"/>
        <v>2053.1431803931227</v>
      </c>
      <c r="M170" s="3">
        <f>SUM(C170:L170)</f>
        <v>409812.8050751152</v>
      </c>
    </row>
    <row r="171" spans="3:13" ht="15">
      <c r="C171" s="96"/>
      <c r="D171" s="96"/>
      <c r="E171" s="96"/>
      <c r="F171" s="96"/>
      <c r="G171" s="96"/>
      <c r="H171" s="96"/>
      <c r="I171" s="96"/>
      <c r="J171" s="96"/>
      <c r="K171" s="96"/>
      <c r="L171" s="96"/>
      <c r="M171" s="3"/>
    </row>
    <row r="172" spans="2:13" ht="15">
      <c r="B172" s="1" t="s">
        <v>80</v>
      </c>
      <c r="C172" s="49">
        <f>+C75</f>
        <v>0.34526614697811586</v>
      </c>
      <c r="D172" s="49">
        <f aca="true" t="shared" si="81" ref="D172:M172">+D75</f>
        <v>0.11864189272208497</v>
      </c>
      <c r="E172" s="49">
        <f t="shared" si="81"/>
        <v>0.27211110959421525</v>
      </c>
      <c r="F172" s="49">
        <f t="shared" si="81"/>
        <v>0.009419923821485621</v>
      </c>
      <c r="G172" s="49">
        <f t="shared" si="81"/>
        <v>0.01340905677893214</v>
      </c>
      <c r="H172" s="49">
        <f t="shared" si="81"/>
        <v>0.17424583725830164</v>
      </c>
      <c r="I172" s="49">
        <f t="shared" si="81"/>
        <v>0.013521003699709216</v>
      </c>
      <c r="J172" s="49">
        <f t="shared" si="81"/>
        <v>0.004304950693297293</v>
      </c>
      <c r="K172" s="49">
        <f t="shared" si="81"/>
        <v>0.004654443519137919</v>
      </c>
      <c r="L172" s="49">
        <f t="shared" si="81"/>
        <v>0.0041984645979239775</v>
      </c>
      <c r="M172" s="49">
        <f t="shared" si="81"/>
        <v>0.9597728296632039</v>
      </c>
    </row>
    <row r="173" spans="3:13" ht="15">
      <c r="C173" s="13">
        <f>+C172*$M173</f>
        <v>1272.5267219484228</v>
      </c>
      <c r="D173" s="13">
        <f>+D172*$M173</f>
        <v>437.2713054922252</v>
      </c>
      <c r="E173" s="13">
        <f>+E172*$M173</f>
        <v>1002.9035899648235</v>
      </c>
      <c r="F173" s="13">
        <f>+F172*$M173</f>
        <v>34.718448033420266</v>
      </c>
      <c r="G173" s="13">
        <f aca="true" t="shared" si="82" ref="G173:L173">+G172*$M173</f>
        <v>49.42095602670345</v>
      </c>
      <c r="H173" s="13">
        <f t="shared" si="82"/>
        <v>642.2074276326869</v>
      </c>
      <c r="I173" s="13">
        <f t="shared" si="82"/>
        <v>49.83355207579628</v>
      </c>
      <c r="J173" s="13">
        <f t="shared" si="82"/>
        <v>15.866498473244235</v>
      </c>
      <c r="K173" s="13">
        <f t="shared" si="82"/>
        <v>17.15460321187548</v>
      </c>
      <c r="L173" s="13">
        <f t="shared" si="82"/>
        <v>15.474029060692528</v>
      </c>
      <c r="M173" s="3">
        <f>+'2014-2015 RSA'!D17</f>
        <v>3685.64</v>
      </c>
    </row>
    <row r="174" spans="3:13" ht="15">
      <c r="C174" s="96">
        <f>+C173*C15</f>
        <v>127252.67219484228</v>
      </c>
      <c r="D174" s="96">
        <f aca="true" t="shared" si="83" ref="D174:L174">+D173*D15</f>
        <v>40158.996696405964</v>
      </c>
      <c r="E174" s="96">
        <f t="shared" si="83"/>
        <v>134379.0520193867</v>
      </c>
      <c r="F174" s="96">
        <f t="shared" si="83"/>
        <v>54128.83795994487</v>
      </c>
      <c r="G174" s="96">
        <f t="shared" si="83"/>
        <v>9791.279808010488</v>
      </c>
      <c r="H174" s="96">
        <f t="shared" si="83"/>
        <v>-34255.34418992752</v>
      </c>
      <c r="I174" s="96">
        <f t="shared" si="83"/>
        <v>17491.576778604493</v>
      </c>
      <c r="J174" s="96">
        <f t="shared" si="83"/>
        <v>15638.020895229518</v>
      </c>
      <c r="K174" s="96">
        <f t="shared" si="83"/>
        <v>11467.50915507452</v>
      </c>
      <c r="L174" s="96">
        <f t="shared" si="83"/>
        <v>1858.7403707703866</v>
      </c>
      <c r="M174" s="3">
        <f>SUM(C174:L174)</f>
        <v>377911.34168834175</v>
      </c>
    </row>
    <row r="176" spans="2:13" ht="15">
      <c r="B176" s="1" t="s">
        <v>82</v>
      </c>
      <c r="C176" s="49">
        <f>+C79</f>
        <v>0.3535192899378316</v>
      </c>
      <c r="D176" s="49">
        <f>+D79</f>
        <v>0.12454112274570879</v>
      </c>
      <c r="E176" s="49">
        <f>+E79</f>
        <v>0.2719693420613919</v>
      </c>
      <c r="F176" s="49">
        <f>+F79</f>
        <v>0.009369579255245066</v>
      </c>
      <c r="G176" s="49">
        <f aca="true" t="shared" si="84" ref="G176:M176">+G79</f>
        <v>0.013749646530512331</v>
      </c>
      <c r="H176" s="49">
        <f t="shared" si="84"/>
        <v>0.15772715954029976</v>
      </c>
      <c r="I176" s="49">
        <f t="shared" si="84"/>
        <v>0.017283075247850697</v>
      </c>
      <c r="J176" s="49">
        <f t="shared" si="84"/>
        <v>0.004431557755859153</v>
      </c>
      <c r="K176" s="49">
        <f t="shared" si="84"/>
        <v>0.004760759189151547</v>
      </c>
      <c r="L176" s="49">
        <f t="shared" si="84"/>
        <v>0.004501618573713688</v>
      </c>
      <c r="M176" s="49">
        <f t="shared" si="84"/>
        <v>0.9618531508375645</v>
      </c>
    </row>
    <row r="177" spans="3:13" ht="15">
      <c r="C177" s="13">
        <f>+C176*$M177</f>
        <v>1352.2466359411997</v>
      </c>
      <c r="D177" s="13">
        <f>+D176*$M177</f>
        <v>476.38224861461066</v>
      </c>
      <c r="E177" s="13">
        <f>+E176*$M177</f>
        <v>1040.3099303190302</v>
      </c>
      <c r="F177" s="13">
        <f>+F176*$M177</f>
        <v>35.8395776092379</v>
      </c>
      <c r="G177" s="13">
        <f aca="true" t="shared" si="85" ref="G177:L177">+G176*$M177</f>
        <v>52.59377294386272</v>
      </c>
      <c r="H177" s="13">
        <f t="shared" si="85"/>
        <v>603.3221579576006</v>
      </c>
      <c r="I177" s="13">
        <f t="shared" si="85"/>
        <v>66.10949113055369</v>
      </c>
      <c r="J177" s="13">
        <f t="shared" si="85"/>
        <v>16.951151571936848</v>
      </c>
      <c r="K177" s="13">
        <f t="shared" si="85"/>
        <v>18.21037997442358</v>
      </c>
      <c r="L177" s="13">
        <f t="shared" si="85"/>
        <v>17.21914120631223</v>
      </c>
      <c r="M177" s="3">
        <f>+'2014-2015 RSA'!D18</f>
        <v>3825.1</v>
      </c>
    </row>
    <row r="178" spans="3:13" ht="15">
      <c r="C178" s="96">
        <f>+C177*C16</f>
        <v>127016.5265139569</v>
      </c>
      <c r="D178" s="96">
        <f aca="true" t="shared" si="86" ref="D178:L178">+D177*D16</f>
        <v>40935.526623453494</v>
      </c>
      <c r="E178" s="96">
        <f t="shared" si="86"/>
        <v>128727.95077767679</v>
      </c>
      <c r="F178" s="96">
        <f t="shared" si="86"/>
        <v>58701.285770394665</v>
      </c>
      <c r="G178" s="96">
        <f t="shared" si="86"/>
        <v>12201.75532297615</v>
      </c>
      <c r="H178" s="96">
        <f t="shared" si="86"/>
        <v>-32181.203905458417</v>
      </c>
      <c r="I178" s="96">
        <f t="shared" si="86"/>
        <v>24129.964262652098</v>
      </c>
      <c r="J178" s="96">
        <f t="shared" si="86"/>
        <v>16707.054989300956</v>
      </c>
      <c r="K178" s="96">
        <f t="shared" si="86"/>
        <v>12200.9545828638</v>
      </c>
      <c r="L178" s="96">
        <f t="shared" si="86"/>
        <v>1717.9537181537712</v>
      </c>
      <c r="M178" s="3">
        <f>SUM(C178:L178)</f>
        <v>390157.7686559701</v>
      </c>
    </row>
    <row r="180" spans="2:13" ht="15">
      <c r="B180" s="1" t="s">
        <v>90</v>
      </c>
      <c r="C180" s="109">
        <f>+C83</f>
        <v>0.3381275679695002</v>
      </c>
      <c r="D180" s="109">
        <f aca="true" t="shared" si="87" ref="D180:M180">+D83</f>
        <v>0.122630165088644</v>
      </c>
      <c r="E180" s="109">
        <f t="shared" si="87"/>
        <v>0.26296505611254545</v>
      </c>
      <c r="F180" s="109">
        <f t="shared" si="87"/>
        <v>0.008423313407840239</v>
      </c>
      <c r="G180" s="109">
        <f t="shared" si="87"/>
        <v>0.014522954151448688</v>
      </c>
      <c r="H180" s="109">
        <f t="shared" si="87"/>
        <v>0.1848614385691488</v>
      </c>
      <c r="I180" s="109">
        <f t="shared" si="87"/>
        <v>0.014510505905033161</v>
      </c>
      <c r="J180" s="109">
        <f t="shared" si="87"/>
        <v>0.005012493889985719</v>
      </c>
      <c r="K180" s="109">
        <f t="shared" si="87"/>
        <v>0.00468054065223832</v>
      </c>
      <c r="L180" s="109">
        <f t="shared" si="87"/>
        <v>0.003775968079376659</v>
      </c>
      <c r="M180" s="109">
        <f t="shared" si="87"/>
        <v>0.9595100038257611</v>
      </c>
    </row>
    <row r="181" spans="3:13" ht="15">
      <c r="C181" s="112">
        <f>+C180*$M181</f>
        <v>1310.0989310275866</v>
      </c>
      <c r="D181" s="112">
        <f>+D180*$M181</f>
        <v>475.1391587475074</v>
      </c>
      <c r="E181" s="112">
        <f>+E180*$M181</f>
        <v>1018.8765174619853</v>
      </c>
      <c r="F181" s="112">
        <f>+F180*$M181</f>
        <v>32.636717430615555</v>
      </c>
      <c r="G181" s="112">
        <f aca="true" t="shared" si="88" ref="G181:L181">+G180*$M181</f>
        <v>56.270202466578546</v>
      </c>
      <c r="H181" s="112">
        <f t="shared" si="88"/>
        <v>716.2585840368669</v>
      </c>
      <c r="I181" s="112">
        <f t="shared" si="88"/>
        <v>56.22197086446434</v>
      </c>
      <c r="J181" s="112">
        <f t="shared" si="88"/>
        <v>19.421258451321968</v>
      </c>
      <c r="K181" s="112">
        <f t="shared" si="88"/>
        <v>18.13508239494303</v>
      </c>
      <c r="L181" s="112">
        <f t="shared" si="88"/>
        <v>14.630252641310422</v>
      </c>
      <c r="M181" s="3">
        <f>+'2014-2015 RSA'!D19</f>
        <v>3874.57</v>
      </c>
    </row>
    <row r="182" spans="3:13" ht="15">
      <c r="C182" s="107">
        <f>+C181*C17</f>
        <v>118039.91368558555</v>
      </c>
      <c r="D182" s="107">
        <f aca="true" t="shared" si="89" ref="D182:L182">+D181*D17</f>
        <v>38533.785774422846</v>
      </c>
      <c r="E182" s="107">
        <f t="shared" si="89"/>
        <v>130324.49534856253</v>
      </c>
      <c r="F182" s="107">
        <f t="shared" si="89"/>
        <v>53299.34960311257</v>
      </c>
      <c r="G182" s="107">
        <f t="shared" si="89"/>
        <v>11638.928678187107</v>
      </c>
      <c r="H182" s="107">
        <f t="shared" si="89"/>
        <v>-38205.23287252648</v>
      </c>
      <c r="I182" s="107">
        <f t="shared" si="89"/>
        <v>19677.68980256252</v>
      </c>
      <c r="J182" s="107">
        <f t="shared" si="89"/>
        <v>19071.675799198172</v>
      </c>
      <c r="K182" s="107">
        <f t="shared" si="89"/>
        <v>11969.1543806624</v>
      </c>
      <c r="L182" s="107">
        <f t="shared" si="89"/>
        <v>1793.815276351071</v>
      </c>
      <c r="M182" s="3">
        <f>SUM(C182:L182)</f>
        <v>366143.5754761183</v>
      </c>
    </row>
    <row r="183" spans="3:13" ht="15">
      <c r="C183" s="107"/>
      <c r="D183" s="107"/>
      <c r="E183" s="107"/>
      <c r="F183" s="107"/>
      <c r="G183" s="107"/>
      <c r="H183" s="107"/>
      <c r="I183" s="107"/>
      <c r="J183" s="107"/>
      <c r="K183" s="107"/>
      <c r="L183" s="107"/>
      <c r="M183" s="3"/>
    </row>
    <row r="184" spans="2:13" ht="15">
      <c r="B184" s="1" t="s">
        <v>91</v>
      </c>
      <c r="C184" s="109">
        <f>+C87</f>
        <v>0.3423216116774232</v>
      </c>
      <c r="D184" s="109">
        <f aca="true" t="shared" si="90" ref="D184:M184">+D87</f>
        <v>0.13569676498381483</v>
      </c>
      <c r="E184" s="109">
        <f t="shared" si="90"/>
        <v>0.2535285602267929</v>
      </c>
      <c r="F184" s="109">
        <f t="shared" si="90"/>
        <v>0.00814283129259907</v>
      </c>
      <c r="G184" s="109">
        <f t="shared" si="90"/>
        <v>0.01689687757605002</v>
      </c>
      <c r="H184" s="109">
        <f t="shared" si="90"/>
        <v>0.1773016064499266</v>
      </c>
      <c r="I184" s="109">
        <f t="shared" si="90"/>
        <v>0.01502905281782174</v>
      </c>
      <c r="J184" s="109">
        <f t="shared" si="90"/>
        <v>0.00461427106580614</v>
      </c>
      <c r="K184" s="109">
        <f t="shared" si="90"/>
        <v>0.0043086635703802</v>
      </c>
      <c r="L184" s="109">
        <f t="shared" si="90"/>
        <v>0.0034612059432615554</v>
      </c>
      <c r="M184" s="109">
        <f t="shared" si="90"/>
        <v>0.9613014456038764</v>
      </c>
    </row>
    <row r="185" spans="3:13" ht="15">
      <c r="C185" s="112">
        <f>+C184*$M185</f>
        <v>1190.426827824356</v>
      </c>
      <c r="D185" s="112">
        <f>+D184*$M185</f>
        <v>471.8868571988659</v>
      </c>
      <c r="E185" s="112">
        <f>+E184*$M185</f>
        <v>881.6481034742745</v>
      </c>
      <c r="F185" s="112">
        <f>+F184*$M185</f>
        <v>28.316777248326193</v>
      </c>
      <c r="G185" s="112">
        <f aca="true" t="shared" si="91" ref="G185:L185">+G184*$M185</f>
        <v>58.75906073948971</v>
      </c>
      <c r="H185" s="112">
        <f t="shared" si="91"/>
        <v>616.5681094456843</v>
      </c>
      <c r="I185" s="112">
        <f t="shared" si="91"/>
        <v>52.263681464503286</v>
      </c>
      <c r="J185" s="112">
        <f t="shared" si="91"/>
        <v>16.04617377405151</v>
      </c>
      <c r="K185" s="112">
        <f t="shared" si="91"/>
        <v>14.983420652632848</v>
      </c>
      <c r="L185" s="112">
        <f t="shared" si="91"/>
        <v>12.036378279751492</v>
      </c>
      <c r="M185" s="3">
        <f>+'2014-2015 RSA'!D20</f>
        <v>3477.51</v>
      </c>
    </row>
    <row r="186" spans="3:13" ht="15">
      <c r="C186" s="107">
        <f>+C185*C18</f>
        <v>106067.03035915011</v>
      </c>
      <c r="D186" s="107">
        <f aca="true" t="shared" si="92" ref="D186:L186">+D185*D18</f>
        <v>37326.25040443029</v>
      </c>
      <c r="E186" s="107">
        <f t="shared" si="92"/>
        <v>111889.96081192017</v>
      </c>
      <c r="F186" s="107">
        <f t="shared" si="92"/>
        <v>49201.81630782918</v>
      </c>
      <c r="G186" s="107">
        <f t="shared" si="92"/>
        <v>11810.571208637431</v>
      </c>
      <c r="H186" s="107">
        <f t="shared" si="92"/>
        <v>-32887.7429578328</v>
      </c>
      <c r="I186" s="107">
        <f t="shared" si="92"/>
        <v>16985.696475963567</v>
      </c>
      <c r="J186" s="107">
        <f t="shared" si="92"/>
        <v>13478.78597020327</v>
      </c>
      <c r="K186" s="107">
        <f t="shared" si="92"/>
        <v>9889.05763073768</v>
      </c>
      <c r="L186" s="107">
        <f t="shared" si="92"/>
        <v>1685.0929591652089</v>
      </c>
      <c r="M186" s="3">
        <f>SUM(C186:L186)</f>
        <v>325446.5191702041</v>
      </c>
    </row>
    <row r="188" spans="2:13" ht="15">
      <c r="B188" s="1" t="s">
        <v>44</v>
      </c>
      <c r="C188" s="109">
        <f>+C91</f>
        <v>0.34424915506463627</v>
      </c>
      <c r="D188" s="109">
        <f>+D91</f>
        <v>0.15927291971551846</v>
      </c>
      <c r="E188" s="109">
        <f>+E91</f>
        <v>0.2472017422524769</v>
      </c>
      <c r="F188" s="109">
        <f>+F91</f>
        <v>0.008215988699736856</v>
      </c>
      <c r="G188" s="109">
        <f aca="true" t="shared" si="93" ref="G188:M188">+G91</f>
        <v>0.017128600666690835</v>
      </c>
      <c r="H188" s="109">
        <f t="shared" si="93"/>
        <v>0.16049336047823995</v>
      </c>
      <c r="I188" s="109">
        <f t="shared" si="93"/>
        <v>0.014163901645743536</v>
      </c>
      <c r="J188" s="109">
        <f t="shared" si="93"/>
        <v>0.004474435160420072</v>
      </c>
      <c r="K188" s="109">
        <f t="shared" si="93"/>
        <v>0.0037477251740208116</v>
      </c>
      <c r="L188" s="109">
        <f t="shared" si="93"/>
        <v>0.0037106953657966455</v>
      </c>
      <c r="M188" s="109">
        <f t="shared" si="93"/>
        <v>0.9626585242232804</v>
      </c>
    </row>
    <row r="189" spans="3:13" ht="15">
      <c r="C189" s="112">
        <f>+C188*$M189</f>
        <v>1479.5656560100533</v>
      </c>
      <c r="D189" s="112">
        <f>+D188*$M189</f>
        <v>684.5470452913125</v>
      </c>
      <c r="E189" s="112">
        <f>+E188*$M189</f>
        <v>1062.4607281140331</v>
      </c>
      <c r="F189" s="112">
        <f>+F188*$M189</f>
        <v>35.31190863203402</v>
      </c>
      <c r="G189" s="112">
        <f aca="true" t="shared" si="94" ref="G189:L189">+G188*$M189</f>
        <v>73.61786923540387</v>
      </c>
      <c r="H189" s="112">
        <f t="shared" si="94"/>
        <v>689.7924386674514</v>
      </c>
      <c r="I189" s="112">
        <f t="shared" si="94"/>
        <v>60.87574107832343</v>
      </c>
      <c r="J189" s="112">
        <f t="shared" si="94"/>
        <v>19.230898597727446</v>
      </c>
      <c r="K189" s="112">
        <f t="shared" si="94"/>
        <v>16.107535411682747</v>
      </c>
      <c r="L189" s="112">
        <f t="shared" si="94"/>
        <v>15.948383147425693</v>
      </c>
      <c r="M189" s="3">
        <f>+'2014-2015 RSA'!D21</f>
        <v>4297.95</v>
      </c>
    </row>
    <row r="190" spans="3:13" ht="15">
      <c r="C190" s="107">
        <f>+C189*C19</f>
        <v>129565.56449680036</v>
      </c>
      <c r="D190" s="107">
        <f aca="true" t="shared" si="95" ref="D190:L190">+D189*D19</f>
        <v>52415.7672579558</v>
      </c>
      <c r="E190" s="107">
        <f t="shared" si="95"/>
        <v>132138.2407555423</v>
      </c>
      <c r="F190" s="107">
        <f t="shared" si="95"/>
        <v>60315.91801529098</v>
      </c>
      <c r="G190" s="107">
        <f t="shared" si="95"/>
        <v>14355.484500903754</v>
      </c>
      <c r="H190" s="107">
        <f t="shared" si="95"/>
        <v>-36793.52867852186</v>
      </c>
      <c r="I190" s="107">
        <f t="shared" si="95"/>
        <v>15502.616223005843</v>
      </c>
      <c r="J190" s="107">
        <f t="shared" si="95"/>
        <v>14853.946076884678</v>
      </c>
      <c r="K190" s="107">
        <f t="shared" si="95"/>
        <v>9664.521247009649</v>
      </c>
      <c r="L190" s="107">
        <f t="shared" si="95"/>
        <v>956.9029888455416</v>
      </c>
      <c r="M190" s="3">
        <f>SUM(C190:L190)</f>
        <v>392975.43288371706</v>
      </c>
    </row>
    <row r="192" spans="2:13" ht="15">
      <c r="B192" s="1" t="s">
        <v>94</v>
      </c>
      <c r="C192" s="109">
        <f>+C95</f>
        <v>0.35379470328658835</v>
      </c>
      <c r="D192" s="109">
        <f aca="true" t="shared" si="96" ref="D192:L192">+D95</f>
        <v>0.13573335724727922</v>
      </c>
      <c r="E192" s="109">
        <f t="shared" si="96"/>
        <v>0.24674623693757106</v>
      </c>
      <c r="F192" s="109">
        <f t="shared" si="96"/>
        <v>0.009538787969029185</v>
      </c>
      <c r="G192" s="109">
        <f t="shared" si="96"/>
        <v>0.016736660079051384</v>
      </c>
      <c r="H192" s="109">
        <f t="shared" si="96"/>
        <v>0.16989956142725648</v>
      </c>
      <c r="I192" s="109">
        <f t="shared" si="96"/>
        <v>0.013589494558449293</v>
      </c>
      <c r="J192" s="109">
        <f t="shared" si="96"/>
        <v>0.004847650116411284</v>
      </c>
      <c r="K192" s="109">
        <f t="shared" si="96"/>
        <v>0.003864583897341491</v>
      </c>
      <c r="L192" s="109">
        <f t="shared" si="96"/>
        <v>0.0050574611511180895</v>
      </c>
      <c r="M192" s="26">
        <f>SUM(C192:L192)</f>
        <v>0.9598084966700957</v>
      </c>
    </row>
    <row r="193" spans="3:13" ht="15">
      <c r="C193" s="112">
        <f aca="true" t="shared" si="97" ref="C193:L193">+C192*$M193</f>
        <v>1520.5919449905923</v>
      </c>
      <c r="D193" s="112">
        <f t="shared" si="97"/>
        <v>583.3751827809438</v>
      </c>
      <c r="E193" s="112">
        <f t="shared" si="97"/>
        <v>1060.5029890458334</v>
      </c>
      <c r="F193" s="112">
        <f t="shared" si="97"/>
        <v>40.997233751488984</v>
      </c>
      <c r="G193" s="112">
        <f t="shared" si="97"/>
        <v>71.9333281867589</v>
      </c>
      <c r="H193" s="112">
        <f t="shared" si="97"/>
        <v>730.2198200362769</v>
      </c>
      <c r="I193" s="112">
        <f t="shared" si="97"/>
        <v>58.406968137487134</v>
      </c>
      <c r="J193" s="112">
        <f t="shared" si="97"/>
        <v>20.834957817829874</v>
      </c>
      <c r="K193" s="112">
        <f t="shared" si="97"/>
        <v>16.60978836157886</v>
      </c>
      <c r="L193" s="112">
        <f t="shared" si="97"/>
        <v>21.736715154447992</v>
      </c>
      <c r="M193" s="3">
        <f>+'2014-2015 RSA'!D21</f>
        <v>4297.95</v>
      </c>
    </row>
    <row r="194" spans="3:13" ht="15">
      <c r="C194" s="116">
        <f>+C193*C20</f>
        <v>129600.05147154818</v>
      </c>
      <c r="D194" s="116">
        <f aca="true" t="shared" si="98" ref="D194:L194">+D193*D20</f>
        <v>43274.771058690414</v>
      </c>
      <c r="E194" s="116">
        <f t="shared" si="98"/>
        <v>130272.18717439017</v>
      </c>
      <c r="F194" s="116">
        <f t="shared" si="98"/>
        <v>66004.31642288472</v>
      </c>
      <c r="G194" s="116">
        <f t="shared" si="98"/>
        <v>10872.003222146739</v>
      </c>
      <c r="H194" s="116">
        <f t="shared" si="98"/>
        <v>-38949.925200735015</v>
      </c>
      <c r="I194" s="116">
        <f t="shared" si="98"/>
        <v>13766.522390005717</v>
      </c>
      <c r="J194" s="116">
        <f t="shared" si="98"/>
        <v>12292.625112519625</v>
      </c>
      <c r="K194" s="116">
        <f t="shared" si="98"/>
        <v>6976.111111863122</v>
      </c>
      <c r="L194" s="116">
        <f t="shared" si="98"/>
        <v>1304.2029092668795</v>
      </c>
      <c r="M194" s="3">
        <f>SUM(C194:L194)</f>
        <v>375412.8656725805</v>
      </c>
    </row>
    <row r="195" spans="3:12" ht="15">
      <c r="C195" s="109"/>
      <c r="D195" s="109"/>
      <c r="E195" s="109"/>
      <c r="F195" s="109"/>
      <c r="G195" s="109"/>
      <c r="H195" s="109"/>
      <c r="I195" s="109"/>
      <c r="J195" s="109"/>
      <c r="K195" s="109"/>
      <c r="L195" s="109"/>
    </row>
    <row r="196" spans="2:13" ht="15">
      <c r="B196" s="1" t="s">
        <v>45</v>
      </c>
      <c r="C196" s="109">
        <f>+C99</f>
        <v>0.2962166570215785</v>
      </c>
      <c r="D196" s="109">
        <f aca="true" t="shared" si="99" ref="D196:L196">+D99</f>
        <v>0.142330417865446</v>
      </c>
      <c r="E196" s="109">
        <f t="shared" si="99"/>
        <v>0.2341105171687141</v>
      </c>
      <c r="F196" s="109">
        <f t="shared" si="99"/>
        <v>0.008731776040138195</v>
      </c>
      <c r="G196" s="109">
        <f t="shared" si="99"/>
        <v>0.015998961438846028</v>
      </c>
      <c r="H196" s="109">
        <f t="shared" si="99"/>
        <v>0.23547819981514345</v>
      </c>
      <c r="I196" s="109">
        <f t="shared" si="99"/>
        <v>0.015028053036100057</v>
      </c>
      <c r="J196" s="109">
        <f t="shared" si="99"/>
        <v>0.004543705048632272</v>
      </c>
      <c r="K196" s="109">
        <f t="shared" si="99"/>
        <v>0.0038397507453230466</v>
      </c>
      <c r="L196" s="109">
        <f t="shared" si="99"/>
        <v>0.004008882623390848</v>
      </c>
      <c r="M196" s="26">
        <f>SUM(C196:L196)</f>
        <v>0.9602869208033126</v>
      </c>
    </row>
    <row r="197" spans="3:13" ht="15">
      <c r="C197" s="112">
        <f aca="true" t="shared" si="100" ref="C197:L197">+C196*$M197</f>
        <v>1250.6326502782451</v>
      </c>
      <c r="D197" s="112">
        <f t="shared" si="100"/>
        <v>600.9218708362704</v>
      </c>
      <c r="E197" s="112">
        <f t="shared" si="100"/>
        <v>988.4192856966544</v>
      </c>
      <c r="F197" s="112">
        <f t="shared" si="100"/>
        <v>36.86573307698426</v>
      </c>
      <c r="G197" s="112">
        <f t="shared" si="100"/>
        <v>67.54793517403671</v>
      </c>
      <c r="H197" s="112">
        <f t="shared" si="100"/>
        <v>994.193669183532</v>
      </c>
      <c r="I197" s="112">
        <f t="shared" si="100"/>
        <v>63.44874047947517</v>
      </c>
      <c r="J197" s="112">
        <f t="shared" si="100"/>
        <v>19.18361358942643</v>
      </c>
      <c r="K197" s="112">
        <f t="shared" si="100"/>
        <v>16.21150444176881</v>
      </c>
      <c r="L197" s="112">
        <f t="shared" si="100"/>
        <v>16.92558261360863</v>
      </c>
      <c r="M197" s="3">
        <f>+'2014-2015 RSA'!D22</f>
        <v>4222.02</v>
      </c>
    </row>
    <row r="198" spans="3:13" ht="15">
      <c r="C198" s="116">
        <f>+C197*C21</f>
        <v>103902.5605851166</v>
      </c>
      <c r="D198" s="116">
        <f aca="true" t="shared" si="101" ref="D198:L198">+D197*D21</f>
        <v>42863.75704675117</v>
      </c>
      <c r="E198" s="116">
        <f t="shared" si="101"/>
        <v>111661.72670515104</v>
      </c>
      <c r="F198" s="116">
        <f t="shared" si="101"/>
        <v>64515.03288472246</v>
      </c>
      <c r="G198" s="116">
        <f t="shared" si="101"/>
        <v>5548.387395195376</v>
      </c>
      <c r="H198" s="116">
        <f t="shared" si="101"/>
        <v>-53030.2903142496</v>
      </c>
      <c r="I198" s="116">
        <f t="shared" si="101"/>
        <v>10342.144698154452</v>
      </c>
      <c r="J198" s="116">
        <f t="shared" si="101"/>
        <v>9399.97065881895</v>
      </c>
      <c r="K198" s="116">
        <f t="shared" si="101"/>
        <v>5236.315934691325</v>
      </c>
      <c r="L198" s="116">
        <f t="shared" si="101"/>
        <v>677.0233045443451</v>
      </c>
      <c r="M198" s="3">
        <f>SUM(C198:L198)</f>
        <v>301116.62889889616</v>
      </c>
    </row>
    <row r="200" spans="2:13" ht="15">
      <c r="B200" s="1" t="s">
        <v>46</v>
      </c>
      <c r="C200" s="109">
        <f>+C103</f>
        <v>0.3482085642899588</v>
      </c>
      <c r="D200" s="109">
        <f aca="true" t="shared" si="102" ref="D200:L200">+D103</f>
        <v>0.1411121623404793</v>
      </c>
      <c r="E200" s="109">
        <f t="shared" si="102"/>
        <v>0.2485939926985077</v>
      </c>
      <c r="F200" s="109">
        <f t="shared" si="102"/>
        <v>0.008901334984635472</v>
      </c>
      <c r="G200" s="109">
        <f t="shared" si="102"/>
        <v>0.016550394182264776</v>
      </c>
      <c r="H200" s="109">
        <f t="shared" si="102"/>
        <v>0.1687113892412951</v>
      </c>
      <c r="I200" s="109">
        <f t="shared" si="102"/>
        <v>0.01568622039536382</v>
      </c>
      <c r="J200" s="109">
        <f t="shared" si="102"/>
        <v>0.0048124648013047125</v>
      </c>
      <c r="K200" s="109">
        <f t="shared" si="102"/>
        <v>0.004752093379066124</v>
      </c>
      <c r="L200" s="109">
        <f t="shared" si="102"/>
        <v>0.0040914575299981285</v>
      </c>
      <c r="M200" s="26">
        <f>SUM(C200:L200)</f>
        <v>0.9614200738428741</v>
      </c>
    </row>
    <row r="201" spans="3:13" ht="15">
      <c r="C201" s="112">
        <f aca="true" t="shared" si="103" ref="C201:L201">+C200*$M201</f>
        <v>1189.2715304759251</v>
      </c>
      <c r="D201" s="112">
        <f t="shared" si="103"/>
        <v>481.95447925767303</v>
      </c>
      <c r="E201" s="112">
        <f t="shared" si="103"/>
        <v>849.0479226624833</v>
      </c>
      <c r="F201" s="112">
        <f t="shared" si="103"/>
        <v>30.401619506523993</v>
      </c>
      <c r="G201" s="112">
        <f t="shared" si="103"/>
        <v>56.526216290107115</v>
      </c>
      <c r="H201" s="112">
        <f t="shared" si="103"/>
        <v>576.2168788147194</v>
      </c>
      <c r="I201" s="112">
        <f t="shared" si="103"/>
        <v>53.57471713832559</v>
      </c>
      <c r="J201" s="112">
        <f t="shared" si="103"/>
        <v>16.436492282376115</v>
      </c>
      <c r="K201" s="112">
        <f t="shared" si="103"/>
        <v>16.23029972686244</v>
      </c>
      <c r="L201" s="112">
        <f t="shared" si="103"/>
        <v>13.973964047955608</v>
      </c>
      <c r="M201" s="3">
        <f>+'2014-2015 RSA'!D23</f>
        <v>3415.4</v>
      </c>
    </row>
    <row r="202" spans="3:13" ht="15">
      <c r="C202" s="116">
        <f>+C201*C22</f>
        <v>89088.33034795155</v>
      </c>
      <c r="D202" s="116">
        <f aca="true" t="shared" si="104" ref="D202:L202">+D201*D22</f>
        <v>28594.35925435774</v>
      </c>
      <c r="E202" s="116">
        <f t="shared" si="104"/>
        <v>83087.82971175062</v>
      </c>
      <c r="F202" s="116">
        <f t="shared" si="104"/>
        <v>53202.83413641699</v>
      </c>
      <c r="G202" s="116">
        <f t="shared" si="104"/>
        <v>8478.932443516067</v>
      </c>
      <c r="H202" s="116">
        <f t="shared" si="104"/>
        <v>-30735.408315977136</v>
      </c>
      <c r="I202" s="116">
        <f t="shared" si="104"/>
        <v>9107.70191351535</v>
      </c>
      <c r="J202" s="116">
        <f t="shared" si="104"/>
        <v>8711.34090965934</v>
      </c>
      <c r="K202" s="116">
        <f t="shared" si="104"/>
        <v>7790.543868893972</v>
      </c>
      <c r="L202" s="116">
        <f t="shared" si="104"/>
        <v>838.4378428773365</v>
      </c>
      <c r="M202" s="3">
        <f>SUM(C202:L202)</f>
        <v>258164.90211296183</v>
      </c>
    </row>
    <row r="204" spans="2:13" ht="15">
      <c r="B204" s="1" t="s">
        <v>76</v>
      </c>
      <c r="C204" s="109">
        <f>+C107</f>
        <v>0.33717338601059527</v>
      </c>
      <c r="D204" s="109">
        <f aca="true" t="shared" si="105" ref="D204:L204">+D107</f>
        <v>0.1297449941635988</v>
      </c>
      <c r="E204" s="109">
        <f t="shared" si="105"/>
        <v>0.2734452725150399</v>
      </c>
      <c r="F204" s="109">
        <f t="shared" si="105"/>
        <v>0.008619915596659781</v>
      </c>
      <c r="G204" s="109">
        <f t="shared" si="105"/>
        <v>0.014456316781898175</v>
      </c>
      <c r="H204" s="109">
        <f t="shared" si="105"/>
        <v>0.17069049115560742</v>
      </c>
      <c r="I204" s="109">
        <f t="shared" si="105"/>
        <v>0.01438448415192601</v>
      </c>
      <c r="J204" s="109">
        <f t="shared" si="105"/>
        <v>0.004274041483343809</v>
      </c>
      <c r="K204" s="109">
        <f t="shared" si="105"/>
        <v>0.00414833438089252</v>
      </c>
      <c r="L204" s="109">
        <f t="shared" si="105"/>
        <v>0.0039283469516027646</v>
      </c>
      <c r="M204" s="26">
        <f>SUM(C204:L204)</f>
        <v>0.9608655831911644</v>
      </c>
    </row>
    <row r="205" spans="3:13" ht="15">
      <c r="C205" s="112">
        <f aca="true" t="shared" si="106" ref="C205:L205">+C204*$M205</f>
        <v>1246.4625734039687</v>
      </c>
      <c r="D205" s="112">
        <f t="shared" si="106"/>
        <v>479.64129442399206</v>
      </c>
      <c r="E205" s="112">
        <f t="shared" si="106"/>
        <v>1010.8724834335997</v>
      </c>
      <c r="F205" s="112">
        <f t="shared" si="106"/>
        <v>31.866103977731882</v>
      </c>
      <c r="G205" s="112">
        <f t="shared" si="106"/>
        <v>53.442111879321175</v>
      </c>
      <c r="H205" s="112">
        <f t="shared" si="106"/>
        <v>631.0086077040495</v>
      </c>
      <c r="I205" s="112">
        <f t="shared" si="106"/>
        <v>53.176561012840075</v>
      </c>
      <c r="J205" s="112">
        <f t="shared" si="106"/>
        <v>15.800276555625393</v>
      </c>
      <c r="K205" s="112">
        <f t="shared" si="106"/>
        <v>15.335562539283469</v>
      </c>
      <c r="L205" s="112">
        <f t="shared" si="106"/>
        <v>14.522313010685101</v>
      </c>
      <c r="M205" s="3">
        <f>+'2014-2015 RSA'!D24</f>
        <v>3696.8</v>
      </c>
    </row>
    <row r="206" spans="3:13" ht="15">
      <c r="C206" s="132">
        <f>+C205*C23</f>
        <v>93360.04674795727</v>
      </c>
      <c r="D206" s="132">
        <f aca="true" t="shared" si="107" ref="D206:L206">+D205*D23</f>
        <v>28696.938645387443</v>
      </c>
      <c r="E206" s="132">
        <f t="shared" si="107"/>
        <v>97235.82418147795</v>
      </c>
      <c r="F206" s="132">
        <f t="shared" si="107"/>
        <v>42696.43673664361</v>
      </c>
      <c r="G206" s="132">
        <f t="shared" si="107"/>
        <v>4389.735069767441</v>
      </c>
      <c r="H206" s="132">
        <f t="shared" si="107"/>
        <v>-33657.999134934005</v>
      </c>
      <c r="I206" s="132">
        <f t="shared" si="107"/>
        <v>10983.086911591989</v>
      </c>
      <c r="J206" s="132">
        <f t="shared" si="107"/>
        <v>9174.746587554997</v>
      </c>
      <c r="K206" s="132">
        <f t="shared" si="107"/>
        <v>9354.693148962917</v>
      </c>
      <c r="L206" s="132">
        <f t="shared" si="107"/>
        <v>580.8925204274041</v>
      </c>
      <c r="M206" s="3">
        <f>SUM(C206:L206)</f>
        <v>262814.40141483705</v>
      </c>
    </row>
    <row r="208" spans="2:13" ht="15">
      <c r="B208" s="1" t="s">
        <v>16</v>
      </c>
      <c r="C208" s="109">
        <f>+C111</f>
        <v>0.36354202278004766</v>
      </c>
      <c r="D208" s="109">
        <f aca="true" t="shared" si="108" ref="D208:L208">+D111</f>
        <v>0.1257199328218378</v>
      </c>
      <c r="E208" s="109">
        <f t="shared" si="108"/>
        <v>0.2682110545065974</v>
      </c>
      <c r="F208" s="109">
        <f t="shared" si="108"/>
        <v>0.009667602602686756</v>
      </c>
      <c r="G208" s="109">
        <f t="shared" si="108"/>
        <v>0.01618366016368606</v>
      </c>
      <c r="H208" s="109">
        <f t="shared" si="108"/>
        <v>0.14514761074775875</v>
      </c>
      <c r="I208" s="109">
        <f t="shared" si="108"/>
        <v>0.016521792737809016</v>
      </c>
      <c r="J208" s="109">
        <f t="shared" si="108"/>
        <v>0.004558251275469697</v>
      </c>
      <c r="K208" s="109">
        <f t="shared" si="108"/>
        <v>0.004302316675166686</v>
      </c>
      <c r="L208" s="109">
        <f t="shared" si="108"/>
        <v>0.004845944183839507</v>
      </c>
      <c r="M208" s="26">
        <f>SUM(C208:L208)</f>
        <v>0.9587001884948994</v>
      </c>
    </row>
    <row r="209" spans="3:13" ht="15">
      <c r="C209" s="112">
        <f aca="true" t="shared" si="109" ref="C209:L209">+C208*$M209</f>
        <v>1369.328289264011</v>
      </c>
      <c r="D209" s="112">
        <f t="shared" si="109"/>
        <v>473.54047056471893</v>
      </c>
      <c r="E209" s="112">
        <f t="shared" si="109"/>
        <v>1010.251804236185</v>
      </c>
      <c r="F209" s="112">
        <f t="shared" si="109"/>
        <v>36.41428199135802</v>
      </c>
      <c r="G209" s="112">
        <f t="shared" si="109"/>
        <v>60.95785988234483</v>
      </c>
      <c r="H209" s="112">
        <f t="shared" si="109"/>
        <v>546.7173450708306</v>
      </c>
      <c r="I209" s="112">
        <f t="shared" si="109"/>
        <v>62.23148018001358</v>
      </c>
      <c r="J209" s="112">
        <f t="shared" si="109"/>
        <v>17.169246001722424</v>
      </c>
      <c r="K209" s="112">
        <f t="shared" si="109"/>
        <v>16.205235058183096</v>
      </c>
      <c r="L209" s="112">
        <f t="shared" si="109"/>
        <v>18.2528787411754</v>
      </c>
      <c r="M209" s="3">
        <f>+'2014-2015 RSA'!D25</f>
        <v>3766.63</v>
      </c>
    </row>
    <row r="210" spans="3:13" ht="15">
      <c r="C210" s="132">
        <f>+C209*C24</f>
        <v>107451.19085854694</v>
      </c>
      <c r="D210" s="132">
        <f aca="true" t="shared" si="110" ref="D210:L210">+D209*D24</f>
        <v>31542.53074431593</v>
      </c>
      <c r="E210" s="132">
        <f t="shared" si="110"/>
        <v>114208.9664689007</v>
      </c>
      <c r="F210" s="132">
        <f t="shared" si="110"/>
        <v>39618.738806597525</v>
      </c>
      <c r="G210" s="132">
        <f t="shared" si="110"/>
        <v>4462.724921986464</v>
      </c>
      <c r="H210" s="132">
        <f t="shared" si="110"/>
        <v>-29161.903186078103</v>
      </c>
      <c r="I210" s="132">
        <f t="shared" si="110"/>
        <v>15184.481163923312</v>
      </c>
      <c r="J210" s="132">
        <f t="shared" si="110"/>
        <v>12018.472201205697</v>
      </c>
      <c r="K210" s="132">
        <f t="shared" si="110"/>
        <v>10128.271911364434</v>
      </c>
      <c r="L210" s="132">
        <f t="shared" si="110"/>
        <v>1697.5177229293122</v>
      </c>
      <c r="M210" s="3">
        <f>SUM(C210:L210)</f>
        <v>307150.9916136922</v>
      </c>
    </row>
    <row r="212" spans="2:13" ht="15">
      <c r="B212" s="1" t="s">
        <v>47</v>
      </c>
      <c r="C212" s="109">
        <f>+C115</f>
        <v>0.37972116726313754</v>
      </c>
      <c r="D212" s="109">
        <f aca="true" t="shared" si="111" ref="D212:L212">+D115</f>
        <v>0.10450949747974993</v>
      </c>
      <c r="E212" s="109">
        <f t="shared" si="111"/>
        <v>0.23205130426047565</v>
      </c>
      <c r="F212" s="109">
        <f t="shared" si="111"/>
        <v>0.0074654182863581565</v>
      </c>
      <c r="G212" s="109">
        <f t="shared" si="111"/>
        <v>0.011745538513276324</v>
      </c>
      <c r="H212" s="109">
        <f t="shared" si="111"/>
        <v>0.19219982669509253</v>
      </c>
      <c r="I212" s="109">
        <f t="shared" si="111"/>
        <v>0.01344537354173939</v>
      </c>
      <c r="J212" s="109">
        <f t="shared" si="111"/>
        <v>0.0009995216386818632</v>
      </c>
      <c r="K212" s="109">
        <f t="shared" si="111"/>
        <v>0.003466864261383539</v>
      </c>
      <c r="L212" s="109">
        <f t="shared" si="111"/>
        <v>0.004015581356339233</v>
      </c>
      <c r="M212" s="26">
        <f>SUM(C212:L212)</f>
        <v>0.9496200932962341</v>
      </c>
    </row>
    <row r="213" spans="3:13" ht="15">
      <c r="C213" s="112">
        <f aca="true" t="shared" si="112" ref="C213:L213">+C212*$M213</f>
        <v>1386.4341286994952</v>
      </c>
      <c r="D213" s="112">
        <f t="shared" si="112"/>
        <v>381.58403210308813</v>
      </c>
      <c r="E213" s="112">
        <f t="shared" si="112"/>
        <v>847.2634016028061</v>
      </c>
      <c r="F213" s="112">
        <f t="shared" si="112"/>
        <v>27.257660592968037</v>
      </c>
      <c r="G213" s="112">
        <f t="shared" si="112"/>
        <v>42.885192764289386</v>
      </c>
      <c r="H213" s="112">
        <f t="shared" si="112"/>
        <v>701.7580852308549</v>
      </c>
      <c r="I213" s="112">
        <f t="shared" si="112"/>
        <v>49.09161342186344</v>
      </c>
      <c r="J213" s="112">
        <f t="shared" si="112"/>
        <v>3.649443411938832</v>
      </c>
      <c r="K213" s="112">
        <f t="shared" si="112"/>
        <v>12.658180122520964</v>
      </c>
      <c r="L213" s="112">
        <f t="shared" si="112"/>
        <v>14.661650492452244</v>
      </c>
      <c r="M213" s="3">
        <f>+'2014-2015 RSA'!D26</f>
        <v>3651.19</v>
      </c>
    </row>
    <row r="214" spans="3:13" ht="15">
      <c r="C214" s="132">
        <f>+C213*C25</f>
        <v>122352.81185773046</v>
      </c>
      <c r="D214" s="132">
        <f aca="true" t="shared" si="113" ref="D214:L214">+D213*D25</f>
        <v>30236.718703848703</v>
      </c>
      <c r="E214" s="132">
        <f t="shared" si="113"/>
        <v>109347.81461085816</v>
      </c>
      <c r="F214" s="132">
        <f t="shared" si="113"/>
        <v>28838.059754148326</v>
      </c>
      <c r="G214" s="132">
        <f t="shared" si="113"/>
        <v>4403.880444964877</v>
      </c>
      <c r="H214" s="132">
        <f t="shared" si="113"/>
        <v>-37431.776266213805</v>
      </c>
      <c r="I214" s="132">
        <f t="shared" si="113"/>
        <v>13303.827237324993</v>
      </c>
      <c r="J214" s="132">
        <f t="shared" si="113"/>
        <v>2627.599256595959</v>
      </c>
      <c r="K214" s="132">
        <f t="shared" si="113"/>
        <v>7088.58086861174</v>
      </c>
      <c r="L214" s="132">
        <f t="shared" si="113"/>
        <v>1832.7063115565304</v>
      </c>
      <c r="M214" s="3">
        <f>SUM(C214:L214)</f>
        <v>282600.22277942585</v>
      </c>
    </row>
    <row r="216" spans="2:13" ht="15">
      <c r="B216" s="1" t="s">
        <v>48</v>
      </c>
      <c r="C216" s="109">
        <f>+C119</f>
        <v>0.359874022139994</v>
      </c>
      <c r="D216" s="109">
        <f aca="true" t="shared" si="114" ref="D216:L216">+D119</f>
        <v>0.12733221266153708</v>
      </c>
      <c r="E216" s="109">
        <f t="shared" si="114"/>
        <v>0.2579175213107653</v>
      </c>
      <c r="F216" s="109">
        <f t="shared" si="114"/>
        <v>0.00911487068907755</v>
      </c>
      <c r="G216" s="109">
        <f t="shared" si="114"/>
        <v>0.01256855975597692</v>
      </c>
      <c r="H216" s="109">
        <f t="shared" si="114"/>
        <v>0.1633959377797415</v>
      </c>
      <c r="I216" s="109">
        <f t="shared" si="114"/>
        <v>0.015419665222631107</v>
      </c>
      <c r="J216" s="109">
        <f t="shared" si="114"/>
        <v>-3.969077874241197E-06</v>
      </c>
      <c r="K216" s="109">
        <f t="shared" si="114"/>
        <v>0.0027032110221280347</v>
      </c>
      <c r="L216" s="109">
        <f t="shared" si="114"/>
        <v>0.003275851339054342</v>
      </c>
      <c r="M216" s="26">
        <f>SUM(C216:L216)</f>
        <v>0.9515978828430315</v>
      </c>
    </row>
    <row r="217" spans="3:13" ht="15">
      <c r="C217" s="234">
        <f aca="true" t="shared" si="115" ref="C217:L217">+C216*$M217</f>
        <v>1443.609448633036</v>
      </c>
      <c r="D217" s="234">
        <f t="shared" si="115"/>
        <v>510.78425783686964</v>
      </c>
      <c r="E217" s="234">
        <f t="shared" si="115"/>
        <v>1034.6180825116433</v>
      </c>
      <c r="F217" s="234">
        <f t="shared" si="115"/>
        <v>36.56366572828636</v>
      </c>
      <c r="G217" s="234">
        <f t="shared" si="115"/>
        <v>50.417897661918495</v>
      </c>
      <c r="H217" s="234">
        <f t="shared" si="115"/>
        <v>655.4513666877884</v>
      </c>
      <c r="I217" s="234">
        <f t="shared" si="115"/>
        <v>61.8549076640191</v>
      </c>
      <c r="J217" s="234">
        <f t="shared" si="115"/>
        <v>-0.015921678057067363</v>
      </c>
      <c r="K217" s="234">
        <f t="shared" si="115"/>
        <v>10.843741790495061</v>
      </c>
      <c r="L217" s="234">
        <f t="shared" si="115"/>
        <v>13.140848337022758</v>
      </c>
      <c r="M217" s="3">
        <f>+'2014-2015 RSA'!D27</f>
        <v>4011.43</v>
      </c>
    </row>
    <row r="218" spans="3:13" ht="15">
      <c r="C218" s="228">
        <f>+C217*C26</f>
        <v>133750.4154158508</v>
      </c>
      <c r="D218" s="228">
        <f aca="true" t="shared" si="116" ref="D218:L218">+D217*D26</f>
        <v>42216.31891021728</v>
      </c>
      <c r="E218" s="228">
        <f t="shared" si="116"/>
        <v>135628.08443645132</v>
      </c>
      <c r="F218" s="228">
        <f t="shared" si="116"/>
        <v>38934.08817745116</v>
      </c>
      <c r="G218" s="228">
        <f t="shared" si="116"/>
        <v>5883.768657145889</v>
      </c>
      <c r="H218" s="228">
        <f t="shared" si="116"/>
        <v>-34961.77589912664</v>
      </c>
      <c r="I218" s="228">
        <f t="shared" si="116"/>
        <v>15773.00145432487</v>
      </c>
      <c r="J218" s="228">
        <f t="shared" si="116"/>
        <v>-11.941258542800522</v>
      </c>
      <c r="K218" s="228">
        <f t="shared" si="116"/>
        <v>5204.996059437629</v>
      </c>
      <c r="L218" s="228">
        <f t="shared" si="116"/>
        <v>1051.2678669618206</v>
      </c>
      <c r="M218" s="3">
        <f>SUM(C218:L218)</f>
        <v>343468.2238201713</v>
      </c>
    </row>
    <row r="220" spans="2:13" ht="15">
      <c r="B220" s="1" t="s">
        <v>49</v>
      </c>
      <c r="C220" s="109">
        <f>+C123</f>
        <v>0.3377624685144184</v>
      </c>
      <c r="D220" s="109">
        <f aca="true" t="shared" si="117" ref="D220:L220">+D123</f>
        <v>0.11919201114567843</v>
      </c>
      <c r="E220" s="109">
        <f t="shared" si="117"/>
        <v>0.24907703589204114</v>
      </c>
      <c r="F220" s="109">
        <f t="shared" si="117"/>
        <v>0.007451730798477829</v>
      </c>
      <c r="G220" s="109">
        <f t="shared" si="117"/>
        <v>0.012501731553695947</v>
      </c>
      <c r="H220" s="109">
        <f t="shared" si="117"/>
        <v>0.2064552308550927</v>
      </c>
      <c r="I220" s="109">
        <f t="shared" si="117"/>
        <v>0.01343069869727874</v>
      </c>
      <c r="J220" s="109">
        <f t="shared" si="117"/>
        <v>0.00017496599621589902</v>
      </c>
      <c r="K220" s="109">
        <f t="shared" si="117"/>
        <v>0.002303280391366735</v>
      </c>
      <c r="L220" s="109">
        <f t="shared" si="117"/>
        <v>0.004278830085610151</v>
      </c>
      <c r="M220" s="26">
        <f>SUM(C220:L220)</f>
        <v>0.9526279839298759</v>
      </c>
    </row>
    <row r="221" spans="3:13" ht="15">
      <c r="C221" s="234">
        <f aca="true" t="shared" si="118" ref="C221:L221">+C220*$M221</f>
        <v>1376.6624020451218</v>
      </c>
      <c r="D221" s="234">
        <f t="shared" si="118"/>
        <v>485.8063747878905</v>
      </c>
      <c r="E221" s="234">
        <f t="shared" si="118"/>
        <v>1015.195655199858</v>
      </c>
      <c r="F221" s="234">
        <f t="shared" si="118"/>
        <v>30.37198794035989</v>
      </c>
      <c r="G221" s="234">
        <f t="shared" si="118"/>
        <v>50.95493251850055</v>
      </c>
      <c r="H221" s="234">
        <f t="shared" si="118"/>
        <v>841.4764235761126</v>
      </c>
      <c r="I221" s="234">
        <f t="shared" si="118"/>
        <v>54.7412446713296</v>
      </c>
      <c r="J221" s="234">
        <f t="shared" si="118"/>
        <v>0.7131316563566477</v>
      </c>
      <c r="K221" s="234">
        <f t="shared" si="118"/>
        <v>9.387779317544279</v>
      </c>
      <c r="L221" s="234">
        <f t="shared" si="118"/>
        <v>17.43978402783242</v>
      </c>
      <c r="M221" s="3">
        <f>+'2014-2015 RSA'!D28</f>
        <v>4075.83</v>
      </c>
    </row>
    <row r="222" spans="3:13" ht="15">
      <c r="C222" s="228">
        <f>+C221*C27</f>
        <v>114001.41351335654</v>
      </c>
      <c r="D222" s="228">
        <f aca="true" t="shared" si="119" ref="D222:L222">+D221*D27</f>
        <v>35216.10410837418</v>
      </c>
      <c r="E222" s="228">
        <f t="shared" si="119"/>
        <v>119011.38665907936</v>
      </c>
      <c r="F222" s="228">
        <f t="shared" si="119"/>
        <v>32779.57542439222</v>
      </c>
      <c r="G222" s="228">
        <f t="shared" si="119"/>
        <v>4567.090601633204</v>
      </c>
      <c r="H222" s="228">
        <f t="shared" si="119"/>
        <v>-44884.352433549844</v>
      </c>
      <c r="I222" s="228">
        <f t="shared" si="119"/>
        <v>9579.71781748268</v>
      </c>
      <c r="J222" s="228">
        <f t="shared" si="119"/>
        <v>430.0183887830585</v>
      </c>
      <c r="K222" s="228">
        <f t="shared" si="119"/>
        <v>3783.2750649703444</v>
      </c>
      <c r="L222" s="228">
        <f t="shared" si="119"/>
        <v>784.790281252459</v>
      </c>
      <c r="M222" s="3">
        <f>SUM(C222:L222)</f>
        <v>275269.0194257742</v>
      </c>
    </row>
    <row r="224" spans="2:13" ht="15">
      <c r="B224" s="1" t="s">
        <v>8</v>
      </c>
      <c r="C224" s="109">
        <f>+C127</f>
        <v>0.35734684516302834</v>
      </c>
      <c r="D224" s="109">
        <f aca="true" t="shared" si="120" ref="D224:L224">+D127</f>
        <v>0.13091133457728368</v>
      </c>
      <c r="E224" s="109">
        <f t="shared" si="120"/>
        <v>0.24798859646966812</v>
      </c>
      <c r="F224" s="109">
        <f t="shared" si="120"/>
        <v>0.006834475354400147</v>
      </c>
      <c r="G224" s="109">
        <f t="shared" si="120"/>
        <v>0.013262755259848963</v>
      </c>
      <c r="H224" s="109">
        <f t="shared" si="120"/>
        <v>0.18210334395220631</v>
      </c>
      <c r="I224" s="109">
        <f t="shared" si="120"/>
        <v>0.01343069869727874</v>
      </c>
      <c r="J224" s="109">
        <f t="shared" si="120"/>
        <v>0.0005243171955267546</v>
      </c>
      <c r="K224" s="109">
        <f t="shared" si="120"/>
        <v>0.002095118291627816</v>
      </c>
      <c r="L224" s="109">
        <f t="shared" si="120"/>
        <v>0.002220051176028317</v>
      </c>
      <c r="M224" s="26">
        <f>SUM(C224:L224)</f>
        <v>0.9567175361368971</v>
      </c>
    </row>
    <row r="225" spans="3:13" ht="15">
      <c r="C225" s="234">
        <f aca="true" t="shared" si="121" ref="C225:L225">+C224*$M225</f>
        <v>1343.2667909678235</v>
      </c>
      <c r="D225" s="234">
        <f t="shared" si="121"/>
        <v>492.09570667600934</v>
      </c>
      <c r="E225" s="234">
        <f t="shared" si="121"/>
        <v>932.1891341294825</v>
      </c>
      <c r="F225" s="234">
        <f t="shared" si="121"/>
        <v>25.690792857190154</v>
      </c>
      <c r="G225" s="234">
        <f t="shared" si="121"/>
        <v>49.85469702177225</v>
      </c>
      <c r="H225" s="234">
        <f t="shared" si="121"/>
        <v>684.5264699163436</v>
      </c>
      <c r="I225" s="234">
        <f t="shared" si="121"/>
        <v>50.48599640307078</v>
      </c>
      <c r="J225" s="234">
        <f t="shared" si="121"/>
        <v>1.9709083379850705</v>
      </c>
      <c r="K225" s="234">
        <f t="shared" si="121"/>
        <v>7.875549658228961</v>
      </c>
      <c r="L225" s="234">
        <f t="shared" si="121"/>
        <v>8.345172370690443</v>
      </c>
      <c r="M225" s="3">
        <f>+'2014-2015 RSA'!D29</f>
        <v>3759</v>
      </c>
    </row>
    <row r="226" spans="3:13" ht="15">
      <c r="C226" s="228">
        <f>+C225*C28</f>
        <v>111007.56760558093</v>
      </c>
      <c r="D226" s="228">
        <f aca="true" t="shared" si="122" ref="D226:L226">+D225*D28</f>
        <v>37714.214959649355</v>
      </c>
      <c r="E226" s="228">
        <f t="shared" si="122"/>
        <v>116001.6158510728</v>
      </c>
      <c r="F226" s="228">
        <f>+F225*F28</f>
        <v>28363.662946052216</v>
      </c>
      <c r="G226" s="228">
        <f>+G225*G28</f>
        <v>4799.013135315798</v>
      </c>
      <c r="H226" s="228">
        <f t="shared" si="122"/>
        <v>-36512.64190533777</v>
      </c>
      <c r="I226" s="228">
        <f t="shared" si="122"/>
        <v>7320.469478445263</v>
      </c>
      <c r="J226" s="228">
        <f t="shared" si="122"/>
        <v>1005.163252372386</v>
      </c>
      <c r="K226" s="228">
        <f t="shared" si="122"/>
        <v>2213.029453962338</v>
      </c>
      <c r="L226" s="228">
        <f t="shared" si="122"/>
        <v>0</v>
      </c>
      <c r="M226" s="3">
        <f>SUM(C226:L226)</f>
        <v>271912.09477711335</v>
      </c>
    </row>
  </sheetData>
  <sheetProtection/>
  <mergeCells count="1">
    <mergeCell ref="C1:L1"/>
  </mergeCells>
  <printOptions/>
  <pageMargins left="0.45" right="0.45" top="0.5" bottom="0.5" header="0.3" footer="0.05"/>
  <pageSetup fitToHeight="3" fitToWidth="1" horizontalDpi="600" verticalDpi="600" orientation="landscape" scale="67" r:id="rId1"/>
  <headerFooter>
    <oddFooter>&amp;CPage &amp;P&amp;R&amp;A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E42"/>
  <sheetViews>
    <sheetView zoomScalePageLayoutView="0" workbookViewId="0" topLeftCell="A30">
      <selection activeCell="K38" sqref="K38"/>
    </sheetView>
  </sheetViews>
  <sheetFormatPr defaultColWidth="9.140625" defaultRowHeight="15"/>
  <cols>
    <col min="1" max="1" width="11.57421875" style="0" customWidth="1"/>
    <col min="2" max="2" width="25.7109375" style="1" customWidth="1"/>
    <col min="6" max="6" width="4.421875" style="1" customWidth="1"/>
    <col min="8" max="8" width="10.00390625" style="0" bestFit="1" customWidth="1"/>
    <col min="9" max="9" width="10.140625" style="0" bestFit="1" customWidth="1"/>
    <col min="10" max="10" width="10.57421875" style="0" bestFit="1" customWidth="1"/>
    <col min="11" max="11" width="3.57421875" style="0" customWidth="1"/>
    <col min="14" max="14" width="10.28125" style="0" bestFit="1" customWidth="1"/>
    <col min="15" max="15" width="2.7109375" style="1" customWidth="1"/>
    <col min="16" max="16" width="10.28125" style="0" bestFit="1" customWidth="1"/>
    <col min="17" max="17" width="10.00390625" style="0" bestFit="1" customWidth="1"/>
    <col min="18" max="18" width="10.140625" style="0" bestFit="1" customWidth="1"/>
    <col min="19" max="19" width="10.28125" style="0" bestFit="1" customWidth="1"/>
    <col min="20" max="20" width="3.28125" style="0" customWidth="1"/>
    <col min="21" max="21" width="10.28125" style="0" bestFit="1" customWidth="1"/>
    <col min="22" max="22" width="4.421875" style="0" customWidth="1"/>
    <col min="23" max="24" width="10.57421875" style="0" bestFit="1" customWidth="1"/>
    <col min="25" max="25" width="10.7109375" style="0" bestFit="1" customWidth="1"/>
    <col min="27" max="27" width="27.421875" style="0" bestFit="1" customWidth="1"/>
    <col min="31" max="31" width="9.140625" style="442" customWidth="1"/>
  </cols>
  <sheetData>
    <row r="1" s="1" customFormat="1" ht="15">
      <c r="AE1" s="442"/>
    </row>
    <row r="2" s="1" customFormat="1" ht="15">
      <c r="AE2" s="442"/>
    </row>
    <row r="3" spans="1:19" ht="15">
      <c r="A3" s="1"/>
      <c r="C3" s="588" t="s">
        <v>50</v>
      </c>
      <c r="D3" s="588"/>
      <c r="E3" s="588"/>
      <c r="F3" s="588"/>
      <c r="G3" s="588"/>
      <c r="H3" s="588"/>
      <c r="I3" s="588"/>
      <c r="J3" s="588"/>
      <c r="K3" s="1"/>
      <c r="L3" s="588" t="s">
        <v>51</v>
      </c>
      <c r="M3" s="588"/>
      <c r="N3" s="588"/>
      <c r="O3" s="588"/>
      <c r="P3" s="588"/>
      <c r="Q3" s="588"/>
      <c r="R3" s="588"/>
      <c r="S3" s="588"/>
    </row>
    <row r="4" spans="1:21" ht="15">
      <c r="A4" s="1"/>
      <c r="C4" s="589" t="s">
        <v>52</v>
      </c>
      <c r="D4" s="589"/>
      <c r="E4" s="589"/>
      <c r="F4" s="59"/>
      <c r="G4" s="589" t="s">
        <v>53</v>
      </c>
      <c r="H4" s="589"/>
      <c r="I4" s="589"/>
      <c r="J4" s="589"/>
      <c r="K4" s="1"/>
      <c r="L4" s="589" t="s">
        <v>52</v>
      </c>
      <c r="M4" s="589"/>
      <c r="N4" s="589"/>
      <c r="O4" s="59"/>
      <c r="P4" s="589" t="s">
        <v>53</v>
      </c>
      <c r="Q4" s="589"/>
      <c r="R4" s="589"/>
      <c r="S4" s="589"/>
      <c r="U4" s="15" t="s">
        <v>64</v>
      </c>
    </row>
    <row r="5" spans="1:31" ht="16.5">
      <c r="A5" s="20" t="s">
        <v>31</v>
      </c>
      <c r="B5" s="560"/>
      <c r="C5" s="60" t="s">
        <v>54</v>
      </c>
      <c r="D5" s="61" t="s">
        <v>55</v>
      </c>
      <c r="E5" s="61" t="s">
        <v>7</v>
      </c>
      <c r="F5" s="61"/>
      <c r="G5" s="61" t="s">
        <v>56</v>
      </c>
      <c r="H5" s="61" t="s">
        <v>57</v>
      </c>
      <c r="I5" s="61" t="s">
        <v>58</v>
      </c>
      <c r="J5" s="61" t="s">
        <v>7</v>
      </c>
      <c r="K5" s="1"/>
      <c r="L5" s="60" t="s">
        <v>54</v>
      </c>
      <c r="M5" s="61" t="s">
        <v>55</v>
      </c>
      <c r="N5" s="61" t="s">
        <v>7</v>
      </c>
      <c r="O5" s="61"/>
      <c r="P5" s="61" t="s">
        <v>56</v>
      </c>
      <c r="Q5" s="61" t="s">
        <v>57</v>
      </c>
      <c r="R5" s="61" t="s">
        <v>58</v>
      </c>
      <c r="S5" s="61" t="s">
        <v>7</v>
      </c>
      <c r="U5" s="61" t="s">
        <v>7</v>
      </c>
      <c r="W5" s="61" t="s">
        <v>50</v>
      </c>
      <c r="X5" s="252" t="s">
        <v>75</v>
      </c>
      <c r="Y5" s="20" t="s">
        <v>7</v>
      </c>
      <c r="AE5" s="445" t="s">
        <v>153</v>
      </c>
    </row>
    <row r="6" spans="1:31" ht="15">
      <c r="A6" s="4" t="s">
        <v>65</v>
      </c>
      <c r="B6" s="4"/>
      <c r="C6" s="62">
        <v>5763</v>
      </c>
      <c r="D6" s="62">
        <v>10117</v>
      </c>
      <c r="E6" s="62">
        <f aca="true" t="shared" si="0" ref="E6:E29">SUM(C6:D6)</f>
        <v>15880</v>
      </c>
      <c r="F6" s="62"/>
      <c r="G6" s="62">
        <v>21762</v>
      </c>
      <c r="H6" s="62">
        <v>55526</v>
      </c>
      <c r="I6" s="62">
        <v>31898</v>
      </c>
      <c r="J6" s="62">
        <f aca="true" t="shared" si="1" ref="J6:J29">SUM(G6:I6)</f>
        <v>109186</v>
      </c>
      <c r="K6" s="62"/>
      <c r="L6" s="62">
        <v>38035</v>
      </c>
      <c r="M6" s="62">
        <v>32213</v>
      </c>
      <c r="N6" s="62">
        <f aca="true" t="shared" si="2" ref="N6:N29">SUM(L6:M6)</f>
        <v>70248</v>
      </c>
      <c r="O6" s="62"/>
      <c r="P6" s="62">
        <v>52401</v>
      </c>
      <c r="Q6" s="62">
        <v>13843</v>
      </c>
      <c r="R6" s="62">
        <v>15783</v>
      </c>
      <c r="S6" s="62">
        <f aca="true" t="shared" si="3" ref="S6:S29">SUM(P6:R6)</f>
        <v>82027</v>
      </c>
      <c r="U6" s="77">
        <f aca="true" t="shared" si="4" ref="U6:U29">+S6+N6+J6+E6</f>
        <v>277341</v>
      </c>
      <c r="W6" s="77">
        <f>+J6+E6</f>
        <v>125066</v>
      </c>
      <c r="X6" s="77">
        <f aca="true" t="shared" si="5" ref="X6:X20">+S6+N6</f>
        <v>152275</v>
      </c>
      <c r="Y6" s="77">
        <f aca="true" t="shared" si="6" ref="Y6:Y20">+X6+W6</f>
        <v>277341</v>
      </c>
      <c r="AA6" s="77"/>
      <c r="AE6" s="443">
        <v>1786</v>
      </c>
    </row>
    <row r="7" spans="1:31" ht="15">
      <c r="A7" s="4" t="s">
        <v>10</v>
      </c>
      <c r="B7" s="4"/>
      <c r="C7" s="62">
        <v>5757</v>
      </c>
      <c r="D7" s="122">
        <v>10070</v>
      </c>
      <c r="E7" s="62">
        <f t="shared" si="0"/>
        <v>15827</v>
      </c>
      <c r="F7" s="62"/>
      <c r="G7" s="62">
        <v>21702</v>
      </c>
      <c r="H7" s="62">
        <v>55553</v>
      </c>
      <c r="I7" s="62">
        <v>31899</v>
      </c>
      <c r="J7" s="62">
        <f t="shared" si="1"/>
        <v>109154</v>
      </c>
      <c r="K7" s="62"/>
      <c r="L7" s="62">
        <v>38072</v>
      </c>
      <c r="M7" s="122">
        <v>32170</v>
      </c>
      <c r="N7" s="62">
        <f t="shared" si="2"/>
        <v>70242</v>
      </c>
      <c r="O7" s="62"/>
      <c r="P7" s="62">
        <v>52445</v>
      </c>
      <c r="Q7" s="62">
        <v>13847</v>
      </c>
      <c r="R7" s="62">
        <v>15881</v>
      </c>
      <c r="S7" s="62">
        <f t="shared" si="3"/>
        <v>82173</v>
      </c>
      <c r="U7" s="77">
        <f t="shared" si="4"/>
        <v>277396</v>
      </c>
      <c r="W7" s="77">
        <f aca="true" t="shared" si="7" ref="W7:W20">+J7+E7</f>
        <v>124981</v>
      </c>
      <c r="X7" s="77">
        <f t="shared" si="5"/>
        <v>152415</v>
      </c>
      <c r="Y7" s="77">
        <f t="shared" si="6"/>
        <v>277396</v>
      </c>
      <c r="AE7" s="443">
        <v>1771</v>
      </c>
    </row>
    <row r="8" spans="1:31" ht="15">
      <c r="A8" s="4" t="s">
        <v>11</v>
      </c>
      <c r="B8" s="4"/>
      <c r="C8" s="62">
        <v>5738</v>
      </c>
      <c r="D8" s="122">
        <v>10080</v>
      </c>
      <c r="E8" s="62">
        <f t="shared" si="0"/>
        <v>15818</v>
      </c>
      <c r="F8" s="62"/>
      <c r="G8" s="62">
        <v>21743</v>
      </c>
      <c r="H8" s="62">
        <v>55714</v>
      </c>
      <c r="I8" s="62">
        <v>30644</v>
      </c>
      <c r="J8" s="62">
        <f t="shared" si="1"/>
        <v>108101</v>
      </c>
      <c r="K8" s="62"/>
      <c r="L8" s="62">
        <v>38044</v>
      </c>
      <c r="M8" s="122">
        <v>32215</v>
      </c>
      <c r="N8" s="62">
        <f t="shared" si="2"/>
        <v>70259</v>
      </c>
      <c r="O8" s="62"/>
      <c r="P8" s="62">
        <v>52523</v>
      </c>
      <c r="Q8" s="62">
        <v>13858</v>
      </c>
      <c r="R8" s="62">
        <v>17401</v>
      </c>
      <c r="S8" s="62">
        <f t="shared" si="3"/>
        <v>83782</v>
      </c>
      <c r="U8" s="77">
        <f t="shared" si="4"/>
        <v>277960</v>
      </c>
      <c r="W8" s="77">
        <f t="shared" si="7"/>
        <v>123919</v>
      </c>
      <c r="X8" s="77">
        <f t="shared" si="5"/>
        <v>154041</v>
      </c>
      <c r="Y8" s="77">
        <f t="shared" si="6"/>
        <v>277960</v>
      </c>
      <c r="AE8" s="443">
        <v>1766</v>
      </c>
    </row>
    <row r="9" spans="1:31" ht="15">
      <c r="A9" s="4" t="s">
        <v>66</v>
      </c>
      <c r="B9" s="4"/>
      <c r="C9" s="62">
        <v>5744</v>
      </c>
      <c r="D9" s="122">
        <v>10103</v>
      </c>
      <c r="E9" s="62">
        <f t="shared" si="0"/>
        <v>15847</v>
      </c>
      <c r="F9" s="62"/>
      <c r="G9" s="62">
        <v>21706</v>
      </c>
      <c r="H9" s="62">
        <v>55870</v>
      </c>
      <c r="I9" s="62">
        <v>30685</v>
      </c>
      <c r="J9" s="62">
        <f t="shared" si="1"/>
        <v>108261</v>
      </c>
      <c r="K9" s="62"/>
      <c r="L9" s="62">
        <v>38033</v>
      </c>
      <c r="M9" s="122">
        <v>32083</v>
      </c>
      <c r="N9" s="62">
        <f t="shared" si="2"/>
        <v>70116</v>
      </c>
      <c r="O9" s="62"/>
      <c r="P9" s="62">
        <v>52793</v>
      </c>
      <c r="Q9" s="62">
        <v>13843</v>
      </c>
      <c r="R9" s="62">
        <v>17407</v>
      </c>
      <c r="S9" s="62">
        <f t="shared" si="3"/>
        <v>84043</v>
      </c>
      <c r="U9" s="77">
        <f t="shared" si="4"/>
        <v>278267</v>
      </c>
      <c r="W9" s="77">
        <f t="shared" si="7"/>
        <v>124108</v>
      </c>
      <c r="X9" s="77">
        <f t="shared" si="5"/>
        <v>154159</v>
      </c>
      <c r="Y9" s="77">
        <f t="shared" si="6"/>
        <v>278267</v>
      </c>
      <c r="AE9" s="443">
        <v>1765</v>
      </c>
    </row>
    <row r="10" spans="1:31" ht="15">
      <c r="A10" s="4" t="s">
        <v>13</v>
      </c>
      <c r="B10" s="4"/>
      <c r="C10" s="62">
        <v>5755</v>
      </c>
      <c r="D10" s="122">
        <v>10084</v>
      </c>
      <c r="E10" s="62">
        <f t="shared" si="0"/>
        <v>15839</v>
      </c>
      <c r="F10" s="62"/>
      <c r="G10" s="62">
        <v>20059</v>
      </c>
      <c r="H10" s="62">
        <v>55860</v>
      </c>
      <c r="I10" s="62">
        <v>30673</v>
      </c>
      <c r="J10" s="62">
        <f t="shared" si="1"/>
        <v>106592</v>
      </c>
      <c r="K10" s="62"/>
      <c r="L10" s="62">
        <v>38058</v>
      </c>
      <c r="M10" s="122">
        <v>32118</v>
      </c>
      <c r="N10" s="62">
        <f t="shared" si="2"/>
        <v>70176</v>
      </c>
      <c r="O10" s="62"/>
      <c r="P10" s="62">
        <v>54548</v>
      </c>
      <c r="Q10" s="62">
        <v>13861</v>
      </c>
      <c r="R10" s="62">
        <v>17403</v>
      </c>
      <c r="S10" s="62">
        <f t="shared" si="3"/>
        <v>85812</v>
      </c>
      <c r="U10" s="77">
        <f t="shared" si="4"/>
        <v>278419</v>
      </c>
      <c r="W10" s="77">
        <f t="shared" si="7"/>
        <v>122431</v>
      </c>
      <c r="X10" s="77">
        <f t="shared" si="5"/>
        <v>155988</v>
      </c>
      <c r="Y10" s="77">
        <f t="shared" si="6"/>
        <v>278419</v>
      </c>
      <c r="AE10" s="443">
        <v>1757</v>
      </c>
    </row>
    <row r="11" spans="1:31" ht="15">
      <c r="A11" s="4" t="s">
        <v>14</v>
      </c>
      <c r="B11" s="4"/>
      <c r="C11" s="62">
        <v>5765</v>
      </c>
      <c r="D11" s="122">
        <v>10117</v>
      </c>
      <c r="E11" s="62">
        <f t="shared" si="0"/>
        <v>15882</v>
      </c>
      <c r="F11" s="62"/>
      <c r="G11" s="62">
        <v>20096</v>
      </c>
      <c r="H11" s="62">
        <v>56037</v>
      </c>
      <c r="I11" s="62">
        <v>30795</v>
      </c>
      <c r="J11" s="62">
        <f t="shared" si="1"/>
        <v>106928</v>
      </c>
      <c r="K11" s="62"/>
      <c r="L11" s="62">
        <v>38162</v>
      </c>
      <c r="M11" s="122">
        <v>32225</v>
      </c>
      <c r="N11" s="62">
        <f t="shared" si="2"/>
        <v>70387</v>
      </c>
      <c r="O11" s="62"/>
      <c r="P11" s="62">
        <v>54637</v>
      </c>
      <c r="Q11" s="62">
        <v>13882</v>
      </c>
      <c r="R11" s="62">
        <v>17463</v>
      </c>
      <c r="S11" s="62">
        <f t="shared" si="3"/>
        <v>85982</v>
      </c>
      <c r="T11" s="99"/>
      <c r="U11" s="100">
        <f t="shared" si="4"/>
        <v>279179</v>
      </c>
      <c r="W11" s="77">
        <f t="shared" si="7"/>
        <v>122810</v>
      </c>
      <c r="X11" s="77">
        <f t="shared" si="5"/>
        <v>156369</v>
      </c>
      <c r="Y11" s="77">
        <f t="shared" si="6"/>
        <v>279179</v>
      </c>
      <c r="AE11" s="443">
        <v>1761</v>
      </c>
    </row>
    <row r="12" spans="1:31" s="1" customFormat="1" ht="15">
      <c r="A12" s="4" t="s">
        <v>15</v>
      </c>
      <c r="B12" s="4"/>
      <c r="C12" s="62">
        <v>5802</v>
      </c>
      <c r="D12" s="122">
        <v>10190</v>
      </c>
      <c r="E12" s="62">
        <f t="shared" si="0"/>
        <v>15992</v>
      </c>
      <c r="F12" s="62"/>
      <c r="G12" s="62">
        <v>20148</v>
      </c>
      <c r="H12" s="62">
        <v>56150</v>
      </c>
      <c r="I12" s="62">
        <v>31056</v>
      </c>
      <c r="J12" s="62">
        <f t="shared" si="1"/>
        <v>107354</v>
      </c>
      <c r="K12" s="62"/>
      <c r="L12" s="62">
        <v>38357</v>
      </c>
      <c r="M12" s="122">
        <v>32276</v>
      </c>
      <c r="N12" s="62">
        <f t="shared" si="2"/>
        <v>70633</v>
      </c>
      <c r="O12" s="62"/>
      <c r="P12" s="62">
        <v>54747</v>
      </c>
      <c r="Q12" s="62">
        <v>13945</v>
      </c>
      <c r="R12" s="62">
        <v>17511</v>
      </c>
      <c r="S12" s="62">
        <f t="shared" si="3"/>
        <v>86203</v>
      </c>
      <c r="T12" s="99"/>
      <c r="U12" s="100">
        <f t="shared" si="4"/>
        <v>280182</v>
      </c>
      <c r="V12" s="99"/>
      <c r="W12" s="77">
        <f t="shared" si="7"/>
        <v>123346</v>
      </c>
      <c r="X12" s="77">
        <f t="shared" si="5"/>
        <v>156836</v>
      </c>
      <c r="Y12" s="77">
        <f t="shared" si="6"/>
        <v>280182</v>
      </c>
      <c r="AE12" s="443">
        <v>1766</v>
      </c>
    </row>
    <row r="13" spans="1:31" s="1" customFormat="1" ht="15">
      <c r="A13" s="4" t="s">
        <v>16</v>
      </c>
      <c r="B13" s="4"/>
      <c r="C13" s="62">
        <v>5823</v>
      </c>
      <c r="D13" s="122">
        <v>10166</v>
      </c>
      <c r="E13" s="62">
        <f t="shared" si="0"/>
        <v>15989</v>
      </c>
      <c r="F13" s="62"/>
      <c r="G13" s="62">
        <v>20185</v>
      </c>
      <c r="H13" s="62">
        <v>56281</v>
      </c>
      <c r="I13" s="62">
        <v>31066</v>
      </c>
      <c r="J13" s="62">
        <f t="shared" si="1"/>
        <v>107532</v>
      </c>
      <c r="K13" s="62"/>
      <c r="L13" s="62">
        <v>38464</v>
      </c>
      <c r="M13" s="122">
        <v>32251</v>
      </c>
      <c r="N13" s="62">
        <f t="shared" si="2"/>
        <v>70715</v>
      </c>
      <c r="O13" s="62"/>
      <c r="P13" s="62">
        <v>54843</v>
      </c>
      <c r="Q13" s="62">
        <v>14014</v>
      </c>
      <c r="R13" s="62">
        <v>17515</v>
      </c>
      <c r="S13" s="62">
        <f t="shared" si="3"/>
        <v>86372</v>
      </c>
      <c r="T13" s="99"/>
      <c r="U13" s="100">
        <f t="shared" si="4"/>
        <v>280608</v>
      </c>
      <c r="V13" s="99"/>
      <c r="W13" s="77">
        <f t="shared" si="7"/>
        <v>123521</v>
      </c>
      <c r="X13" s="77">
        <f t="shared" si="5"/>
        <v>157087</v>
      </c>
      <c r="Y13" s="77">
        <f t="shared" si="6"/>
        <v>280608</v>
      </c>
      <c r="AE13" s="443">
        <v>1772</v>
      </c>
    </row>
    <row r="14" spans="1:31" s="1" customFormat="1" ht="15">
      <c r="A14" s="4" t="s">
        <v>47</v>
      </c>
      <c r="B14" s="565" t="s">
        <v>78</v>
      </c>
      <c r="C14" s="62">
        <v>5837</v>
      </c>
      <c r="D14" s="122">
        <v>10192</v>
      </c>
      <c r="E14" s="62">
        <f t="shared" si="0"/>
        <v>16029</v>
      </c>
      <c r="F14" s="62"/>
      <c r="G14" s="62">
        <v>20195</v>
      </c>
      <c r="H14" s="62">
        <v>56378</v>
      </c>
      <c r="I14" s="62">
        <v>31339</v>
      </c>
      <c r="J14" s="62">
        <f t="shared" si="1"/>
        <v>107912</v>
      </c>
      <c r="K14" s="62"/>
      <c r="L14" s="62">
        <v>38559</v>
      </c>
      <c r="M14" s="122">
        <v>22647</v>
      </c>
      <c r="N14" s="62">
        <f t="shared" si="2"/>
        <v>61206</v>
      </c>
      <c r="O14" s="62"/>
      <c r="P14" s="62">
        <v>54870</v>
      </c>
      <c r="Q14" s="62">
        <v>14019</v>
      </c>
      <c r="R14" s="62">
        <v>17518</v>
      </c>
      <c r="S14" s="62">
        <f t="shared" si="3"/>
        <v>86407</v>
      </c>
      <c r="T14" s="99"/>
      <c r="U14" s="100">
        <f t="shared" si="4"/>
        <v>271554</v>
      </c>
      <c r="V14" s="99"/>
      <c r="W14" s="77">
        <f t="shared" si="7"/>
        <v>123941</v>
      </c>
      <c r="X14" s="77">
        <f t="shared" si="5"/>
        <v>147613</v>
      </c>
      <c r="Y14" s="77">
        <f t="shared" si="6"/>
        <v>271554</v>
      </c>
      <c r="AE14" s="443">
        <v>1769</v>
      </c>
    </row>
    <row r="15" spans="1:31" s="1" customFormat="1" ht="15">
      <c r="A15" s="4" t="s">
        <v>48</v>
      </c>
      <c r="B15" s="565"/>
      <c r="C15" s="62">
        <v>5839</v>
      </c>
      <c r="D15" s="122">
        <v>10236</v>
      </c>
      <c r="E15" s="62">
        <f t="shared" si="0"/>
        <v>16075</v>
      </c>
      <c r="F15" s="62"/>
      <c r="G15" s="62">
        <v>20258</v>
      </c>
      <c r="H15" s="62">
        <v>56562</v>
      </c>
      <c r="I15" s="62">
        <v>31526</v>
      </c>
      <c r="J15" s="62">
        <f t="shared" si="1"/>
        <v>108346</v>
      </c>
      <c r="K15" s="62"/>
      <c r="L15" s="62">
        <v>38686</v>
      </c>
      <c r="M15" s="122">
        <v>22745</v>
      </c>
      <c r="N15" s="62">
        <f t="shared" si="2"/>
        <v>61431</v>
      </c>
      <c r="O15" s="62"/>
      <c r="P15" s="62">
        <v>54929</v>
      </c>
      <c r="Q15" s="62">
        <v>14052</v>
      </c>
      <c r="R15" s="62">
        <v>17522</v>
      </c>
      <c r="S15" s="62">
        <f t="shared" si="3"/>
        <v>86503</v>
      </c>
      <c r="T15" s="99"/>
      <c r="U15" s="100">
        <f t="shared" si="4"/>
        <v>272355</v>
      </c>
      <c r="V15" s="99"/>
      <c r="W15" s="77">
        <f t="shared" si="7"/>
        <v>124421</v>
      </c>
      <c r="X15" s="77">
        <f t="shared" si="5"/>
        <v>147934</v>
      </c>
      <c r="Y15" s="77">
        <f t="shared" si="6"/>
        <v>272355</v>
      </c>
      <c r="AE15" s="443">
        <v>1753</v>
      </c>
    </row>
    <row r="16" spans="1:31" s="1" customFormat="1" ht="15">
      <c r="A16" s="4" t="s">
        <v>49</v>
      </c>
      <c r="B16" s="565"/>
      <c r="C16" s="62">
        <v>5852</v>
      </c>
      <c r="D16" s="122">
        <v>10253</v>
      </c>
      <c r="E16" s="62">
        <f t="shared" si="0"/>
        <v>16105</v>
      </c>
      <c r="F16" s="62"/>
      <c r="G16" s="62">
        <v>20314</v>
      </c>
      <c r="H16" s="62">
        <v>56677</v>
      </c>
      <c r="I16" s="62">
        <v>31579</v>
      </c>
      <c r="J16" s="62">
        <f t="shared" si="1"/>
        <v>108570</v>
      </c>
      <c r="K16" s="62"/>
      <c r="L16" s="62">
        <v>38618</v>
      </c>
      <c r="M16" s="122">
        <v>22759</v>
      </c>
      <c r="N16" s="62">
        <f t="shared" si="2"/>
        <v>61377</v>
      </c>
      <c r="O16" s="62"/>
      <c r="P16" s="62">
        <v>55034</v>
      </c>
      <c r="Q16" s="62">
        <v>14064</v>
      </c>
      <c r="R16" s="62">
        <v>17523</v>
      </c>
      <c r="S16" s="62">
        <f t="shared" si="3"/>
        <v>86621</v>
      </c>
      <c r="T16" s="99"/>
      <c r="U16" s="100">
        <f t="shared" si="4"/>
        <v>272673</v>
      </c>
      <c r="V16" s="99"/>
      <c r="W16" s="77">
        <f t="shared" si="7"/>
        <v>124675</v>
      </c>
      <c r="X16" s="77">
        <f t="shared" si="5"/>
        <v>147998</v>
      </c>
      <c r="Y16" s="77">
        <f t="shared" si="6"/>
        <v>272673</v>
      </c>
      <c r="AE16" s="443">
        <v>1780</v>
      </c>
    </row>
    <row r="17" spans="1:31" s="1" customFormat="1" ht="15">
      <c r="A17" s="4" t="s">
        <v>8</v>
      </c>
      <c r="B17" s="565" t="s">
        <v>81</v>
      </c>
      <c r="C17" s="62">
        <v>5853</v>
      </c>
      <c r="D17" s="122">
        <v>10265</v>
      </c>
      <c r="E17" s="62">
        <f t="shared" si="0"/>
        <v>16118</v>
      </c>
      <c r="F17" s="62"/>
      <c r="G17" s="62">
        <v>20287</v>
      </c>
      <c r="H17" s="62">
        <v>56617</v>
      </c>
      <c r="I17" s="62">
        <v>31569</v>
      </c>
      <c r="J17" s="62">
        <f t="shared" si="1"/>
        <v>108473</v>
      </c>
      <c r="K17" s="62"/>
      <c r="L17" s="62">
        <v>32101</v>
      </c>
      <c r="M17" s="122">
        <v>22788</v>
      </c>
      <c r="N17" s="62">
        <f t="shared" si="2"/>
        <v>54889</v>
      </c>
      <c r="O17" s="62"/>
      <c r="P17" s="62">
        <v>55130</v>
      </c>
      <c r="Q17" s="62">
        <v>14048</v>
      </c>
      <c r="R17" s="62">
        <v>17570</v>
      </c>
      <c r="S17" s="62">
        <f t="shared" si="3"/>
        <v>86748</v>
      </c>
      <c r="T17" s="119"/>
      <c r="U17" s="121">
        <f t="shared" si="4"/>
        <v>266228</v>
      </c>
      <c r="V17" s="99"/>
      <c r="W17" s="77">
        <f t="shared" si="7"/>
        <v>124591</v>
      </c>
      <c r="X17" s="77">
        <f t="shared" si="5"/>
        <v>141637</v>
      </c>
      <c r="Y17" s="77">
        <f t="shared" si="6"/>
        <v>266228</v>
      </c>
      <c r="AE17" s="443">
        <v>1758</v>
      </c>
    </row>
    <row r="18" spans="1:31" s="99" customFormat="1" ht="15">
      <c r="A18" s="4" t="s">
        <v>9</v>
      </c>
      <c r="B18" s="565"/>
      <c r="C18" s="122">
        <v>5882</v>
      </c>
      <c r="D18" s="122">
        <v>10318</v>
      </c>
      <c r="E18" s="122">
        <f t="shared" si="0"/>
        <v>16200</v>
      </c>
      <c r="F18" s="122"/>
      <c r="G18" s="122">
        <v>20308</v>
      </c>
      <c r="H18" s="122">
        <v>56870</v>
      </c>
      <c r="I18" s="122">
        <v>31468</v>
      </c>
      <c r="J18" s="122">
        <f t="shared" si="1"/>
        <v>108646</v>
      </c>
      <c r="K18" s="122"/>
      <c r="L18" s="122">
        <v>32138</v>
      </c>
      <c r="M18" s="122">
        <v>22797</v>
      </c>
      <c r="N18" s="122">
        <f t="shared" si="2"/>
        <v>54935</v>
      </c>
      <c r="O18" s="122"/>
      <c r="P18" s="122">
        <v>55225</v>
      </c>
      <c r="Q18" s="122">
        <v>14033</v>
      </c>
      <c r="R18" s="122">
        <v>17520</v>
      </c>
      <c r="S18" s="122">
        <f t="shared" si="3"/>
        <v>86778</v>
      </c>
      <c r="U18" s="100">
        <f t="shared" si="4"/>
        <v>266559</v>
      </c>
      <c r="W18" s="100">
        <f t="shared" si="7"/>
        <v>124846</v>
      </c>
      <c r="X18" s="100">
        <f t="shared" si="5"/>
        <v>141713</v>
      </c>
      <c r="Y18" s="100">
        <f t="shared" si="6"/>
        <v>266559</v>
      </c>
      <c r="AE18" s="443">
        <v>1742</v>
      </c>
    </row>
    <row r="19" spans="1:31" s="99" customFormat="1" ht="15">
      <c r="A19" s="4" t="s">
        <v>10</v>
      </c>
      <c r="B19" s="565"/>
      <c r="C19" s="122">
        <v>5865</v>
      </c>
      <c r="D19" s="122">
        <v>10304</v>
      </c>
      <c r="E19" s="122">
        <f t="shared" si="0"/>
        <v>16169</v>
      </c>
      <c r="F19" s="122"/>
      <c r="G19" s="122">
        <v>20302</v>
      </c>
      <c r="H19" s="122">
        <v>56885</v>
      </c>
      <c r="I19" s="122">
        <v>31576</v>
      </c>
      <c r="J19" s="122">
        <f t="shared" si="1"/>
        <v>108763</v>
      </c>
      <c r="K19" s="122"/>
      <c r="L19" s="122">
        <v>32130</v>
      </c>
      <c r="M19" s="122">
        <v>22762</v>
      </c>
      <c r="N19" s="122">
        <f t="shared" si="2"/>
        <v>54892</v>
      </c>
      <c r="O19" s="122"/>
      <c r="P19" s="122">
        <v>55229</v>
      </c>
      <c r="Q19" s="122">
        <v>14023</v>
      </c>
      <c r="R19" s="122">
        <v>17543</v>
      </c>
      <c r="S19" s="122">
        <f t="shared" si="3"/>
        <v>86795</v>
      </c>
      <c r="U19" s="100">
        <f t="shared" si="4"/>
        <v>266619</v>
      </c>
      <c r="W19" s="100">
        <f t="shared" si="7"/>
        <v>124932</v>
      </c>
      <c r="X19" s="100">
        <f t="shared" si="5"/>
        <v>141687</v>
      </c>
      <c r="Y19" s="100">
        <f t="shared" si="6"/>
        <v>266619</v>
      </c>
      <c r="AE19" s="443">
        <v>1731</v>
      </c>
    </row>
    <row r="20" spans="1:31" s="1" customFormat="1" ht="17.25">
      <c r="A20" s="4" t="s">
        <v>11</v>
      </c>
      <c r="B20" s="565" t="s">
        <v>93</v>
      </c>
      <c r="C20" s="122">
        <v>5876</v>
      </c>
      <c r="D20" s="122">
        <v>10326</v>
      </c>
      <c r="E20" s="122">
        <f t="shared" si="0"/>
        <v>16202</v>
      </c>
      <c r="F20" s="104"/>
      <c r="G20" s="122">
        <v>20263</v>
      </c>
      <c r="H20" s="122">
        <v>56983</v>
      </c>
      <c r="I20" s="122">
        <v>31573</v>
      </c>
      <c r="J20" s="122">
        <f t="shared" si="1"/>
        <v>108819</v>
      </c>
      <c r="K20" s="104"/>
      <c r="L20" s="122">
        <v>32223</v>
      </c>
      <c r="M20" s="122">
        <v>22757</v>
      </c>
      <c r="N20" s="122">
        <f t="shared" si="2"/>
        <v>54980</v>
      </c>
      <c r="O20" s="122"/>
      <c r="P20" s="122">
        <v>55342</v>
      </c>
      <c r="Q20" s="122">
        <v>14026</v>
      </c>
      <c r="R20" s="122">
        <v>17596</v>
      </c>
      <c r="S20" s="122">
        <f t="shared" si="3"/>
        <v>86964</v>
      </c>
      <c r="T20" s="24"/>
      <c r="U20" s="121">
        <f t="shared" si="4"/>
        <v>266965</v>
      </c>
      <c r="V20" s="99"/>
      <c r="W20" s="77">
        <f t="shared" si="7"/>
        <v>125021</v>
      </c>
      <c r="X20" s="77">
        <f t="shared" si="5"/>
        <v>141944</v>
      </c>
      <c r="Y20" s="77">
        <f t="shared" si="6"/>
        <v>266965</v>
      </c>
      <c r="AE20" s="443">
        <v>1742</v>
      </c>
    </row>
    <row r="21" spans="1:31" s="1" customFormat="1" ht="17.25">
      <c r="A21" s="4" t="s">
        <v>12</v>
      </c>
      <c r="B21" s="4"/>
      <c r="C21" s="122">
        <v>5842</v>
      </c>
      <c r="D21" s="122">
        <v>10377</v>
      </c>
      <c r="E21" s="122">
        <f t="shared" si="0"/>
        <v>16219</v>
      </c>
      <c r="F21" s="104"/>
      <c r="G21" s="122">
        <v>20246</v>
      </c>
      <c r="H21" s="122">
        <v>57111</v>
      </c>
      <c r="I21" s="122">
        <v>31664</v>
      </c>
      <c r="J21" s="122">
        <f t="shared" si="1"/>
        <v>109021</v>
      </c>
      <c r="K21" s="104"/>
      <c r="L21" s="122">
        <v>32210</v>
      </c>
      <c r="M21" s="122">
        <v>22750</v>
      </c>
      <c r="N21" s="122">
        <f t="shared" si="2"/>
        <v>54960</v>
      </c>
      <c r="O21" s="122"/>
      <c r="P21" s="122">
        <v>46786</v>
      </c>
      <c r="Q21" s="122">
        <v>14064</v>
      </c>
      <c r="R21" s="122">
        <v>17596</v>
      </c>
      <c r="S21" s="122">
        <f t="shared" si="3"/>
        <v>78446</v>
      </c>
      <c r="T21" s="24"/>
      <c r="U21" s="121">
        <f t="shared" si="4"/>
        <v>258646</v>
      </c>
      <c r="V21" s="119"/>
      <c r="W21" s="77">
        <f aca="true" t="shared" si="8" ref="W21:W28">+J21+E21</f>
        <v>125240</v>
      </c>
      <c r="X21" s="77">
        <f aca="true" t="shared" si="9" ref="X21:X28">+S21+N21</f>
        <v>133406</v>
      </c>
      <c r="Y21" s="77">
        <f aca="true" t="shared" si="10" ref="Y21:Y28">+X21+W21</f>
        <v>258646</v>
      </c>
      <c r="AE21" s="443">
        <v>1745</v>
      </c>
    </row>
    <row r="22" spans="1:31" s="1" customFormat="1" ht="17.25">
      <c r="A22" s="4" t="s">
        <v>13</v>
      </c>
      <c r="B22" s="4"/>
      <c r="C22" s="122">
        <v>5824</v>
      </c>
      <c r="D22" s="122">
        <v>10361</v>
      </c>
      <c r="E22" s="122">
        <f t="shared" si="0"/>
        <v>16185</v>
      </c>
      <c r="F22" s="104"/>
      <c r="G22" s="122">
        <v>20239</v>
      </c>
      <c r="H22" s="122">
        <v>57053</v>
      </c>
      <c r="I22" s="128">
        <v>31570</v>
      </c>
      <c r="J22" s="122">
        <f t="shared" si="1"/>
        <v>108862</v>
      </c>
      <c r="K22" s="104"/>
      <c r="L22" s="122">
        <v>32219</v>
      </c>
      <c r="M22" s="122">
        <v>22673</v>
      </c>
      <c r="N22" s="122">
        <f t="shared" si="2"/>
        <v>54892</v>
      </c>
      <c r="O22" s="122"/>
      <c r="P22" s="122">
        <v>46823</v>
      </c>
      <c r="Q22" s="122">
        <v>14125</v>
      </c>
      <c r="R22" s="122">
        <v>17601</v>
      </c>
      <c r="S22" s="122">
        <f t="shared" si="3"/>
        <v>78549</v>
      </c>
      <c r="T22" s="24"/>
      <c r="U22" s="121">
        <f t="shared" si="4"/>
        <v>258488</v>
      </c>
      <c r="V22" s="119"/>
      <c r="W22" s="77">
        <f t="shared" si="8"/>
        <v>125047</v>
      </c>
      <c r="X22" s="77">
        <f t="shared" si="9"/>
        <v>133441</v>
      </c>
      <c r="Y22" s="77">
        <f t="shared" si="10"/>
        <v>258488</v>
      </c>
      <c r="AE22" s="443">
        <v>1739</v>
      </c>
    </row>
    <row r="23" spans="1:31" s="1" customFormat="1" ht="15">
      <c r="A23" s="4" t="s">
        <v>14</v>
      </c>
      <c r="B23" s="4"/>
      <c r="C23" s="128">
        <v>5859</v>
      </c>
      <c r="D23" s="128">
        <v>10392</v>
      </c>
      <c r="E23" s="128">
        <f t="shared" si="0"/>
        <v>16251</v>
      </c>
      <c r="F23" s="128"/>
      <c r="G23" s="128">
        <v>20268</v>
      </c>
      <c r="H23" s="128">
        <v>57332</v>
      </c>
      <c r="I23" s="128">
        <v>31722</v>
      </c>
      <c r="J23" s="128">
        <f t="shared" si="1"/>
        <v>109322</v>
      </c>
      <c r="K23" s="128"/>
      <c r="L23" s="128">
        <v>32326</v>
      </c>
      <c r="M23" s="128">
        <v>22770</v>
      </c>
      <c r="N23" s="128">
        <f t="shared" si="2"/>
        <v>55096</v>
      </c>
      <c r="O23" s="128"/>
      <c r="P23" s="128">
        <v>46890</v>
      </c>
      <c r="Q23" s="128">
        <v>14168</v>
      </c>
      <c r="R23" s="128">
        <v>17669</v>
      </c>
      <c r="S23" s="128">
        <f t="shared" si="3"/>
        <v>78727</v>
      </c>
      <c r="T23" s="231"/>
      <c r="U23" s="233">
        <f t="shared" si="4"/>
        <v>259396</v>
      </c>
      <c r="V23" s="119"/>
      <c r="W23" s="77">
        <f t="shared" si="8"/>
        <v>125573</v>
      </c>
      <c r="X23" s="77">
        <f t="shared" si="9"/>
        <v>133823</v>
      </c>
      <c r="Y23" s="77">
        <f t="shared" si="10"/>
        <v>259396</v>
      </c>
      <c r="AE23" s="443">
        <v>1736</v>
      </c>
    </row>
    <row r="24" spans="1:31" s="1" customFormat="1" ht="15">
      <c r="A24" s="4" t="s">
        <v>15</v>
      </c>
      <c r="B24" s="4"/>
      <c r="C24" s="128">
        <v>5874</v>
      </c>
      <c r="D24" s="128">
        <v>10437</v>
      </c>
      <c r="E24" s="128">
        <f t="shared" si="0"/>
        <v>16311</v>
      </c>
      <c r="F24" s="128"/>
      <c r="G24" s="128">
        <v>20358</v>
      </c>
      <c r="H24" s="128">
        <v>57663</v>
      </c>
      <c r="I24" s="128">
        <v>31941</v>
      </c>
      <c r="J24" s="128">
        <f t="shared" si="1"/>
        <v>109962</v>
      </c>
      <c r="K24" s="128"/>
      <c r="L24" s="128">
        <v>32464</v>
      </c>
      <c r="M24" s="128">
        <v>22855</v>
      </c>
      <c r="N24" s="128">
        <f t="shared" si="2"/>
        <v>55319</v>
      </c>
      <c r="O24" s="128"/>
      <c r="P24" s="128">
        <v>47101</v>
      </c>
      <c r="Q24" s="128">
        <v>14222</v>
      </c>
      <c r="R24" s="128">
        <v>17733</v>
      </c>
      <c r="S24" s="128">
        <f t="shared" si="3"/>
        <v>79056</v>
      </c>
      <c r="T24" s="231"/>
      <c r="U24" s="233">
        <f t="shared" si="4"/>
        <v>260648</v>
      </c>
      <c r="V24" s="135"/>
      <c r="W24" s="77">
        <f t="shared" si="8"/>
        <v>126273</v>
      </c>
      <c r="X24" s="77">
        <f t="shared" si="9"/>
        <v>134375</v>
      </c>
      <c r="Y24" s="77">
        <f t="shared" si="10"/>
        <v>260648</v>
      </c>
      <c r="AE24" s="443">
        <v>1749</v>
      </c>
    </row>
    <row r="25" spans="1:31" s="1" customFormat="1" ht="15">
      <c r="A25" s="4" t="s">
        <v>16</v>
      </c>
      <c r="B25" s="4"/>
      <c r="C25" s="128">
        <v>5899</v>
      </c>
      <c r="D25" s="128">
        <v>10452</v>
      </c>
      <c r="E25" s="128">
        <f t="shared" si="0"/>
        <v>16351</v>
      </c>
      <c r="F25" s="128"/>
      <c r="G25" s="128">
        <v>20482</v>
      </c>
      <c r="H25" s="128">
        <v>57843</v>
      </c>
      <c r="I25" s="128">
        <v>32074</v>
      </c>
      <c r="J25" s="128">
        <f t="shared" si="1"/>
        <v>110399</v>
      </c>
      <c r="K25" s="128"/>
      <c r="L25" s="128">
        <v>32558</v>
      </c>
      <c r="M25" s="128">
        <v>22878</v>
      </c>
      <c r="N25" s="128">
        <f t="shared" si="2"/>
        <v>55436</v>
      </c>
      <c r="O25" s="128"/>
      <c r="P25" s="128">
        <v>47194</v>
      </c>
      <c r="Q25" s="128">
        <v>14316</v>
      </c>
      <c r="R25" s="128">
        <v>17779</v>
      </c>
      <c r="S25" s="128">
        <f t="shared" si="3"/>
        <v>79289</v>
      </c>
      <c r="T25" s="231"/>
      <c r="U25" s="233">
        <f t="shared" si="4"/>
        <v>261475</v>
      </c>
      <c r="V25" s="135"/>
      <c r="W25" s="77">
        <f t="shared" si="8"/>
        <v>126750</v>
      </c>
      <c r="X25" s="77">
        <f t="shared" si="9"/>
        <v>134725</v>
      </c>
      <c r="Y25" s="77">
        <f t="shared" si="10"/>
        <v>261475</v>
      </c>
      <c r="AE25" s="443">
        <v>1750</v>
      </c>
    </row>
    <row r="26" spans="1:31" s="1" customFormat="1" ht="15">
      <c r="A26" s="4" t="s">
        <v>47</v>
      </c>
      <c r="B26" s="4"/>
      <c r="C26" s="128">
        <v>5915</v>
      </c>
      <c r="D26" s="128">
        <v>10538</v>
      </c>
      <c r="E26" s="128">
        <f t="shared" si="0"/>
        <v>16453</v>
      </c>
      <c r="F26" s="128"/>
      <c r="G26" s="128">
        <v>20526</v>
      </c>
      <c r="H26" s="128">
        <v>58011</v>
      </c>
      <c r="I26" s="128">
        <v>32224</v>
      </c>
      <c r="J26" s="128">
        <f t="shared" si="1"/>
        <v>110761</v>
      </c>
      <c r="K26" s="128"/>
      <c r="L26" s="128">
        <v>32542</v>
      </c>
      <c r="M26" s="128">
        <v>22904</v>
      </c>
      <c r="N26" s="128">
        <f t="shared" si="2"/>
        <v>55446</v>
      </c>
      <c r="O26" s="128"/>
      <c r="P26" s="128">
        <v>47215</v>
      </c>
      <c r="Q26" s="128">
        <v>14356</v>
      </c>
      <c r="R26" s="128">
        <v>17806</v>
      </c>
      <c r="S26" s="128">
        <f t="shared" si="3"/>
        <v>79377</v>
      </c>
      <c r="T26" s="231"/>
      <c r="U26" s="233">
        <f t="shared" si="4"/>
        <v>262037</v>
      </c>
      <c r="V26" s="135"/>
      <c r="W26" s="77">
        <f t="shared" si="8"/>
        <v>127214</v>
      </c>
      <c r="X26" s="77">
        <f t="shared" si="9"/>
        <v>134823</v>
      </c>
      <c r="Y26" s="77">
        <f t="shared" si="10"/>
        <v>262037</v>
      </c>
      <c r="AE26" s="443">
        <v>1750</v>
      </c>
    </row>
    <row r="27" spans="1:31" s="1" customFormat="1" ht="15">
      <c r="A27" s="4" t="s">
        <v>48</v>
      </c>
      <c r="B27" s="4"/>
      <c r="C27" s="128">
        <v>5941</v>
      </c>
      <c r="D27" s="128">
        <v>10555</v>
      </c>
      <c r="E27" s="128">
        <f t="shared" si="0"/>
        <v>16496</v>
      </c>
      <c r="F27" s="128"/>
      <c r="G27" s="128">
        <v>20577</v>
      </c>
      <c r="H27" s="128">
        <v>58271</v>
      </c>
      <c r="I27" s="128">
        <v>32385</v>
      </c>
      <c r="J27" s="128">
        <f t="shared" si="1"/>
        <v>111233</v>
      </c>
      <c r="K27" s="128"/>
      <c r="L27" s="128">
        <v>32694</v>
      </c>
      <c r="M27" s="128">
        <v>22903</v>
      </c>
      <c r="N27" s="128">
        <f t="shared" si="2"/>
        <v>55597</v>
      </c>
      <c r="O27" s="128"/>
      <c r="P27" s="128">
        <v>47289</v>
      </c>
      <c r="Q27" s="128">
        <v>14384</v>
      </c>
      <c r="R27" s="128">
        <v>17806</v>
      </c>
      <c r="S27" s="128">
        <f t="shared" si="3"/>
        <v>79479</v>
      </c>
      <c r="T27" s="231"/>
      <c r="U27" s="233">
        <f t="shared" si="4"/>
        <v>262805</v>
      </c>
      <c r="V27" s="135"/>
      <c r="W27" s="77">
        <f t="shared" si="8"/>
        <v>127729</v>
      </c>
      <c r="X27" s="77">
        <f t="shared" si="9"/>
        <v>135076</v>
      </c>
      <c r="Y27" s="77">
        <f t="shared" si="10"/>
        <v>262805</v>
      </c>
      <c r="AE27" s="443">
        <v>1758</v>
      </c>
    </row>
    <row r="28" spans="1:31" s="1" customFormat="1" ht="15">
      <c r="A28" s="4" t="s">
        <v>49</v>
      </c>
      <c r="B28" s="4"/>
      <c r="C28" s="128">
        <v>5966</v>
      </c>
      <c r="D28" s="128">
        <v>10576</v>
      </c>
      <c r="E28" s="128">
        <f t="shared" si="0"/>
        <v>16542</v>
      </c>
      <c r="F28" s="128"/>
      <c r="G28" s="128">
        <v>20609</v>
      </c>
      <c r="H28" s="128">
        <v>58466</v>
      </c>
      <c r="I28" s="128">
        <v>32455</v>
      </c>
      <c r="J28" s="128">
        <f t="shared" si="1"/>
        <v>111530</v>
      </c>
      <c r="K28" s="128"/>
      <c r="L28" s="128">
        <v>32720</v>
      </c>
      <c r="M28" s="128">
        <v>22897</v>
      </c>
      <c r="N28" s="128">
        <f t="shared" si="2"/>
        <v>55617</v>
      </c>
      <c r="O28" s="128"/>
      <c r="P28" s="128">
        <v>47389</v>
      </c>
      <c r="Q28" s="128">
        <v>14405</v>
      </c>
      <c r="R28" s="128">
        <v>17810</v>
      </c>
      <c r="S28" s="128">
        <f t="shared" si="3"/>
        <v>79604</v>
      </c>
      <c r="T28" s="231"/>
      <c r="U28" s="233">
        <f t="shared" si="4"/>
        <v>263293</v>
      </c>
      <c r="V28" s="135"/>
      <c r="W28" s="77">
        <f t="shared" si="8"/>
        <v>128072</v>
      </c>
      <c r="X28" s="77">
        <f t="shared" si="9"/>
        <v>135221</v>
      </c>
      <c r="Y28" s="77">
        <f t="shared" si="10"/>
        <v>263293</v>
      </c>
      <c r="AE28" s="443">
        <v>1761</v>
      </c>
    </row>
    <row r="29" spans="1:31" s="81" customFormat="1" ht="17.25">
      <c r="A29" s="4" t="s">
        <v>8</v>
      </c>
      <c r="B29" s="4"/>
      <c r="C29" s="447">
        <v>5968</v>
      </c>
      <c r="D29" s="447">
        <v>10599</v>
      </c>
      <c r="E29" s="104">
        <f t="shared" si="0"/>
        <v>16567</v>
      </c>
      <c r="F29" s="235"/>
      <c r="G29" s="447">
        <v>20597</v>
      </c>
      <c r="H29" s="447">
        <v>58680</v>
      </c>
      <c r="I29" s="447">
        <v>32530</v>
      </c>
      <c r="J29" s="104">
        <f t="shared" si="1"/>
        <v>111807</v>
      </c>
      <c r="K29" s="235"/>
      <c r="L29" s="447">
        <v>32787</v>
      </c>
      <c r="M29" s="447">
        <v>22940</v>
      </c>
      <c r="N29" s="104">
        <f t="shared" si="2"/>
        <v>55727</v>
      </c>
      <c r="O29" s="235"/>
      <c r="P29" s="447">
        <v>47469</v>
      </c>
      <c r="Q29" s="447">
        <v>14418</v>
      </c>
      <c r="R29" s="447">
        <v>17826</v>
      </c>
      <c r="S29" s="104">
        <f t="shared" si="3"/>
        <v>79713</v>
      </c>
      <c r="T29" s="236"/>
      <c r="U29" s="102">
        <f t="shared" si="4"/>
        <v>263814</v>
      </c>
      <c r="W29" s="102">
        <f>+J29+E29</f>
        <v>128374</v>
      </c>
      <c r="X29" s="102">
        <f>+S29+N29</f>
        <v>135440</v>
      </c>
      <c r="Y29" s="102">
        <f>+X29+W29</f>
        <v>263814</v>
      </c>
      <c r="AE29" s="444"/>
    </row>
    <row r="30" spans="1:25" ht="17.25">
      <c r="A30" s="63"/>
      <c r="B30" s="63"/>
      <c r="C30" s="64">
        <f>SUM(C6:C29)</f>
        <v>140239</v>
      </c>
      <c r="D30" s="64">
        <f aca="true" t="shared" si="11" ref="D30:U30">SUM(D6:D29)</f>
        <v>247108</v>
      </c>
      <c r="E30" s="64">
        <f t="shared" si="11"/>
        <v>387347</v>
      </c>
      <c r="F30" s="64"/>
      <c r="G30" s="64">
        <f t="shared" si="11"/>
        <v>493230</v>
      </c>
      <c r="H30" s="64">
        <f t="shared" si="11"/>
        <v>1364393</v>
      </c>
      <c r="I30" s="64">
        <f t="shared" si="11"/>
        <v>757911</v>
      </c>
      <c r="J30" s="64">
        <f t="shared" si="11"/>
        <v>2615534</v>
      </c>
      <c r="K30" s="64"/>
      <c r="L30" s="64">
        <f t="shared" si="11"/>
        <v>842200</v>
      </c>
      <c r="M30" s="64">
        <f t="shared" si="11"/>
        <v>622376</v>
      </c>
      <c r="N30" s="64">
        <f t="shared" si="11"/>
        <v>1464576</v>
      </c>
      <c r="O30" s="64"/>
      <c r="P30" s="64">
        <f t="shared" si="11"/>
        <v>1238852</v>
      </c>
      <c r="Q30" s="64">
        <f t="shared" si="11"/>
        <v>337816</v>
      </c>
      <c r="R30" s="64">
        <f t="shared" si="11"/>
        <v>418782</v>
      </c>
      <c r="S30" s="64">
        <f t="shared" si="11"/>
        <v>1995450</v>
      </c>
      <c r="T30" s="64"/>
      <c r="U30" s="64">
        <f t="shared" si="11"/>
        <v>6462907</v>
      </c>
      <c r="W30" s="88">
        <f>SUM(W6:W29)</f>
        <v>3002881</v>
      </c>
      <c r="X30" s="88">
        <f>SUM(X6:X29)</f>
        <v>3460026</v>
      </c>
      <c r="Y30" s="88">
        <f>SUM(Y6:Y29)</f>
        <v>6462907</v>
      </c>
    </row>
    <row r="32" spans="1:25" ht="17.25">
      <c r="A32" s="2" t="s">
        <v>62</v>
      </c>
      <c r="B32" s="2"/>
      <c r="C32" s="88">
        <f>AVERAGE(C6:C29)</f>
        <v>5843.291666666667</v>
      </c>
      <c r="D32" s="88">
        <f aca="true" t="shared" si="12" ref="D32:Y32">AVERAGE(D6:D29)</f>
        <v>10296.166666666666</v>
      </c>
      <c r="E32" s="88">
        <f t="shared" si="12"/>
        <v>16139.458333333334</v>
      </c>
      <c r="F32" s="88"/>
      <c r="G32" s="88">
        <f t="shared" si="12"/>
        <v>20551.25</v>
      </c>
      <c r="H32" s="88">
        <f t="shared" si="12"/>
        <v>56849.708333333336</v>
      </c>
      <c r="I32" s="88">
        <f t="shared" si="12"/>
        <v>31579.625</v>
      </c>
      <c r="J32" s="88">
        <f t="shared" si="12"/>
        <v>108980.58333333333</v>
      </c>
      <c r="K32" s="88"/>
      <c r="L32" s="88">
        <f t="shared" si="12"/>
        <v>35091.666666666664</v>
      </c>
      <c r="M32" s="88">
        <f t="shared" si="12"/>
        <v>25932.333333333332</v>
      </c>
      <c r="N32" s="88">
        <f t="shared" si="12"/>
        <v>61024</v>
      </c>
      <c r="O32" s="88"/>
      <c r="P32" s="88">
        <f t="shared" si="12"/>
        <v>51618.833333333336</v>
      </c>
      <c r="Q32" s="88">
        <f t="shared" si="12"/>
        <v>14075.666666666666</v>
      </c>
      <c r="R32" s="88">
        <f t="shared" si="12"/>
        <v>17449.25</v>
      </c>
      <c r="S32" s="88">
        <f t="shared" si="12"/>
        <v>83143.75</v>
      </c>
      <c r="T32" s="88"/>
      <c r="U32" s="88">
        <f t="shared" si="12"/>
        <v>269287.7916666667</v>
      </c>
      <c r="W32" s="88">
        <f t="shared" si="12"/>
        <v>125120.04166666667</v>
      </c>
      <c r="X32" s="88">
        <f t="shared" si="12"/>
        <v>144167.75</v>
      </c>
      <c r="Y32" s="88">
        <f t="shared" si="12"/>
        <v>269287.7916666667</v>
      </c>
    </row>
    <row r="33" spans="3:7" ht="15">
      <c r="C33" s="86">
        <f>+C32/$J$36</f>
        <v>0.1592580773742671</v>
      </c>
      <c r="D33" s="86">
        <f>+D32/$J$36</f>
        <v>0.28062054766363415</v>
      </c>
      <c r="E33" s="86">
        <f>+E32/$J$36</f>
        <v>0.43987862503790126</v>
      </c>
      <c r="F33" s="86"/>
      <c r="G33" s="86">
        <f>+G32/$J$36</f>
        <v>0.5601213749620987</v>
      </c>
    </row>
    <row r="34" spans="3:31" s="1" customFormat="1" ht="15">
      <c r="C34" s="86"/>
      <c r="G34" s="111">
        <f>+G33+E33</f>
        <v>1</v>
      </c>
      <c r="AE34" s="442"/>
    </row>
    <row r="35" spans="1:31" s="1" customFormat="1" ht="15">
      <c r="A35" s="17" t="s">
        <v>70</v>
      </c>
      <c r="B35" s="17"/>
      <c r="AE35" s="442"/>
    </row>
    <row r="36" spans="1:31" s="1" customFormat="1" ht="15">
      <c r="A36" s="14" t="s">
        <v>68</v>
      </c>
      <c r="B36" s="14"/>
      <c r="J36" s="89">
        <f>+G32+E32</f>
        <v>36690.708333333336</v>
      </c>
      <c r="L36" s="77">
        <f>+E29+G29</f>
        <v>37164</v>
      </c>
      <c r="AE36" s="442"/>
    </row>
    <row r="37" spans="1:31" s="1" customFormat="1" ht="17.25">
      <c r="A37" s="14" t="s">
        <v>69</v>
      </c>
      <c r="B37" s="14"/>
      <c r="J37" s="90">
        <f>+H32+I32</f>
        <v>88429.33333333334</v>
      </c>
      <c r="L37" s="102">
        <f>+I29+H29</f>
        <v>91210</v>
      </c>
      <c r="AE37" s="442"/>
    </row>
    <row r="38" spans="1:31" s="1" customFormat="1" ht="17.25">
      <c r="A38" s="14"/>
      <c r="B38" s="14"/>
      <c r="J38" s="88">
        <f>SUM(J36:J37)</f>
        <v>125120.04166666669</v>
      </c>
      <c r="L38" s="88">
        <f>SUM(L36:L37)</f>
        <v>128374</v>
      </c>
      <c r="AE38" s="442"/>
    </row>
    <row r="39" spans="1:2" ht="15">
      <c r="A39" s="17" t="s">
        <v>67</v>
      </c>
      <c r="B39" s="17"/>
    </row>
    <row r="40" spans="1:10" ht="15">
      <c r="A40" s="14" t="s">
        <v>68</v>
      </c>
      <c r="B40" s="14"/>
      <c r="J40" s="92">
        <v>37435</v>
      </c>
    </row>
    <row r="41" spans="1:10" ht="17.25">
      <c r="A41" s="14" t="s">
        <v>69</v>
      </c>
      <c r="B41" s="14"/>
      <c r="J41" s="93">
        <v>86826</v>
      </c>
    </row>
    <row r="42" ht="17.25">
      <c r="J42" s="88">
        <f>SUM(J40:J41)</f>
        <v>124261</v>
      </c>
    </row>
  </sheetData>
  <sheetProtection/>
  <mergeCells count="6">
    <mergeCell ref="C3:J3"/>
    <mergeCell ref="L3:S3"/>
    <mergeCell ref="C4:E4"/>
    <mergeCell ref="G4:J4"/>
    <mergeCell ref="L4:N4"/>
    <mergeCell ref="P4:S4"/>
  </mergeCells>
  <printOptions/>
  <pageMargins left="0.45" right="0.45" top="0.5" bottom="0.5" header="0.3" footer="0.05"/>
  <pageSetup fitToHeight="1" fitToWidth="1" horizontalDpi="600" verticalDpi="600" orientation="landscape" scale="54" r:id="rId1"/>
  <headerFooter>
    <oddFooter>&amp;CPage &amp;P&amp;R&amp;A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3:AG3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6" sqref="A6"/>
    </sheetView>
  </sheetViews>
  <sheetFormatPr defaultColWidth="9.140625" defaultRowHeight="15"/>
  <cols>
    <col min="1" max="1" width="18.421875" style="1" customWidth="1"/>
    <col min="2" max="2" width="10.28125" style="1" bestFit="1" customWidth="1"/>
    <col min="3" max="3" width="7.00390625" style="1" bestFit="1" customWidth="1"/>
    <col min="4" max="4" width="10.28125" style="1" bestFit="1" customWidth="1"/>
    <col min="5" max="5" width="7.00390625" style="1" bestFit="1" customWidth="1"/>
    <col min="6" max="6" width="10.28125" style="1" bestFit="1" customWidth="1"/>
    <col min="7" max="7" width="7.00390625" style="1" bestFit="1" customWidth="1"/>
    <col min="8" max="8" width="10.28125" style="1" bestFit="1" customWidth="1"/>
    <col min="9" max="9" width="7.00390625" style="1" bestFit="1" customWidth="1"/>
    <col min="10" max="10" width="10.28125" style="1" bestFit="1" customWidth="1"/>
    <col min="11" max="11" width="7.00390625" style="1" bestFit="1" customWidth="1"/>
    <col min="12" max="12" width="10.28125" style="1" bestFit="1" customWidth="1"/>
    <col min="13" max="13" width="7.00390625" style="1" bestFit="1" customWidth="1"/>
    <col min="14" max="14" width="10.28125" style="1" bestFit="1" customWidth="1"/>
    <col min="15" max="15" width="7.00390625" style="1" bestFit="1" customWidth="1"/>
    <col min="16" max="16" width="10.28125" style="1" bestFit="1" customWidth="1"/>
    <col min="17" max="17" width="7.00390625" style="1" bestFit="1" customWidth="1"/>
    <col min="18" max="18" width="10.28125" style="1" bestFit="1" customWidth="1"/>
    <col min="19" max="19" width="7.00390625" style="1" bestFit="1" customWidth="1"/>
    <col min="20" max="20" width="10.28125" style="1" customWidth="1"/>
    <col min="21" max="21" width="7.00390625" style="1" bestFit="1" customWidth="1"/>
    <col min="22" max="22" width="10.28125" style="1" bestFit="1" customWidth="1"/>
    <col min="23" max="23" width="7.00390625" style="1" bestFit="1" customWidth="1"/>
    <col min="24" max="24" width="10.28125" style="1" bestFit="1" customWidth="1"/>
    <col min="25" max="25" width="7.00390625" style="1" bestFit="1" customWidth="1"/>
    <col min="26" max="26" width="11.28125" style="1" bestFit="1" customWidth="1"/>
    <col min="27" max="27" width="7.00390625" style="1" bestFit="1" customWidth="1"/>
    <col min="28" max="28" width="4.57421875" style="1" customWidth="1"/>
    <col min="29" max="29" width="9.421875" style="1" bestFit="1" customWidth="1"/>
    <col min="30" max="31" width="11.57421875" style="1" bestFit="1" customWidth="1"/>
    <col min="32" max="32" width="10.28125" style="1" bestFit="1" customWidth="1"/>
    <col min="33" max="16384" width="9.140625" style="1" customWidth="1"/>
  </cols>
  <sheetData>
    <row r="3" spans="1:29" ht="15">
      <c r="A3" s="2" t="s">
        <v>18</v>
      </c>
      <c r="AC3" s="15" t="s">
        <v>86</v>
      </c>
    </row>
    <row r="4" spans="1:29" ht="15">
      <c r="A4" s="34"/>
      <c r="B4" s="35">
        <v>41552</v>
      </c>
      <c r="C4" s="37"/>
      <c r="D4" s="35">
        <v>41583</v>
      </c>
      <c r="E4" s="37"/>
      <c r="F4" s="35">
        <v>41613</v>
      </c>
      <c r="G4" s="37"/>
      <c r="H4" s="35">
        <v>41644</v>
      </c>
      <c r="I4" s="36"/>
      <c r="J4" s="35">
        <v>41675</v>
      </c>
      <c r="K4" s="36"/>
      <c r="L4" s="35">
        <v>41703</v>
      </c>
      <c r="M4" s="37"/>
      <c r="N4" s="35">
        <v>41734</v>
      </c>
      <c r="O4" s="37"/>
      <c r="P4" s="35">
        <v>41764</v>
      </c>
      <c r="Q4" s="37"/>
      <c r="R4" s="35">
        <v>41795</v>
      </c>
      <c r="S4" s="37"/>
      <c r="T4" s="35">
        <v>41825</v>
      </c>
      <c r="U4" s="37"/>
      <c r="V4" s="35">
        <v>41856</v>
      </c>
      <c r="W4" s="37"/>
      <c r="X4" s="35">
        <v>41887</v>
      </c>
      <c r="Y4" s="37"/>
      <c r="Z4" s="35" t="s">
        <v>7</v>
      </c>
      <c r="AA4" s="37"/>
      <c r="AC4" s="15" t="s">
        <v>87</v>
      </c>
    </row>
    <row r="5" spans="1:29" ht="15">
      <c r="A5" s="38"/>
      <c r="B5" s="39" t="s">
        <v>19</v>
      </c>
      <c r="C5" s="41"/>
      <c r="D5" s="39" t="s">
        <v>19</v>
      </c>
      <c r="E5" s="41"/>
      <c r="F5" s="39" t="s">
        <v>19</v>
      </c>
      <c r="G5" s="41"/>
      <c r="H5" s="39" t="s">
        <v>19</v>
      </c>
      <c r="I5" s="40"/>
      <c r="J5" s="39" t="s">
        <v>19</v>
      </c>
      <c r="K5" s="40"/>
      <c r="L5" s="39" t="s">
        <v>19</v>
      </c>
      <c r="M5" s="41"/>
      <c r="N5" s="39" t="s">
        <v>19</v>
      </c>
      <c r="O5" s="41"/>
      <c r="P5" s="39" t="s">
        <v>19</v>
      </c>
      <c r="Q5" s="41"/>
      <c r="R5" s="39" t="s">
        <v>19</v>
      </c>
      <c r="S5" s="41"/>
      <c r="T5" s="39" t="s">
        <v>19</v>
      </c>
      <c r="U5" s="41"/>
      <c r="V5" s="39" t="s">
        <v>19</v>
      </c>
      <c r="W5" s="41"/>
      <c r="X5" s="39" t="s">
        <v>19</v>
      </c>
      <c r="Y5" s="41"/>
      <c r="Z5" s="39" t="s">
        <v>19</v>
      </c>
      <c r="AA5" s="41"/>
      <c r="AC5" s="15" t="s">
        <v>30</v>
      </c>
    </row>
    <row r="6" spans="1:29" ht="15">
      <c r="A6" s="38" t="s">
        <v>20</v>
      </c>
      <c r="B6" s="65">
        <v>5894.98</v>
      </c>
      <c r="C6" s="66">
        <f aca="true" t="shared" si="0" ref="C6:C16">B6/$B$17</f>
        <v>0.39610971234744347</v>
      </c>
      <c r="D6" s="65">
        <v>5482.32</v>
      </c>
      <c r="E6" s="66">
        <f aca="true" t="shared" si="1" ref="E6:E16">D6/$D$17</f>
        <v>0.41137680876672195</v>
      </c>
      <c r="F6" s="65">
        <v>5656.48</v>
      </c>
      <c r="G6" s="66">
        <f aca="true" t="shared" si="2" ref="G6:G16">F6/$F$17</f>
        <v>0.40474750864559184</v>
      </c>
      <c r="H6" s="65">
        <v>5760.06</v>
      </c>
      <c r="I6" s="42">
        <f aca="true" t="shared" si="3" ref="I6:I16">H6/$H$17</f>
        <v>0.3861062196639974</v>
      </c>
      <c r="J6" s="65">
        <v>4267.2</v>
      </c>
      <c r="K6" s="42">
        <f aca="true" t="shared" si="4" ref="K6:K16">J6/$J$17</f>
        <v>0.356604435827581</v>
      </c>
      <c r="L6" s="65">
        <v>3775.45</v>
      </c>
      <c r="M6" s="42">
        <f aca="true" t="shared" si="5" ref="M6:M16">L6/L$17</f>
        <v>0.3225003224618833</v>
      </c>
      <c r="N6" s="97">
        <v>3637.73</v>
      </c>
      <c r="O6" s="42">
        <f aca="true" t="shared" si="6" ref="O6:O16">N6/N$17</f>
        <v>0.30377145472066486</v>
      </c>
      <c r="P6" s="97">
        <v>3729.61</v>
      </c>
      <c r="Q6" s="42">
        <f aca="true" t="shared" si="7" ref="Q6:Q16">P6/P$17</f>
        <v>0.2983721417679878</v>
      </c>
      <c r="R6" s="97">
        <v>4197.97</v>
      </c>
      <c r="S6" s="42">
        <f aca="true" t="shared" si="8" ref="S6:S16">R6/R$17</f>
        <v>0.34138191541182034</v>
      </c>
      <c r="T6" s="97">
        <v>3885.44</v>
      </c>
      <c r="U6" s="42">
        <f aca="true" t="shared" si="9" ref="U6:U16">T6/T$17</f>
        <v>0.339313659736195</v>
      </c>
      <c r="V6" s="97">
        <v>3793.56</v>
      </c>
      <c r="W6" s="42">
        <f aca="true" t="shared" si="10" ref="W6:W16">V6/V$17</f>
        <v>0.34526614697811586</v>
      </c>
      <c r="X6" s="97">
        <v>4188.09</v>
      </c>
      <c r="Y6" s="42">
        <f aca="true" t="shared" si="11" ref="Y6:Y16">X6/X$17</f>
        <v>0.3535192899378316</v>
      </c>
      <c r="Z6" s="65">
        <f>+L6+J6+H6+F6+D6+B6+N6+P6+R6+T6+V6+X6</f>
        <v>54268.89</v>
      </c>
      <c r="AA6" s="42">
        <f aca="true" t="shared" si="12" ref="AA6:AA16">Z6/$Z$17</f>
        <v>0.35742540954762264</v>
      </c>
      <c r="AC6" s="109">
        <f aca="true" t="shared" si="13" ref="AC6:AC15">+Z6/($Z$17-$Z$16)</f>
        <v>0.3724599779209829</v>
      </c>
    </row>
    <row r="7" spans="1:29" ht="15">
      <c r="A7" s="38" t="s">
        <v>21</v>
      </c>
      <c r="B7" s="65">
        <v>2086.47</v>
      </c>
      <c r="C7" s="66">
        <f t="shared" si="0"/>
        <v>0.14019912391926187</v>
      </c>
      <c r="D7" s="65">
        <v>2136.43</v>
      </c>
      <c r="E7" s="66">
        <f t="shared" si="1"/>
        <v>0.16031128346274712</v>
      </c>
      <c r="F7" s="65">
        <v>2147.71</v>
      </c>
      <c r="G7" s="66">
        <f t="shared" si="2"/>
        <v>0.15367866089745286</v>
      </c>
      <c r="H7" s="65">
        <v>2284.41</v>
      </c>
      <c r="I7" s="42">
        <f t="shared" si="3"/>
        <v>0.15312772944424746</v>
      </c>
      <c r="J7" s="65">
        <v>2076.65</v>
      </c>
      <c r="K7" s="42">
        <f t="shared" si="4"/>
        <v>0.173542979391954</v>
      </c>
      <c r="L7" s="65">
        <v>1997.14</v>
      </c>
      <c r="M7" s="42">
        <f t="shared" si="5"/>
        <v>0.1705964306245681</v>
      </c>
      <c r="N7" s="97">
        <v>2299.3</v>
      </c>
      <c r="O7" s="42">
        <f t="shared" si="6"/>
        <v>0.1920048232934343</v>
      </c>
      <c r="P7" s="97">
        <v>2251.87</v>
      </c>
      <c r="Q7" s="42">
        <f t="shared" si="7"/>
        <v>0.1801516176981182</v>
      </c>
      <c r="R7" s="97">
        <v>1877.42</v>
      </c>
      <c r="S7" s="42">
        <f t="shared" si="8"/>
        <v>0.15267313383193773</v>
      </c>
      <c r="T7" s="97">
        <v>1267.74</v>
      </c>
      <c r="U7" s="42">
        <f t="shared" si="9"/>
        <v>0.11071114185110664</v>
      </c>
      <c r="V7" s="97">
        <v>1303.56</v>
      </c>
      <c r="W7" s="42">
        <f t="shared" si="10"/>
        <v>0.11864189272208497</v>
      </c>
      <c r="X7" s="97">
        <v>1475.42</v>
      </c>
      <c r="Y7" s="42">
        <f t="shared" si="11"/>
        <v>0.12454112274570879</v>
      </c>
      <c r="Z7" s="65">
        <f aca="true" t="shared" si="14" ref="Z7:Z16">+L7+J7+H7+F7+D7+B7+N7+P7+R7+T7+V7+X7</f>
        <v>23204.120000000003</v>
      </c>
      <c r="AA7" s="42">
        <f t="shared" si="12"/>
        <v>0.15282682387998323</v>
      </c>
      <c r="AC7" s="471">
        <f t="shared" si="13"/>
        <v>0.15925525697827686</v>
      </c>
    </row>
    <row r="8" spans="1:29" ht="15">
      <c r="A8" s="38" t="s">
        <v>22</v>
      </c>
      <c r="B8" s="65">
        <v>3340.44</v>
      </c>
      <c r="C8" s="66">
        <f t="shared" si="0"/>
        <v>0.22445890020218798</v>
      </c>
      <c r="D8" s="65">
        <v>2920.22</v>
      </c>
      <c r="E8" s="66">
        <f t="shared" si="1"/>
        <v>0.2191245283924975</v>
      </c>
      <c r="F8" s="65">
        <v>3109.61</v>
      </c>
      <c r="G8" s="66">
        <f t="shared" si="2"/>
        <v>0.22250708927803492</v>
      </c>
      <c r="H8" s="65">
        <v>3342.18</v>
      </c>
      <c r="I8" s="42">
        <f t="shared" si="3"/>
        <v>0.22403177835588842</v>
      </c>
      <c r="J8" s="65">
        <v>2771.95</v>
      </c>
      <c r="K8" s="42">
        <f t="shared" si="4"/>
        <v>0.23164830940482356</v>
      </c>
      <c r="L8" s="65">
        <v>2994.15</v>
      </c>
      <c r="M8" s="42">
        <f t="shared" si="5"/>
        <v>0.25576139016521154</v>
      </c>
      <c r="N8" s="97">
        <v>3200.64</v>
      </c>
      <c r="O8" s="42">
        <f t="shared" si="6"/>
        <v>0.2672719165075882</v>
      </c>
      <c r="P8" s="97">
        <v>3126.58</v>
      </c>
      <c r="Q8" s="42">
        <f t="shared" si="7"/>
        <v>0.2501292014470562</v>
      </c>
      <c r="R8" s="97">
        <v>3002.03</v>
      </c>
      <c r="S8" s="42">
        <f t="shared" si="8"/>
        <v>0.2441272213769386</v>
      </c>
      <c r="T8" s="97">
        <v>3230.64</v>
      </c>
      <c r="U8" s="42">
        <f t="shared" si="9"/>
        <v>0.28213028169014087</v>
      </c>
      <c r="V8" s="97">
        <v>2989.78</v>
      </c>
      <c r="W8" s="42">
        <f t="shared" si="10"/>
        <v>0.27211110959421525</v>
      </c>
      <c r="X8" s="97">
        <v>3221.98</v>
      </c>
      <c r="Y8" s="42">
        <f t="shared" si="11"/>
        <v>0.2719693420613919</v>
      </c>
      <c r="Z8" s="65">
        <f t="shared" si="14"/>
        <v>37250.2</v>
      </c>
      <c r="AA8" s="42">
        <f t="shared" si="12"/>
        <v>0.24533702441179195</v>
      </c>
      <c r="AC8" s="471">
        <f t="shared" si="13"/>
        <v>0.25565676153597755</v>
      </c>
    </row>
    <row r="9" spans="1:29" ht="15">
      <c r="A9" s="38" t="s">
        <v>23</v>
      </c>
      <c r="B9" s="65">
        <v>91.5</v>
      </c>
      <c r="C9" s="66">
        <f t="shared" si="0"/>
        <v>0.0061482886591287976</v>
      </c>
      <c r="D9" s="65">
        <v>87</v>
      </c>
      <c r="E9" s="66">
        <f t="shared" si="1"/>
        <v>0.006528218411676957</v>
      </c>
      <c r="F9" s="65">
        <v>80.5</v>
      </c>
      <c r="G9" s="66">
        <f t="shared" si="2"/>
        <v>0.005760150207544294</v>
      </c>
      <c r="H9" s="67">
        <v>91.5</v>
      </c>
      <c r="I9" s="42">
        <f t="shared" si="3"/>
        <v>0.006133394287430297</v>
      </c>
      <c r="J9" s="65">
        <v>81</v>
      </c>
      <c r="K9" s="42">
        <f t="shared" si="4"/>
        <v>0.006769066203138841</v>
      </c>
      <c r="L9" s="68">
        <v>81.5</v>
      </c>
      <c r="M9" s="42">
        <f t="shared" si="5"/>
        <v>0.006961759864557467</v>
      </c>
      <c r="N9" s="97">
        <v>85.5</v>
      </c>
      <c r="O9" s="42">
        <f t="shared" si="6"/>
        <v>0.007139743570473027</v>
      </c>
      <c r="P9" s="97">
        <v>97.5</v>
      </c>
      <c r="Q9" s="42">
        <f t="shared" si="7"/>
        <v>0.007800087360978442</v>
      </c>
      <c r="R9" s="97">
        <v>104.5</v>
      </c>
      <c r="S9" s="42">
        <f t="shared" si="8"/>
        <v>0.008498014554781292</v>
      </c>
      <c r="T9" s="97">
        <v>96.5</v>
      </c>
      <c r="U9" s="42">
        <f t="shared" si="9"/>
        <v>0.00842729991057456</v>
      </c>
      <c r="V9" s="97">
        <v>103.5</v>
      </c>
      <c r="W9" s="42">
        <f t="shared" si="10"/>
        <v>0.009419923821485621</v>
      </c>
      <c r="X9" s="97">
        <v>111</v>
      </c>
      <c r="Y9" s="42">
        <f t="shared" si="11"/>
        <v>0.009369579255245066</v>
      </c>
      <c r="Z9" s="65">
        <f t="shared" si="14"/>
        <v>1111.5</v>
      </c>
      <c r="AA9" s="42">
        <f t="shared" si="12"/>
        <v>0.00732055405430593</v>
      </c>
      <c r="AC9" s="471">
        <f t="shared" si="13"/>
        <v>0.0076284822751888325</v>
      </c>
    </row>
    <row r="10" spans="1:29" ht="15">
      <c r="A10" s="38" t="s">
        <v>24</v>
      </c>
      <c r="B10" s="65">
        <v>2128.81</v>
      </c>
      <c r="C10" s="66">
        <f t="shared" si="0"/>
        <v>0.14304413530535492</v>
      </c>
      <c r="D10" s="65">
        <v>1532.07</v>
      </c>
      <c r="E10" s="66">
        <f t="shared" si="1"/>
        <v>0.1149619262296312</v>
      </c>
      <c r="F10" s="65">
        <v>1824.67</v>
      </c>
      <c r="G10" s="66">
        <f t="shared" si="2"/>
        <v>0.13056364321987388</v>
      </c>
      <c r="H10" s="67">
        <v>2172.07</v>
      </c>
      <c r="I10" s="42">
        <f t="shared" si="3"/>
        <v>0.14559739595517734</v>
      </c>
      <c r="J10" s="68">
        <v>1696.03</v>
      </c>
      <c r="K10" s="42">
        <f t="shared" si="4"/>
        <v>0.14173505373468603</v>
      </c>
      <c r="L10" s="68">
        <v>1872.53</v>
      </c>
      <c r="M10" s="42">
        <f t="shared" si="5"/>
        <v>0.15995219876294225</v>
      </c>
      <c r="N10" s="97">
        <v>1708.85</v>
      </c>
      <c r="O10" s="42">
        <f t="shared" si="6"/>
        <v>0.14269883977079337</v>
      </c>
      <c r="P10" s="97">
        <v>2236.3</v>
      </c>
      <c r="Q10" s="42">
        <f t="shared" si="7"/>
        <v>0.17890600374724197</v>
      </c>
      <c r="R10" s="97">
        <v>2092.4</v>
      </c>
      <c r="S10" s="42">
        <f t="shared" si="8"/>
        <v>0.17015546080788876</v>
      </c>
      <c r="T10" s="97">
        <v>2059.58</v>
      </c>
      <c r="U10" s="42">
        <f t="shared" si="9"/>
        <v>0.17986215906550415</v>
      </c>
      <c r="V10" s="97">
        <v>1914.5</v>
      </c>
      <c r="W10" s="42">
        <f t="shared" si="10"/>
        <v>0.17424583725830164</v>
      </c>
      <c r="X10" s="97">
        <v>1868.57</v>
      </c>
      <c r="Y10" s="42">
        <f t="shared" si="11"/>
        <v>0.15772715954029976</v>
      </c>
      <c r="Z10" s="65">
        <f t="shared" si="14"/>
        <v>23106.380000000005</v>
      </c>
      <c r="AA10" s="42">
        <f t="shared" si="12"/>
        <v>0.15218308932913496</v>
      </c>
      <c r="AC10" s="471">
        <f t="shared" si="13"/>
        <v>0.15858444469075822</v>
      </c>
    </row>
    <row r="11" spans="1:29" ht="15">
      <c r="A11" s="38" t="s">
        <v>25</v>
      </c>
      <c r="B11" s="65">
        <v>209.95</v>
      </c>
      <c r="C11" s="66">
        <f t="shared" si="0"/>
        <v>0.014107466710208644</v>
      </c>
      <c r="D11" s="65">
        <v>162.5</v>
      </c>
      <c r="E11" s="66">
        <f t="shared" si="1"/>
        <v>0.012193511401120752</v>
      </c>
      <c r="F11" s="65">
        <v>157.95</v>
      </c>
      <c r="G11" s="66">
        <f t="shared" si="2"/>
        <v>0.011302058699150573</v>
      </c>
      <c r="H11" s="67">
        <v>186.55</v>
      </c>
      <c r="I11" s="42">
        <f t="shared" si="3"/>
        <v>0.012504750866886578</v>
      </c>
      <c r="J11" s="68">
        <v>174.85</v>
      </c>
      <c r="K11" s="42">
        <f t="shared" si="4"/>
        <v>0.014611990439738596</v>
      </c>
      <c r="L11" s="68">
        <v>167.05</v>
      </c>
      <c r="M11" s="42">
        <f t="shared" si="5"/>
        <v>0.014269472213181901</v>
      </c>
      <c r="N11" s="97">
        <v>192.4</v>
      </c>
      <c r="O11" s="42">
        <f t="shared" si="6"/>
        <v>0.016066510677883162</v>
      </c>
      <c r="P11" s="97">
        <v>204.1</v>
      </c>
      <c r="Q11" s="42">
        <f t="shared" si="7"/>
        <v>0.016328182875648207</v>
      </c>
      <c r="R11" s="97">
        <v>209.3</v>
      </c>
      <c r="S11" s="42">
        <f t="shared" si="8"/>
        <v>0.01702042532359545</v>
      </c>
      <c r="T11" s="97">
        <v>163.15</v>
      </c>
      <c r="U11" s="42">
        <f t="shared" si="9"/>
        <v>0.01424781326849989</v>
      </c>
      <c r="V11" s="97">
        <v>148.56</v>
      </c>
      <c r="W11" s="42">
        <f t="shared" si="10"/>
        <v>0.013521003699709216</v>
      </c>
      <c r="X11" s="97">
        <v>204.75</v>
      </c>
      <c r="Y11" s="42">
        <f t="shared" si="11"/>
        <v>0.017283075247850697</v>
      </c>
      <c r="Z11" s="65">
        <f t="shared" si="14"/>
        <v>2181.11</v>
      </c>
      <c r="AA11" s="42">
        <f t="shared" si="12"/>
        <v>0.014365212463686198</v>
      </c>
      <c r="AC11" s="471">
        <f t="shared" si="13"/>
        <v>0.014969463765395515</v>
      </c>
    </row>
    <row r="12" spans="1:29" ht="15">
      <c r="A12" s="38" t="s">
        <v>26</v>
      </c>
      <c r="B12" s="65">
        <v>55.3</v>
      </c>
      <c r="C12" s="66">
        <f t="shared" si="0"/>
        <v>0.0037158509601073497</v>
      </c>
      <c r="D12" s="65">
        <v>41.7</v>
      </c>
      <c r="E12" s="66">
        <f t="shared" si="1"/>
        <v>0.0031290426180106794</v>
      </c>
      <c r="F12" s="65">
        <v>41.7</v>
      </c>
      <c r="G12" s="66">
        <f t="shared" si="2"/>
        <v>0.0029838293621689076</v>
      </c>
      <c r="H12" s="67">
        <v>49.7</v>
      </c>
      <c r="I12" s="42">
        <f t="shared" si="3"/>
        <v>0.003331472088363779</v>
      </c>
      <c r="J12" s="68">
        <v>41.7</v>
      </c>
      <c r="K12" s="42">
        <f t="shared" si="4"/>
        <v>0.003484815563838144</v>
      </c>
      <c r="L12" s="68">
        <v>43.3</v>
      </c>
      <c r="M12" s="42">
        <f t="shared" si="5"/>
        <v>0.003698701866691268</v>
      </c>
      <c r="N12" s="97">
        <v>51</v>
      </c>
      <c r="O12" s="42">
        <f t="shared" si="6"/>
        <v>0.004258794410457595</v>
      </c>
      <c r="P12" s="97">
        <v>49.8</v>
      </c>
      <c r="Q12" s="42">
        <f t="shared" si="7"/>
        <v>0.003984044621299758</v>
      </c>
      <c r="R12" s="97">
        <v>49.1</v>
      </c>
      <c r="S12" s="42">
        <f t="shared" si="8"/>
        <v>0.003992847030045564</v>
      </c>
      <c r="T12" s="97">
        <v>45.7</v>
      </c>
      <c r="U12" s="42">
        <f t="shared" si="9"/>
        <v>0.0039909596467695065</v>
      </c>
      <c r="V12" s="97">
        <v>47.3</v>
      </c>
      <c r="W12" s="42">
        <f t="shared" si="10"/>
        <v>0.004304950693297293</v>
      </c>
      <c r="X12" s="97">
        <v>52.5</v>
      </c>
      <c r="Y12" s="42">
        <f t="shared" si="11"/>
        <v>0.004431557755859153</v>
      </c>
      <c r="Z12" s="65">
        <f t="shared" si="14"/>
        <v>568.8</v>
      </c>
      <c r="AA12" s="42">
        <f t="shared" si="12"/>
        <v>0.003746226852082063</v>
      </c>
      <c r="AC12" s="471">
        <f t="shared" si="13"/>
        <v>0.00390380631410473</v>
      </c>
    </row>
    <row r="13" spans="1:29" ht="15">
      <c r="A13" s="38" t="s">
        <v>27</v>
      </c>
      <c r="B13" s="65">
        <v>100.02</v>
      </c>
      <c r="C13" s="66">
        <f t="shared" si="0"/>
        <v>0.006720785045749315</v>
      </c>
      <c r="D13" s="65">
        <v>74.45</v>
      </c>
      <c r="E13" s="66">
        <f t="shared" si="1"/>
        <v>0.005586504146544246</v>
      </c>
      <c r="F13" s="65">
        <v>68.43</v>
      </c>
      <c r="G13" s="66">
        <f t="shared" si="2"/>
        <v>0.004896485449717466</v>
      </c>
      <c r="H13" s="67">
        <v>81.22</v>
      </c>
      <c r="I13" s="42">
        <f t="shared" si="3"/>
        <v>0.005444309115028292</v>
      </c>
      <c r="J13" s="68">
        <v>76.7</v>
      </c>
      <c r="K13" s="42">
        <f t="shared" si="4"/>
        <v>0.006409720713342582</v>
      </c>
      <c r="L13" s="68">
        <v>66.93</v>
      </c>
      <c r="M13" s="42">
        <f t="shared" si="5"/>
        <v>0.005717185125580753</v>
      </c>
      <c r="N13" s="97">
        <v>66.93</v>
      </c>
      <c r="O13" s="42">
        <f t="shared" si="6"/>
        <v>0.005589041370429939</v>
      </c>
      <c r="P13" s="97">
        <v>72.19</v>
      </c>
      <c r="Q13" s="42">
        <f t="shared" si="7"/>
        <v>0.0057752646829644485</v>
      </c>
      <c r="R13" s="97">
        <v>67.68</v>
      </c>
      <c r="S13" s="42">
        <f t="shared" si="8"/>
        <v>0.005503785885814334</v>
      </c>
      <c r="T13" s="97">
        <v>53.39</v>
      </c>
      <c r="U13" s="42">
        <f t="shared" si="9"/>
        <v>0.004662523753632909</v>
      </c>
      <c r="V13" s="97">
        <v>51.14</v>
      </c>
      <c r="W13" s="42">
        <f t="shared" si="10"/>
        <v>0.004654443519137919</v>
      </c>
      <c r="X13" s="97">
        <v>56.4</v>
      </c>
      <c r="Y13" s="42">
        <f t="shared" si="11"/>
        <v>0.004760759189151547</v>
      </c>
      <c r="Z13" s="65">
        <f t="shared" si="14"/>
        <v>835.4799999999999</v>
      </c>
      <c r="AA13" s="42">
        <f t="shared" si="12"/>
        <v>0.005502632929636994</v>
      </c>
      <c r="AC13" s="471">
        <f t="shared" si="13"/>
        <v>0.00573409300159673</v>
      </c>
    </row>
    <row r="14" spans="1:29" ht="15">
      <c r="A14" s="38" t="s">
        <v>28</v>
      </c>
      <c r="B14" s="65">
        <v>88.43</v>
      </c>
      <c r="C14" s="66">
        <f t="shared" si="0"/>
        <v>0.005942001815593001</v>
      </c>
      <c r="D14" s="65">
        <v>74.93</v>
      </c>
      <c r="E14" s="66">
        <f t="shared" si="1"/>
        <v>0.005622521903298327</v>
      </c>
      <c r="F14" s="65">
        <v>72.9</v>
      </c>
      <c r="G14" s="66">
        <f t="shared" si="2"/>
        <v>0.005216334784223342</v>
      </c>
      <c r="H14" s="67">
        <v>84.38</v>
      </c>
      <c r="I14" s="42">
        <f t="shared" si="3"/>
        <v>0.005656129070747196</v>
      </c>
      <c r="J14" s="68">
        <v>73.58</v>
      </c>
      <c r="K14" s="42">
        <f t="shared" si="4"/>
        <v>0.0061489863114439</v>
      </c>
      <c r="L14" s="68">
        <v>69.53</v>
      </c>
      <c r="M14" s="42">
        <f t="shared" si="5"/>
        <v>0.005939278078315101</v>
      </c>
      <c r="N14" s="97">
        <v>78.51</v>
      </c>
      <c r="O14" s="42">
        <f t="shared" si="6"/>
        <v>0.006556038218922075</v>
      </c>
      <c r="P14" s="97">
        <v>74.48</v>
      </c>
      <c r="Q14" s="42">
        <f t="shared" si="7"/>
        <v>0.00595846673482743</v>
      </c>
      <c r="R14" s="97">
        <v>61.18</v>
      </c>
      <c r="S14" s="42">
        <f t="shared" si="8"/>
        <v>0.004975201248435593</v>
      </c>
      <c r="T14" s="97">
        <v>50.63</v>
      </c>
      <c r="U14" s="42">
        <f t="shared" si="9"/>
        <v>0.004421494243237202</v>
      </c>
      <c r="V14" s="97">
        <v>46.13</v>
      </c>
      <c r="W14" s="42">
        <f t="shared" si="10"/>
        <v>0.0041984645979239775</v>
      </c>
      <c r="X14" s="97">
        <v>53.33</v>
      </c>
      <c r="Y14" s="42">
        <f t="shared" si="11"/>
        <v>0.004501618573713688</v>
      </c>
      <c r="Z14" s="65">
        <f t="shared" si="14"/>
        <v>828.01</v>
      </c>
      <c r="AA14" s="42">
        <f t="shared" si="12"/>
        <v>0.005453434064332752</v>
      </c>
      <c r="AC14" s="471">
        <f t="shared" si="13"/>
        <v>0.005682824659180481</v>
      </c>
    </row>
    <row r="15" spans="1:29" ht="15">
      <c r="A15" s="38" t="s">
        <v>29</v>
      </c>
      <c r="B15" s="65">
        <v>237.59</v>
      </c>
      <c r="C15" s="66">
        <f t="shared" si="0"/>
        <v>0.015964720246146567</v>
      </c>
      <c r="D15" s="65">
        <v>230.33</v>
      </c>
      <c r="E15" s="66">
        <f t="shared" si="1"/>
        <v>0.01728327065243165</v>
      </c>
      <c r="F15" s="65">
        <v>231.36</v>
      </c>
      <c r="G15" s="66">
        <f t="shared" si="2"/>
        <v>0.01655488636046519</v>
      </c>
      <c r="H15" s="67">
        <v>253.46</v>
      </c>
      <c r="I15" s="42">
        <f t="shared" si="3"/>
        <v>0.016989837334339706</v>
      </c>
      <c r="J15" s="68">
        <v>213.73</v>
      </c>
      <c r="K15" s="42">
        <f t="shared" si="4"/>
        <v>0.01786114221724524</v>
      </c>
      <c r="L15" s="68">
        <v>195.05</v>
      </c>
      <c r="M15" s="42">
        <f t="shared" si="5"/>
        <v>0.016661242473397963</v>
      </c>
      <c r="N15" s="97">
        <v>185.47</v>
      </c>
      <c r="O15" s="42">
        <f t="shared" si="6"/>
        <v>0.015487815672697454</v>
      </c>
      <c r="P15" s="97">
        <v>177</v>
      </c>
      <c r="Q15" s="42">
        <f t="shared" si="7"/>
        <v>0.01416015859377625</v>
      </c>
      <c r="R15" s="97">
        <v>170</v>
      </c>
      <c r="S15" s="42">
        <f t="shared" si="8"/>
        <v>0.01382452128529014</v>
      </c>
      <c r="T15" s="97">
        <v>145.25</v>
      </c>
      <c r="U15" s="42">
        <f t="shared" si="9"/>
        <v>0.012684614632237872</v>
      </c>
      <c r="V15" s="97">
        <v>147.33</v>
      </c>
      <c r="W15" s="42">
        <f t="shared" si="10"/>
        <v>0.01340905677893214</v>
      </c>
      <c r="X15" s="97">
        <v>162.89</v>
      </c>
      <c r="Y15" s="42">
        <f t="shared" si="11"/>
        <v>0.013749646530512331</v>
      </c>
      <c r="Z15" s="65">
        <f t="shared" si="14"/>
        <v>2349.46</v>
      </c>
      <c r="AA15" s="42">
        <f t="shared" si="12"/>
        <v>0.015473998136238967</v>
      </c>
      <c r="AC15" s="471">
        <f t="shared" si="13"/>
        <v>0.01612488885853815</v>
      </c>
    </row>
    <row r="16" spans="1:29" ht="15">
      <c r="A16" s="38" t="s">
        <v>30</v>
      </c>
      <c r="B16" s="69">
        <v>648.7</v>
      </c>
      <c r="C16" s="70">
        <f t="shared" si="0"/>
        <v>0.04358901478881805</v>
      </c>
      <c r="D16" s="69">
        <v>584.81</v>
      </c>
      <c r="E16" s="70">
        <f t="shared" si="1"/>
        <v>0.04388238401531955</v>
      </c>
      <c r="F16" s="69">
        <v>584.02</v>
      </c>
      <c r="G16" s="70">
        <f t="shared" si="2"/>
        <v>0.041789353095776624</v>
      </c>
      <c r="H16" s="71">
        <v>612.8</v>
      </c>
      <c r="I16" s="72">
        <f t="shared" si="3"/>
        <v>0.04107698381789383</v>
      </c>
      <c r="J16" s="73">
        <v>492.81</v>
      </c>
      <c r="K16" s="72">
        <f t="shared" si="4"/>
        <v>0.04118350019220805</v>
      </c>
      <c r="L16" s="73">
        <v>444.18</v>
      </c>
      <c r="M16" s="72">
        <f t="shared" si="5"/>
        <v>0.03794201836367038</v>
      </c>
      <c r="N16" s="98">
        <v>468.89</v>
      </c>
      <c r="O16" s="72">
        <f t="shared" si="6"/>
        <v>0.03915502178665611</v>
      </c>
      <c r="P16" s="98">
        <v>480.43</v>
      </c>
      <c r="Q16" s="72">
        <f t="shared" si="7"/>
        <v>0.03843483047010127</v>
      </c>
      <c r="R16" s="98">
        <v>465.41</v>
      </c>
      <c r="S16" s="72">
        <f t="shared" si="8"/>
        <v>0.037847473243452265</v>
      </c>
      <c r="T16" s="98">
        <v>452.86</v>
      </c>
      <c r="U16" s="72">
        <f t="shared" si="9"/>
        <v>0.0395480522021015</v>
      </c>
      <c r="V16" s="98">
        <v>441.99</v>
      </c>
      <c r="W16" s="72">
        <f t="shared" si="10"/>
        <v>0.04022717033679642</v>
      </c>
      <c r="X16" s="98">
        <v>451.92</v>
      </c>
      <c r="Y16" s="72">
        <f t="shared" si="11"/>
        <v>0.03814684916243559</v>
      </c>
      <c r="Z16" s="69">
        <f t="shared" si="14"/>
        <v>6128.819999999999</v>
      </c>
      <c r="AA16" s="72">
        <f t="shared" si="12"/>
        <v>0.040365594331184224</v>
      </c>
      <c r="AC16" s="471"/>
    </row>
    <row r="17" spans="1:29" ht="15">
      <c r="A17" s="74"/>
      <c r="B17" s="75">
        <f aca="true" t="shared" si="15" ref="B17:AA17">SUM(B6:B16)</f>
        <v>14882.19</v>
      </c>
      <c r="C17" s="76">
        <f t="shared" si="15"/>
        <v>1</v>
      </c>
      <c r="D17" s="75">
        <f t="shared" si="15"/>
        <v>13326.76</v>
      </c>
      <c r="E17" s="76">
        <f t="shared" si="15"/>
        <v>1</v>
      </c>
      <c r="F17" s="75">
        <f t="shared" si="15"/>
        <v>13975.330000000002</v>
      </c>
      <c r="G17" s="76">
        <f t="shared" si="15"/>
        <v>0.9999999999999998</v>
      </c>
      <c r="H17" s="75">
        <f t="shared" si="15"/>
        <v>14918.329999999996</v>
      </c>
      <c r="I17" s="76">
        <f t="shared" si="15"/>
        <v>1.0000000000000004</v>
      </c>
      <c r="J17" s="75">
        <f t="shared" si="15"/>
        <v>11966.2</v>
      </c>
      <c r="K17" s="76">
        <f t="shared" si="15"/>
        <v>1</v>
      </c>
      <c r="L17" s="75">
        <f t="shared" si="15"/>
        <v>11706.81</v>
      </c>
      <c r="M17" s="76">
        <f t="shared" si="15"/>
        <v>1</v>
      </c>
      <c r="N17" s="75">
        <f t="shared" si="15"/>
        <v>11975.22</v>
      </c>
      <c r="O17" s="76">
        <f t="shared" si="15"/>
        <v>0.9999999999999999</v>
      </c>
      <c r="P17" s="75">
        <f t="shared" si="15"/>
        <v>12499.86</v>
      </c>
      <c r="Q17" s="76">
        <f t="shared" si="15"/>
        <v>1</v>
      </c>
      <c r="R17" s="75">
        <f t="shared" si="15"/>
        <v>12296.99</v>
      </c>
      <c r="S17" s="76">
        <f t="shared" si="15"/>
        <v>1</v>
      </c>
      <c r="T17" s="75">
        <f t="shared" si="15"/>
        <v>11450.88</v>
      </c>
      <c r="U17" s="76">
        <f t="shared" si="15"/>
        <v>1.0000000000000002</v>
      </c>
      <c r="V17" s="75">
        <f t="shared" si="15"/>
        <v>10987.349999999997</v>
      </c>
      <c r="W17" s="76">
        <f t="shared" si="15"/>
        <v>1.0000000000000002</v>
      </c>
      <c r="X17" s="75">
        <f t="shared" si="15"/>
        <v>11846.849999999999</v>
      </c>
      <c r="Y17" s="76">
        <f t="shared" si="15"/>
        <v>1</v>
      </c>
      <c r="Z17" s="75">
        <f t="shared" si="15"/>
        <v>151832.77000000002</v>
      </c>
      <c r="AA17" s="76">
        <f t="shared" si="15"/>
        <v>0.9999999999999999</v>
      </c>
      <c r="AC17" s="111">
        <f>SUM(AC6:AC16)</f>
        <v>1</v>
      </c>
    </row>
    <row r="19" ht="15">
      <c r="Z19" s="3"/>
    </row>
    <row r="20" ht="15">
      <c r="Z20" s="3"/>
    </row>
    <row r="21" spans="1:33" ht="15">
      <c r="A21" s="2" t="s">
        <v>18</v>
      </c>
      <c r="AC21" s="15" t="s">
        <v>86</v>
      </c>
      <c r="AG21" s="15"/>
    </row>
    <row r="22" spans="1:33" ht="15">
      <c r="A22" s="34"/>
      <c r="B22" s="35">
        <v>41917</v>
      </c>
      <c r="C22" s="37"/>
      <c r="D22" s="35">
        <v>41948</v>
      </c>
      <c r="E22" s="37"/>
      <c r="F22" s="35">
        <v>41978</v>
      </c>
      <c r="G22" s="37"/>
      <c r="H22" s="35">
        <v>42109</v>
      </c>
      <c r="I22" s="37"/>
      <c r="J22" s="35">
        <v>42129</v>
      </c>
      <c r="K22" s="37"/>
      <c r="L22" s="35">
        <v>42160</v>
      </c>
      <c r="M22" s="37"/>
      <c r="N22" s="35">
        <v>42190</v>
      </c>
      <c r="O22" s="37"/>
      <c r="P22" s="35">
        <v>42221</v>
      </c>
      <c r="Q22" s="37"/>
      <c r="R22" s="35">
        <v>42252</v>
      </c>
      <c r="S22" s="37"/>
      <c r="T22" s="35">
        <v>42009</v>
      </c>
      <c r="U22" s="36"/>
      <c r="V22" s="35">
        <v>42040</v>
      </c>
      <c r="W22" s="36"/>
      <c r="X22" s="35">
        <v>42068</v>
      </c>
      <c r="Y22" s="36"/>
      <c r="Z22" s="35" t="s">
        <v>92</v>
      </c>
      <c r="AA22" s="37"/>
      <c r="AC22" s="15" t="s">
        <v>87</v>
      </c>
      <c r="AE22" s="15"/>
      <c r="AG22" s="15"/>
    </row>
    <row r="23" spans="1:33" ht="15">
      <c r="A23" s="38"/>
      <c r="B23" s="39" t="s">
        <v>19</v>
      </c>
      <c r="C23" s="41"/>
      <c r="D23" s="39" t="s">
        <v>19</v>
      </c>
      <c r="E23" s="41"/>
      <c r="F23" s="39" t="s">
        <v>19</v>
      </c>
      <c r="G23" s="41"/>
      <c r="H23" s="39" t="s">
        <v>19</v>
      </c>
      <c r="I23" s="41"/>
      <c r="J23" s="39" t="s">
        <v>19</v>
      </c>
      <c r="K23" s="41"/>
      <c r="L23" s="39" t="s">
        <v>19</v>
      </c>
      <c r="M23" s="41"/>
      <c r="N23" s="39" t="s">
        <v>19</v>
      </c>
      <c r="O23" s="41"/>
      <c r="P23" s="39" t="s">
        <v>19</v>
      </c>
      <c r="Q23" s="41"/>
      <c r="R23" s="39" t="s">
        <v>19</v>
      </c>
      <c r="S23" s="41"/>
      <c r="T23" s="39" t="s">
        <v>19</v>
      </c>
      <c r="U23" s="40"/>
      <c r="V23" s="39" t="s">
        <v>19</v>
      </c>
      <c r="W23" s="40"/>
      <c r="X23" s="39" t="s">
        <v>19</v>
      </c>
      <c r="Y23" s="40"/>
      <c r="Z23" s="39" t="s">
        <v>19</v>
      </c>
      <c r="AA23" s="41"/>
      <c r="AC23" s="446" t="s">
        <v>30</v>
      </c>
      <c r="AE23" s="448"/>
      <c r="AF23" s="446"/>
      <c r="AG23" s="446"/>
    </row>
    <row r="24" spans="1:33" ht="15">
      <c r="A24" s="38" t="s">
        <v>20</v>
      </c>
      <c r="B24" s="65">
        <v>4074.4</v>
      </c>
      <c r="C24" s="42">
        <f aca="true" t="shared" si="16" ref="C24:C34">B24/B$35</f>
        <v>0.3381275679695002</v>
      </c>
      <c r="D24" s="65">
        <v>3405.21</v>
      </c>
      <c r="E24" s="42">
        <f aca="true" t="shared" si="17" ref="E24:E34">D24/D$35</f>
        <v>0.3423216116774232</v>
      </c>
      <c r="F24" s="65">
        <v>4462.34</v>
      </c>
      <c r="G24" s="42">
        <f aca="true" t="shared" si="18" ref="G24:G34">F24/F$35</f>
        <v>0.34424915506463627</v>
      </c>
      <c r="H24" s="65">
        <v>3755.1</v>
      </c>
      <c r="I24" s="42">
        <f aca="true" t="shared" si="19" ref="I24:I34">H24/H$35</f>
        <v>0.33717338601059527</v>
      </c>
      <c r="J24" s="65">
        <v>3892.03</v>
      </c>
      <c r="K24" s="42">
        <f aca="true" t="shared" si="20" ref="K24:K34">J24/J$35</f>
        <v>0.36354202278004766</v>
      </c>
      <c r="L24" s="65">
        <v>3839.147555464519</v>
      </c>
      <c r="M24" s="42">
        <f aca="true" t="shared" si="21" ref="M24:M34">L24/L$35</f>
        <v>0.37972116726313754</v>
      </c>
      <c r="N24" s="65">
        <v>3836.928390032915</v>
      </c>
      <c r="O24" s="42">
        <f aca="true" t="shared" si="22" ref="O24:O34">N24/N$35</f>
        <v>0.359874022139994</v>
      </c>
      <c r="P24" s="65">
        <v>3362.774422399441</v>
      </c>
      <c r="Q24" s="42">
        <f aca="true" t="shared" si="23" ref="Q24:Q34">P24/P$35</f>
        <v>0.3377624685144184</v>
      </c>
      <c r="R24" s="65">
        <v>3825.8790130264583</v>
      </c>
      <c r="S24" s="42">
        <f aca="true" t="shared" si="24" ref="S24:S34">R24/R$35</f>
        <v>0.35734684516302834</v>
      </c>
      <c r="T24" s="97">
        <v>4181.91</v>
      </c>
      <c r="U24" s="42">
        <f aca="true" t="shared" si="25" ref="U24:U34">T24/T$35</f>
        <v>0.35379470328658835</v>
      </c>
      <c r="V24" s="97">
        <v>3240.08</v>
      </c>
      <c r="W24" s="42">
        <f aca="true" t="shared" si="26" ref="W24:W34">V24/V$35</f>
        <v>0.2962166570215785</v>
      </c>
      <c r="X24" s="97">
        <v>4037.44</v>
      </c>
      <c r="Y24" s="42">
        <f aca="true" t="shared" si="27" ref="Y24:Y34">X24/X$35</f>
        <v>0.3482085642899588</v>
      </c>
      <c r="Z24" s="65">
        <f aca="true" t="shared" si="28" ref="Z24:Z34">+L24+J24+H24+X24+V24+T24+N24+P24+R24+B24+D24+F24</f>
        <v>45913.23938092333</v>
      </c>
      <c r="AA24" s="42">
        <f aca="true" t="shared" si="29" ref="AA24:AA34">Z24/$Z$35</f>
        <v>0.3462781766976472</v>
      </c>
      <c r="AC24" s="109">
        <f aca="true" t="shared" si="30" ref="AC24:AC33">+Z24/($Z$35-$Z$34)</f>
        <v>0.3614942061176056</v>
      </c>
      <c r="AE24" s="3"/>
      <c r="AF24" s="449"/>
      <c r="AG24" s="452"/>
    </row>
    <row r="25" spans="1:33" ht="15">
      <c r="A25" s="38" t="s">
        <v>21</v>
      </c>
      <c r="B25" s="65">
        <v>1477.68</v>
      </c>
      <c r="C25" s="42">
        <f t="shared" si="16"/>
        <v>0.122630165088644</v>
      </c>
      <c r="D25" s="65">
        <v>1349.83</v>
      </c>
      <c r="E25" s="42">
        <f t="shared" si="17"/>
        <v>0.13569676498381483</v>
      </c>
      <c r="F25" s="65">
        <v>2064.58</v>
      </c>
      <c r="G25" s="42">
        <f t="shared" si="18"/>
        <v>0.15927291971551846</v>
      </c>
      <c r="H25" s="65">
        <v>1444.97</v>
      </c>
      <c r="I25" s="42">
        <f t="shared" si="19"/>
        <v>0.1297449941635988</v>
      </c>
      <c r="J25" s="65">
        <v>1345.94</v>
      </c>
      <c r="K25" s="42">
        <f t="shared" si="20"/>
        <v>0.1257199328218378</v>
      </c>
      <c r="L25" s="65">
        <v>1056.6368597886628</v>
      </c>
      <c r="M25" s="42">
        <f t="shared" si="21"/>
        <v>0.10450949747974993</v>
      </c>
      <c r="N25" s="65">
        <v>1357.5989142575693</v>
      </c>
      <c r="O25" s="42">
        <f t="shared" si="22"/>
        <v>0.12733221266153708</v>
      </c>
      <c r="P25" s="65">
        <v>1186.6796456040424</v>
      </c>
      <c r="Q25" s="42">
        <f t="shared" si="23"/>
        <v>0.11919201114567843</v>
      </c>
      <c r="R25" s="65">
        <v>1401.5820604153284</v>
      </c>
      <c r="S25" s="42">
        <f t="shared" si="24"/>
        <v>0.13091133457728368</v>
      </c>
      <c r="T25" s="97">
        <v>1604.39</v>
      </c>
      <c r="U25" s="42">
        <f t="shared" si="25"/>
        <v>0.13573335724727922</v>
      </c>
      <c r="V25" s="97">
        <v>1556.84</v>
      </c>
      <c r="W25" s="42">
        <f t="shared" si="26"/>
        <v>0.142330417865446</v>
      </c>
      <c r="X25" s="97">
        <v>1636.18</v>
      </c>
      <c r="Y25" s="42">
        <f t="shared" si="27"/>
        <v>0.1411121623404793</v>
      </c>
      <c r="Z25" s="65">
        <f t="shared" si="28"/>
        <v>17482.9074800656</v>
      </c>
      <c r="AA25" s="42">
        <f t="shared" si="29"/>
        <v>0.13185628823406767</v>
      </c>
      <c r="AC25" s="471">
        <f t="shared" si="30"/>
        <v>0.1376502691892346</v>
      </c>
      <c r="AE25" s="3"/>
      <c r="AF25" s="449"/>
      <c r="AG25" s="452"/>
    </row>
    <row r="26" spans="1:33" ht="15">
      <c r="A26" s="38" t="s">
        <v>22</v>
      </c>
      <c r="B26" s="65">
        <v>3168.7</v>
      </c>
      <c r="C26" s="42">
        <f t="shared" si="16"/>
        <v>0.26296505611254545</v>
      </c>
      <c r="D26" s="65">
        <v>2521.95</v>
      </c>
      <c r="E26" s="42">
        <f t="shared" si="17"/>
        <v>0.2535285602267929</v>
      </c>
      <c r="F26" s="65">
        <v>3204.36</v>
      </c>
      <c r="G26" s="42">
        <f t="shared" si="18"/>
        <v>0.2472017422524769</v>
      </c>
      <c r="H26" s="65">
        <v>3045.36</v>
      </c>
      <c r="I26" s="42">
        <f t="shared" si="19"/>
        <v>0.2734452725150399</v>
      </c>
      <c r="J26" s="65">
        <v>2871.43</v>
      </c>
      <c r="K26" s="42">
        <f t="shared" si="20"/>
        <v>0.2682110545065974</v>
      </c>
      <c r="L26" s="65">
        <v>2346.1404691105904</v>
      </c>
      <c r="M26" s="42">
        <f t="shared" si="21"/>
        <v>0.23205130426047565</v>
      </c>
      <c r="N26" s="65">
        <v>2749.8819001145566</v>
      </c>
      <c r="O26" s="42">
        <f t="shared" si="22"/>
        <v>0.2579175213107653</v>
      </c>
      <c r="P26" s="65">
        <v>2479.819291908889</v>
      </c>
      <c r="Q26" s="42">
        <f t="shared" si="23"/>
        <v>0.24907703589204114</v>
      </c>
      <c r="R26" s="65">
        <v>2655.051750268963</v>
      </c>
      <c r="S26" s="42">
        <f t="shared" si="24"/>
        <v>0.24798859646966812</v>
      </c>
      <c r="T26" s="97">
        <v>2916.58</v>
      </c>
      <c r="U26" s="42">
        <f t="shared" si="25"/>
        <v>0.24674623693757106</v>
      </c>
      <c r="V26" s="97">
        <v>2560.75</v>
      </c>
      <c r="W26" s="42">
        <f t="shared" si="26"/>
        <v>0.2341105171687141</v>
      </c>
      <c r="X26" s="97">
        <v>2882.42</v>
      </c>
      <c r="Y26" s="42">
        <f t="shared" si="27"/>
        <v>0.2485939926985077</v>
      </c>
      <c r="Z26" s="65">
        <f t="shared" si="28"/>
        <v>33402.443411403</v>
      </c>
      <c r="AA26" s="42">
        <f t="shared" si="29"/>
        <v>0.25192161036131977</v>
      </c>
      <c r="AC26" s="471">
        <f t="shared" si="30"/>
        <v>0.26299145793686635</v>
      </c>
      <c r="AE26" s="3"/>
      <c r="AF26" s="449"/>
      <c r="AG26" s="452"/>
    </row>
    <row r="27" spans="1:33" ht="15">
      <c r="A27" s="38" t="s">
        <v>23</v>
      </c>
      <c r="B27" s="65">
        <v>101.5</v>
      </c>
      <c r="C27" s="42">
        <f t="shared" si="16"/>
        <v>0.008423313407840239</v>
      </c>
      <c r="D27" s="65">
        <v>81</v>
      </c>
      <c r="E27" s="42">
        <f t="shared" si="17"/>
        <v>0.00814283129259907</v>
      </c>
      <c r="F27" s="65">
        <v>106.5</v>
      </c>
      <c r="G27" s="42">
        <f t="shared" si="18"/>
        <v>0.008215988699736856</v>
      </c>
      <c r="H27" s="65">
        <v>96</v>
      </c>
      <c r="I27" s="42">
        <f t="shared" si="19"/>
        <v>0.008619915596659781</v>
      </c>
      <c r="J27" s="65">
        <v>103.5</v>
      </c>
      <c r="K27" s="42">
        <f t="shared" si="20"/>
        <v>0.009667602602686756</v>
      </c>
      <c r="L27" s="65">
        <v>75.47865337918012</v>
      </c>
      <c r="M27" s="42">
        <f t="shared" si="21"/>
        <v>0.0074654182863581565</v>
      </c>
      <c r="N27" s="65">
        <v>97.18152455248828</v>
      </c>
      <c r="O27" s="42">
        <f t="shared" si="22"/>
        <v>0.00911487068907755</v>
      </c>
      <c r="P27" s="65">
        <v>74.18968081901531</v>
      </c>
      <c r="Q27" s="42">
        <f t="shared" si="23"/>
        <v>0.007451730798477829</v>
      </c>
      <c r="R27" s="65">
        <v>73.17225876589714</v>
      </c>
      <c r="S27" s="42">
        <f t="shared" si="24"/>
        <v>0.006834475354400147</v>
      </c>
      <c r="T27" s="124">
        <v>112.75</v>
      </c>
      <c r="U27" s="42">
        <f t="shared" si="25"/>
        <v>0.009538787969029185</v>
      </c>
      <c r="V27" s="97">
        <v>95.51</v>
      </c>
      <c r="W27" s="42">
        <f t="shared" si="26"/>
        <v>0.008731776040138195</v>
      </c>
      <c r="X27" s="126">
        <v>103.21</v>
      </c>
      <c r="Y27" s="42">
        <f t="shared" si="27"/>
        <v>0.008901334984635472</v>
      </c>
      <c r="Z27" s="65">
        <f t="shared" si="28"/>
        <v>1119.992117516581</v>
      </c>
      <c r="AA27" s="42">
        <f t="shared" si="29"/>
        <v>0.008446993363977693</v>
      </c>
      <c r="AC27" s="471">
        <f t="shared" si="30"/>
        <v>0.008818168067397434</v>
      </c>
      <c r="AE27" s="3"/>
      <c r="AF27" s="449"/>
      <c r="AG27" s="452"/>
    </row>
    <row r="28" spans="1:33" ht="15">
      <c r="A28" s="38" t="s">
        <v>24</v>
      </c>
      <c r="B28" s="65">
        <v>2227.56</v>
      </c>
      <c r="C28" s="42">
        <f t="shared" si="16"/>
        <v>0.1848614385691488</v>
      </c>
      <c r="D28" s="65">
        <v>1763.69</v>
      </c>
      <c r="E28" s="42">
        <f t="shared" si="17"/>
        <v>0.1773016064499266</v>
      </c>
      <c r="F28" s="65">
        <v>2080.4</v>
      </c>
      <c r="G28" s="42">
        <f t="shared" si="18"/>
        <v>0.16049336047823995</v>
      </c>
      <c r="H28" s="65">
        <v>1900.98</v>
      </c>
      <c r="I28" s="42">
        <f t="shared" si="19"/>
        <v>0.17069049115560742</v>
      </c>
      <c r="J28" s="65">
        <v>1553.93</v>
      </c>
      <c r="K28" s="42">
        <f t="shared" si="20"/>
        <v>0.14514761074775875</v>
      </c>
      <c r="L28" s="65">
        <v>1943.2245511502742</v>
      </c>
      <c r="M28" s="42">
        <f t="shared" si="21"/>
        <v>0.19219982669509253</v>
      </c>
      <c r="N28" s="65">
        <v>1742.1054977934966</v>
      </c>
      <c r="O28" s="42">
        <f t="shared" si="22"/>
        <v>0.1633959377797415</v>
      </c>
      <c r="P28" s="65">
        <v>2055.47517681184</v>
      </c>
      <c r="Q28" s="42">
        <f t="shared" si="23"/>
        <v>0.2064552308550927</v>
      </c>
      <c r="R28" s="65">
        <v>1949.6614319089197</v>
      </c>
      <c r="S28" s="42">
        <f t="shared" si="24"/>
        <v>0.18210334395220631</v>
      </c>
      <c r="T28" s="124">
        <v>2008.24</v>
      </c>
      <c r="U28" s="42">
        <f t="shared" si="25"/>
        <v>0.16989956142725648</v>
      </c>
      <c r="V28" s="126">
        <v>2575.71</v>
      </c>
      <c r="W28" s="42">
        <f t="shared" si="26"/>
        <v>0.23547819981514345</v>
      </c>
      <c r="X28" s="126">
        <v>1956.19</v>
      </c>
      <c r="Y28" s="42">
        <f t="shared" si="27"/>
        <v>0.1687113892412951</v>
      </c>
      <c r="Z28" s="65">
        <f t="shared" si="28"/>
        <v>23757.166657664533</v>
      </c>
      <c r="AA28" s="42">
        <f t="shared" si="29"/>
        <v>0.17917682273440955</v>
      </c>
      <c r="AC28" s="471">
        <f t="shared" si="30"/>
        <v>0.18705014536796946</v>
      </c>
      <c r="AE28" s="3"/>
      <c r="AF28" s="449"/>
      <c r="AG28" s="452"/>
    </row>
    <row r="29" spans="1:33" ht="15">
      <c r="A29" s="38" t="s">
        <v>25</v>
      </c>
      <c r="B29" s="65">
        <v>174.85</v>
      </c>
      <c r="C29" s="42">
        <f t="shared" si="16"/>
        <v>0.014510505905033161</v>
      </c>
      <c r="D29" s="65">
        <v>149.5</v>
      </c>
      <c r="E29" s="42">
        <f t="shared" si="17"/>
        <v>0.01502905281782174</v>
      </c>
      <c r="F29" s="65">
        <v>183.6</v>
      </c>
      <c r="G29" s="42">
        <f t="shared" si="18"/>
        <v>0.014163901645743536</v>
      </c>
      <c r="H29" s="65">
        <v>160.2</v>
      </c>
      <c r="I29" s="42">
        <f t="shared" si="19"/>
        <v>0.01438448415192601</v>
      </c>
      <c r="J29" s="65">
        <v>176.88</v>
      </c>
      <c r="K29" s="42">
        <f t="shared" si="20"/>
        <v>0.016521792737809016</v>
      </c>
      <c r="L29" s="65">
        <v>135.9386239569456</v>
      </c>
      <c r="M29" s="42">
        <f t="shared" si="21"/>
        <v>0.01344537354173939</v>
      </c>
      <c r="N29" s="65">
        <v>164.4023953318341</v>
      </c>
      <c r="O29" s="42">
        <f t="shared" si="22"/>
        <v>0.015419665222631107</v>
      </c>
      <c r="P29" s="65">
        <v>133.71648499849374</v>
      </c>
      <c r="Q29" s="42">
        <f t="shared" si="23"/>
        <v>0.01343069869727874</v>
      </c>
      <c r="R29" s="65">
        <v>114.90779869584078</v>
      </c>
      <c r="S29" s="42">
        <f t="shared" si="24"/>
        <v>0.010732681093358735</v>
      </c>
      <c r="T29" s="124">
        <v>160.63</v>
      </c>
      <c r="U29" s="42">
        <f t="shared" si="25"/>
        <v>0.013589494558449293</v>
      </c>
      <c r="V29" s="126">
        <v>164.38</v>
      </c>
      <c r="W29" s="42">
        <f t="shared" si="26"/>
        <v>0.015028053036100057</v>
      </c>
      <c r="X29" s="126">
        <v>181.88</v>
      </c>
      <c r="Y29" s="42">
        <f t="shared" si="27"/>
        <v>0.01568622039536382</v>
      </c>
      <c r="Z29" s="65">
        <f t="shared" si="28"/>
        <v>1900.8853029831141</v>
      </c>
      <c r="AA29" s="42">
        <f t="shared" si="29"/>
        <v>0.014336498702852146</v>
      </c>
      <c r="AC29" s="471">
        <f t="shared" si="30"/>
        <v>0.014966467903112393</v>
      </c>
      <c r="AE29" s="3"/>
      <c r="AF29" s="449"/>
      <c r="AG29" s="452"/>
    </row>
    <row r="30" spans="1:33" ht="15">
      <c r="A30" s="38" t="s">
        <v>26</v>
      </c>
      <c r="B30" s="65">
        <v>60.4</v>
      </c>
      <c r="C30" s="42">
        <f t="shared" si="16"/>
        <v>0.005012493889985719</v>
      </c>
      <c r="D30" s="65">
        <v>45.9</v>
      </c>
      <c r="E30" s="42">
        <f t="shared" si="17"/>
        <v>0.00461427106580614</v>
      </c>
      <c r="F30" s="65">
        <v>58</v>
      </c>
      <c r="G30" s="42">
        <f t="shared" si="18"/>
        <v>0.004474435160420072</v>
      </c>
      <c r="H30" s="65">
        <v>47.6</v>
      </c>
      <c r="I30" s="42">
        <f t="shared" si="19"/>
        <v>0.004274041483343809</v>
      </c>
      <c r="J30" s="65">
        <v>48.8</v>
      </c>
      <c r="K30" s="42">
        <f t="shared" si="20"/>
        <v>0.004558251275469697</v>
      </c>
      <c r="L30" s="65">
        <v>10.105602180244542</v>
      </c>
      <c r="M30" s="42">
        <f t="shared" si="21"/>
        <v>0.0009995216386818632</v>
      </c>
      <c r="N30" s="65">
        <v>-0.04231777411264019</v>
      </c>
      <c r="O30" s="42">
        <f t="shared" si="22"/>
        <v>-3.969077874241197E-06</v>
      </c>
      <c r="P30" s="65">
        <v>1.7419673045744166</v>
      </c>
      <c r="Q30" s="42">
        <f t="shared" si="23"/>
        <v>0.00017496599621589902</v>
      </c>
      <c r="R30" s="65">
        <v>5.613521377583556</v>
      </c>
      <c r="S30" s="42">
        <f t="shared" si="24"/>
        <v>0.0005243171955267546</v>
      </c>
      <c r="T30" s="124">
        <v>57.3</v>
      </c>
      <c r="U30" s="42">
        <f t="shared" si="25"/>
        <v>0.004847650116411284</v>
      </c>
      <c r="V30" s="126">
        <v>49.7</v>
      </c>
      <c r="W30" s="42">
        <f t="shared" si="26"/>
        <v>0.004543705048632272</v>
      </c>
      <c r="X30" s="126">
        <v>55.8</v>
      </c>
      <c r="Y30" s="42">
        <f t="shared" si="27"/>
        <v>0.0048124648013047125</v>
      </c>
      <c r="Z30" s="65">
        <f t="shared" si="28"/>
        <v>440.9187730882898</v>
      </c>
      <c r="AA30" s="42">
        <f t="shared" si="29"/>
        <v>0.0033254144311197185</v>
      </c>
      <c r="AC30" s="471">
        <f t="shared" si="30"/>
        <v>0.0034715385799183097</v>
      </c>
      <c r="AE30" s="3"/>
      <c r="AF30" s="449"/>
      <c r="AG30" s="452"/>
    </row>
    <row r="31" spans="1:33" ht="15">
      <c r="A31" s="38" t="s">
        <v>27</v>
      </c>
      <c r="B31" s="65">
        <v>56.4</v>
      </c>
      <c r="C31" s="42">
        <f t="shared" si="16"/>
        <v>0.00468054065223832</v>
      </c>
      <c r="D31" s="65">
        <v>42.86</v>
      </c>
      <c r="E31" s="42">
        <f t="shared" si="17"/>
        <v>0.0043086635703802</v>
      </c>
      <c r="F31" s="65">
        <v>48.58</v>
      </c>
      <c r="G31" s="42">
        <f t="shared" si="18"/>
        <v>0.0037477251740208116</v>
      </c>
      <c r="H31" s="65">
        <v>46.2</v>
      </c>
      <c r="I31" s="42">
        <f t="shared" si="19"/>
        <v>0.00414833438089252</v>
      </c>
      <c r="J31" s="65">
        <v>46.06</v>
      </c>
      <c r="K31" s="42">
        <f t="shared" si="20"/>
        <v>0.004302316675166686</v>
      </c>
      <c r="L31" s="65">
        <v>35.051518328959915</v>
      </c>
      <c r="M31" s="42">
        <f t="shared" si="21"/>
        <v>0.003466864261383539</v>
      </c>
      <c r="N31" s="65">
        <v>28.82127210343109</v>
      </c>
      <c r="O31" s="42">
        <f t="shared" si="22"/>
        <v>0.0027032110221280347</v>
      </c>
      <c r="P31" s="65">
        <v>22.93153653740423</v>
      </c>
      <c r="Q31" s="42">
        <f t="shared" si="23"/>
        <v>0.002303280391366735</v>
      </c>
      <c r="R31" s="65">
        <v>22.431061614913123</v>
      </c>
      <c r="S31" s="42">
        <f t="shared" si="24"/>
        <v>0.002095118291627816</v>
      </c>
      <c r="T31" s="124">
        <v>45.68</v>
      </c>
      <c r="U31" s="42">
        <f t="shared" si="25"/>
        <v>0.003864583897341491</v>
      </c>
      <c r="V31" s="126">
        <v>42</v>
      </c>
      <c r="W31" s="42">
        <f t="shared" si="26"/>
        <v>0.0038397507453230466</v>
      </c>
      <c r="X31" s="126">
        <v>55.1</v>
      </c>
      <c r="Y31" s="42">
        <f t="shared" si="27"/>
        <v>0.004752093379066124</v>
      </c>
      <c r="Z31" s="65">
        <f t="shared" si="28"/>
        <v>492.11538858470834</v>
      </c>
      <c r="AA31" s="42">
        <f t="shared" si="29"/>
        <v>0.003711539890926772</v>
      </c>
      <c r="AC31" s="471">
        <f t="shared" si="30"/>
        <v>0.003874631023935139</v>
      </c>
      <c r="AE31" s="3"/>
      <c r="AF31" s="449"/>
      <c r="AG31" s="452"/>
    </row>
    <row r="32" spans="1:33" ht="15">
      <c r="A32" s="38" t="s">
        <v>28</v>
      </c>
      <c r="B32" s="65">
        <v>45.5</v>
      </c>
      <c r="C32" s="42">
        <f t="shared" si="16"/>
        <v>0.003775968079376659</v>
      </c>
      <c r="D32" s="65">
        <v>34.43</v>
      </c>
      <c r="E32" s="42">
        <f t="shared" si="17"/>
        <v>0.0034612059432615554</v>
      </c>
      <c r="F32" s="65">
        <v>48.1</v>
      </c>
      <c r="G32" s="42">
        <f t="shared" si="18"/>
        <v>0.0037106953657966455</v>
      </c>
      <c r="H32" s="65">
        <v>43.75</v>
      </c>
      <c r="I32" s="42">
        <f t="shared" si="19"/>
        <v>0.0039283469516027646</v>
      </c>
      <c r="J32" s="65">
        <v>51.88</v>
      </c>
      <c r="K32" s="42">
        <f t="shared" si="20"/>
        <v>0.004845944183839507</v>
      </c>
      <c r="L32" s="65">
        <v>40.59928883889548</v>
      </c>
      <c r="M32" s="42">
        <f t="shared" si="21"/>
        <v>0.004015581356339233</v>
      </c>
      <c r="N32" s="65">
        <v>34.92668609310016</v>
      </c>
      <c r="O32" s="42">
        <f t="shared" si="22"/>
        <v>0.003275851339054342</v>
      </c>
      <c r="P32" s="65">
        <v>42.60017530357669</v>
      </c>
      <c r="Q32" s="42">
        <f t="shared" si="23"/>
        <v>0.004278830085610151</v>
      </c>
      <c r="R32" s="65">
        <v>23.768636318410717</v>
      </c>
      <c r="S32" s="42">
        <f t="shared" si="24"/>
        <v>0.002220051176028317</v>
      </c>
      <c r="T32" s="124">
        <f>51.98+7.8</f>
        <v>59.779999999999994</v>
      </c>
      <c r="U32" s="42">
        <f t="shared" si="25"/>
        <v>0.0050574611511180895</v>
      </c>
      <c r="V32" s="126">
        <f>40.95+2.9</f>
        <v>43.85</v>
      </c>
      <c r="W32" s="42">
        <f t="shared" si="26"/>
        <v>0.004008882623390848</v>
      </c>
      <c r="X32" s="126">
        <f>46.54+0.9</f>
        <v>47.44</v>
      </c>
      <c r="Y32" s="42">
        <f t="shared" si="27"/>
        <v>0.0040914575299981285</v>
      </c>
      <c r="Z32" s="65">
        <f t="shared" si="28"/>
        <v>516.624786553983</v>
      </c>
      <c r="AA32" s="42">
        <f t="shared" si="29"/>
        <v>0.003896390050819514</v>
      </c>
      <c r="AC32" s="471">
        <f t="shared" si="30"/>
        <v>0.004067603802174887</v>
      </c>
      <c r="AE32" s="3"/>
      <c r="AF32" s="449"/>
      <c r="AG32" s="452"/>
    </row>
    <row r="33" spans="1:33" ht="15">
      <c r="A33" s="38" t="s">
        <v>29</v>
      </c>
      <c r="B33" s="65">
        <v>175</v>
      </c>
      <c r="C33" s="42">
        <f t="shared" si="16"/>
        <v>0.014522954151448688</v>
      </c>
      <c r="D33" s="65">
        <v>168.08</v>
      </c>
      <c r="E33" s="42">
        <f t="shared" si="17"/>
        <v>0.01689687757605002</v>
      </c>
      <c r="F33" s="65">
        <v>222.03</v>
      </c>
      <c r="G33" s="42">
        <f t="shared" si="18"/>
        <v>0.017128600666690835</v>
      </c>
      <c r="H33" s="65">
        <v>161</v>
      </c>
      <c r="I33" s="42">
        <f t="shared" si="19"/>
        <v>0.014456316781898175</v>
      </c>
      <c r="J33" s="65">
        <v>173.26</v>
      </c>
      <c r="K33" s="42">
        <f t="shared" si="20"/>
        <v>0.01618366016368606</v>
      </c>
      <c r="L33" s="65">
        <v>118.75254623245932</v>
      </c>
      <c r="M33" s="42">
        <f t="shared" si="21"/>
        <v>0.011745538513276324</v>
      </c>
      <c r="N33" s="65">
        <v>134.0042925653945</v>
      </c>
      <c r="O33" s="42">
        <f t="shared" si="22"/>
        <v>0.01256855975597692</v>
      </c>
      <c r="P33" s="65">
        <v>124.46765707681975</v>
      </c>
      <c r="Q33" s="42">
        <f t="shared" si="23"/>
        <v>0.012501731553695947</v>
      </c>
      <c r="R33" s="65">
        <v>141.9956484586092</v>
      </c>
      <c r="S33" s="42">
        <f t="shared" si="24"/>
        <v>0.013262755259848963</v>
      </c>
      <c r="T33" s="124">
        <v>197.83</v>
      </c>
      <c r="U33" s="42">
        <f t="shared" si="25"/>
        <v>0.016736660079051384</v>
      </c>
      <c r="V33" s="126">
        <v>175</v>
      </c>
      <c r="W33" s="42">
        <f t="shared" si="26"/>
        <v>0.015998961438846028</v>
      </c>
      <c r="X33" s="126">
        <v>191.9</v>
      </c>
      <c r="Y33" s="42">
        <f t="shared" si="27"/>
        <v>0.016550394182264776</v>
      </c>
      <c r="Z33" s="65">
        <f t="shared" si="28"/>
        <v>1983.3201443332825</v>
      </c>
      <c r="AA33" s="42">
        <f t="shared" si="29"/>
        <v>0.014958223219440198</v>
      </c>
      <c r="AC33" s="471">
        <f t="shared" si="30"/>
        <v>0.015615512011786013</v>
      </c>
      <c r="AE33" s="3"/>
      <c r="AF33" s="449"/>
      <c r="AG33" s="452"/>
    </row>
    <row r="34" spans="1:33" ht="17.25">
      <c r="A34" s="38" t="s">
        <v>30</v>
      </c>
      <c r="B34" s="69">
        <v>487.9</v>
      </c>
      <c r="C34" s="42">
        <f t="shared" si="16"/>
        <v>0.04048999617423894</v>
      </c>
      <c r="D34" s="69">
        <v>384.95</v>
      </c>
      <c r="E34" s="42">
        <f t="shared" si="17"/>
        <v>0.0386985543961236</v>
      </c>
      <c r="F34" s="69">
        <v>484.04</v>
      </c>
      <c r="G34" s="42">
        <f t="shared" si="18"/>
        <v>0.03734147577671951</v>
      </c>
      <c r="H34" s="69">
        <v>435.84</v>
      </c>
      <c r="I34" s="42">
        <f t="shared" si="19"/>
        <v>0.03913441680883541</v>
      </c>
      <c r="J34" s="69">
        <v>442.15</v>
      </c>
      <c r="K34" s="42">
        <f t="shared" si="20"/>
        <v>0.04129981150510095</v>
      </c>
      <c r="L34" s="69">
        <v>509.36295456044496</v>
      </c>
      <c r="M34" s="42">
        <f t="shared" si="21"/>
        <v>0.05037990670376571</v>
      </c>
      <c r="N34" s="69">
        <v>516.0568588777622</v>
      </c>
      <c r="O34" s="42">
        <f t="shared" si="22"/>
        <v>0.04840211715696847</v>
      </c>
      <c r="P34" s="69">
        <v>471.637374865136</v>
      </c>
      <c r="Q34" s="42">
        <f t="shared" si="23"/>
        <v>0.04737201607012405</v>
      </c>
      <c r="R34" s="69">
        <v>492.28294984185294</v>
      </c>
      <c r="S34" s="42">
        <f t="shared" si="24"/>
        <v>0.045980481467023035</v>
      </c>
      <c r="T34" s="125">
        <v>475.07</v>
      </c>
      <c r="U34" s="42">
        <f t="shared" si="25"/>
        <v>0.04019150332990416</v>
      </c>
      <c r="V34" s="127">
        <v>434.39</v>
      </c>
      <c r="W34" s="42">
        <f t="shared" si="26"/>
        <v>0.039713079196687574</v>
      </c>
      <c r="X34" s="127">
        <v>447.33</v>
      </c>
      <c r="Y34" s="42">
        <f t="shared" si="27"/>
        <v>0.03857992615712611</v>
      </c>
      <c r="Z34" s="69">
        <f t="shared" si="28"/>
        <v>5581.010138145196</v>
      </c>
      <c r="AA34" s="42">
        <f t="shared" si="29"/>
        <v>0.04209204231341992</v>
      </c>
      <c r="AC34" s="109"/>
      <c r="AE34" s="16"/>
      <c r="AF34" s="450"/>
      <c r="AG34" s="453"/>
    </row>
    <row r="35" spans="1:33" ht="17.25">
      <c r="A35" s="74"/>
      <c r="B35" s="75">
        <f aca="true" t="shared" si="31" ref="B35:AA35">SUM(B24:B34)</f>
        <v>12049.889999999998</v>
      </c>
      <c r="C35" s="113">
        <f t="shared" si="31"/>
        <v>1</v>
      </c>
      <c r="D35" s="75">
        <f t="shared" si="31"/>
        <v>9947.400000000001</v>
      </c>
      <c r="E35" s="113">
        <f t="shared" si="31"/>
        <v>1</v>
      </c>
      <c r="F35" s="75">
        <f t="shared" si="31"/>
        <v>12962.530000000002</v>
      </c>
      <c r="G35" s="113">
        <f t="shared" si="31"/>
        <v>0.9999999999999999</v>
      </c>
      <c r="H35" s="75">
        <f t="shared" si="31"/>
        <v>11137.000000000002</v>
      </c>
      <c r="I35" s="113">
        <f t="shared" si="31"/>
        <v>0.9999999999999999</v>
      </c>
      <c r="J35" s="75">
        <f t="shared" si="31"/>
        <v>10705.859999999997</v>
      </c>
      <c r="K35" s="113">
        <f t="shared" si="31"/>
        <v>1.0000000000000002</v>
      </c>
      <c r="L35" s="75">
        <f t="shared" si="31"/>
        <v>10110.438622991178</v>
      </c>
      <c r="M35" s="113">
        <f t="shared" si="31"/>
        <v>0.9999999999999998</v>
      </c>
      <c r="N35" s="75">
        <f t="shared" si="31"/>
        <v>10661.865413948435</v>
      </c>
      <c r="O35" s="113">
        <f t="shared" si="31"/>
        <v>1</v>
      </c>
      <c r="P35" s="75">
        <f t="shared" si="31"/>
        <v>9956.033413629233</v>
      </c>
      <c r="Q35" s="113">
        <f t="shared" si="31"/>
        <v>1</v>
      </c>
      <c r="R35" s="75">
        <f t="shared" si="31"/>
        <v>10706.346130692775</v>
      </c>
      <c r="S35" s="113">
        <f t="shared" si="31"/>
        <v>1.0000000000000002</v>
      </c>
      <c r="T35" s="75">
        <f t="shared" si="31"/>
        <v>11820.16</v>
      </c>
      <c r="U35" s="113">
        <f t="shared" si="31"/>
        <v>0.9999999999999999</v>
      </c>
      <c r="V35" s="75">
        <f t="shared" si="31"/>
        <v>10938.21</v>
      </c>
      <c r="W35" s="113">
        <f t="shared" si="31"/>
        <v>1.0000000000000002</v>
      </c>
      <c r="X35" s="75">
        <f t="shared" si="31"/>
        <v>11594.89</v>
      </c>
      <c r="Y35" s="113">
        <f t="shared" si="31"/>
        <v>1.0000000000000002</v>
      </c>
      <c r="Z35" s="75">
        <f t="shared" si="31"/>
        <v>132590.6235812616</v>
      </c>
      <c r="AA35" s="113">
        <f t="shared" si="31"/>
        <v>1.0000000000000002</v>
      </c>
      <c r="AC35" s="111">
        <f>SUM(AC24:AC34)</f>
        <v>1.0000000000000002</v>
      </c>
      <c r="AE35" s="12"/>
      <c r="AF35" s="451"/>
      <c r="AG35" s="454"/>
    </row>
    <row r="37" spans="2:31" ht="15">
      <c r="B37" s="3"/>
      <c r="C37" s="3"/>
      <c r="D37" s="3"/>
      <c r="E37" s="3"/>
      <c r="F37" s="3"/>
      <c r="G37" s="3"/>
      <c r="H37" s="3"/>
      <c r="I37" s="3"/>
      <c r="J37" s="3"/>
      <c r="K37" s="3"/>
      <c r="L37" s="3"/>
      <c r="M37" s="3"/>
      <c r="N37" s="3"/>
      <c r="O37" s="3"/>
      <c r="P37" s="3"/>
      <c r="Z37" s="3"/>
      <c r="AE37" s="3"/>
    </row>
  </sheetData>
  <sheetProtection/>
  <printOptions/>
  <pageMargins left="0.45" right="0.45" top="0.75" bottom="0.75" header="0.3" footer="0.3"/>
  <pageSetup fitToHeight="1" fitToWidth="1" horizontalDpi="600" verticalDpi="600" orientation="landscape" scale="49" r:id="rId1"/>
  <headerFooter>
    <oddFooter>&amp;CPage &amp;P&amp;R&amp;A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79"/>
  <sheetViews>
    <sheetView zoomScalePageLayoutView="0" workbookViewId="0" topLeftCell="B1">
      <selection activeCell="X78" sqref="X78"/>
    </sheetView>
  </sheetViews>
  <sheetFormatPr defaultColWidth="12.57421875" defaultRowHeight="15"/>
  <cols>
    <col min="1" max="1" width="28.7109375" style="256" customWidth="1"/>
    <col min="2" max="2" width="14.7109375" style="256" customWidth="1"/>
    <col min="3" max="3" width="11.28125" style="256" bestFit="1" customWidth="1"/>
    <col min="4" max="4" width="10.421875" style="256" bestFit="1" customWidth="1"/>
    <col min="5" max="5" width="11.8515625" style="256" hidden="1" customWidth="1"/>
    <col min="6" max="6" width="11.28125" style="256" hidden="1" customWidth="1"/>
    <col min="7" max="7" width="14.8515625" style="256" hidden="1" customWidth="1"/>
    <col min="8" max="8" width="11.28125" style="256" hidden="1" customWidth="1"/>
    <col min="9" max="11" width="11.8515625" style="256" hidden="1" customWidth="1"/>
    <col min="12" max="12" width="11.28125" style="256" hidden="1" customWidth="1"/>
    <col min="13" max="13" width="11.8515625" style="256" hidden="1" customWidth="1"/>
    <col min="14" max="14" width="12.00390625" style="256" hidden="1" customWidth="1"/>
    <col min="15" max="17" width="11.8515625" style="256" bestFit="1" customWidth="1"/>
    <col min="18" max="18" width="11.8515625" style="256" customWidth="1"/>
    <col min="19" max="19" width="12.28125" style="256" bestFit="1" customWidth="1"/>
    <col min="20" max="20" width="12.28125" style="256" customWidth="1"/>
    <col min="21" max="21" width="15.7109375" style="256" customWidth="1"/>
    <col min="22" max="23" width="12.28125" style="256" customWidth="1"/>
    <col min="24" max="24" width="12.8515625" style="256" bestFit="1" customWidth="1"/>
    <col min="25" max="25" width="2.7109375" style="256" customWidth="1"/>
    <col min="26" max="26" width="11.8515625" style="256" bestFit="1" customWidth="1"/>
    <col min="27" max="16384" width="12.57421875" style="256" customWidth="1"/>
  </cols>
  <sheetData>
    <row r="1" spans="1:25" ht="12.75">
      <c r="A1" s="253" t="s">
        <v>281</v>
      </c>
      <c r="B1" s="254"/>
      <c r="C1" s="254"/>
      <c r="D1" s="255"/>
      <c r="Y1" s="257"/>
    </row>
    <row r="2" spans="1:25" ht="12.75">
      <c r="A2" s="258" t="s">
        <v>282</v>
      </c>
      <c r="B2" s="259"/>
      <c r="C2" s="259"/>
      <c r="D2" s="260"/>
      <c r="Y2" s="257"/>
    </row>
    <row r="3" spans="1:25" ht="12.75">
      <c r="A3" s="261" t="s">
        <v>151</v>
      </c>
      <c r="B3" s="262"/>
      <c r="C3" s="262"/>
      <c r="D3" s="263"/>
      <c r="Y3" s="257"/>
    </row>
    <row r="4" ht="16.5" customHeight="1" thickBot="1">
      <c r="Y4" s="257"/>
    </row>
    <row r="5" spans="1:25" ht="12.75">
      <c r="A5" s="264" t="s">
        <v>152</v>
      </c>
      <c r="C5" s="265" t="s">
        <v>153</v>
      </c>
      <c r="D5" s="265" t="s">
        <v>154</v>
      </c>
      <c r="T5" s="543"/>
      <c r="U5" s="544"/>
      <c r="V5" s="545" t="s">
        <v>155</v>
      </c>
      <c r="W5" s="546"/>
      <c r="Y5" s="257"/>
    </row>
    <row r="6" spans="1:25" ht="12.75">
      <c r="A6" s="256" t="s">
        <v>156</v>
      </c>
      <c r="C6" s="267">
        <v>8.82</v>
      </c>
      <c r="D6" s="268">
        <f>+C6</f>
        <v>8.82</v>
      </c>
      <c r="T6" s="547"/>
      <c r="U6" s="317"/>
      <c r="V6" s="269" t="s">
        <v>157</v>
      </c>
      <c r="W6" s="548" t="s">
        <v>158</v>
      </c>
      <c r="Y6" s="257"/>
    </row>
    <row r="7" spans="1:25" ht="12.75">
      <c r="A7" s="256" t="s">
        <v>159</v>
      </c>
      <c r="C7" s="270">
        <f>+U27</f>
        <v>-2.66</v>
      </c>
      <c r="D7" s="270">
        <f>+V27</f>
        <v>-1.64</v>
      </c>
      <c r="T7" s="549"/>
      <c r="U7" s="271" t="s">
        <v>160</v>
      </c>
      <c r="V7" s="550">
        <f aca="true" t="shared" si="0" ref="V7:V16">+W7*$V$17</f>
        <v>11175.846428070061</v>
      </c>
      <c r="W7" s="551">
        <f>+'2014-2015 Composition'!AC24</f>
        <v>0.3614942061176056</v>
      </c>
      <c r="Y7" s="257"/>
    </row>
    <row r="8" spans="3:25" ht="12.75">
      <c r="C8" s="273"/>
      <c r="D8" s="273"/>
      <c r="T8" s="549"/>
      <c r="U8" s="271" t="s">
        <v>22</v>
      </c>
      <c r="V8" s="550">
        <f t="shared" si="0"/>
        <v>8130.56501613878</v>
      </c>
      <c r="W8" s="551">
        <f>+'2014-2015 Composition'!AC26</f>
        <v>0.26299145793686635</v>
      </c>
      <c r="Y8" s="257"/>
    </row>
    <row r="9" spans="1:25" ht="13.5" thickBot="1">
      <c r="A9" s="259" t="s">
        <v>161</v>
      </c>
      <c r="B9" s="259"/>
      <c r="C9" s="274">
        <f>C6+C7</f>
        <v>6.16</v>
      </c>
      <c r="D9" s="274">
        <f>D6+D7</f>
        <v>7.180000000000001</v>
      </c>
      <c r="T9" s="549"/>
      <c r="U9" s="271" t="s">
        <v>162</v>
      </c>
      <c r="V9" s="550">
        <f t="shared" si="0"/>
        <v>4255.554427173621</v>
      </c>
      <c r="W9" s="551">
        <f>+'2014-2015 Composition'!AC25</f>
        <v>0.1376502691892346</v>
      </c>
      <c r="Y9" s="257"/>
    </row>
    <row r="10" spans="20:25" ht="13.5" thickTop="1">
      <c r="T10" s="549"/>
      <c r="U10" s="271" t="s">
        <v>163</v>
      </c>
      <c r="V10" s="550">
        <f t="shared" si="0"/>
        <v>272.6198385212389</v>
      </c>
      <c r="W10" s="551">
        <f>+'2014-2015 Composition'!AC27</f>
        <v>0.008818168067397434</v>
      </c>
      <c r="Y10" s="257"/>
    </row>
    <row r="11" spans="3:25" ht="12.75">
      <c r="C11" s="275"/>
      <c r="D11" s="268"/>
      <c r="K11" s="276"/>
      <c r="L11" s="276"/>
      <c r="M11" s="276"/>
      <c r="T11" s="549"/>
      <c r="U11" s="271" t="s">
        <v>164</v>
      </c>
      <c r="V11" s="550">
        <f t="shared" si="0"/>
        <v>482.7644847027729</v>
      </c>
      <c r="W11" s="551">
        <f>+'2014-2015 Composition'!AC33</f>
        <v>0.015615512011786013</v>
      </c>
      <c r="Y11" s="257"/>
    </row>
    <row r="12" spans="1:25" ht="12.75">
      <c r="A12" s="264" t="s">
        <v>165</v>
      </c>
      <c r="D12" s="268"/>
      <c r="K12" s="276"/>
      <c r="L12" s="276"/>
      <c r="M12" s="276"/>
      <c r="T12" s="549"/>
      <c r="U12" s="271" t="s">
        <v>166</v>
      </c>
      <c r="V12" s="550">
        <f t="shared" si="0"/>
        <v>5782.786179152535</v>
      </c>
      <c r="W12" s="551">
        <f>+'2014-2015 Composition'!AC28</f>
        <v>0.18705014536796946</v>
      </c>
      <c r="Y12" s="257"/>
    </row>
    <row r="13" spans="1:25" ht="12.75">
      <c r="A13" s="256" t="s">
        <v>156</v>
      </c>
      <c r="C13" s="267">
        <f>+D13</f>
        <v>8.82</v>
      </c>
      <c r="D13" s="268">
        <f>+D6</f>
        <v>8.82</v>
      </c>
      <c r="K13" s="276"/>
      <c r="L13" s="276"/>
      <c r="M13" s="276"/>
      <c r="T13" s="549"/>
      <c r="U13" s="271" t="s">
        <v>167</v>
      </c>
      <c r="V13" s="550">
        <f t="shared" si="0"/>
        <v>462.69883175225186</v>
      </c>
      <c r="W13" s="551">
        <f>+'2014-2015 Composition'!AC29</f>
        <v>0.014966467903112393</v>
      </c>
      <c r="Y13" s="257"/>
    </row>
    <row r="14" spans="1:25" ht="12.75">
      <c r="A14" s="256" t="s">
        <v>159</v>
      </c>
      <c r="C14" s="277">
        <f>-X70</f>
        <v>-2.11</v>
      </c>
      <c r="D14" s="278">
        <f>-X68</f>
        <v>-1.0399999999999998</v>
      </c>
      <c r="E14" s="279"/>
      <c r="K14" s="276"/>
      <c r="L14" s="276"/>
      <c r="M14" s="276"/>
      <c r="T14" s="549"/>
      <c r="U14" s="271" t="s">
        <v>168</v>
      </c>
      <c r="V14" s="550">
        <f t="shared" si="0"/>
        <v>107.3250452751805</v>
      </c>
      <c r="W14" s="551">
        <f>+'2014-2015 Composition'!AC30</f>
        <v>0.0034715385799183097</v>
      </c>
      <c r="Y14" s="257"/>
    </row>
    <row r="15" spans="1:25" s="259" customFormat="1" ht="12.75">
      <c r="A15" s="256"/>
      <c r="B15" s="256"/>
      <c r="C15" s="256"/>
      <c r="D15" s="268"/>
      <c r="J15" s="256"/>
      <c r="K15" s="276"/>
      <c r="L15" s="276"/>
      <c r="M15" s="272"/>
      <c r="T15" s="549"/>
      <c r="U15" s="271" t="s">
        <v>169</v>
      </c>
      <c r="V15" s="550">
        <f t="shared" si="0"/>
        <v>119.7869303466716</v>
      </c>
      <c r="W15" s="551">
        <f>+'2014-2015 Composition'!AC31</f>
        <v>0.003874631023935139</v>
      </c>
      <c r="Y15" s="280"/>
    </row>
    <row r="16" spans="1:25" ht="15.75" thickBot="1">
      <c r="A16" s="259" t="s">
        <v>161</v>
      </c>
      <c r="B16" s="259"/>
      <c r="C16" s="274">
        <f>C13+C14</f>
        <v>6.710000000000001</v>
      </c>
      <c r="D16" s="274">
        <f>D13+D14</f>
        <v>7.78</v>
      </c>
      <c r="K16" s="276"/>
      <c r="L16" s="276"/>
      <c r="M16" s="276"/>
      <c r="T16" s="549"/>
      <c r="U16" s="271" t="s">
        <v>170</v>
      </c>
      <c r="V16" s="552">
        <f t="shared" si="0"/>
        <v>125.75281886689817</v>
      </c>
      <c r="W16" s="553">
        <f>+'2014-2015 Composition'!AC32</f>
        <v>0.004067603802174887</v>
      </c>
      <c r="Y16" s="257"/>
    </row>
    <row r="17" spans="11:25" ht="16.5" thickBot="1" thickTop="1">
      <c r="K17" s="276"/>
      <c r="L17" s="276"/>
      <c r="M17" s="276"/>
      <c r="N17" s="281"/>
      <c r="T17" s="554"/>
      <c r="U17" s="555"/>
      <c r="V17" s="556">
        <f>SUM('2014-2015 RSA'!G83:G94)</f>
        <v>30915.700000000004</v>
      </c>
      <c r="W17" s="557">
        <f>+V17/$V$17</f>
        <v>1</v>
      </c>
      <c r="Y17" s="257"/>
    </row>
    <row r="18" spans="1:25" ht="14.25" thickBot="1" thickTop="1">
      <c r="A18" s="282"/>
      <c r="B18" s="282"/>
      <c r="C18" s="282"/>
      <c r="D18" s="282"/>
      <c r="E18" s="282"/>
      <c r="F18" s="283"/>
      <c r="G18" s="283"/>
      <c r="H18" s="284"/>
      <c r="I18" s="285"/>
      <c r="J18" s="282"/>
      <c r="K18" s="282"/>
      <c r="L18" s="282"/>
      <c r="M18" s="282"/>
      <c r="N18" s="282"/>
      <c r="O18" s="282"/>
      <c r="P18" s="282"/>
      <c r="Q18" s="282"/>
      <c r="R18" s="282"/>
      <c r="S18" s="282"/>
      <c r="T18" s="282"/>
      <c r="U18" s="282"/>
      <c r="V18" s="282"/>
      <c r="W18" s="282"/>
      <c r="X18" s="282"/>
      <c r="Y18" s="257"/>
    </row>
    <row r="19" spans="1:25" ht="14.25" thickBot="1" thickTop="1">
      <c r="A19" s="259" t="s">
        <v>171</v>
      </c>
      <c r="B19" s="286">
        <f>+D36</f>
        <v>89529.16666666667</v>
      </c>
      <c r="O19" s="576" t="s">
        <v>172</v>
      </c>
      <c r="P19" s="576"/>
      <c r="Q19" s="576"/>
      <c r="R19" s="576"/>
      <c r="Y19" s="257"/>
    </row>
    <row r="20" spans="1:25" ht="14.25" thickBot="1" thickTop="1">
      <c r="A20" s="259" t="s">
        <v>173</v>
      </c>
      <c r="B20" s="287">
        <f>ROUND(+(O36+P36)/(SUM(D24:D35)),2)</f>
        <v>2.38</v>
      </c>
      <c r="D20" s="266"/>
      <c r="O20" s="577" t="s">
        <v>174</v>
      </c>
      <c r="P20" s="577"/>
      <c r="Q20" s="577"/>
      <c r="R20" s="577"/>
      <c r="Y20" s="257"/>
    </row>
    <row r="21" spans="4:25" ht="13.5" thickTop="1">
      <c r="D21" s="266"/>
      <c r="Q21" s="266" t="s">
        <v>71</v>
      </c>
      <c r="T21" s="266" t="s">
        <v>280</v>
      </c>
      <c r="U21" s="266" t="s">
        <v>153</v>
      </c>
      <c r="V21" s="266" t="s">
        <v>154</v>
      </c>
      <c r="W21" s="266" t="s">
        <v>153</v>
      </c>
      <c r="X21" s="266" t="s">
        <v>175</v>
      </c>
      <c r="Y21" s="257"/>
    </row>
    <row r="22" spans="1:25" ht="12.75">
      <c r="A22" s="259"/>
      <c r="B22" s="266" t="s">
        <v>153</v>
      </c>
      <c r="C22" s="266" t="s">
        <v>154</v>
      </c>
      <c r="D22" s="266" t="s">
        <v>7</v>
      </c>
      <c r="O22" s="266" t="s">
        <v>153</v>
      </c>
      <c r="P22" s="266" t="s">
        <v>154</v>
      </c>
      <c r="Q22" s="266" t="s">
        <v>176</v>
      </c>
      <c r="R22" s="266" t="s">
        <v>177</v>
      </c>
      <c r="S22" s="288"/>
      <c r="T22" s="266" t="s">
        <v>178</v>
      </c>
      <c r="U22" s="266" t="s">
        <v>179</v>
      </c>
      <c r="V22" s="266" t="s">
        <v>179</v>
      </c>
      <c r="W22" s="266" t="s">
        <v>7</v>
      </c>
      <c r="X22" s="266" t="s">
        <v>7</v>
      </c>
      <c r="Y22" s="257"/>
    </row>
    <row r="23" spans="2:25" ht="12.75">
      <c r="B23" s="265" t="s">
        <v>73</v>
      </c>
      <c r="C23" s="265" t="s">
        <v>73</v>
      </c>
      <c r="D23" s="265" t="s">
        <v>73</v>
      </c>
      <c r="O23" s="265" t="s">
        <v>155</v>
      </c>
      <c r="P23" s="265" t="s">
        <v>155</v>
      </c>
      <c r="Q23" s="289">
        <v>0.35</v>
      </c>
      <c r="R23" s="265" t="s">
        <v>155</v>
      </c>
      <c r="S23" s="265" t="s">
        <v>180</v>
      </c>
      <c r="T23" s="265" t="s">
        <v>62</v>
      </c>
      <c r="U23" s="265" t="s">
        <v>181</v>
      </c>
      <c r="V23" s="265" t="s">
        <v>181</v>
      </c>
      <c r="W23" s="265" t="s">
        <v>182</v>
      </c>
      <c r="X23" s="265" t="s">
        <v>182</v>
      </c>
      <c r="Y23" s="257"/>
    </row>
    <row r="24" spans="1:25" ht="12.75">
      <c r="A24" s="290" t="s">
        <v>278</v>
      </c>
      <c r="B24" s="291">
        <f>+'Customer Counts'!AE18</f>
        <v>1742</v>
      </c>
      <c r="C24" s="290">
        <f>+D24-B24</f>
        <v>86596</v>
      </c>
      <c r="D24" s="292">
        <f>+'Customer Counts'!H18+'Customer Counts'!I18</f>
        <v>88338</v>
      </c>
      <c r="O24" s="293">
        <f>+'2014-2015 RSA'!O83/D24*B24</f>
        <v>4813.540945705769</v>
      </c>
      <c r="P24" s="293">
        <f>+'2014-2015 RSA'!O83/D24*C24</f>
        <v>239284.38101856306</v>
      </c>
      <c r="Q24" s="294">
        <f aca="true" t="shared" si="1" ref="Q24:Q35">-P24*$Q$23</f>
        <v>-83749.53335649706</v>
      </c>
      <c r="R24" s="293">
        <f aca="true" t="shared" si="2" ref="R24:R35">+Q24+P24+O24</f>
        <v>160348.38860777178</v>
      </c>
      <c r="S24" s="268">
        <f aca="true" t="shared" si="3" ref="S24:S35">R24/D24</f>
        <v>1.8151688809772892</v>
      </c>
      <c r="T24" s="295">
        <f>ROUND((SUM($E$42:$V$42)+R24)/(SUM($E$57:$V$57)+D24),2)</f>
        <v>2.33</v>
      </c>
      <c r="U24" s="268">
        <v>-2.06</v>
      </c>
      <c r="V24" s="268">
        <v>-1.14</v>
      </c>
      <c r="W24" s="294">
        <f aca="true" t="shared" si="4" ref="W24:W35">+U24*B24</f>
        <v>-3588.52</v>
      </c>
      <c r="X24" s="294">
        <f aca="true" t="shared" si="5" ref="X24:X35">+V24*C24</f>
        <v>-98719.43999999999</v>
      </c>
      <c r="Y24" s="257"/>
    </row>
    <row r="25" spans="1:25" ht="12.75">
      <c r="A25" s="290" t="s">
        <v>10</v>
      </c>
      <c r="B25" s="291">
        <f>+'Customer Counts'!AE19</f>
        <v>1731</v>
      </c>
      <c r="C25" s="290">
        <f aca="true" t="shared" si="6" ref="C25:C35">+D25-B25</f>
        <v>86730</v>
      </c>
      <c r="D25" s="292">
        <f>+'Customer Counts'!H19+'Customer Counts'!I19</f>
        <v>88461</v>
      </c>
      <c r="O25" s="293">
        <f>+'2014-2015 RSA'!O84/D25*B25</f>
        <v>4226.098163904124</v>
      </c>
      <c r="P25" s="293">
        <f>+'2014-2015 RSA'!O84</f>
        <v>215970.46197407437</v>
      </c>
      <c r="Q25" s="294">
        <f t="shared" si="1"/>
        <v>-75589.66169092602</v>
      </c>
      <c r="R25" s="293">
        <f t="shared" si="2"/>
        <v>144606.8984470525</v>
      </c>
      <c r="S25" s="268">
        <f t="shared" si="3"/>
        <v>1.6346966284244184</v>
      </c>
      <c r="T25" s="295">
        <f>ROUND((SUM($E$42:$V$42)+R25+R24)/(SUM($E$57:$V$57)+D25+D24),2)</f>
        <v>2.33</v>
      </c>
      <c r="U25" s="268">
        <f>+U24</f>
        <v>-2.06</v>
      </c>
      <c r="V25" s="268">
        <f>+V24</f>
        <v>-1.14</v>
      </c>
      <c r="W25" s="294">
        <f t="shared" si="4"/>
        <v>-3565.86</v>
      </c>
      <c r="X25" s="294">
        <f t="shared" si="5"/>
        <v>-98872.2</v>
      </c>
      <c r="Y25" s="257"/>
    </row>
    <row r="26" spans="1:25" ht="12.75">
      <c r="A26" s="290" t="s">
        <v>11</v>
      </c>
      <c r="B26" s="291">
        <f>+'Customer Counts'!AE20</f>
        <v>1742</v>
      </c>
      <c r="C26" s="290">
        <f t="shared" si="6"/>
        <v>86814</v>
      </c>
      <c r="D26" s="292">
        <f>+'Customer Counts'!H20+'Customer Counts'!I20</f>
        <v>88556</v>
      </c>
      <c r="O26" s="293">
        <f>+'2014-2015 RSA'!O85/D26*B26</f>
        <v>5140.5201115354885</v>
      </c>
      <c r="P26" s="293">
        <f>+'2014-2015 RSA'!O85</f>
        <v>261322.55969984885</v>
      </c>
      <c r="Q26" s="294">
        <f t="shared" si="1"/>
        <v>-91462.8958949471</v>
      </c>
      <c r="R26" s="293">
        <f t="shared" si="2"/>
        <v>175000.18391643726</v>
      </c>
      <c r="S26" s="268">
        <f t="shared" si="3"/>
        <v>1.9761527611504275</v>
      </c>
      <c r="T26" s="295">
        <f>ROUND((SUM($E$42:$V$42)+R26+R25+R24)/(SUM($E$57:$V$57)+D26+D25+D24),2)</f>
        <v>2.33</v>
      </c>
      <c r="U26" s="268">
        <f>+U25</f>
        <v>-2.06</v>
      </c>
      <c r="V26" s="268">
        <f>+V25</f>
        <v>-1.14</v>
      </c>
      <c r="W26" s="294">
        <f t="shared" si="4"/>
        <v>-3588.52</v>
      </c>
      <c r="X26" s="294">
        <f t="shared" si="5"/>
        <v>-98967.95999999999</v>
      </c>
      <c r="Y26" s="257"/>
    </row>
    <row r="27" spans="1:25" ht="12.75">
      <c r="A27" s="290" t="s">
        <v>279</v>
      </c>
      <c r="B27" s="291">
        <f>+'Customer Counts'!AE21</f>
        <v>1745</v>
      </c>
      <c r="C27" s="290">
        <f t="shared" si="6"/>
        <v>87030</v>
      </c>
      <c r="D27" s="292">
        <f>+'Customer Counts'!H21+'Customer Counts'!I21</f>
        <v>88775</v>
      </c>
      <c r="O27" s="293">
        <f>+'2014-2015 RSA'!O86/D27*B27</f>
        <v>4950.332860697832</v>
      </c>
      <c r="P27" s="293">
        <f>+'2014-2015 RSA'!O86</f>
        <v>251842.86516243557</v>
      </c>
      <c r="Q27" s="294">
        <f t="shared" si="1"/>
        <v>-88145.00280685244</v>
      </c>
      <c r="R27" s="293">
        <f t="shared" si="2"/>
        <v>168648.19521628093</v>
      </c>
      <c r="S27" s="268">
        <f t="shared" si="3"/>
        <v>1.8997262204030518</v>
      </c>
      <c r="T27" s="295">
        <f>ROUND((SUM($E$42:$V$42)+R27+R26+R25+R24)/(SUM($E$57:$V$57)+D27+D26+D25+D24),2)</f>
        <v>2.32</v>
      </c>
      <c r="U27" s="268">
        <v>-2.66</v>
      </c>
      <c r="V27" s="268">
        <v>-1.64</v>
      </c>
      <c r="W27" s="294">
        <f t="shared" si="4"/>
        <v>-4641.7</v>
      </c>
      <c r="X27" s="294">
        <f t="shared" si="5"/>
        <v>-142729.19999999998</v>
      </c>
      <c r="Y27" s="257"/>
    </row>
    <row r="28" spans="1:25" ht="12.75">
      <c r="A28" s="290" t="s">
        <v>13</v>
      </c>
      <c r="B28" s="291">
        <f>+'Customer Counts'!AE22</f>
        <v>1739</v>
      </c>
      <c r="C28" s="290">
        <f t="shared" si="6"/>
        <v>86884</v>
      </c>
      <c r="D28" s="292">
        <f>+'Customer Counts'!H22+'Customer Counts'!I22</f>
        <v>88623</v>
      </c>
      <c r="O28" s="293">
        <f>+'2014-2015 RSA'!O87/D28*B28</f>
        <v>3908.729174233078</v>
      </c>
      <c r="P28" s="293">
        <f>+'2014-2015 RSA'!O87</f>
        <v>199196.84048766998</v>
      </c>
      <c r="Q28" s="294">
        <f t="shared" si="1"/>
        <v>-69718.89417068449</v>
      </c>
      <c r="R28" s="293">
        <f t="shared" si="2"/>
        <v>133386.67549121857</v>
      </c>
      <c r="S28" s="268">
        <f t="shared" si="3"/>
        <v>1.505102236340663</v>
      </c>
      <c r="T28" s="295">
        <f>ROUND((SUM($E$42:$V$42)+R28+R27+R26+R25+R24)/(SUM($E$57:$V$57)+D28+D27+D26+D25+D24),2)</f>
        <v>2.32</v>
      </c>
      <c r="U28" s="268">
        <f aca="true" t="shared" si="7" ref="U28:V35">+U27</f>
        <v>-2.66</v>
      </c>
      <c r="V28" s="268">
        <f t="shared" si="7"/>
        <v>-1.64</v>
      </c>
      <c r="W28" s="294">
        <f t="shared" si="4"/>
        <v>-4625.740000000001</v>
      </c>
      <c r="X28" s="294">
        <f t="shared" si="5"/>
        <v>-142489.75999999998</v>
      </c>
      <c r="Y28" s="257"/>
    </row>
    <row r="29" spans="1:25" ht="12.75">
      <c r="A29" s="290" t="s">
        <v>14</v>
      </c>
      <c r="B29" s="291">
        <f>+'Customer Counts'!AE23</f>
        <v>1736</v>
      </c>
      <c r="C29" s="290">
        <f t="shared" si="6"/>
        <v>87318</v>
      </c>
      <c r="D29" s="292">
        <f>+'Customer Counts'!H23+'Customer Counts'!I23</f>
        <v>89054</v>
      </c>
      <c r="O29" s="293">
        <f>+'2014-2015 RSA'!O88/D29*B29</f>
        <v>3353.695479600713</v>
      </c>
      <c r="P29" s="293">
        <f>+'2014-2015 RSA'!O88</f>
        <v>172039.16891725917</v>
      </c>
      <c r="Q29" s="294">
        <f t="shared" si="1"/>
        <v>-60213.70912104071</v>
      </c>
      <c r="R29" s="293">
        <f t="shared" si="2"/>
        <v>115179.15527581918</v>
      </c>
      <c r="S29" s="268">
        <f t="shared" si="3"/>
        <v>1.2933630749412623</v>
      </c>
      <c r="T29" s="295">
        <f>ROUND((SUM($E$42:$V$42)+R29+R28+R27+R26+R25+R24)/(SUM($E$57:$V$57)+D29+D28+D27+D26+D25+D24),2)</f>
        <v>2.31</v>
      </c>
      <c r="U29" s="268">
        <f t="shared" si="7"/>
        <v>-2.66</v>
      </c>
      <c r="V29" s="268">
        <f t="shared" si="7"/>
        <v>-1.64</v>
      </c>
      <c r="W29" s="294">
        <f t="shared" si="4"/>
        <v>-4617.76</v>
      </c>
      <c r="X29" s="294">
        <f t="shared" si="5"/>
        <v>-143201.52</v>
      </c>
      <c r="Y29" s="257"/>
    </row>
    <row r="30" spans="1:25" ht="12.75">
      <c r="A30" s="290" t="s">
        <v>15</v>
      </c>
      <c r="B30" s="291">
        <f>+'Customer Counts'!AE24</f>
        <v>1749</v>
      </c>
      <c r="C30" s="290">
        <f t="shared" si="6"/>
        <v>87855</v>
      </c>
      <c r="D30" s="292">
        <f>+'Customer Counts'!H24+'Customer Counts'!I24</f>
        <v>89604</v>
      </c>
      <c r="O30" s="293">
        <f>+'2014-2015 RSA'!O89/D30*B30</f>
        <v>3430.881692176141</v>
      </c>
      <c r="P30" s="293">
        <f>+'2014-2015 RSA'!O89</f>
        <v>175769.4243257581</v>
      </c>
      <c r="Q30" s="294">
        <f t="shared" si="1"/>
        <v>-61519.29851401533</v>
      </c>
      <c r="R30" s="293">
        <f t="shared" si="2"/>
        <v>117681.00750391891</v>
      </c>
      <c r="S30" s="268">
        <f t="shared" si="3"/>
        <v>1.3133454701120364</v>
      </c>
      <c r="T30" s="295">
        <f>ROUND((SUM($E$42:$V$42)+R30+R29+R28+R27+R26+R25+R24)/(SUM($E$57:$V$57)+D30+D29+D28+D27+D26+D25+D24),2)</f>
        <v>2.31</v>
      </c>
      <c r="U30" s="268">
        <f t="shared" si="7"/>
        <v>-2.66</v>
      </c>
      <c r="V30" s="268">
        <f t="shared" si="7"/>
        <v>-1.64</v>
      </c>
      <c r="W30" s="294">
        <f t="shared" si="4"/>
        <v>-4652.34</v>
      </c>
      <c r="X30" s="294">
        <f t="shared" si="5"/>
        <v>-144082.19999999998</v>
      </c>
      <c r="Y30" s="257"/>
    </row>
    <row r="31" spans="1:25" ht="12.75">
      <c r="A31" s="290" t="s">
        <v>16</v>
      </c>
      <c r="B31" s="291">
        <f>+'Customer Counts'!AE25</f>
        <v>1750</v>
      </c>
      <c r="C31" s="290">
        <f t="shared" si="6"/>
        <v>88167</v>
      </c>
      <c r="D31" s="292">
        <f>+'Customer Counts'!H25+'Customer Counts'!I25</f>
        <v>89917</v>
      </c>
      <c r="O31" s="293">
        <f>+'2014-2015 RSA'!O90/D31*B31</f>
        <v>4059.0255799094066</v>
      </c>
      <c r="P31" s="293">
        <f>+'2014-2015 RSA'!O90</f>
        <v>208557.37318212236</v>
      </c>
      <c r="Q31" s="294">
        <f t="shared" si="1"/>
        <v>-72995.08061374282</v>
      </c>
      <c r="R31" s="293">
        <f t="shared" si="2"/>
        <v>139621.31814828896</v>
      </c>
      <c r="S31" s="268">
        <f t="shared" si="3"/>
        <v>1.5527799876362531</v>
      </c>
      <c r="T31" s="295">
        <f>ROUND((SUM($E$42:$V$42)+R31+R30+R29+R28+R27+R26+R25+R24)/(SUM($E$57:$V$57)+D31+D30+D29+D28+D27+D26+D25+D24),2)</f>
        <v>2.31</v>
      </c>
      <c r="U31" s="268">
        <f t="shared" si="7"/>
        <v>-2.66</v>
      </c>
      <c r="V31" s="268">
        <f t="shared" si="7"/>
        <v>-1.64</v>
      </c>
      <c r="W31" s="294">
        <f t="shared" si="4"/>
        <v>-4655</v>
      </c>
      <c r="X31" s="294">
        <f t="shared" si="5"/>
        <v>-144593.88</v>
      </c>
      <c r="Y31" s="257"/>
    </row>
    <row r="32" spans="1:25" ht="12.75">
      <c r="A32" s="290" t="s">
        <v>47</v>
      </c>
      <c r="B32" s="291">
        <f>+'Customer Counts'!AE26</f>
        <v>1750</v>
      </c>
      <c r="C32" s="290">
        <f t="shared" si="6"/>
        <v>88485</v>
      </c>
      <c r="D32" s="292">
        <f>+'Customer Counts'!H26+'Customer Counts'!I26</f>
        <v>90235</v>
      </c>
      <c r="O32" s="293">
        <f>+'2014-2015 RSA'!O91/D32*B32</f>
        <v>3648.143953878552</v>
      </c>
      <c r="P32" s="293">
        <f>+'2014-2015 RSA'!O91</f>
        <v>188108.7255304178</v>
      </c>
      <c r="Q32" s="294">
        <f t="shared" si="1"/>
        <v>-65838.05393564622</v>
      </c>
      <c r="R32" s="293">
        <f t="shared" si="2"/>
        <v>125918.81554865013</v>
      </c>
      <c r="S32" s="268">
        <f t="shared" si="3"/>
        <v>1.39545426440572</v>
      </c>
      <c r="T32" s="295">
        <f>ROUND((SUM($E$42:$V$42)+R32+R31+R30+R29+R28+R27+R26+R25+R24)/(SUM($E$57:$V$57)+D32+D31+D30+D29+D28+D27+D26+D25+D24),2)</f>
        <v>2.3</v>
      </c>
      <c r="U32" s="268">
        <f t="shared" si="7"/>
        <v>-2.66</v>
      </c>
      <c r="V32" s="268">
        <f t="shared" si="7"/>
        <v>-1.64</v>
      </c>
      <c r="W32" s="294">
        <f t="shared" si="4"/>
        <v>-4655</v>
      </c>
      <c r="X32" s="294">
        <f t="shared" si="5"/>
        <v>-145115.4</v>
      </c>
      <c r="Y32" s="257"/>
    </row>
    <row r="33" spans="1:25" ht="12.75">
      <c r="A33" s="290" t="s">
        <v>48</v>
      </c>
      <c r="B33" s="291">
        <f>+'Customer Counts'!AE27</f>
        <v>1758</v>
      </c>
      <c r="C33" s="290">
        <f t="shared" si="6"/>
        <v>88898</v>
      </c>
      <c r="D33" s="292">
        <f>+'Customer Counts'!H27+'Customer Counts'!I27</f>
        <v>90656</v>
      </c>
      <c r="O33" s="293">
        <f>+'2014-2015 RSA'!O92/D33*B33</f>
        <v>4420.401274874615</v>
      </c>
      <c r="P33" s="293">
        <f>+'2014-2015 RSA'!O92</f>
        <v>227949.88508249895</v>
      </c>
      <c r="Q33" s="294">
        <f t="shared" si="1"/>
        <v>-79782.45977887463</v>
      </c>
      <c r="R33" s="293">
        <f t="shared" si="2"/>
        <v>152587.8265784989</v>
      </c>
      <c r="S33" s="268">
        <f t="shared" si="3"/>
        <v>1.6831519874966787</v>
      </c>
      <c r="T33" s="295">
        <f>ROUND((SUM($E$42:$V$42)+R33+R32+R31+R30+R29+R28+R27+R26+R25+R24)/(SUM($E$57:$V$57)+D33+D32+D31+D30+D29+D28+D27+D26+D25+D24),2)</f>
        <v>2.3</v>
      </c>
      <c r="U33" s="268">
        <f t="shared" si="7"/>
        <v>-2.66</v>
      </c>
      <c r="V33" s="268">
        <f t="shared" si="7"/>
        <v>-1.64</v>
      </c>
      <c r="W33" s="294">
        <f t="shared" si="4"/>
        <v>-4676.280000000001</v>
      </c>
      <c r="X33" s="294">
        <f t="shared" si="5"/>
        <v>-145792.72</v>
      </c>
      <c r="Y33" s="257"/>
    </row>
    <row r="34" spans="1:25" ht="12.75">
      <c r="A34" s="290" t="s">
        <v>49</v>
      </c>
      <c r="B34" s="291">
        <f>+'Customer Counts'!AE28</f>
        <v>1761</v>
      </c>
      <c r="C34" s="290">
        <f t="shared" si="6"/>
        <v>89160</v>
      </c>
      <c r="D34" s="292">
        <f>+'Customer Counts'!H28+'Customer Counts'!I28</f>
        <v>90921</v>
      </c>
      <c r="O34" s="293">
        <f>+'2014-2015 RSA'!O93/D34*B34</f>
        <v>3655.6279279076166</v>
      </c>
      <c r="P34" s="293">
        <f>+'2014-2015 RSA'!O93</f>
        <v>188741.25317052155</v>
      </c>
      <c r="Q34" s="294">
        <f t="shared" si="1"/>
        <v>-66059.43860968253</v>
      </c>
      <c r="R34" s="293">
        <f t="shared" si="2"/>
        <v>126337.44248874663</v>
      </c>
      <c r="S34" s="268">
        <f t="shared" si="3"/>
        <v>1.3895298389673083</v>
      </c>
      <c r="T34" s="295">
        <f>ROUND((SUM($E$42:$V$42)+R34+R33+R32+R31+R30+R29+R28+R27+R26+R25+R24)/(SUM($E$57:$V$57)+D34+D33+D32+D31+D30+D29+D28+D27+D26+D25+D24),2)</f>
        <v>2.29</v>
      </c>
      <c r="U34" s="268">
        <f t="shared" si="7"/>
        <v>-2.66</v>
      </c>
      <c r="V34" s="268">
        <f t="shared" si="7"/>
        <v>-1.64</v>
      </c>
      <c r="W34" s="294">
        <f t="shared" si="4"/>
        <v>-4684.26</v>
      </c>
      <c r="X34" s="294">
        <f t="shared" si="5"/>
        <v>-146222.4</v>
      </c>
      <c r="Y34" s="257"/>
    </row>
    <row r="35" spans="1:25" ht="15">
      <c r="A35" s="290" t="s">
        <v>8</v>
      </c>
      <c r="B35" s="296">
        <f>+B34</f>
        <v>1761</v>
      </c>
      <c r="C35" s="297">
        <f t="shared" si="6"/>
        <v>89449</v>
      </c>
      <c r="D35" s="298">
        <f>+'Customer Counts'!H29+'Customer Counts'!I29</f>
        <v>91210</v>
      </c>
      <c r="O35" s="299">
        <f>+'2014-2015 RSA'!O94/D35*B35</f>
        <v>3516.8238865212934</v>
      </c>
      <c r="P35" s="299">
        <f>+'2014-2015 RSA'!O94</f>
        <v>182151.90612697738</v>
      </c>
      <c r="Q35" s="300">
        <f t="shared" si="1"/>
        <v>-63753.16714444208</v>
      </c>
      <c r="R35" s="299">
        <f t="shared" si="2"/>
        <v>121915.5628690566</v>
      </c>
      <c r="S35" s="268">
        <f t="shared" si="3"/>
        <v>1.3366468903525555</v>
      </c>
      <c r="T35" s="295">
        <f>ROUND((SUM($E$42:$V$42)+R35+R34+R33+R32+R31+R30+R29+R28+R27+R26+R25+R24)/(SUM($E$57:$V$57)+D35+D34+D33+D32+D31+D30+D29+D28+D27+D26+D25+D24),2)</f>
        <v>2.29</v>
      </c>
      <c r="U35" s="268">
        <f t="shared" si="7"/>
        <v>-2.66</v>
      </c>
      <c r="V35" s="268">
        <f t="shared" si="7"/>
        <v>-1.64</v>
      </c>
      <c r="W35" s="300">
        <f t="shared" si="4"/>
        <v>-4684.26</v>
      </c>
      <c r="X35" s="300">
        <f t="shared" si="5"/>
        <v>-146696.36</v>
      </c>
      <c r="Y35" s="257"/>
    </row>
    <row r="36" spans="1:25" ht="15">
      <c r="A36" s="301"/>
      <c r="B36" s="302">
        <f>AVERAGE(B24:B35)</f>
        <v>1747</v>
      </c>
      <c r="C36" s="302">
        <f>AVERAGE(C24:C35)</f>
        <v>87782.16666666667</v>
      </c>
      <c r="D36" s="302">
        <f>AVERAGE(D24:D35)</f>
        <v>89529.16666666667</v>
      </c>
      <c r="O36" s="303">
        <f>SUM(O24:O35)</f>
        <v>49123.82105094463</v>
      </c>
      <c r="P36" s="303">
        <f>SUM(P24:P35)</f>
        <v>2510934.844678147</v>
      </c>
      <c r="Q36" s="304">
        <f>SUM(Q24:Q35)</f>
        <v>-878827.1956373514</v>
      </c>
      <c r="R36" s="304">
        <f>SUM(R24:R35)</f>
        <v>1681231.4700917406</v>
      </c>
      <c r="T36" s="259"/>
      <c r="U36" s="259"/>
      <c r="V36" s="305"/>
      <c r="W36" s="304">
        <f>SUM(W24:W35)</f>
        <v>-52635.240000000005</v>
      </c>
      <c r="X36" s="304">
        <f>SUM(X24:X35)</f>
        <v>-1597483.0399999996</v>
      </c>
      <c r="Y36" s="257"/>
    </row>
    <row r="37" spans="1:25" ht="15">
      <c r="A37" s="301"/>
      <c r="B37" s="307">
        <f>+B36/D36</f>
        <v>0.01951319402429376</v>
      </c>
      <c r="C37" s="307">
        <f>+C36/D36</f>
        <v>0.9804868059757063</v>
      </c>
      <c r="D37" s="302"/>
      <c r="E37" s="303"/>
      <c r="F37" s="303"/>
      <c r="G37" s="304"/>
      <c r="H37" s="304"/>
      <c r="J37" s="259"/>
      <c r="K37" s="259"/>
      <c r="L37" s="305"/>
      <c r="M37" s="304"/>
      <c r="N37" s="304"/>
      <c r="O37" s="304"/>
      <c r="P37" s="304"/>
      <c r="Q37" s="304"/>
      <c r="R37" s="306"/>
      <c r="S37" s="304"/>
      <c r="T37" s="304"/>
      <c r="U37" s="304"/>
      <c r="V37" s="304"/>
      <c r="W37" s="304"/>
      <c r="Y37" s="257"/>
    </row>
    <row r="38" spans="1:25" ht="20.25" customHeight="1" thickBot="1">
      <c r="A38" s="564" t="s">
        <v>350</v>
      </c>
      <c r="B38" s="302"/>
      <c r="C38" s="302"/>
      <c r="D38" s="302"/>
      <c r="E38" s="303"/>
      <c r="F38" s="303"/>
      <c r="G38" s="304"/>
      <c r="H38" s="304"/>
      <c r="J38" s="259"/>
      <c r="K38" s="259"/>
      <c r="L38" s="305"/>
      <c r="M38" s="304"/>
      <c r="N38" s="304"/>
      <c r="O38" s="304"/>
      <c r="P38" s="304"/>
      <c r="Q38" s="304"/>
      <c r="R38" s="304"/>
      <c r="S38" s="304"/>
      <c r="T38" s="304"/>
      <c r="U38" s="304"/>
      <c r="V38" s="304"/>
      <c r="W38" s="304"/>
      <c r="Y38" s="257"/>
    </row>
    <row r="39" spans="1:25" ht="12.75">
      <c r="A39" s="282"/>
      <c r="B39" s="282"/>
      <c r="C39" s="282"/>
      <c r="D39" s="308"/>
      <c r="E39" s="309"/>
      <c r="F39" s="310"/>
      <c r="G39" s="309"/>
      <c r="H39" s="309"/>
      <c r="I39" s="309"/>
      <c r="J39" s="309"/>
      <c r="K39" s="309"/>
      <c r="L39" s="309"/>
      <c r="M39" s="309"/>
      <c r="N39" s="309"/>
      <c r="O39" s="309"/>
      <c r="P39" s="309"/>
      <c r="Q39" s="309"/>
      <c r="R39" s="309"/>
      <c r="S39" s="309"/>
      <c r="T39" s="309"/>
      <c r="U39" s="309"/>
      <c r="V39" s="309"/>
      <c r="W39" s="309"/>
      <c r="X39" s="311"/>
      <c r="Y39" s="257"/>
    </row>
    <row r="40" spans="4:27" s="312" customFormat="1" ht="12.75">
      <c r="D40" s="313" t="s">
        <v>183</v>
      </c>
      <c r="E40" s="314" t="s">
        <v>184</v>
      </c>
      <c r="F40" s="314" t="s">
        <v>185</v>
      </c>
      <c r="G40" s="314" t="s">
        <v>186</v>
      </c>
      <c r="H40" s="314" t="s">
        <v>187</v>
      </c>
      <c r="I40" s="314" t="s">
        <v>188</v>
      </c>
      <c r="J40" s="313" t="s">
        <v>189</v>
      </c>
      <c r="K40" s="313" t="s">
        <v>190</v>
      </c>
      <c r="L40" s="313" t="s">
        <v>191</v>
      </c>
      <c r="M40" s="313" t="s">
        <v>192</v>
      </c>
      <c r="N40" s="313" t="s">
        <v>193</v>
      </c>
      <c r="O40" s="313" t="s">
        <v>194</v>
      </c>
      <c r="P40" s="313" t="s">
        <v>195</v>
      </c>
      <c r="Q40" s="313" t="s">
        <v>196</v>
      </c>
      <c r="R40" s="313" t="s">
        <v>197</v>
      </c>
      <c r="S40" s="313" t="s">
        <v>198</v>
      </c>
      <c r="T40" s="313" t="s">
        <v>199</v>
      </c>
      <c r="U40" s="313" t="s">
        <v>200</v>
      </c>
      <c r="V40" s="313" t="s">
        <v>201</v>
      </c>
      <c r="W40" s="313" t="s">
        <v>276</v>
      </c>
      <c r="X40" s="315" t="s">
        <v>178</v>
      </c>
      <c r="Y40" s="316"/>
      <c r="Z40" s="256"/>
      <c r="AA40" s="256"/>
    </row>
    <row r="41" spans="1:25" ht="12.75">
      <c r="A41" s="317"/>
      <c r="B41" s="318"/>
      <c r="C41" s="319"/>
      <c r="D41" s="320" t="s">
        <v>202</v>
      </c>
      <c r="E41" s="321" t="s">
        <v>203</v>
      </c>
      <c r="F41" s="321" t="s">
        <v>204</v>
      </c>
      <c r="G41" s="321" t="s">
        <v>205</v>
      </c>
      <c r="H41" s="321" t="s">
        <v>206</v>
      </c>
      <c r="I41" s="321" t="s">
        <v>207</v>
      </c>
      <c r="J41" s="321" t="s">
        <v>208</v>
      </c>
      <c r="K41" s="321" t="s">
        <v>209</v>
      </c>
      <c r="L41" s="321" t="s">
        <v>210</v>
      </c>
      <c r="M41" s="321" t="s">
        <v>211</v>
      </c>
      <c r="N41" s="321" t="s">
        <v>212</v>
      </c>
      <c r="O41" s="321" t="s">
        <v>213</v>
      </c>
      <c r="P41" s="321" t="s">
        <v>214</v>
      </c>
      <c r="Q41" s="321" t="s">
        <v>215</v>
      </c>
      <c r="R41" s="321" t="s">
        <v>216</v>
      </c>
      <c r="S41" s="321" t="s">
        <v>217</v>
      </c>
      <c r="T41" s="321" t="s">
        <v>218</v>
      </c>
      <c r="U41" s="321" t="s">
        <v>219</v>
      </c>
      <c r="V41" s="321" t="s">
        <v>220</v>
      </c>
      <c r="W41" s="321" t="s">
        <v>277</v>
      </c>
      <c r="X41" s="322" t="s">
        <v>7</v>
      </c>
      <c r="Y41" s="257"/>
    </row>
    <row r="42" spans="1:26" ht="12.75">
      <c r="A42" s="256" t="s">
        <v>221</v>
      </c>
      <c r="C42" s="323"/>
      <c r="E42" s="294">
        <v>694985</v>
      </c>
      <c r="F42" s="294">
        <v>996889</v>
      </c>
      <c r="G42" s="294">
        <v>908006</v>
      </c>
      <c r="H42" s="294">
        <v>1237681</v>
      </c>
      <c r="I42" s="294">
        <v>1535761</v>
      </c>
      <c r="J42" s="294">
        <v>1457115</v>
      </c>
      <c r="K42" s="294">
        <v>1454226</v>
      </c>
      <c r="L42" s="294">
        <v>1497145</v>
      </c>
      <c r="M42" s="324">
        <v>2012824</v>
      </c>
      <c r="N42" s="324">
        <v>2238229</v>
      </c>
      <c r="O42" s="324">
        <v>2440401</v>
      </c>
      <c r="P42" s="324">
        <v>3186456</v>
      </c>
      <c r="Q42" s="324">
        <v>2010646.0000000002</v>
      </c>
      <c r="R42" s="324">
        <v>2306368.9999999995</v>
      </c>
      <c r="S42" s="324">
        <v>4639983</v>
      </c>
      <c r="T42" s="324">
        <v>3408276.1291218125</v>
      </c>
      <c r="U42" s="324">
        <v>3091893.0542608355</v>
      </c>
      <c r="V42" s="324">
        <f>SUM('2014-2015 RSA'!O71:O82)</f>
        <v>2966763.909026531</v>
      </c>
      <c r="W42" s="324">
        <f>+O36+P36</f>
        <v>2560058.665729092</v>
      </c>
      <c r="X42" s="325">
        <f>SUM(E42:W42)</f>
        <v>40643707.75813828</v>
      </c>
      <c r="Y42" s="257"/>
      <c r="Z42" s="293"/>
    </row>
    <row r="43" spans="3:25" ht="12.75">
      <c r="C43" s="323"/>
      <c r="E43" s="326"/>
      <c r="F43" s="294"/>
      <c r="G43" s="294"/>
      <c r="H43" s="294"/>
      <c r="I43" s="294"/>
      <c r="J43" s="294"/>
      <c r="K43" s="294"/>
      <c r="L43" s="294"/>
      <c r="M43" s="294"/>
      <c r="N43" s="294"/>
      <c r="O43" s="294"/>
      <c r="P43" s="294"/>
      <c r="Q43" s="294"/>
      <c r="R43" s="294"/>
      <c r="S43" s="294"/>
      <c r="T43" s="294"/>
      <c r="U43" s="294"/>
      <c r="V43" s="294"/>
      <c r="W43" s="294"/>
      <c r="X43" s="325"/>
      <c r="Y43" s="257"/>
    </row>
    <row r="44" spans="1:25" ht="12.75">
      <c r="A44" s="327" t="s">
        <v>222</v>
      </c>
      <c r="C44" s="328"/>
      <c r="E44" s="326"/>
      <c r="F44" s="294"/>
      <c r="G44" s="294"/>
      <c r="H44" s="294"/>
      <c r="I44" s="294"/>
      <c r="J44" s="294"/>
      <c r="K44" s="294"/>
      <c r="L44" s="292">
        <v>-377183.8456351437</v>
      </c>
      <c r="M44" s="329">
        <v>-591868</v>
      </c>
      <c r="N44" s="329">
        <v>-658312</v>
      </c>
      <c r="O44" s="329">
        <v>-717963.3731900491</v>
      </c>
      <c r="P44" s="329">
        <v>-937814.5077283663</v>
      </c>
      <c r="Q44" s="329">
        <v>-591888.1342563883</v>
      </c>
      <c r="R44" s="329">
        <v>-679299.5567994915</v>
      </c>
      <c r="S44" s="329">
        <v>-2118582.6606295393</v>
      </c>
      <c r="T44" s="329">
        <v>-1187333.2115281776</v>
      </c>
      <c r="U44" s="329">
        <v>-1087533.8828565646</v>
      </c>
      <c r="V44" s="329">
        <v>-1065841</v>
      </c>
      <c r="W44" s="329">
        <f>+Q36</f>
        <v>-878827.1956373514</v>
      </c>
      <c r="X44" s="330">
        <f>SUM(E44:W44)</f>
        <v>-10892447.36826107</v>
      </c>
      <c r="Y44" s="257"/>
    </row>
    <row r="45" spans="3:25" ht="12.75">
      <c r="C45" s="323"/>
      <c r="E45" s="326"/>
      <c r="F45" s="294"/>
      <c r="G45" s="294"/>
      <c r="H45" s="294"/>
      <c r="I45" s="294"/>
      <c r="J45" s="294"/>
      <c r="K45" s="294"/>
      <c r="L45" s="294"/>
      <c r="M45" s="294"/>
      <c r="N45" s="326"/>
      <c r="O45" s="326"/>
      <c r="P45" s="326"/>
      <c r="Q45" s="326"/>
      <c r="R45" s="326"/>
      <c r="S45" s="326"/>
      <c r="T45" s="326"/>
      <c r="U45" s="326"/>
      <c r="V45" s="326"/>
      <c r="W45" s="326"/>
      <c r="X45" s="325"/>
      <c r="Y45" s="257"/>
    </row>
    <row r="46" spans="1:26" ht="12.75">
      <c r="A46" s="256" t="s">
        <v>223</v>
      </c>
      <c r="C46" s="323"/>
      <c r="E46" s="331">
        <v>-1115522</v>
      </c>
      <c r="F46" s="331">
        <v>-616393</v>
      </c>
      <c r="G46" s="331">
        <v>-1577587</v>
      </c>
      <c r="H46" s="331">
        <v>-369737</v>
      </c>
      <c r="I46" s="332">
        <v>-1251358</v>
      </c>
      <c r="J46" s="332">
        <v>-1893276</v>
      </c>
      <c r="K46" s="332">
        <v>-1644004</v>
      </c>
      <c r="L46" s="332">
        <v>-881552.17</v>
      </c>
      <c r="M46" s="332">
        <v>-1096165.9</v>
      </c>
      <c r="N46" s="332">
        <v>-1620703.6</v>
      </c>
      <c r="O46" s="332">
        <v>-1708752.28</v>
      </c>
      <c r="P46" s="332">
        <v>-2037062.59</v>
      </c>
      <c r="Q46" s="332">
        <v>-2708301.51</v>
      </c>
      <c r="R46" s="332">
        <v>-1006536.1299999999</v>
      </c>
      <c r="S46" s="332">
        <v>-1399286.94</v>
      </c>
      <c r="T46" s="332">
        <v>-3983089.71</v>
      </c>
      <c r="U46" s="332">
        <v>-2187741.5599999996</v>
      </c>
      <c r="V46" s="332">
        <v>-1277084</v>
      </c>
      <c r="W46" s="332">
        <f>+X36+W36</f>
        <v>-1650118.2799999996</v>
      </c>
      <c r="X46" s="333">
        <f>SUM(E46:W46)</f>
        <v>-30024271.669999998</v>
      </c>
      <c r="Y46" s="257"/>
      <c r="Z46" s="293"/>
    </row>
    <row r="47" spans="3:25" ht="12.75">
      <c r="C47" s="323"/>
      <c r="E47" s="294"/>
      <c r="F47" s="294"/>
      <c r="G47" s="294"/>
      <c r="H47" s="294"/>
      <c r="I47" s="294"/>
      <c r="J47" s="294"/>
      <c r="K47" s="294"/>
      <c r="L47" s="294"/>
      <c r="M47" s="294"/>
      <c r="N47" s="294"/>
      <c r="O47" s="294"/>
      <c r="P47" s="294"/>
      <c r="Q47" s="294"/>
      <c r="R47" s="294"/>
      <c r="S47" s="294"/>
      <c r="T47" s="294"/>
      <c r="U47" s="294"/>
      <c r="V47" s="294"/>
      <c r="W47" s="294"/>
      <c r="X47" s="325"/>
      <c r="Y47" s="257"/>
    </row>
    <row r="48" spans="1:26" s="259" customFormat="1" ht="12.75">
      <c r="A48" s="259" t="s">
        <v>224</v>
      </c>
      <c r="E48" s="334">
        <f>SUM(E42:E46)</f>
        <v>-420537</v>
      </c>
      <c r="F48" s="334">
        <f aca="true" t="shared" si="8" ref="F48:R48">SUM(F42:F46)</f>
        <v>380496</v>
      </c>
      <c r="G48" s="334">
        <f t="shared" si="8"/>
        <v>-669581</v>
      </c>
      <c r="H48" s="334">
        <f t="shared" si="8"/>
        <v>867944</v>
      </c>
      <c r="I48" s="334">
        <f t="shared" si="8"/>
        <v>284403</v>
      </c>
      <c r="J48" s="334">
        <f t="shared" si="8"/>
        <v>-436161</v>
      </c>
      <c r="K48" s="334">
        <f t="shared" si="8"/>
        <v>-189778</v>
      </c>
      <c r="L48" s="334">
        <f t="shared" si="8"/>
        <v>238408.98436485638</v>
      </c>
      <c r="M48" s="334">
        <f t="shared" si="8"/>
        <v>324790.1000000001</v>
      </c>
      <c r="N48" s="334">
        <f t="shared" si="8"/>
        <v>-40786.60000000009</v>
      </c>
      <c r="O48" s="334">
        <f t="shared" si="8"/>
        <v>13685.34680995089</v>
      </c>
      <c r="P48" s="334">
        <f t="shared" si="8"/>
        <v>211578.90227163373</v>
      </c>
      <c r="Q48" s="334">
        <f t="shared" si="8"/>
        <v>-1289543.6442563878</v>
      </c>
      <c r="R48" s="334">
        <f t="shared" si="8"/>
        <v>620533.3132005082</v>
      </c>
      <c r="S48" s="334">
        <f>SUM(S42:S46)</f>
        <v>1122113.3993704608</v>
      </c>
      <c r="T48" s="334">
        <f>SUM(T42:T46)</f>
        <v>-1762146.7924063653</v>
      </c>
      <c r="U48" s="334">
        <f>SUM(U42:U46)</f>
        <v>-183382.38859572867</v>
      </c>
      <c r="V48" s="334">
        <f>SUM(V42:V46)</f>
        <v>623838.909026531</v>
      </c>
      <c r="W48" s="334">
        <f>SUM(W42:W46)</f>
        <v>31113.19009174104</v>
      </c>
      <c r="X48" s="335">
        <f>SUM(E48:W48)</f>
        <v>-273011.2801227997</v>
      </c>
      <c r="Y48" s="280"/>
      <c r="Z48" s="336"/>
    </row>
    <row r="49" spans="1:25" ht="12.75">
      <c r="A49" s="259"/>
      <c r="E49" s="294"/>
      <c r="F49" s="294"/>
      <c r="G49" s="294"/>
      <c r="H49" s="294"/>
      <c r="I49" s="294"/>
      <c r="J49" s="294"/>
      <c r="K49" s="294"/>
      <c r="L49" s="294"/>
      <c r="M49" s="294"/>
      <c r="N49" s="294"/>
      <c r="O49" s="294"/>
      <c r="P49" s="294"/>
      <c r="Q49" s="294"/>
      <c r="R49" s="294"/>
      <c r="S49" s="294"/>
      <c r="T49" s="294"/>
      <c r="U49" s="294"/>
      <c r="V49" s="294"/>
      <c r="W49" s="294"/>
      <c r="X49" s="325"/>
      <c r="Y49" s="257"/>
    </row>
    <row r="50" spans="1:26" ht="12.75">
      <c r="A50" s="259" t="s">
        <v>225</v>
      </c>
      <c r="B50" s="337" t="s">
        <v>226</v>
      </c>
      <c r="C50" s="317"/>
      <c r="E50" s="332">
        <v>52064.964335457735</v>
      </c>
      <c r="F50" s="332">
        <v>-47107.65204912844</v>
      </c>
      <c r="G50" s="332">
        <v>82898.08241534069</v>
      </c>
      <c r="H50" s="332">
        <v>-107456.59336794273</v>
      </c>
      <c r="I50" s="332">
        <v>0</v>
      </c>
      <c r="J50" s="332">
        <v>0</v>
      </c>
      <c r="K50" s="332">
        <v>0</v>
      </c>
      <c r="L50" s="332">
        <v>0</v>
      </c>
      <c r="M50" s="332">
        <v>0</v>
      </c>
      <c r="N50" s="332">
        <v>0</v>
      </c>
      <c r="O50" s="332">
        <v>0</v>
      </c>
      <c r="P50" s="332">
        <v>0</v>
      </c>
      <c r="Q50" s="332">
        <v>0</v>
      </c>
      <c r="R50" s="332">
        <v>0</v>
      </c>
      <c r="S50" s="332">
        <v>0</v>
      </c>
      <c r="T50" s="332"/>
      <c r="U50" s="332"/>
      <c r="V50" s="332"/>
      <c r="W50" s="332"/>
      <c r="X50" s="338">
        <f>SUM(E50:S50)</f>
        <v>-19601.198666272743</v>
      </c>
      <c r="Y50" s="257"/>
      <c r="Z50" s="293"/>
    </row>
    <row r="51" spans="1:25" ht="12.75">
      <c r="A51" s="259" t="s">
        <v>227</v>
      </c>
      <c r="E51" s="334">
        <f aca="true" t="shared" si="9" ref="E51:X51">+E50+E48</f>
        <v>-368472.0356645423</v>
      </c>
      <c r="F51" s="334">
        <f t="shared" si="9"/>
        <v>333388.34795087157</v>
      </c>
      <c r="G51" s="334">
        <f t="shared" si="9"/>
        <v>-586682.9175846593</v>
      </c>
      <c r="H51" s="334">
        <f t="shared" si="9"/>
        <v>760487.4066320573</v>
      </c>
      <c r="I51" s="334">
        <f t="shared" si="9"/>
        <v>284403</v>
      </c>
      <c r="J51" s="334">
        <f t="shared" si="9"/>
        <v>-436161</v>
      </c>
      <c r="K51" s="334">
        <f t="shared" si="9"/>
        <v>-189778</v>
      </c>
      <c r="L51" s="334">
        <f t="shared" si="9"/>
        <v>238408.98436485638</v>
      </c>
      <c r="M51" s="334">
        <f t="shared" si="9"/>
        <v>324790.1000000001</v>
      </c>
      <c r="N51" s="334">
        <f t="shared" si="9"/>
        <v>-40786.60000000009</v>
      </c>
      <c r="O51" s="334">
        <f t="shared" si="9"/>
        <v>13685.34680995089</v>
      </c>
      <c r="P51" s="334">
        <f t="shared" si="9"/>
        <v>211578.90227163373</v>
      </c>
      <c r="Q51" s="334">
        <f t="shared" si="9"/>
        <v>-1289543.6442563878</v>
      </c>
      <c r="R51" s="334">
        <f t="shared" si="9"/>
        <v>620533.3132005082</v>
      </c>
      <c r="S51" s="334">
        <f t="shared" si="9"/>
        <v>1122113.3993704608</v>
      </c>
      <c r="T51" s="334">
        <f t="shared" si="9"/>
        <v>-1762146.7924063653</v>
      </c>
      <c r="U51" s="334">
        <f t="shared" si="9"/>
        <v>-183382.38859572867</v>
      </c>
      <c r="V51" s="334">
        <f t="shared" si="9"/>
        <v>623838.909026531</v>
      </c>
      <c r="W51" s="334">
        <f t="shared" si="9"/>
        <v>31113.19009174104</v>
      </c>
      <c r="X51" s="335">
        <f t="shared" si="9"/>
        <v>-292612.4787890724</v>
      </c>
      <c r="Y51" s="257"/>
    </row>
    <row r="52" spans="1:25" ht="12.75">
      <c r="A52" s="259"/>
      <c r="E52" s="291"/>
      <c r="F52" s="291"/>
      <c r="G52" s="291"/>
      <c r="H52" s="291"/>
      <c r="I52" s="291"/>
      <c r="J52" s="291"/>
      <c r="K52" s="291"/>
      <c r="L52" s="291"/>
      <c r="M52" s="291"/>
      <c r="N52" s="291"/>
      <c r="O52" s="291"/>
      <c r="P52" s="291"/>
      <c r="Q52" s="291"/>
      <c r="R52" s="291"/>
      <c r="S52" s="291"/>
      <c r="T52" s="291"/>
      <c r="U52" s="291"/>
      <c r="V52" s="291"/>
      <c r="W52" s="291"/>
      <c r="X52" s="325"/>
      <c r="Y52" s="257"/>
    </row>
    <row r="53" spans="1:25" ht="12.75">
      <c r="A53" s="256" t="s">
        <v>228</v>
      </c>
      <c r="E53" s="339">
        <v>10</v>
      </c>
      <c r="F53" s="339">
        <v>12</v>
      </c>
      <c r="G53" s="339">
        <v>12</v>
      </c>
      <c r="H53" s="339">
        <v>12</v>
      </c>
      <c r="I53" s="339">
        <v>12</v>
      </c>
      <c r="J53" s="340">
        <v>13</v>
      </c>
      <c r="K53" s="340">
        <v>14</v>
      </c>
      <c r="L53" s="340">
        <v>12</v>
      </c>
      <c r="M53" s="340">
        <v>12</v>
      </c>
      <c r="N53" s="340">
        <v>12</v>
      </c>
      <c r="O53" s="340">
        <v>12</v>
      </c>
      <c r="P53" s="340">
        <v>12</v>
      </c>
      <c r="Q53" s="340">
        <v>12</v>
      </c>
      <c r="R53" s="340">
        <v>12</v>
      </c>
      <c r="S53" s="340">
        <v>16</v>
      </c>
      <c r="T53" s="341">
        <v>13</v>
      </c>
      <c r="U53" s="341">
        <v>12</v>
      </c>
      <c r="V53" s="341">
        <v>12</v>
      </c>
      <c r="W53" s="341">
        <v>12</v>
      </c>
      <c r="X53" s="342">
        <v>12</v>
      </c>
      <c r="Y53" s="257"/>
    </row>
    <row r="54" spans="1:25" s="259" customFormat="1" ht="12.75">
      <c r="A54" s="259" t="s">
        <v>229</v>
      </c>
      <c r="E54" s="334">
        <f aca="true" t="shared" si="10" ref="E54:X54">E51/E53</f>
        <v>-36847.20356645423</v>
      </c>
      <c r="F54" s="334">
        <f t="shared" si="10"/>
        <v>27782.3623292393</v>
      </c>
      <c r="G54" s="334">
        <f t="shared" si="10"/>
        <v>-48890.243132054944</v>
      </c>
      <c r="H54" s="334">
        <f t="shared" si="10"/>
        <v>63373.95055267144</v>
      </c>
      <c r="I54" s="334">
        <f t="shared" si="10"/>
        <v>23700.25</v>
      </c>
      <c r="J54" s="334">
        <f t="shared" si="10"/>
        <v>-33550.846153846156</v>
      </c>
      <c r="K54" s="334">
        <f t="shared" si="10"/>
        <v>-13555.57142857143</v>
      </c>
      <c r="L54" s="334">
        <f t="shared" si="10"/>
        <v>19867.415363738033</v>
      </c>
      <c r="M54" s="334">
        <f t="shared" si="10"/>
        <v>27065.841666666674</v>
      </c>
      <c r="N54" s="334">
        <f t="shared" si="10"/>
        <v>-3398.883333333341</v>
      </c>
      <c r="O54" s="334">
        <f t="shared" si="10"/>
        <v>1140.4455674959074</v>
      </c>
      <c r="P54" s="334">
        <f t="shared" si="10"/>
        <v>17631.57518930281</v>
      </c>
      <c r="Q54" s="334">
        <f t="shared" si="10"/>
        <v>-107461.97035469899</v>
      </c>
      <c r="R54" s="334">
        <f t="shared" si="10"/>
        <v>51711.109433375685</v>
      </c>
      <c r="S54" s="334">
        <f t="shared" si="10"/>
        <v>70132.0874606538</v>
      </c>
      <c r="T54" s="334">
        <f t="shared" si="10"/>
        <v>-135549.7532620281</v>
      </c>
      <c r="U54" s="334">
        <f t="shared" si="10"/>
        <v>-15281.865716310722</v>
      </c>
      <c r="V54" s="334">
        <f t="shared" si="10"/>
        <v>51986.57575221092</v>
      </c>
      <c r="W54" s="334">
        <f t="shared" si="10"/>
        <v>2592.76584097842</v>
      </c>
      <c r="X54" s="335">
        <f t="shared" si="10"/>
        <v>-24384.373232422702</v>
      </c>
      <c r="Y54" s="280"/>
    </row>
    <row r="55" spans="1:25" ht="12.75">
      <c r="A55" s="259"/>
      <c r="F55" s="301"/>
      <c r="X55" s="325"/>
      <c r="Y55" s="257"/>
    </row>
    <row r="56" spans="1:25" ht="13.5" thickBot="1">
      <c r="A56" s="256" t="s">
        <v>230</v>
      </c>
      <c r="C56" s="323"/>
      <c r="D56" s="323"/>
      <c r="E56" s="339">
        <v>52958</v>
      </c>
      <c r="F56" s="339">
        <v>54476.75</v>
      </c>
      <c r="G56" s="339">
        <v>57683.5</v>
      </c>
      <c r="H56" s="339">
        <v>61350.25</v>
      </c>
      <c r="I56" s="339">
        <v>63431</v>
      </c>
      <c r="J56" s="339">
        <v>65350</v>
      </c>
      <c r="K56" s="339">
        <v>66879</v>
      </c>
      <c r="L56" s="343">
        <v>71203.08333333333</v>
      </c>
      <c r="M56" s="343">
        <v>74976.66666666667</v>
      </c>
      <c r="N56" s="343">
        <v>78279.58333333333</v>
      </c>
      <c r="O56" s="343">
        <v>80389.25</v>
      </c>
      <c r="P56" s="343">
        <v>81890.16666666667</v>
      </c>
      <c r="Q56" s="343">
        <v>82954</v>
      </c>
      <c r="R56" s="343">
        <v>81453</v>
      </c>
      <c r="S56" s="343">
        <v>83978</v>
      </c>
      <c r="T56" s="343">
        <v>84863</v>
      </c>
      <c r="U56" s="343">
        <v>86826</v>
      </c>
      <c r="V56" s="343">
        <v>87329.5</v>
      </c>
      <c r="W56" s="343">
        <f>+D36</f>
        <v>89529.16666666667</v>
      </c>
      <c r="X56" s="344">
        <f>+D36</f>
        <v>89529.16666666667</v>
      </c>
      <c r="Y56" s="257"/>
    </row>
    <row r="57" spans="5:25" ht="12.75">
      <c r="E57" s="345">
        <f aca="true" t="shared" si="11" ref="E57:W57">E56*E53</f>
        <v>529580</v>
      </c>
      <c r="F57" s="345">
        <f t="shared" si="11"/>
        <v>653721</v>
      </c>
      <c r="G57" s="345">
        <f t="shared" si="11"/>
        <v>692202</v>
      </c>
      <c r="H57" s="345">
        <f t="shared" si="11"/>
        <v>736203</v>
      </c>
      <c r="I57" s="345">
        <f t="shared" si="11"/>
        <v>761172</v>
      </c>
      <c r="J57" s="345">
        <f t="shared" si="11"/>
        <v>849550</v>
      </c>
      <c r="K57" s="345">
        <f t="shared" si="11"/>
        <v>936306</v>
      </c>
      <c r="L57" s="345">
        <f t="shared" si="11"/>
        <v>854437</v>
      </c>
      <c r="M57" s="345">
        <f t="shared" si="11"/>
        <v>899720</v>
      </c>
      <c r="N57" s="345">
        <f t="shared" si="11"/>
        <v>939355</v>
      </c>
      <c r="O57" s="345">
        <f t="shared" si="11"/>
        <v>964671</v>
      </c>
      <c r="P57" s="345">
        <f t="shared" si="11"/>
        <v>982682</v>
      </c>
      <c r="Q57" s="345">
        <f t="shared" si="11"/>
        <v>995448</v>
      </c>
      <c r="R57" s="345">
        <f t="shared" si="11"/>
        <v>977436</v>
      </c>
      <c r="S57" s="345">
        <f t="shared" si="11"/>
        <v>1343648</v>
      </c>
      <c r="T57" s="345">
        <f t="shared" si="11"/>
        <v>1103219</v>
      </c>
      <c r="U57" s="345">
        <f t="shared" si="11"/>
        <v>1041912</v>
      </c>
      <c r="V57" s="345">
        <f t="shared" si="11"/>
        <v>1047954</v>
      </c>
      <c r="W57" s="345">
        <f t="shared" si="11"/>
        <v>1074350</v>
      </c>
      <c r="X57" s="346">
        <f>X56*X53</f>
        <v>1074350</v>
      </c>
      <c r="Y57" s="257"/>
    </row>
    <row r="58" spans="1:25" ht="13.5" thickBot="1">
      <c r="A58" s="259" t="s">
        <v>231</v>
      </c>
      <c r="D58" s="268"/>
      <c r="E58" s="274">
        <f aca="true" t="shared" si="12" ref="E58:X58">ROUND(E54/E56,2)</f>
        <v>-0.7</v>
      </c>
      <c r="F58" s="274">
        <f t="shared" si="12"/>
        <v>0.51</v>
      </c>
      <c r="G58" s="274">
        <f t="shared" si="12"/>
        <v>-0.85</v>
      </c>
      <c r="H58" s="274">
        <f t="shared" si="12"/>
        <v>1.03</v>
      </c>
      <c r="I58" s="274">
        <f t="shared" si="12"/>
        <v>0.37</v>
      </c>
      <c r="J58" s="274">
        <f t="shared" si="12"/>
        <v>-0.51</v>
      </c>
      <c r="K58" s="274">
        <f t="shared" si="12"/>
        <v>-0.2</v>
      </c>
      <c r="L58" s="274">
        <f t="shared" si="12"/>
        <v>0.28</v>
      </c>
      <c r="M58" s="274">
        <f t="shared" si="12"/>
        <v>0.36</v>
      </c>
      <c r="N58" s="274">
        <f t="shared" si="12"/>
        <v>-0.04</v>
      </c>
      <c r="O58" s="274">
        <f t="shared" si="12"/>
        <v>0.01</v>
      </c>
      <c r="P58" s="274">
        <f t="shared" si="12"/>
        <v>0.22</v>
      </c>
      <c r="Q58" s="274">
        <f t="shared" si="12"/>
        <v>-1.3</v>
      </c>
      <c r="R58" s="274">
        <f t="shared" si="12"/>
        <v>0.63</v>
      </c>
      <c r="S58" s="274">
        <f t="shared" si="12"/>
        <v>0.84</v>
      </c>
      <c r="T58" s="274">
        <f t="shared" si="12"/>
        <v>-1.6</v>
      </c>
      <c r="U58" s="274">
        <f t="shared" si="12"/>
        <v>-0.18</v>
      </c>
      <c r="V58" s="274">
        <f t="shared" si="12"/>
        <v>0.6</v>
      </c>
      <c r="W58" s="274">
        <f t="shared" si="12"/>
        <v>0.03</v>
      </c>
      <c r="X58" s="347">
        <f t="shared" si="12"/>
        <v>-0.27</v>
      </c>
      <c r="Y58" s="257"/>
    </row>
    <row r="59" spans="4:25" ht="13.5" thickTop="1">
      <c r="D59" s="268"/>
      <c r="E59" s="268"/>
      <c r="F59" s="268"/>
      <c r="G59" s="268"/>
      <c r="H59" s="268"/>
      <c r="I59" s="268"/>
      <c r="J59" s="268"/>
      <c r="K59" s="268"/>
      <c r="L59" s="268"/>
      <c r="M59" s="268"/>
      <c r="N59" s="268"/>
      <c r="O59" s="268"/>
      <c r="P59" s="268"/>
      <c r="Q59" s="268"/>
      <c r="R59" s="268"/>
      <c r="S59" s="268"/>
      <c r="T59" s="268"/>
      <c r="U59" s="268"/>
      <c r="V59" s="268"/>
      <c r="W59" s="268"/>
      <c r="X59" s="325"/>
      <c r="Y59" s="257"/>
    </row>
    <row r="60" spans="1:25" ht="12.75">
      <c r="A60" s="348" t="s">
        <v>232</v>
      </c>
      <c r="B60" s="262"/>
      <c r="C60" s="262"/>
      <c r="D60" s="268"/>
      <c r="E60" s="268"/>
      <c r="F60" s="268"/>
      <c r="G60" s="268"/>
      <c r="H60" s="268"/>
      <c r="I60" s="268"/>
      <c r="J60" s="268"/>
      <c r="K60" s="268"/>
      <c r="L60" s="268"/>
      <c r="M60" s="268"/>
      <c r="N60" s="268"/>
      <c r="O60" s="268"/>
      <c r="P60" s="268"/>
      <c r="Q60" s="268"/>
      <c r="R60" s="268"/>
      <c r="S60" s="268"/>
      <c r="T60" s="268"/>
      <c r="U60" s="268"/>
      <c r="V60" s="268"/>
      <c r="W60" s="268"/>
      <c r="X60" s="325"/>
      <c r="Y60" s="257"/>
    </row>
    <row r="61" spans="1:25" ht="12.75">
      <c r="A61" s="256" t="s">
        <v>233</v>
      </c>
      <c r="D61" s="268"/>
      <c r="E61" s="268">
        <v>1.04</v>
      </c>
      <c r="F61" s="268">
        <v>1.48</v>
      </c>
      <c r="G61" s="268">
        <v>1.01</v>
      </c>
      <c r="H61" s="268">
        <v>1.47</v>
      </c>
      <c r="I61" s="268">
        <v>1.96</v>
      </c>
      <c r="J61" s="268">
        <v>1.74</v>
      </c>
      <c r="K61" s="268">
        <v>1.63</v>
      </c>
      <c r="L61" s="268">
        <v>1.752282501625704</v>
      </c>
      <c r="M61" s="268">
        <v>2.120394122615925</v>
      </c>
      <c r="N61" s="268">
        <v>2.294479722788509</v>
      </c>
      <c r="O61" s="268">
        <v>2.5297754363923035</v>
      </c>
      <c r="P61" s="268">
        <v>3.242611546766909</v>
      </c>
      <c r="Q61" s="268">
        <v>2.02</v>
      </c>
      <c r="R61" s="268">
        <v>2.36</v>
      </c>
      <c r="S61" s="268">
        <v>3.91</v>
      </c>
      <c r="T61" s="268">
        <v>3.089392159781342</v>
      </c>
      <c r="U61" s="268">
        <v>2.97</v>
      </c>
      <c r="V61" s="268">
        <v>2.903127332523282</v>
      </c>
      <c r="W61" s="268">
        <f>B20</f>
        <v>2.38</v>
      </c>
      <c r="X61" s="562">
        <f>+W61</f>
        <v>2.38</v>
      </c>
      <c r="Y61" s="257"/>
    </row>
    <row r="62" spans="1:25" ht="12.75">
      <c r="A62" s="350" t="s">
        <v>234</v>
      </c>
      <c r="D62" s="268"/>
      <c r="E62" s="268"/>
      <c r="F62" s="268"/>
      <c r="G62" s="268"/>
      <c r="H62" s="268"/>
      <c r="I62" s="268"/>
      <c r="J62" s="268"/>
      <c r="K62" s="268"/>
      <c r="L62" s="268"/>
      <c r="M62" s="268"/>
      <c r="N62" s="268"/>
      <c r="O62" s="268"/>
      <c r="P62" s="268"/>
      <c r="Q62" s="268"/>
      <c r="R62" s="268"/>
      <c r="S62" s="268"/>
      <c r="T62" s="268"/>
      <c r="U62" s="268"/>
      <c r="V62" s="268"/>
      <c r="W62" s="268"/>
      <c r="X62" s="325"/>
      <c r="Y62" s="257"/>
    </row>
    <row r="63" spans="1:26" ht="12.75">
      <c r="A63" s="256" t="s">
        <v>231</v>
      </c>
      <c r="D63" s="278"/>
      <c r="E63" s="278">
        <f>+E58</f>
        <v>-0.7</v>
      </c>
      <c r="F63" s="278">
        <f>F58</f>
        <v>0.51</v>
      </c>
      <c r="G63" s="278">
        <f>G58</f>
        <v>-0.85</v>
      </c>
      <c r="H63" s="278">
        <f aca="true" t="shared" si="13" ref="H63:X63">+H58</f>
        <v>1.03</v>
      </c>
      <c r="I63" s="278">
        <f t="shared" si="13"/>
        <v>0.37</v>
      </c>
      <c r="J63" s="278">
        <f t="shared" si="13"/>
        <v>-0.51</v>
      </c>
      <c r="K63" s="278">
        <f t="shared" si="13"/>
        <v>-0.2</v>
      </c>
      <c r="L63" s="278">
        <f t="shared" si="13"/>
        <v>0.28</v>
      </c>
      <c r="M63" s="278">
        <f t="shared" si="13"/>
        <v>0.36</v>
      </c>
      <c r="N63" s="278">
        <f t="shared" si="13"/>
        <v>-0.04</v>
      </c>
      <c r="O63" s="278">
        <f t="shared" si="13"/>
        <v>0.01</v>
      </c>
      <c r="P63" s="278">
        <f t="shared" si="13"/>
        <v>0.22</v>
      </c>
      <c r="Q63" s="278">
        <f t="shared" si="13"/>
        <v>-1.3</v>
      </c>
      <c r="R63" s="278">
        <f t="shared" si="13"/>
        <v>0.63</v>
      </c>
      <c r="S63" s="278">
        <f>+S58</f>
        <v>0.84</v>
      </c>
      <c r="T63" s="278">
        <f>+T58</f>
        <v>-1.6</v>
      </c>
      <c r="U63" s="278">
        <f>+U58</f>
        <v>-0.18</v>
      </c>
      <c r="V63" s="278">
        <f>+V58</f>
        <v>0.6</v>
      </c>
      <c r="W63" s="278">
        <f>+W58</f>
        <v>0.03</v>
      </c>
      <c r="X63" s="356">
        <f t="shared" si="13"/>
        <v>-0.27</v>
      </c>
      <c r="Y63" s="257"/>
      <c r="Z63" s="267"/>
    </row>
    <row r="64" spans="1:25" ht="13.5" thickBot="1">
      <c r="A64" s="256" t="s">
        <v>235</v>
      </c>
      <c r="D64" s="274">
        <v>1.83</v>
      </c>
      <c r="E64" s="274">
        <f aca="true" t="shared" si="14" ref="E64:R64">SUM(E61:E63)</f>
        <v>0.3400000000000001</v>
      </c>
      <c r="F64" s="274">
        <f t="shared" si="14"/>
        <v>1.99</v>
      </c>
      <c r="G64" s="274">
        <f t="shared" si="14"/>
        <v>0.16000000000000003</v>
      </c>
      <c r="H64" s="274">
        <f t="shared" si="14"/>
        <v>2.5</v>
      </c>
      <c r="I64" s="274">
        <f t="shared" si="14"/>
        <v>2.33</v>
      </c>
      <c r="J64" s="274">
        <f t="shared" si="14"/>
        <v>1.23</v>
      </c>
      <c r="K64" s="274">
        <f t="shared" si="14"/>
        <v>1.43</v>
      </c>
      <c r="L64" s="274">
        <f t="shared" si="14"/>
        <v>2.032282501625704</v>
      </c>
      <c r="M64" s="274">
        <f t="shared" si="14"/>
        <v>2.480394122615925</v>
      </c>
      <c r="N64" s="274">
        <f t="shared" si="14"/>
        <v>2.254479722788509</v>
      </c>
      <c r="O64" s="274">
        <f t="shared" si="14"/>
        <v>2.5397754363923033</v>
      </c>
      <c r="P64" s="274">
        <f t="shared" si="14"/>
        <v>3.4626115467669094</v>
      </c>
      <c r="Q64" s="274">
        <f t="shared" si="14"/>
        <v>0.72</v>
      </c>
      <c r="R64" s="274">
        <f t="shared" si="14"/>
        <v>2.9899999999999998</v>
      </c>
      <c r="S64" s="274">
        <f aca="true" t="shared" si="15" ref="S64:X64">SUM(S61:S63)</f>
        <v>4.75</v>
      </c>
      <c r="T64" s="274">
        <f t="shared" si="15"/>
        <v>1.489392159781342</v>
      </c>
      <c r="U64" s="274">
        <f t="shared" si="15"/>
        <v>2.79</v>
      </c>
      <c r="V64" s="274">
        <f t="shared" si="15"/>
        <v>3.503127332523282</v>
      </c>
      <c r="W64" s="274">
        <f t="shared" si="15"/>
        <v>2.4099999999999997</v>
      </c>
      <c r="X64" s="352">
        <f t="shared" si="15"/>
        <v>2.11</v>
      </c>
      <c r="Y64" s="257"/>
    </row>
    <row r="65" spans="4:25" ht="13.5" thickTop="1">
      <c r="D65" s="353"/>
      <c r="E65" s="353"/>
      <c r="F65" s="353"/>
      <c r="G65" s="353"/>
      <c r="H65" s="353"/>
      <c r="I65" s="353"/>
      <c r="J65" s="353"/>
      <c r="K65" s="353"/>
      <c r="L65" s="353"/>
      <c r="M65" s="353"/>
      <c r="N65" s="353"/>
      <c r="O65" s="353"/>
      <c r="P65" s="353"/>
      <c r="Q65" s="353"/>
      <c r="R65" s="353"/>
      <c r="S65" s="353"/>
      <c r="T65" s="353"/>
      <c r="U65" s="353"/>
      <c r="V65" s="353"/>
      <c r="W65" s="353"/>
      <c r="X65" s="354"/>
      <c r="Y65" s="257"/>
    </row>
    <row r="66" spans="1:26" ht="38.25">
      <c r="A66" s="355" t="s">
        <v>349</v>
      </c>
      <c r="C66" s="559">
        <f>+'2016 -2017 SC Budget'!C18</f>
        <v>0.45</v>
      </c>
      <c r="D66" s="268"/>
      <c r="E66" s="268"/>
      <c r="F66" s="268"/>
      <c r="G66" s="268"/>
      <c r="H66" s="268"/>
      <c r="I66" s="268"/>
      <c r="J66" s="268"/>
      <c r="K66" s="268"/>
      <c r="L66" s="268"/>
      <c r="M66" s="268"/>
      <c r="N66" s="268"/>
      <c r="O66" s="268"/>
      <c r="P66" s="268"/>
      <c r="Q66" s="268"/>
      <c r="R66" s="268"/>
      <c r="S66" s="268"/>
      <c r="T66" s="268"/>
      <c r="U66" s="268"/>
      <c r="V66" s="268"/>
      <c r="W66" s="268"/>
      <c r="X66" s="356">
        <f>ROUND(-X61*C66,2)</f>
        <v>-1.07</v>
      </c>
      <c r="Y66" s="257"/>
      <c r="Z66" s="294"/>
    </row>
    <row r="67" spans="4:25" ht="12.75">
      <c r="D67" s="268"/>
      <c r="E67" s="268"/>
      <c r="F67" s="268"/>
      <c r="G67" s="268"/>
      <c r="H67" s="268"/>
      <c r="I67" s="268"/>
      <c r="J67" s="268"/>
      <c r="K67" s="268"/>
      <c r="L67" s="268"/>
      <c r="M67" s="268"/>
      <c r="N67" s="268"/>
      <c r="O67" s="268"/>
      <c r="P67" s="268"/>
      <c r="Q67" s="268"/>
      <c r="R67" s="268"/>
      <c r="S67" s="268"/>
      <c r="T67" s="268"/>
      <c r="U67" s="268"/>
      <c r="V67" s="268"/>
      <c r="W67" s="268"/>
      <c r="X67" s="325"/>
      <c r="Y67" s="257"/>
    </row>
    <row r="68" spans="1:26" ht="13.5" thickBot="1">
      <c r="A68" s="256" t="s">
        <v>236</v>
      </c>
      <c r="D68" s="274">
        <v>1.83</v>
      </c>
      <c r="E68" s="274">
        <v>0.62</v>
      </c>
      <c r="F68" s="274">
        <v>2.25</v>
      </c>
      <c r="G68" s="357">
        <v>0.09</v>
      </c>
      <c r="H68" s="358">
        <v>1.96</v>
      </c>
      <c r="I68" s="358">
        <v>2.28</v>
      </c>
      <c r="J68" s="358">
        <v>1.72</v>
      </c>
      <c r="K68" s="358">
        <v>0.89</v>
      </c>
      <c r="L68" s="358">
        <v>1.27</v>
      </c>
      <c r="M68" s="358">
        <v>1.8</v>
      </c>
      <c r="N68" s="358">
        <v>1.75</v>
      </c>
      <c r="O68" s="358">
        <v>2.12</v>
      </c>
      <c r="P68" s="358">
        <v>2.82</v>
      </c>
      <c r="Q68" s="358">
        <v>0.66</v>
      </c>
      <c r="R68" s="358">
        <v>1.18</v>
      </c>
      <c r="S68" s="358">
        <v>4.26</v>
      </c>
      <c r="T68" s="358">
        <v>1.38</v>
      </c>
      <c r="U68" s="358">
        <v>1.14</v>
      </c>
      <c r="V68" s="358">
        <v>1.64</v>
      </c>
      <c r="W68" s="353"/>
      <c r="X68" s="561">
        <f>+X66+X64</f>
        <v>1.0399999999999998</v>
      </c>
      <c r="Y68" s="257"/>
      <c r="Z68" s="461"/>
    </row>
    <row r="69" spans="4:25" ht="14.25" thickBot="1" thickTop="1">
      <c r="D69" s="353"/>
      <c r="E69" s="353"/>
      <c r="F69" s="353"/>
      <c r="G69" s="360"/>
      <c r="H69" s="353"/>
      <c r="I69" s="353"/>
      <c r="J69" s="353"/>
      <c r="K69" s="353"/>
      <c r="L69" s="353"/>
      <c r="M69" s="268"/>
      <c r="N69" s="268"/>
      <c r="O69" s="268"/>
      <c r="P69" s="268"/>
      <c r="Q69" s="268"/>
      <c r="R69" s="268"/>
      <c r="S69" s="268"/>
      <c r="T69" s="268"/>
      <c r="U69" s="268"/>
      <c r="V69" s="268"/>
      <c r="W69" s="268"/>
      <c r="X69" s="361"/>
      <c r="Y69" s="257"/>
    </row>
    <row r="70" spans="1:26" ht="13.5" thickBot="1">
      <c r="A70" s="256" t="s">
        <v>237</v>
      </c>
      <c r="D70" s="362">
        <f>+D68</f>
        <v>1.83</v>
      </c>
      <c r="E70" s="362">
        <f aca="true" t="shared" si="16" ref="E70:J70">+E68</f>
        <v>0.62</v>
      </c>
      <c r="F70" s="362">
        <f t="shared" si="16"/>
        <v>2.25</v>
      </c>
      <c r="G70" s="362">
        <f t="shared" si="16"/>
        <v>0.09</v>
      </c>
      <c r="H70" s="362">
        <f t="shared" si="16"/>
        <v>1.96</v>
      </c>
      <c r="I70" s="362">
        <f t="shared" si="16"/>
        <v>2.28</v>
      </c>
      <c r="J70" s="362">
        <f t="shared" si="16"/>
        <v>1.72</v>
      </c>
      <c r="K70" s="362">
        <v>1.38</v>
      </c>
      <c r="L70" s="362">
        <v>1.82</v>
      </c>
      <c r="M70" s="362">
        <v>2.44</v>
      </c>
      <c r="N70" s="362">
        <v>2.43</v>
      </c>
      <c r="O70" s="362">
        <v>2.88</v>
      </c>
      <c r="P70" s="362">
        <v>3.79</v>
      </c>
      <c r="Q70" s="362">
        <v>1.27</v>
      </c>
      <c r="R70" s="362">
        <v>2.23</v>
      </c>
      <c r="S70" s="362">
        <v>5.26</v>
      </c>
      <c r="T70" s="362">
        <v>2.34</v>
      </c>
      <c r="U70" s="362">
        <v>2.06</v>
      </c>
      <c r="V70" s="362">
        <v>2.66</v>
      </c>
      <c r="W70" s="362"/>
      <c r="X70" s="362">
        <f>+X64</f>
        <v>2.11</v>
      </c>
      <c r="Y70" s="257"/>
      <c r="Z70" s="359"/>
    </row>
    <row r="71" spans="4:25" ht="13.5" thickTop="1">
      <c r="D71" s="363"/>
      <c r="E71" s="364"/>
      <c r="F71" s="364"/>
      <c r="G71" s="365"/>
      <c r="I71" s="365"/>
      <c r="X71" s="318"/>
      <c r="Y71" s="257"/>
    </row>
    <row r="72" spans="1:25" ht="13.5" thickBot="1">
      <c r="A72" s="256" t="s">
        <v>238</v>
      </c>
      <c r="D72" s="364"/>
      <c r="E72" s="366">
        <v>18009.313200039374</v>
      </c>
      <c r="F72" s="366">
        <v>18469.884748281744</v>
      </c>
      <c r="G72" s="366">
        <v>18807.778949325755</v>
      </c>
      <c r="H72" s="366">
        <v>20068.977300491097</v>
      </c>
      <c r="I72" s="366">
        <v>20553.36214206744</v>
      </c>
      <c r="J72" s="366">
        <v>20954.436923076923</v>
      </c>
      <c r="K72" s="366">
        <v>19881.01714285714</v>
      </c>
      <c r="L72" s="366">
        <v>22291.68845577803</v>
      </c>
      <c r="M72" s="366">
        <v>26503.58</v>
      </c>
      <c r="N72" s="366">
        <v>27846.64</v>
      </c>
      <c r="O72" s="366">
        <v>28477.52126654699</v>
      </c>
      <c r="P72" s="366">
        <v>29219.120248299605</v>
      </c>
      <c r="Q72" s="366">
        <v>28641.23</v>
      </c>
      <c r="R72" s="366">
        <v>30257.23</v>
      </c>
      <c r="S72" s="366">
        <v>39538.72103346151</v>
      </c>
      <c r="T72" s="367">
        <v>30919.910865479345</v>
      </c>
      <c r="U72" s="367">
        <v>30090.152233183377</v>
      </c>
      <c r="V72" s="367">
        <v>30779.58651602314</v>
      </c>
      <c r="W72" s="367">
        <f>+V17</f>
        <v>30915.700000000004</v>
      </c>
      <c r="X72" s="368">
        <f>SUM(E72:W72)</f>
        <v>492225.85102491145</v>
      </c>
      <c r="Y72" s="257"/>
    </row>
    <row r="73" spans="4:25" ht="13.5" thickTop="1">
      <c r="D73" s="364"/>
      <c r="E73" s="369"/>
      <c r="F73" s="370">
        <f aca="true" t="shared" si="17" ref="F73:R73">+F72/E72-1</f>
        <v>0.02557407620860097</v>
      </c>
      <c r="G73" s="370">
        <f t="shared" si="17"/>
        <v>0.01829433186232765</v>
      </c>
      <c r="H73" s="370">
        <f t="shared" si="17"/>
        <v>0.06705727212997448</v>
      </c>
      <c r="I73" s="370">
        <f t="shared" si="17"/>
        <v>0.02413600027164753</v>
      </c>
      <c r="J73" s="370">
        <f t="shared" si="17"/>
        <v>0.0195138283574825</v>
      </c>
      <c r="K73" s="370">
        <f t="shared" si="17"/>
        <v>-0.05122637196887092</v>
      </c>
      <c r="L73" s="370">
        <f t="shared" si="17"/>
        <v>0.12125492853804998</v>
      </c>
      <c r="M73" s="370">
        <f t="shared" si="17"/>
        <v>0.18894448271953346</v>
      </c>
      <c r="N73" s="370">
        <f t="shared" si="17"/>
        <v>0.050674663573751166</v>
      </c>
      <c r="O73" s="370">
        <f t="shared" si="17"/>
        <v>0.02265556155238091</v>
      </c>
      <c r="P73" s="370">
        <f t="shared" si="17"/>
        <v>0.02604155659515861</v>
      </c>
      <c r="Q73" s="370">
        <f t="shared" si="17"/>
        <v>-0.019777811357384545</v>
      </c>
      <c r="R73" s="370">
        <f t="shared" si="17"/>
        <v>0.056422157847271226</v>
      </c>
      <c r="S73" s="370">
        <f>+S72/16*12/R72-1</f>
        <v>-0.01993537494687614</v>
      </c>
      <c r="T73" s="370">
        <f>+T72/13*16/S72-1</f>
        <v>-0.03751881910512178</v>
      </c>
      <c r="U73" s="370">
        <f>+U72/12*12/T72-1</f>
        <v>-0.02683573817227125</v>
      </c>
      <c r="V73" s="370">
        <f>+V72/12*12/U72-1</f>
        <v>0.02291228962542302</v>
      </c>
      <c r="W73" s="370">
        <f>+W72/12*12/V72-1</f>
        <v>0.004422199885823819</v>
      </c>
      <c r="X73" s="365"/>
      <c r="Y73" s="257"/>
    </row>
    <row r="74" spans="1:25" ht="13.5" thickBot="1">
      <c r="A74" s="256" t="s">
        <v>239</v>
      </c>
      <c r="D74" s="364"/>
      <c r="E74" s="371">
        <f aca="true" t="shared" si="18" ref="E74:W74">+E56</f>
        <v>52958</v>
      </c>
      <c r="F74" s="371">
        <f t="shared" si="18"/>
        <v>54476.75</v>
      </c>
      <c r="G74" s="371">
        <f t="shared" si="18"/>
        <v>57683.5</v>
      </c>
      <c r="H74" s="371">
        <f t="shared" si="18"/>
        <v>61350.25</v>
      </c>
      <c r="I74" s="371">
        <f t="shared" si="18"/>
        <v>63431</v>
      </c>
      <c r="J74" s="371">
        <f t="shared" si="18"/>
        <v>65350</v>
      </c>
      <c r="K74" s="371">
        <f t="shared" si="18"/>
        <v>66879</v>
      </c>
      <c r="L74" s="371">
        <f t="shared" si="18"/>
        <v>71203.08333333333</v>
      </c>
      <c r="M74" s="371">
        <f t="shared" si="18"/>
        <v>74976.66666666667</v>
      </c>
      <c r="N74" s="371">
        <f t="shared" si="18"/>
        <v>78279.58333333333</v>
      </c>
      <c r="O74" s="371">
        <f t="shared" si="18"/>
        <v>80389.25</v>
      </c>
      <c r="P74" s="371">
        <f t="shared" si="18"/>
        <v>81890.16666666667</v>
      </c>
      <c r="Q74" s="371">
        <f t="shared" si="18"/>
        <v>82954</v>
      </c>
      <c r="R74" s="371">
        <f t="shared" si="18"/>
        <v>81453</v>
      </c>
      <c r="S74" s="371">
        <f t="shared" si="18"/>
        <v>83978</v>
      </c>
      <c r="T74" s="371">
        <f t="shared" si="18"/>
        <v>84863</v>
      </c>
      <c r="U74" s="371">
        <f t="shared" si="18"/>
        <v>86826</v>
      </c>
      <c r="V74" s="371">
        <f t="shared" si="18"/>
        <v>87329.5</v>
      </c>
      <c r="W74" s="371">
        <f t="shared" si="18"/>
        <v>89529.16666666667</v>
      </c>
      <c r="X74" s="372">
        <f>SUM(E74:W74)</f>
        <v>1405799.9166666667</v>
      </c>
      <c r="Y74" s="257"/>
    </row>
    <row r="75" spans="5:25" ht="13.5" thickTop="1">
      <c r="E75" s="373"/>
      <c r="F75" s="370">
        <f>+F74/(E74)-1</f>
        <v>0.028678386646021403</v>
      </c>
      <c r="G75" s="370">
        <f aca="true" t="shared" si="19" ref="G75:P75">+G74/F74-1</f>
        <v>0.058864561487240064</v>
      </c>
      <c r="H75" s="370">
        <f t="shared" si="19"/>
        <v>0.0635667045168895</v>
      </c>
      <c r="I75" s="370">
        <f t="shared" si="19"/>
        <v>0.033915917213051205</v>
      </c>
      <c r="J75" s="370">
        <f t="shared" si="19"/>
        <v>0.030253346155665106</v>
      </c>
      <c r="K75" s="370">
        <f t="shared" si="19"/>
        <v>0.023397092578423928</v>
      </c>
      <c r="L75" s="370">
        <f t="shared" si="19"/>
        <v>0.06465532279689179</v>
      </c>
      <c r="M75" s="370">
        <f t="shared" si="19"/>
        <v>0.052997470849226014</v>
      </c>
      <c r="N75" s="370">
        <f t="shared" si="19"/>
        <v>0.04405259414039908</v>
      </c>
      <c r="O75" s="370">
        <f t="shared" si="19"/>
        <v>0.026950407460438308</v>
      </c>
      <c r="P75" s="370">
        <f t="shared" si="19"/>
        <v>0.018670614126474305</v>
      </c>
      <c r="Q75" s="370">
        <f aca="true" t="shared" si="20" ref="Q75:W75">+Q74/P74-1</f>
        <v>0.012990977752721511</v>
      </c>
      <c r="R75" s="370">
        <f t="shared" si="20"/>
        <v>-0.01809436555199262</v>
      </c>
      <c r="S75" s="370">
        <f t="shared" si="20"/>
        <v>0.030999472088198088</v>
      </c>
      <c r="T75" s="370">
        <f t="shared" si="20"/>
        <v>0.010538474362332906</v>
      </c>
      <c r="U75" s="370">
        <f t="shared" si="20"/>
        <v>0.023131400021210613</v>
      </c>
      <c r="V75" s="370">
        <f t="shared" si="20"/>
        <v>0.0057989542302996355</v>
      </c>
      <c r="W75" s="370">
        <f t="shared" si="20"/>
        <v>0.025188128486555827</v>
      </c>
      <c r="Y75" s="257"/>
    </row>
    <row r="76" spans="1:26" ht="12.75">
      <c r="A76" s="256" t="s">
        <v>240</v>
      </c>
      <c r="B76" s="374"/>
      <c r="C76" s="374"/>
      <c r="D76" s="375"/>
      <c r="E76" s="376">
        <f aca="true" t="shared" si="21" ref="E76:X76">+E72*2000/E74/E53</f>
        <v>68.01356999901573</v>
      </c>
      <c r="F76" s="376">
        <f t="shared" si="21"/>
        <v>56.50693414555061</v>
      </c>
      <c r="G76" s="376">
        <f t="shared" si="21"/>
        <v>54.3418798250388</v>
      </c>
      <c r="H76" s="376">
        <f t="shared" si="21"/>
        <v>54.52022689527507</v>
      </c>
      <c r="I76" s="376">
        <f t="shared" si="21"/>
        <v>54.00451446471347</v>
      </c>
      <c r="J76" s="376">
        <f t="shared" si="21"/>
        <v>49.33067370508369</v>
      </c>
      <c r="K76" s="376">
        <f t="shared" si="21"/>
        <v>42.46692244385306</v>
      </c>
      <c r="L76" s="376">
        <f t="shared" si="21"/>
        <v>52.17865906035912</v>
      </c>
      <c r="M76" s="376">
        <f t="shared" si="21"/>
        <v>58.91517360956741</v>
      </c>
      <c r="N76" s="376">
        <f t="shared" si="21"/>
        <v>59.28885245727122</v>
      </c>
      <c r="O76" s="376">
        <f t="shared" si="21"/>
        <v>59.04089843386396</v>
      </c>
      <c r="P76" s="376">
        <f t="shared" si="21"/>
        <v>59.46810921193144</v>
      </c>
      <c r="Q76" s="376">
        <f t="shared" si="21"/>
        <v>57.54440211844315</v>
      </c>
      <c r="R76" s="376">
        <f t="shared" si="21"/>
        <v>61.91142949512807</v>
      </c>
      <c r="S76" s="376">
        <f t="shared" si="21"/>
        <v>58.85279631787717</v>
      </c>
      <c r="T76" s="376">
        <f t="shared" si="21"/>
        <v>56.053985410837456</v>
      </c>
      <c r="U76" s="376">
        <f t="shared" si="21"/>
        <v>57.759488772916285</v>
      </c>
      <c r="V76" s="376">
        <f t="shared" si="21"/>
        <v>58.74224730479227</v>
      </c>
      <c r="W76" s="376">
        <f t="shared" si="21"/>
        <v>57.552380509145074</v>
      </c>
      <c r="X76" s="377">
        <f t="shared" si="21"/>
        <v>58.35655619613856</v>
      </c>
      <c r="Y76" s="257"/>
      <c r="Z76" s="378"/>
    </row>
    <row r="77" spans="2:25" ht="12.75">
      <c r="B77" s="374"/>
      <c r="C77" s="374"/>
      <c r="D77" s="375"/>
      <c r="E77" s="379"/>
      <c r="F77" s="379"/>
      <c r="G77" s="379"/>
      <c r="H77" s="379"/>
      <c r="I77" s="379"/>
      <c r="J77" s="379"/>
      <c r="K77" s="379"/>
      <c r="L77" s="379"/>
      <c r="M77" s="379"/>
      <c r="N77" s="379"/>
      <c r="O77" s="379"/>
      <c r="P77" s="379"/>
      <c r="Q77" s="379"/>
      <c r="R77" s="379"/>
      <c r="S77" s="379"/>
      <c r="T77" s="379"/>
      <c r="U77" s="379"/>
      <c r="V77" s="379"/>
      <c r="W77" s="379"/>
      <c r="Y77" s="257"/>
    </row>
    <row r="78" spans="1:25" ht="12.75">
      <c r="A78" s="256" t="s">
        <v>241</v>
      </c>
      <c r="B78" s="374"/>
      <c r="C78" s="374"/>
      <c r="D78" s="375"/>
      <c r="E78" s="380">
        <f aca="true" t="shared" si="22" ref="E78:X78">+E42/E72</f>
        <v>38.59031115070399</v>
      </c>
      <c r="F78" s="380">
        <f t="shared" si="22"/>
        <v>53.9737531438977</v>
      </c>
      <c r="G78" s="380">
        <f t="shared" si="22"/>
        <v>48.27821522394867</v>
      </c>
      <c r="H78" s="380">
        <f t="shared" si="22"/>
        <v>61.67135382477678</v>
      </c>
      <c r="I78" s="380">
        <f t="shared" si="22"/>
        <v>74.72067048615335</v>
      </c>
      <c r="J78" s="380">
        <f t="shared" si="22"/>
        <v>69.53730159149698</v>
      </c>
      <c r="K78" s="380">
        <f t="shared" si="22"/>
        <v>73.14645873249371</v>
      </c>
      <c r="L78" s="380">
        <f t="shared" si="22"/>
        <v>67.16157921236058</v>
      </c>
      <c r="M78" s="380">
        <f t="shared" si="22"/>
        <v>75.94536285286742</v>
      </c>
      <c r="N78" s="380">
        <f t="shared" si="22"/>
        <v>80.3769862360414</v>
      </c>
      <c r="O78" s="380">
        <f t="shared" si="22"/>
        <v>85.69569581418516</v>
      </c>
      <c r="P78" s="380">
        <f t="shared" si="22"/>
        <v>109.05379672358323</v>
      </c>
      <c r="Q78" s="380">
        <f t="shared" si="22"/>
        <v>70.20110518996566</v>
      </c>
      <c r="R78" s="380">
        <f t="shared" si="22"/>
        <v>76.22538480885393</v>
      </c>
      <c r="S78" s="380">
        <f t="shared" si="22"/>
        <v>117.35288544293569</v>
      </c>
      <c r="T78" s="380">
        <f t="shared" si="22"/>
        <v>110.22917058040409</v>
      </c>
      <c r="U78" s="380">
        <f t="shared" si="22"/>
        <v>102.75431743582541</v>
      </c>
      <c r="V78" s="380">
        <f t="shared" si="22"/>
        <v>96.38738673380496</v>
      </c>
      <c r="W78" s="380">
        <f t="shared" si="22"/>
        <v>82.80772118144152</v>
      </c>
      <c r="X78" s="380">
        <f t="shared" si="22"/>
        <v>82.57125803837822</v>
      </c>
      <c r="Y78" s="257"/>
    </row>
    <row r="79" spans="2:23" ht="18.75" customHeight="1">
      <c r="B79" s="374"/>
      <c r="C79" s="374"/>
      <c r="D79" s="375"/>
      <c r="E79" s="381"/>
      <c r="F79" s="381"/>
      <c r="G79" s="381"/>
      <c r="H79" s="381"/>
      <c r="I79" s="381"/>
      <c r="J79" s="381"/>
      <c r="K79" s="381"/>
      <c r="L79" s="381"/>
      <c r="M79" s="381"/>
      <c r="N79" s="381"/>
      <c r="O79" s="381"/>
      <c r="P79" s="381"/>
      <c r="Q79" s="381"/>
      <c r="R79" s="381"/>
      <c r="S79" s="381"/>
      <c r="T79" s="381"/>
      <c r="U79" s="381"/>
      <c r="V79" s="381"/>
      <c r="W79" s="381"/>
    </row>
  </sheetData>
  <sheetProtection/>
  <mergeCells count="2">
    <mergeCell ref="O19:R19"/>
    <mergeCell ref="O20:R20"/>
  </mergeCells>
  <printOptions/>
  <pageMargins left="0.7" right="0.45" top="0.5" bottom="0.5" header="0.3" footer="0"/>
  <pageSetup fitToHeight="1" fitToWidth="1" horizontalDpi="600" verticalDpi="600" orientation="landscape" scale="52" r:id="rId1"/>
  <headerFooter>
    <oddFooter>&amp;CPage &amp;P&amp;R&amp;A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73"/>
  <sheetViews>
    <sheetView zoomScalePageLayoutView="0" workbookViewId="0" topLeftCell="P1">
      <selection activeCell="AG71" sqref="AG71"/>
    </sheetView>
  </sheetViews>
  <sheetFormatPr defaultColWidth="12.57421875" defaultRowHeight="15"/>
  <cols>
    <col min="1" max="1" width="26.8515625" style="256" customWidth="1"/>
    <col min="2" max="2" width="14.7109375" style="256" customWidth="1"/>
    <col min="3" max="3" width="11.28125" style="256" bestFit="1" customWidth="1"/>
    <col min="4" max="4" width="10.421875" style="256" bestFit="1" customWidth="1"/>
    <col min="5" max="5" width="11.8515625" style="256" hidden="1" customWidth="1"/>
    <col min="6" max="6" width="11.28125" style="256" hidden="1" customWidth="1"/>
    <col min="7" max="7" width="14.8515625" style="256" hidden="1" customWidth="1"/>
    <col min="8" max="8" width="11.28125" style="256" hidden="1" customWidth="1"/>
    <col min="9" max="11" width="11.8515625" style="256" hidden="1" customWidth="1"/>
    <col min="12" max="12" width="11.28125" style="256" hidden="1" customWidth="1"/>
    <col min="13" max="13" width="11.8515625" style="256" hidden="1" customWidth="1"/>
    <col min="14" max="14" width="12.00390625" style="256" hidden="1" customWidth="1"/>
    <col min="15" max="15" width="12.8515625" style="256" customWidth="1"/>
    <col min="16" max="17" width="11.8515625" style="256" bestFit="1" customWidth="1"/>
    <col min="18" max="18" width="11.8515625" style="256" customWidth="1"/>
    <col min="19" max="19" width="12.28125" style="256" bestFit="1" customWidth="1"/>
    <col min="20" max="21" width="12.28125" style="256" customWidth="1"/>
    <col min="22" max="22" width="15.7109375" style="256" customWidth="1"/>
    <col min="23" max="23" width="12.28125" style="256" customWidth="1"/>
    <col min="24" max="24" width="12.8515625" style="256" bestFit="1" customWidth="1"/>
    <col min="25" max="25" width="2.7109375" style="256" customWidth="1"/>
    <col min="26" max="16384" width="12.57421875" style="256" customWidth="1"/>
  </cols>
  <sheetData>
    <row r="1" spans="1:25" ht="12.75">
      <c r="A1" s="253" t="s">
        <v>281</v>
      </c>
      <c r="B1" s="254"/>
      <c r="C1" s="254"/>
      <c r="D1" s="255"/>
      <c r="Y1" s="257"/>
    </row>
    <row r="2" spans="1:25" ht="12.75">
      <c r="A2" s="258" t="s">
        <v>348</v>
      </c>
      <c r="B2" s="259"/>
      <c r="C2" s="259"/>
      <c r="D2" s="260"/>
      <c r="Y2" s="257"/>
    </row>
    <row r="3" spans="1:25" ht="12.75">
      <c r="A3" s="261" t="s">
        <v>151</v>
      </c>
      <c r="B3" s="262"/>
      <c r="C3" s="262"/>
      <c r="D3" s="263"/>
      <c r="Y3" s="257"/>
    </row>
    <row r="4" ht="13.5" thickBot="1">
      <c r="Y4" s="257"/>
    </row>
    <row r="5" spans="1:25" ht="12.75">
      <c r="A5" s="264" t="s">
        <v>152</v>
      </c>
      <c r="D5" s="265"/>
      <c r="U5" s="543"/>
      <c r="V5" s="544"/>
      <c r="W5" s="545" t="s">
        <v>155</v>
      </c>
      <c r="X5" s="546"/>
      <c r="Y5" s="257"/>
    </row>
    <row r="6" spans="1:25" ht="12.75">
      <c r="A6" s="256" t="s">
        <v>156</v>
      </c>
      <c r="D6" s="268">
        <v>8.82</v>
      </c>
      <c r="U6" s="547"/>
      <c r="V6" s="317"/>
      <c r="W6" s="269" t="s">
        <v>157</v>
      </c>
      <c r="X6" s="548" t="s">
        <v>158</v>
      </c>
      <c r="Y6" s="257"/>
    </row>
    <row r="7" spans="1:25" ht="12.75">
      <c r="A7" s="256" t="s">
        <v>159</v>
      </c>
      <c r="D7" s="278">
        <f>+V31</f>
        <v>-1.52</v>
      </c>
      <c r="U7" s="549"/>
      <c r="V7" s="271" t="s">
        <v>160</v>
      </c>
      <c r="W7" s="550">
        <f aca="true" t="shared" si="0" ref="W7:W16">+X7*$W$17</f>
        <v>2851.007200213903</v>
      </c>
      <c r="X7" s="551">
        <f>+'NS(SC) Deferred Acct.'!W7</f>
        <v>0.3614942061176056</v>
      </c>
      <c r="Y7" s="257"/>
    </row>
    <row r="8" spans="4:25" ht="12.75">
      <c r="D8" s="273"/>
      <c r="U8" s="549"/>
      <c r="V8" s="271" t="s">
        <v>22</v>
      </c>
      <c r="W8" s="550">
        <f t="shared" si="0"/>
        <v>2074.1426210544214</v>
      </c>
      <c r="X8" s="551">
        <f>+'NS(SC) Deferred Acct.'!W8</f>
        <v>0.26299145793686635</v>
      </c>
      <c r="Y8" s="257"/>
    </row>
    <row r="9" spans="1:25" ht="13.5" thickBot="1">
      <c r="A9" s="259" t="s">
        <v>161</v>
      </c>
      <c r="B9" s="259"/>
      <c r="D9" s="274">
        <f>D6+D7</f>
        <v>7.300000000000001</v>
      </c>
      <c r="U9" s="549"/>
      <c r="V9" s="271" t="s">
        <v>162</v>
      </c>
      <c r="W9" s="550">
        <f t="shared" si="0"/>
        <v>1085.610507522812</v>
      </c>
      <c r="X9" s="551">
        <f>+'NS(SC) Deferred Acct.'!W9</f>
        <v>0.1376502691892346</v>
      </c>
      <c r="Y9" s="257"/>
    </row>
    <row r="10" spans="21:25" ht="13.5" thickTop="1">
      <c r="U10" s="549"/>
      <c r="V10" s="271" t="s">
        <v>163</v>
      </c>
      <c r="W10" s="550">
        <f t="shared" si="0"/>
        <v>69.54651064218535</v>
      </c>
      <c r="X10" s="551">
        <f>+'NS(SC) Deferred Acct.'!W10</f>
        <v>0.008818168067397434</v>
      </c>
      <c r="Y10" s="257"/>
    </row>
    <row r="11" spans="4:25" ht="12.75">
      <c r="D11" s="268"/>
      <c r="K11" s="276"/>
      <c r="L11" s="276"/>
      <c r="M11" s="276"/>
      <c r="U11" s="549"/>
      <c r="V11" s="271" t="s">
        <v>164</v>
      </c>
      <c r="W11" s="550">
        <f t="shared" si="0"/>
        <v>123.15532704871308</v>
      </c>
      <c r="X11" s="551">
        <f>+'NS(SC) Deferred Acct.'!W11</f>
        <v>0.015615512011786013</v>
      </c>
      <c r="Y11" s="257"/>
    </row>
    <row r="12" spans="1:25" ht="12.75">
      <c r="A12" s="264" t="s">
        <v>165</v>
      </c>
      <c r="D12" s="268"/>
      <c r="K12" s="276"/>
      <c r="L12" s="276"/>
      <c r="M12" s="276"/>
      <c r="U12" s="549"/>
      <c r="V12" s="271" t="s">
        <v>166</v>
      </c>
      <c r="W12" s="550">
        <f t="shared" si="0"/>
        <v>1475.2139929779255</v>
      </c>
      <c r="X12" s="551">
        <f>+'NS(SC) Deferred Acct.'!W12</f>
        <v>0.18705014536796946</v>
      </c>
      <c r="Y12" s="257"/>
    </row>
    <row r="13" spans="1:25" ht="12.75">
      <c r="A13" s="256" t="s">
        <v>156</v>
      </c>
      <c r="D13" s="268">
        <f>+D6</f>
        <v>8.82</v>
      </c>
      <c r="K13" s="276"/>
      <c r="L13" s="276"/>
      <c r="M13" s="276"/>
      <c r="U13" s="549"/>
      <c r="V13" s="271" t="s">
        <v>167</v>
      </c>
      <c r="W13" s="550">
        <f t="shared" si="0"/>
        <v>118.03649140551359</v>
      </c>
      <c r="X13" s="551">
        <f>+'NS(SC) Deferred Acct.'!W13</f>
        <v>0.014966467903112393</v>
      </c>
      <c r="Y13" s="257"/>
    </row>
    <row r="14" spans="1:25" ht="12.75">
      <c r="A14" s="256" t="s">
        <v>159</v>
      </c>
      <c r="D14" s="278">
        <f>-X64</f>
        <v>-1.1300000000000001</v>
      </c>
      <c r="E14" s="279"/>
      <c r="K14" s="276"/>
      <c r="L14" s="276"/>
      <c r="M14" s="276"/>
      <c r="U14" s="549"/>
      <c r="V14" s="271" t="s">
        <v>168</v>
      </c>
      <c r="W14" s="550">
        <f t="shared" si="0"/>
        <v>27.379087464399127</v>
      </c>
      <c r="X14" s="551">
        <f>+'NS(SC) Deferred Acct.'!W14</f>
        <v>0.0034715385799183097</v>
      </c>
      <c r="Y14" s="257"/>
    </row>
    <row r="15" spans="1:25" s="259" customFormat="1" ht="12.75">
      <c r="A15" s="256"/>
      <c r="B15" s="256"/>
      <c r="C15" s="256"/>
      <c r="D15" s="268"/>
      <c r="J15" s="256"/>
      <c r="K15" s="276"/>
      <c r="L15" s="276"/>
      <c r="M15" s="272"/>
      <c r="U15" s="549"/>
      <c r="V15" s="271" t="s">
        <v>169</v>
      </c>
      <c r="W15" s="550">
        <f t="shared" si="0"/>
        <v>30.558168735399974</v>
      </c>
      <c r="X15" s="551">
        <f>+'NS(SC) Deferred Acct.'!W15</f>
        <v>0.003874631023935139</v>
      </c>
      <c r="Y15" s="280"/>
    </row>
    <row r="16" spans="1:25" ht="15.75" thickBot="1">
      <c r="A16" s="259" t="s">
        <v>161</v>
      </c>
      <c r="B16" s="259"/>
      <c r="D16" s="274">
        <f>D13+D14</f>
        <v>7.69</v>
      </c>
      <c r="K16" s="276"/>
      <c r="L16" s="276"/>
      <c r="M16" s="276"/>
      <c r="U16" s="549"/>
      <c r="V16" s="271" t="s">
        <v>170</v>
      </c>
      <c r="W16" s="552">
        <f t="shared" si="0"/>
        <v>32.08009293472674</v>
      </c>
      <c r="X16" s="553">
        <f>+'NS(SC) Deferred Acct.'!W16</f>
        <v>0.004067603802174887</v>
      </c>
      <c r="Y16" s="257"/>
    </row>
    <row r="17" spans="11:25" ht="16.5" thickBot="1" thickTop="1">
      <c r="K17" s="276"/>
      <c r="L17" s="276"/>
      <c r="M17" s="276"/>
      <c r="N17" s="281"/>
      <c r="U17" s="554"/>
      <c r="V17" s="555"/>
      <c r="W17" s="556">
        <f>SUM('2014-2015 RSA'!C83:C94)</f>
        <v>7886.729999999999</v>
      </c>
      <c r="X17" s="557">
        <f>+W17/$W$17</f>
        <v>1</v>
      </c>
      <c r="Y17" s="257"/>
    </row>
    <row r="18" spans="1:25" ht="14.25" thickBot="1" thickTop="1">
      <c r="A18" s="282"/>
      <c r="B18" s="282"/>
      <c r="C18" s="282"/>
      <c r="D18" s="282"/>
      <c r="E18" s="282"/>
      <c r="F18" s="283"/>
      <c r="G18" s="283"/>
      <c r="H18" s="284"/>
      <c r="I18" s="285"/>
      <c r="J18" s="282"/>
      <c r="K18" s="282"/>
      <c r="L18" s="282"/>
      <c r="M18" s="282"/>
      <c r="N18" s="282"/>
      <c r="O18" s="282"/>
      <c r="P18" s="282"/>
      <c r="Q18" s="282"/>
      <c r="R18" s="282"/>
      <c r="S18" s="282"/>
      <c r="T18" s="282"/>
      <c r="U18" s="282"/>
      <c r="V18" s="282"/>
      <c r="W18" s="282"/>
      <c r="X18" s="282"/>
      <c r="Y18" s="257"/>
    </row>
    <row r="19" spans="1:25" ht="14.25" thickBot="1" thickTop="1">
      <c r="A19" s="259" t="s">
        <v>171</v>
      </c>
      <c r="B19" s="286">
        <f>+D36</f>
        <v>20397.916666666668</v>
      </c>
      <c r="O19" s="576" t="s">
        <v>172</v>
      </c>
      <c r="P19" s="576"/>
      <c r="Q19" s="576"/>
      <c r="R19" s="576"/>
      <c r="Y19" s="257"/>
    </row>
    <row r="20" spans="1:25" ht="14.25" thickBot="1" thickTop="1">
      <c r="A20" s="259" t="s">
        <v>173</v>
      </c>
      <c r="B20" s="287">
        <f>ROUND(+P36/(SUM(D24:D35)),2)</f>
        <v>2.62</v>
      </c>
      <c r="D20" s="266"/>
      <c r="O20" s="577" t="s">
        <v>174</v>
      </c>
      <c r="P20" s="577"/>
      <c r="Q20" s="577"/>
      <c r="R20" s="577"/>
      <c r="Y20" s="257"/>
    </row>
    <row r="21" spans="4:25" ht="13.5" thickTop="1">
      <c r="D21" s="266"/>
      <c r="Q21" s="266" t="s">
        <v>71</v>
      </c>
      <c r="T21" s="266"/>
      <c r="V21" s="266"/>
      <c r="X21" s="266"/>
      <c r="Y21" s="257"/>
    </row>
    <row r="22" spans="1:25" ht="12.75">
      <c r="A22" s="259"/>
      <c r="D22" s="266" t="s">
        <v>7</v>
      </c>
      <c r="P22" s="266"/>
      <c r="Q22" s="266" t="s">
        <v>176</v>
      </c>
      <c r="R22" s="266" t="s">
        <v>177</v>
      </c>
      <c r="S22" s="288"/>
      <c r="T22" s="266" t="s">
        <v>178</v>
      </c>
      <c r="V22" s="266" t="s">
        <v>179</v>
      </c>
      <c r="X22" s="266" t="s">
        <v>7</v>
      </c>
      <c r="Y22" s="257"/>
    </row>
    <row r="23" spans="4:25" ht="12.75">
      <c r="D23" s="265" t="s">
        <v>73</v>
      </c>
      <c r="P23" s="265" t="s">
        <v>155</v>
      </c>
      <c r="Q23" s="289">
        <v>0.35</v>
      </c>
      <c r="R23" s="265" t="s">
        <v>155</v>
      </c>
      <c r="S23" s="265" t="s">
        <v>180</v>
      </c>
      <c r="T23" s="265" t="s">
        <v>62</v>
      </c>
      <c r="V23" s="265" t="s">
        <v>181</v>
      </c>
      <c r="X23" s="265" t="s">
        <v>182</v>
      </c>
      <c r="Y23" s="257"/>
    </row>
    <row r="24" spans="1:25" ht="12.75">
      <c r="A24" s="290" t="s">
        <v>278</v>
      </c>
      <c r="D24" s="292">
        <f>+'Customer Counts'!G18</f>
        <v>20308</v>
      </c>
      <c r="P24" s="293">
        <f>+'2014-2015 RSA'!J83</f>
        <v>62201.23116884983</v>
      </c>
      <c r="Q24" s="294">
        <f>-P24*0.38</f>
        <v>-23636.467844162937</v>
      </c>
      <c r="R24" s="293">
        <f>+Q24+P24+O24</f>
        <v>38564.76332468689</v>
      </c>
      <c r="S24" s="268">
        <f aca="true" t="shared" si="1" ref="S24:S35">R24/D24</f>
        <v>1.8989936638116454</v>
      </c>
      <c r="T24" s="295">
        <f>ROUND((SUM($E$41:$V$41)+R24)/(SUM($E$53:$V$53)+D24),2)</f>
        <v>2.69</v>
      </c>
      <c r="V24" s="268">
        <v>-1.13</v>
      </c>
      <c r="X24" s="294">
        <f aca="true" t="shared" si="2" ref="X24:X35">+V24*D24</f>
        <v>-22948.039999999997</v>
      </c>
      <c r="Y24" s="257"/>
    </row>
    <row r="25" spans="1:25" ht="12.75">
      <c r="A25" s="290" t="s">
        <v>10</v>
      </c>
      <c r="D25" s="292">
        <f>+'Customer Counts'!G19</f>
        <v>20302</v>
      </c>
      <c r="P25" s="293">
        <f>+'2014-2015 RSA'!J84</f>
        <v>57969.08791187023</v>
      </c>
      <c r="Q25" s="294">
        <f>-P25*0.38</f>
        <v>-22028.25340651069</v>
      </c>
      <c r="R25" s="293">
        <f aca="true" t="shared" si="3" ref="R25:R35">+Q25+P25+O25</f>
        <v>35940.83450535954</v>
      </c>
      <c r="S25" s="268">
        <f t="shared" si="1"/>
        <v>1.7703100436094739</v>
      </c>
      <c r="T25" s="295">
        <f>ROUND((SUM($E$41:$V$41)+R25+R24)/(SUM($E$53:$V$53)+D25+D24),2)</f>
        <v>2.69</v>
      </c>
      <c r="V25" s="268">
        <f>+V24</f>
        <v>-1.13</v>
      </c>
      <c r="X25" s="294">
        <f t="shared" si="2"/>
        <v>-22941.26</v>
      </c>
      <c r="Y25" s="257"/>
    </row>
    <row r="26" spans="1:25" ht="12.75">
      <c r="A26" s="290" t="s">
        <v>11</v>
      </c>
      <c r="D26" s="292">
        <f>+'Customer Counts'!G20</f>
        <v>20263</v>
      </c>
      <c r="P26" s="293">
        <f>+'2014-2015 RSA'!J85</f>
        <v>73057.8904214978</v>
      </c>
      <c r="Q26" s="294">
        <f>-P26*0.38</f>
        <v>-27761.998360169164</v>
      </c>
      <c r="R26" s="293">
        <f t="shared" si="3"/>
        <v>45295.89206132863</v>
      </c>
      <c r="S26" s="268">
        <f t="shared" si="1"/>
        <v>2.235399104837814</v>
      </c>
      <c r="T26" s="295">
        <f>ROUND((SUM($E$41:$V$41)+R26+R25+R24)/(SUM($E$53:$V$53)+D26+D25+D24),2)</f>
        <v>2.69</v>
      </c>
      <c r="V26" s="268">
        <f>+V25</f>
        <v>-1.13</v>
      </c>
      <c r="X26" s="294">
        <f t="shared" si="2"/>
        <v>-22897.19</v>
      </c>
      <c r="Y26" s="257"/>
    </row>
    <row r="27" spans="1:25" ht="12.75">
      <c r="A27" s="290" t="s">
        <v>279</v>
      </c>
      <c r="D27" s="292">
        <f>+'Customer Counts'!G21</f>
        <v>20246</v>
      </c>
      <c r="P27" s="293">
        <f>+'2014-2015 RSA'!J86</f>
        <v>61065.1330332735</v>
      </c>
      <c r="Q27" s="294">
        <f aca="true" t="shared" si="4" ref="Q27:Q35">-$Q$23*P27</f>
        <v>-21372.796561645726</v>
      </c>
      <c r="R27" s="293">
        <f t="shared" si="3"/>
        <v>39692.33647162777</v>
      </c>
      <c r="S27" s="268">
        <f t="shared" si="1"/>
        <v>1.960502641095909</v>
      </c>
      <c r="T27" s="295">
        <f>ROUND((SUM($E$41:$V$41)+R27+R26+R25+R24)/(SUM($E$53:$V$53)+D27+D26+D25+D24),2)</f>
        <v>2.68</v>
      </c>
      <c r="V27" s="268">
        <v>-1.52</v>
      </c>
      <c r="X27" s="294">
        <f t="shared" si="2"/>
        <v>-30773.920000000002</v>
      </c>
      <c r="Y27" s="257"/>
    </row>
    <row r="28" spans="1:25" ht="12.75">
      <c r="A28" s="290" t="s">
        <v>13</v>
      </c>
      <c r="D28" s="292">
        <f>+'Customer Counts'!G22</f>
        <v>20239</v>
      </c>
      <c r="P28" s="293">
        <f>+'2014-2015 RSA'!J87</f>
        <v>40335.31567206471</v>
      </c>
      <c r="Q28" s="294">
        <f t="shared" si="4"/>
        <v>-14117.360485222647</v>
      </c>
      <c r="R28" s="293">
        <f t="shared" si="3"/>
        <v>26217.95518684206</v>
      </c>
      <c r="S28" s="268">
        <f t="shared" si="1"/>
        <v>1.2954175199783615</v>
      </c>
      <c r="T28" s="295">
        <f>ROUND((SUM($E$41:$V$41)+R28+R27+R26+R25+R24)/(SUM($E$53:$V$53)+D28+D27+D26+D25+D24),2)</f>
        <v>2.68</v>
      </c>
      <c r="V28" s="268">
        <f aca="true" t="shared" si="5" ref="V28:V34">+V27</f>
        <v>-1.52</v>
      </c>
      <c r="X28" s="294">
        <f t="shared" si="2"/>
        <v>-30763.28</v>
      </c>
      <c r="Y28" s="257"/>
    </row>
    <row r="29" spans="1:25" ht="12.75">
      <c r="A29" s="290" t="s">
        <v>14</v>
      </c>
      <c r="D29" s="292">
        <f>+'Customer Counts'!G23</f>
        <v>20268</v>
      </c>
      <c r="P29" s="293">
        <f>+'2014-2015 RSA'!J88</f>
        <v>47366.766487107336</v>
      </c>
      <c r="Q29" s="294">
        <f t="shared" si="4"/>
        <v>-16578.36827048757</v>
      </c>
      <c r="R29" s="293">
        <f t="shared" si="3"/>
        <v>30788.398216619767</v>
      </c>
      <c r="S29" s="268">
        <f t="shared" si="1"/>
        <v>1.5190644472379993</v>
      </c>
      <c r="T29" s="295">
        <f>ROUND((SUM($E$41:$V$41)+R29+R28+R27+R26+R25+R24)/(SUM($E$53:$V$53)+D29+D28+D27+D26+D25+D24),2)</f>
        <v>2.67</v>
      </c>
      <c r="V29" s="268">
        <f t="shared" si="5"/>
        <v>-1.52</v>
      </c>
      <c r="X29" s="294">
        <f t="shared" si="2"/>
        <v>-30807.36</v>
      </c>
      <c r="Y29" s="257"/>
    </row>
    <row r="30" spans="1:25" ht="12.75">
      <c r="A30" s="290" t="s">
        <v>15</v>
      </c>
      <c r="D30" s="292">
        <f>+'Customer Counts'!G24</f>
        <v>20358</v>
      </c>
      <c r="P30" s="293">
        <f>+'2014-2015 RSA'!J89</f>
        <v>44338.910916036984</v>
      </c>
      <c r="Q30" s="294">
        <f t="shared" si="4"/>
        <v>-15518.618820612943</v>
      </c>
      <c r="R30" s="293">
        <f t="shared" si="3"/>
        <v>28820.29209542404</v>
      </c>
      <c r="S30" s="268">
        <f t="shared" si="1"/>
        <v>1.4156740394647824</v>
      </c>
      <c r="T30" s="295">
        <f>ROUND((SUM($E$41:$V$41)+R30+R29+R28+R27+R26+R25+R24)/(SUM($E$53:$V$53)+D30+D29+D28+D27+D26+D25+D24),2)</f>
        <v>2.67</v>
      </c>
      <c r="V30" s="268">
        <f t="shared" si="5"/>
        <v>-1.52</v>
      </c>
      <c r="X30" s="294">
        <f t="shared" si="2"/>
        <v>-30944.16</v>
      </c>
      <c r="Y30" s="257"/>
    </row>
    <row r="31" spans="1:25" ht="12.75">
      <c r="A31" s="290" t="s">
        <v>16</v>
      </c>
      <c r="D31" s="292">
        <f>+'Customer Counts'!G25</f>
        <v>20482</v>
      </c>
      <c r="P31" s="293">
        <f>+'2014-2015 RSA'!J90</f>
        <v>49955.46920522164</v>
      </c>
      <c r="Q31" s="294">
        <f t="shared" si="4"/>
        <v>-17484.414221827574</v>
      </c>
      <c r="R31" s="293">
        <f t="shared" si="3"/>
        <v>32471.054983394068</v>
      </c>
      <c r="S31" s="268">
        <f t="shared" si="1"/>
        <v>1.585345912674254</v>
      </c>
      <c r="T31" s="295">
        <f>ROUND((SUM($E$41:$V$41)+R31+R30+R29+R28+R27+R26+R25+R24)/(SUM($E$53:$V$53)+D31+D30+D29+D28+D27+D26+D25+D24),2)</f>
        <v>2.66</v>
      </c>
      <c r="V31" s="268">
        <f t="shared" si="5"/>
        <v>-1.52</v>
      </c>
      <c r="X31" s="294">
        <f t="shared" si="2"/>
        <v>-31132.64</v>
      </c>
      <c r="Y31" s="257"/>
    </row>
    <row r="32" spans="1:25" ht="12.75">
      <c r="A32" s="290" t="s">
        <v>47</v>
      </c>
      <c r="D32" s="292">
        <f>+'Customer Counts'!G26</f>
        <v>20526</v>
      </c>
      <c r="P32" s="293">
        <f>+'2014-2015 RSA'!J91</f>
        <v>50853.783115303835</v>
      </c>
      <c r="Q32" s="294">
        <f t="shared" si="4"/>
        <v>-17798.824090356342</v>
      </c>
      <c r="R32" s="293">
        <f t="shared" si="3"/>
        <v>33054.95902494749</v>
      </c>
      <c r="S32" s="268">
        <f t="shared" si="1"/>
        <v>1.610394573952426</v>
      </c>
      <c r="T32" s="295">
        <f>ROUND((SUM($E$41:$V$41)+R32+R31+R30+R29+R28+R27+R26+R25+R24)/(SUM($E$53:$V$53)+D32+D31+D30+D29+D28+D27+D26+D25+D24),2)</f>
        <v>2.66</v>
      </c>
      <c r="V32" s="268">
        <f t="shared" si="5"/>
        <v>-1.52</v>
      </c>
      <c r="X32" s="294">
        <f t="shared" si="2"/>
        <v>-31199.52</v>
      </c>
      <c r="Y32" s="257"/>
    </row>
    <row r="33" spans="1:25" ht="12.75">
      <c r="A33" s="290" t="s">
        <v>48</v>
      </c>
      <c r="D33" s="292">
        <f>+'Customer Counts'!G27</f>
        <v>20577</v>
      </c>
      <c r="P33" s="293">
        <f>+'2014-2015 RSA'!J92</f>
        <v>62372.486201689186</v>
      </c>
      <c r="Q33" s="294">
        <f t="shared" si="4"/>
        <v>-21830.370170591214</v>
      </c>
      <c r="R33" s="293">
        <f t="shared" si="3"/>
        <v>40542.116031097976</v>
      </c>
      <c r="S33" s="268">
        <f t="shared" si="1"/>
        <v>1.9702636939834755</v>
      </c>
      <c r="T33" s="295">
        <f>ROUND((SUM($E$41:$V$41)+R33+R32+R31+R30+R29+R28+R27+R26+R25+R24)/(SUM($E$53:$V$53)+D33+D32+D31+D30+D29+D28+D27+D26+D25+D24),2)</f>
        <v>2.66</v>
      </c>
      <c r="V33" s="268">
        <f t="shared" si="5"/>
        <v>-1.52</v>
      </c>
      <c r="X33" s="294">
        <f t="shared" si="2"/>
        <v>-31277.04</v>
      </c>
      <c r="Y33" s="257"/>
    </row>
    <row r="34" spans="1:25" ht="12.75">
      <c r="A34" s="290" t="s">
        <v>49</v>
      </c>
      <c r="D34" s="292">
        <f>+'Customer Counts'!G28</f>
        <v>20609</v>
      </c>
      <c r="P34" s="293">
        <f>+'2014-2015 RSA'!J93</f>
        <v>41914.7655412576</v>
      </c>
      <c r="Q34" s="294">
        <f t="shared" si="4"/>
        <v>-14670.167939440158</v>
      </c>
      <c r="R34" s="293">
        <f t="shared" si="3"/>
        <v>27244.59760181744</v>
      </c>
      <c r="S34" s="268">
        <f t="shared" si="1"/>
        <v>1.3219757194341035</v>
      </c>
      <c r="T34" s="295">
        <f>ROUND((SUM($E$41:$V$41)+R34+R33+R32+R31+R30+R29+R28+R27+R26+R25+R24)/(SUM($E$53:$V$53)+D34+D33+D32+D31+D30+D29+D28+D27+D26+D25+D24),2)</f>
        <v>2.65</v>
      </c>
      <c r="V34" s="268">
        <f t="shared" si="5"/>
        <v>-1.52</v>
      </c>
      <c r="X34" s="294">
        <f t="shared" si="2"/>
        <v>-31325.68</v>
      </c>
      <c r="Y34" s="257"/>
    </row>
    <row r="35" spans="1:25" ht="15">
      <c r="A35" s="290" t="s">
        <v>8</v>
      </c>
      <c r="D35" s="298">
        <f>+'Customer Counts'!G29</f>
        <v>20597</v>
      </c>
      <c r="O35" s="382"/>
      <c r="P35" s="299">
        <f>+'2014-2015 RSA'!J94</f>
        <v>48925.3696258176</v>
      </c>
      <c r="Q35" s="300">
        <f t="shared" si="4"/>
        <v>-17123.87936903616</v>
      </c>
      <c r="R35" s="299">
        <f t="shared" si="3"/>
        <v>31801.49025678144</v>
      </c>
      <c r="S35" s="268">
        <f t="shared" si="1"/>
        <v>1.5439865153557042</v>
      </c>
      <c r="T35" s="295">
        <f>ROUND((SUM($E$41:$V$41)+R35+R34+R33+R32+R31+R30+R29+R28+R27+R26+R25+R24)/(SUM($E$53:$V$53)+D35+D34+D33+D32+D31+D30+D29+D28+D27+D26+D25+D24),2)</f>
        <v>2.65</v>
      </c>
      <c r="V35" s="268">
        <f>+V34</f>
        <v>-1.52</v>
      </c>
      <c r="W35" s="382"/>
      <c r="X35" s="300">
        <f t="shared" si="2"/>
        <v>-31307.44</v>
      </c>
      <c r="Y35" s="257"/>
    </row>
    <row r="36" spans="1:25" ht="15">
      <c r="A36" s="301"/>
      <c r="D36" s="302">
        <f>AVERAGE(D24:D35)</f>
        <v>20397.916666666668</v>
      </c>
      <c r="P36" s="303">
        <f>SUM(P24:P35)</f>
        <v>640356.2092999902</v>
      </c>
      <c r="Q36" s="304">
        <f>SUM(Q24:Q35)</f>
        <v>-229921.51954006313</v>
      </c>
      <c r="R36" s="304">
        <f>SUM(R24:R35)</f>
        <v>410434.6897599271</v>
      </c>
      <c r="T36" s="259"/>
      <c r="U36" s="259"/>
      <c r="V36" s="305"/>
      <c r="X36" s="304">
        <f>SUM(X24:X35)</f>
        <v>-348317.52999999997</v>
      </c>
      <c r="Y36" s="257"/>
    </row>
    <row r="37" spans="1:25" ht="18.75" customHeight="1" thickBot="1">
      <c r="A37" s="564" t="s">
        <v>350</v>
      </c>
      <c r="D37" s="302"/>
      <c r="F37" s="303"/>
      <c r="G37" s="304"/>
      <c r="H37" s="304"/>
      <c r="J37" s="259"/>
      <c r="K37" s="259"/>
      <c r="L37" s="305"/>
      <c r="N37" s="304"/>
      <c r="O37" s="304"/>
      <c r="P37" s="304"/>
      <c r="Q37" s="304"/>
      <c r="R37" s="304"/>
      <c r="S37" s="304"/>
      <c r="T37" s="304"/>
      <c r="U37" s="304"/>
      <c r="V37" s="304"/>
      <c r="W37" s="304"/>
      <c r="Y37" s="257"/>
    </row>
    <row r="38" spans="1:25" ht="12.75">
      <c r="A38" s="282"/>
      <c r="B38" s="282"/>
      <c r="C38" s="282"/>
      <c r="D38" s="282"/>
      <c r="E38" s="309"/>
      <c r="F38" s="310"/>
      <c r="G38" s="309"/>
      <c r="H38" s="309"/>
      <c r="I38" s="309"/>
      <c r="J38" s="309"/>
      <c r="K38" s="309"/>
      <c r="L38" s="309"/>
      <c r="M38" s="309"/>
      <c r="N38" s="309"/>
      <c r="O38" s="309"/>
      <c r="P38" s="309"/>
      <c r="Q38" s="309"/>
      <c r="R38" s="309"/>
      <c r="S38" s="309"/>
      <c r="T38" s="309"/>
      <c r="U38" s="309"/>
      <c r="V38" s="309"/>
      <c r="W38" s="309"/>
      <c r="X38" s="311"/>
      <c r="Y38" s="257"/>
    </row>
    <row r="39" spans="4:25" s="312" customFormat="1" ht="12.75">
      <c r="D39" s="313" t="s">
        <v>183</v>
      </c>
      <c r="E39" s="314" t="s">
        <v>184</v>
      </c>
      <c r="F39" s="314" t="s">
        <v>185</v>
      </c>
      <c r="G39" s="314" t="s">
        <v>186</v>
      </c>
      <c r="H39" s="314" t="s">
        <v>187</v>
      </c>
      <c r="I39" s="314" t="s">
        <v>188</v>
      </c>
      <c r="J39" s="313" t="s">
        <v>189</v>
      </c>
      <c r="K39" s="313" t="s">
        <v>190</v>
      </c>
      <c r="L39" s="313" t="s">
        <v>191</v>
      </c>
      <c r="M39" s="313" t="s">
        <v>192</v>
      </c>
      <c r="N39" s="313" t="s">
        <v>193</v>
      </c>
      <c r="O39" s="313" t="s">
        <v>194</v>
      </c>
      <c r="P39" s="313" t="s">
        <v>195</v>
      </c>
      <c r="Q39" s="313" t="s">
        <v>196</v>
      </c>
      <c r="R39" s="313" t="s">
        <v>197</v>
      </c>
      <c r="S39" s="313" t="s">
        <v>198</v>
      </c>
      <c r="T39" s="313" t="s">
        <v>199</v>
      </c>
      <c r="U39" s="313" t="s">
        <v>200</v>
      </c>
      <c r="V39" s="313" t="s">
        <v>201</v>
      </c>
      <c r="W39" s="313" t="s">
        <v>276</v>
      </c>
      <c r="X39" s="315" t="s">
        <v>178</v>
      </c>
      <c r="Y39" s="316"/>
    </row>
    <row r="40" spans="1:25" ht="12.75">
      <c r="A40" s="317"/>
      <c r="B40" s="318"/>
      <c r="C40" s="319"/>
      <c r="D40" s="320" t="s">
        <v>202</v>
      </c>
      <c r="E40" s="321" t="s">
        <v>203</v>
      </c>
      <c r="F40" s="321" t="s">
        <v>204</v>
      </c>
      <c r="G40" s="321" t="s">
        <v>205</v>
      </c>
      <c r="H40" s="321" t="s">
        <v>206</v>
      </c>
      <c r="I40" s="321" t="s">
        <v>207</v>
      </c>
      <c r="J40" s="321" t="s">
        <v>208</v>
      </c>
      <c r="K40" s="321" t="s">
        <v>209</v>
      </c>
      <c r="L40" s="321" t="s">
        <v>210</v>
      </c>
      <c r="M40" s="321" t="s">
        <v>211</v>
      </c>
      <c r="N40" s="321" t="s">
        <v>212</v>
      </c>
      <c r="O40" s="321" t="s">
        <v>213</v>
      </c>
      <c r="P40" s="321" t="s">
        <v>214</v>
      </c>
      <c r="Q40" s="321" t="s">
        <v>215</v>
      </c>
      <c r="R40" s="321" t="s">
        <v>216</v>
      </c>
      <c r="S40" s="321" t="s">
        <v>217</v>
      </c>
      <c r="T40" s="321" t="s">
        <v>218</v>
      </c>
      <c r="U40" s="321" t="s">
        <v>219</v>
      </c>
      <c r="V40" s="321" t="s">
        <v>220</v>
      </c>
      <c r="W40" s="321" t="s">
        <v>277</v>
      </c>
      <c r="X40" s="322" t="s">
        <v>7</v>
      </c>
      <c r="Y40" s="257"/>
    </row>
    <row r="41" spans="1:27" ht="12.75">
      <c r="A41" s="256" t="s">
        <v>221</v>
      </c>
      <c r="C41" s="323"/>
      <c r="E41" s="294">
        <v>262090</v>
      </c>
      <c r="F41" s="294">
        <v>390585</v>
      </c>
      <c r="G41" s="294">
        <v>374749</v>
      </c>
      <c r="H41" s="294">
        <v>488766</v>
      </c>
      <c r="I41" s="294">
        <v>657293</v>
      </c>
      <c r="J41" s="294">
        <v>577893</v>
      </c>
      <c r="K41" s="294">
        <v>648218</v>
      </c>
      <c r="L41" s="294">
        <v>687608</v>
      </c>
      <c r="M41" s="324">
        <v>835612</v>
      </c>
      <c r="N41" s="324">
        <v>890278</v>
      </c>
      <c r="O41" s="324">
        <v>854851</v>
      </c>
      <c r="P41" s="324">
        <v>877681</v>
      </c>
      <c r="Q41" s="324">
        <v>601344</v>
      </c>
      <c r="R41" s="324">
        <v>673205</v>
      </c>
      <c r="S41" s="324">
        <v>1370720</v>
      </c>
      <c r="T41" s="324">
        <v>988545.3416898585</v>
      </c>
      <c r="U41" s="324">
        <v>855100.9461607286</v>
      </c>
      <c r="V41" s="324">
        <f>SUM('2014-2015 RSA'!J71:J82)</f>
        <v>769844.0655732261</v>
      </c>
      <c r="W41" s="324">
        <f>+P36</f>
        <v>640356.2092999902</v>
      </c>
      <c r="X41" s="325">
        <f>SUM(E41:W41)</f>
        <v>13444739.562723804</v>
      </c>
      <c r="Y41" s="257"/>
      <c r="AA41" s="293"/>
    </row>
    <row r="42" spans="3:25" ht="12.75">
      <c r="C42" s="323"/>
      <c r="E42" s="326"/>
      <c r="F42" s="294"/>
      <c r="G42" s="294"/>
      <c r="H42" s="294"/>
      <c r="I42" s="294"/>
      <c r="J42" s="294"/>
      <c r="K42" s="294"/>
      <c r="L42" s="294"/>
      <c r="M42" s="294"/>
      <c r="N42" s="294"/>
      <c r="O42" s="294"/>
      <c r="P42" s="294"/>
      <c r="Q42" s="294"/>
      <c r="R42" s="294"/>
      <c r="S42" s="294"/>
      <c r="T42" s="294"/>
      <c r="U42" s="294"/>
      <c r="V42" s="294"/>
      <c r="W42" s="294"/>
      <c r="X42" s="325"/>
      <c r="Y42" s="257"/>
    </row>
    <row r="43" spans="1:25" ht="12.75">
      <c r="A43" s="327" t="s">
        <v>222</v>
      </c>
      <c r="C43" s="328"/>
      <c r="E43" s="326"/>
      <c r="F43" s="294"/>
      <c r="G43" s="294"/>
      <c r="H43" s="294"/>
      <c r="I43" s="294"/>
      <c r="J43" s="294"/>
      <c r="K43" s="294"/>
      <c r="L43" s="292">
        <v>-178288.5</v>
      </c>
      <c r="M43" s="329">
        <v>-250683.6</v>
      </c>
      <c r="N43" s="329">
        <v>-267083.4</v>
      </c>
      <c r="O43" s="329">
        <v>-256455.3</v>
      </c>
      <c r="P43" s="329">
        <v>-263304.3</v>
      </c>
      <c r="Q43" s="329">
        <v>-180403.2</v>
      </c>
      <c r="R43" s="329">
        <v>-201962</v>
      </c>
      <c r="S43" s="329">
        <v>-638737.6</v>
      </c>
      <c r="T43" s="329">
        <v>-358144.36178805935</v>
      </c>
      <c r="U43" s="329">
        <v>-306024.4160326531</v>
      </c>
      <c r="V43" s="329">
        <v>-275350</v>
      </c>
      <c r="W43" s="329">
        <f>+Q36</f>
        <v>-229921.51954006313</v>
      </c>
      <c r="X43" s="330">
        <f>SUM(E43:W43)</f>
        <v>-3406358.1973607754</v>
      </c>
      <c r="Y43" s="257"/>
    </row>
    <row r="44" spans="3:25" ht="12.75">
      <c r="C44" s="323"/>
      <c r="E44" s="326"/>
      <c r="F44" s="294"/>
      <c r="G44" s="294"/>
      <c r="H44" s="294"/>
      <c r="I44" s="294"/>
      <c r="J44" s="294"/>
      <c r="K44" s="294"/>
      <c r="L44" s="294"/>
      <c r="M44" s="294"/>
      <c r="N44" s="326"/>
      <c r="O44" s="326"/>
      <c r="P44" s="326"/>
      <c r="Q44" s="326"/>
      <c r="R44" s="326"/>
      <c r="S44" s="326"/>
      <c r="T44" s="326"/>
      <c r="U44" s="326"/>
      <c r="V44" s="326"/>
      <c r="W44" s="326"/>
      <c r="X44" s="325"/>
      <c r="Y44" s="257"/>
    </row>
    <row r="45" spans="1:25" ht="12.75">
      <c r="A45" s="256" t="s">
        <v>223</v>
      </c>
      <c r="C45" s="323"/>
      <c r="E45" s="331">
        <v>-410726</v>
      </c>
      <c r="F45" s="331">
        <v>-202603</v>
      </c>
      <c r="G45" s="331">
        <v>-545358</v>
      </c>
      <c r="H45" s="331">
        <v>-282869</v>
      </c>
      <c r="I45" s="332">
        <v>-564399</v>
      </c>
      <c r="J45" s="332">
        <v>-785801</v>
      </c>
      <c r="K45" s="332">
        <v>-630366</v>
      </c>
      <c r="L45" s="332">
        <v>-424143.14</v>
      </c>
      <c r="M45" s="332">
        <v>-542753.27</v>
      </c>
      <c r="N45" s="332">
        <v>-691911.65</v>
      </c>
      <c r="O45" s="332">
        <v>-623058.7511999998</v>
      </c>
      <c r="P45" s="332">
        <v>-518173.38</v>
      </c>
      <c r="Q45" s="332">
        <v>-675732.47</v>
      </c>
      <c r="R45" s="332">
        <v>-335425</v>
      </c>
      <c r="S45" s="332">
        <v>-464285.61999999994</v>
      </c>
      <c r="T45" s="332">
        <v>-1142645.5</v>
      </c>
      <c r="U45" s="332">
        <v>-606126.7</v>
      </c>
      <c r="V45" s="332">
        <v>-304881</v>
      </c>
      <c r="W45" s="332">
        <f>+X36</f>
        <v>-348317.52999999997</v>
      </c>
      <c r="X45" s="333">
        <f>SUM(E45:W45)</f>
        <v>-10099576.011199998</v>
      </c>
      <c r="Y45" s="257"/>
    </row>
    <row r="46" spans="3:25" ht="12.75">
      <c r="C46" s="323"/>
      <c r="E46" s="294"/>
      <c r="F46" s="294"/>
      <c r="G46" s="294"/>
      <c r="H46" s="294"/>
      <c r="I46" s="294"/>
      <c r="J46" s="294"/>
      <c r="K46" s="294"/>
      <c r="L46" s="294"/>
      <c r="M46" s="294"/>
      <c r="N46" s="294"/>
      <c r="O46" s="294"/>
      <c r="P46" s="294"/>
      <c r="Q46" s="294"/>
      <c r="R46" s="294"/>
      <c r="S46" s="294"/>
      <c r="T46" s="294"/>
      <c r="U46" s="294"/>
      <c r="V46" s="294"/>
      <c r="W46" s="294"/>
      <c r="X46" s="325"/>
      <c r="Y46" s="257"/>
    </row>
    <row r="47" spans="1:25" s="259" customFormat="1" ht="12.75">
      <c r="A47" s="259" t="s">
        <v>224</v>
      </c>
      <c r="E47" s="334">
        <f>SUM(E41:E45)</f>
        <v>-148636</v>
      </c>
      <c r="F47" s="334">
        <f aca="true" t="shared" si="6" ref="F47:R47">SUM(F41:F45)</f>
        <v>187982</v>
      </c>
      <c r="G47" s="334">
        <f t="shared" si="6"/>
        <v>-170609</v>
      </c>
      <c r="H47" s="334">
        <f t="shared" si="6"/>
        <v>205897</v>
      </c>
      <c r="I47" s="334">
        <f t="shared" si="6"/>
        <v>92894</v>
      </c>
      <c r="J47" s="334">
        <f t="shared" si="6"/>
        <v>-207908</v>
      </c>
      <c r="K47" s="334">
        <f t="shared" si="6"/>
        <v>17852</v>
      </c>
      <c r="L47" s="334">
        <f t="shared" si="6"/>
        <v>85176.35999999999</v>
      </c>
      <c r="M47" s="334">
        <f t="shared" si="6"/>
        <v>42175.130000000005</v>
      </c>
      <c r="N47" s="334">
        <f t="shared" si="6"/>
        <v>-68717.05000000005</v>
      </c>
      <c r="O47" s="334">
        <f t="shared" si="6"/>
        <v>-24663.05119999987</v>
      </c>
      <c r="P47" s="334">
        <f t="shared" si="6"/>
        <v>96203.31999999995</v>
      </c>
      <c r="Q47" s="334">
        <f t="shared" si="6"/>
        <v>-254791.66999999998</v>
      </c>
      <c r="R47" s="334">
        <f t="shared" si="6"/>
        <v>135818</v>
      </c>
      <c r="S47" s="334">
        <f>SUM(S41:S45)</f>
        <v>267696.7800000001</v>
      </c>
      <c r="T47" s="334">
        <f>SUM(T41:T45)</f>
        <v>-512244.5200982009</v>
      </c>
      <c r="U47" s="334">
        <f>SUM(U41:U45)</f>
        <v>-57050.169871924445</v>
      </c>
      <c r="V47" s="334">
        <f>SUM(V41:V45)</f>
        <v>189613.06557322608</v>
      </c>
      <c r="W47" s="334">
        <f>SUM(W41:W45)</f>
        <v>62117.15975992713</v>
      </c>
      <c r="X47" s="335">
        <f>SUM(E47:W47)</f>
        <v>-61194.64583697199</v>
      </c>
      <c r="Y47" s="280"/>
    </row>
    <row r="48" spans="1:25" ht="12.75">
      <c r="A48" s="259"/>
      <c r="E48" s="291"/>
      <c r="F48" s="291"/>
      <c r="G48" s="291"/>
      <c r="H48" s="291"/>
      <c r="I48" s="291"/>
      <c r="J48" s="291"/>
      <c r="K48" s="291"/>
      <c r="L48" s="291"/>
      <c r="M48" s="291"/>
      <c r="N48" s="291"/>
      <c r="O48" s="291"/>
      <c r="P48" s="291"/>
      <c r="Q48" s="291"/>
      <c r="R48" s="291"/>
      <c r="S48" s="291"/>
      <c r="T48" s="291"/>
      <c r="U48" s="291"/>
      <c r="V48" s="291"/>
      <c r="W48" s="291"/>
      <c r="X48" s="325"/>
      <c r="Y48" s="257"/>
    </row>
    <row r="49" spans="1:25" ht="12.75">
      <c r="A49" s="256" t="s">
        <v>228</v>
      </c>
      <c r="E49" s="339">
        <v>10</v>
      </c>
      <c r="F49" s="339">
        <v>12</v>
      </c>
      <c r="G49" s="339">
        <v>12</v>
      </c>
      <c r="H49" s="339">
        <v>12</v>
      </c>
      <c r="I49" s="339">
        <v>12</v>
      </c>
      <c r="J49" s="340">
        <v>13</v>
      </c>
      <c r="K49" s="340">
        <v>14</v>
      </c>
      <c r="L49" s="340">
        <v>12</v>
      </c>
      <c r="M49" s="340">
        <v>12</v>
      </c>
      <c r="N49" s="340">
        <v>12</v>
      </c>
      <c r="O49" s="340">
        <v>12</v>
      </c>
      <c r="P49" s="340">
        <v>12</v>
      </c>
      <c r="Q49" s="340">
        <v>12</v>
      </c>
      <c r="R49" s="340">
        <v>12</v>
      </c>
      <c r="S49" s="340">
        <v>16</v>
      </c>
      <c r="T49" s="341">
        <v>13</v>
      </c>
      <c r="U49" s="341">
        <v>12</v>
      </c>
      <c r="V49" s="341">
        <v>12</v>
      </c>
      <c r="W49" s="341">
        <v>12</v>
      </c>
      <c r="X49" s="342">
        <v>12</v>
      </c>
      <c r="Y49" s="257"/>
    </row>
    <row r="50" spans="1:25" s="259" customFormat="1" ht="12.75">
      <c r="A50" s="259" t="s">
        <v>229</v>
      </c>
      <c r="E50" s="334">
        <f>+E47/E49</f>
        <v>-14863.6</v>
      </c>
      <c r="F50" s="334">
        <f aca="true" t="shared" si="7" ref="F50:X50">+F47/F49</f>
        <v>15665.166666666666</v>
      </c>
      <c r="G50" s="334">
        <f t="shared" si="7"/>
        <v>-14217.416666666666</v>
      </c>
      <c r="H50" s="334">
        <f t="shared" si="7"/>
        <v>17158.083333333332</v>
      </c>
      <c r="I50" s="334">
        <f t="shared" si="7"/>
        <v>7741.166666666667</v>
      </c>
      <c r="J50" s="334">
        <f t="shared" si="7"/>
        <v>-15992.923076923076</v>
      </c>
      <c r="K50" s="334">
        <f t="shared" si="7"/>
        <v>1275.142857142857</v>
      </c>
      <c r="L50" s="334">
        <f t="shared" si="7"/>
        <v>7098.029999999999</v>
      </c>
      <c r="M50" s="334">
        <f t="shared" si="7"/>
        <v>3514.594166666667</v>
      </c>
      <c r="N50" s="334">
        <f t="shared" si="7"/>
        <v>-5726.420833333337</v>
      </c>
      <c r="O50" s="334">
        <f t="shared" si="7"/>
        <v>-2055.254266666656</v>
      </c>
      <c r="P50" s="334">
        <f t="shared" si="7"/>
        <v>8016.943333333329</v>
      </c>
      <c r="Q50" s="334">
        <f t="shared" si="7"/>
        <v>-21232.639166666664</v>
      </c>
      <c r="R50" s="334">
        <f t="shared" si="7"/>
        <v>11318.166666666666</v>
      </c>
      <c r="S50" s="334">
        <f t="shared" si="7"/>
        <v>16731.048750000005</v>
      </c>
      <c r="T50" s="334">
        <f t="shared" si="7"/>
        <v>-39403.42462293853</v>
      </c>
      <c r="U50" s="334">
        <f t="shared" si="7"/>
        <v>-4754.180822660371</v>
      </c>
      <c r="V50" s="334">
        <f t="shared" si="7"/>
        <v>15801.08879776884</v>
      </c>
      <c r="W50" s="334">
        <f t="shared" si="7"/>
        <v>5176.429979993928</v>
      </c>
      <c r="X50" s="334">
        <f t="shared" si="7"/>
        <v>-5099.553819747666</v>
      </c>
      <c r="Y50" s="280"/>
    </row>
    <row r="51" spans="1:25" ht="12.75">
      <c r="A51" s="259"/>
      <c r="F51" s="301"/>
      <c r="X51" s="325"/>
      <c r="Y51" s="257"/>
    </row>
    <row r="52" spans="1:25" ht="13.5" thickBot="1">
      <c r="A52" s="256" t="s">
        <v>230</v>
      </c>
      <c r="C52" s="323"/>
      <c r="D52" s="323"/>
      <c r="E52" s="339">
        <v>19015</v>
      </c>
      <c r="F52" s="339">
        <v>19513</v>
      </c>
      <c r="G52" s="339">
        <v>20215</v>
      </c>
      <c r="H52" s="339">
        <v>20447</v>
      </c>
      <c r="I52" s="339">
        <v>20711.674242424244</v>
      </c>
      <c r="J52" s="339">
        <v>21314</v>
      </c>
      <c r="K52" s="339">
        <v>22270</v>
      </c>
      <c r="L52" s="343">
        <v>23056.666666666668</v>
      </c>
      <c r="M52" s="343">
        <v>24000.25</v>
      </c>
      <c r="N52" s="343">
        <v>24843.083333333332</v>
      </c>
      <c r="O52" s="343">
        <v>23590</v>
      </c>
      <c r="P52" s="343">
        <v>20465</v>
      </c>
      <c r="Q52" s="343">
        <v>20537</v>
      </c>
      <c r="R52" s="343">
        <v>20666</v>
      </c>
      <c r="S52" s="343">
        <v>20890.916666666668</v>
      </c>
      <c r="T52" s="343">
        <v>21113</v>
      </c>
      <c r="U52" s="343">
        <v>21536</v>
      </c>
      <c r="V52" s="343">
        <v>20705</v>
      </c>
      <c r="W52" s="343">
        <f>+D36</f>
        <v>20397.916666666668</v>
      </c>
      <c r="X52" s="344">
        <f>+W52</f>
        <v>20397.916666666668</v>
      </c>
      <c r="Y52" s="257"/>
    </row>
    <row r="53" spans="5:25" ht="12.75">
      <c r="E53" s="345">
        <f aca="true" t="shared" si="8" ref="E53:W53">E52*E49</f>
        <v>190150</v>
      </c>
      <c r="F53" s="345">
        <f t="shared" si="8"/>
        <v>234156</v>
      </c>
      <c r="G53" s="345">
        <f t="shared" si="8"/>
        <v>242580</v>
      </c>
      <c r="H53" s="345">
        <f t="shared" si="8"/>
        <v>245364</v>
      </c>
      <c r="I53" s="345">
        <f t="shared" si="8"/>
        <v>248540.09090909094</v>
      </c>
      <c r="J53" s="345">
        <f t="shared" si="8"/>
        <v>277082</v>
      </c>
      <c r="K53" s="345">
        <f t="shared" si="8"/>
        <v>311780</v>
      </c>
      <c r="L53" s="345">
        <f t="shared" si="8"/>
        <v>276680</v>
      </c>
      <c r="M53" s="345">
        <f t="shared" si="8"/>
        <v>288003</v>
      </c>
      <c r="N53" s="345">
        <f t="shared" si="8"/>
        <v>298117</v>
      </c>
      <c r="O53" s="345">
        <f t="shared" si="8"/>
        <v>283080</v>
      </c>
      <c r="P53" s="345">
        <f t="shared" si="8"/>
        <v>245580</v>
      </c>
      <c r="Q53" s="345">
        <f t="shared" si="8"/>
        <v>246444</v>
      </c>
      <c r="R53" s="345">
        <f t="shared" si="8"/>
        <v>247992</v>
      </c>
      <c r="S53" s="345">
        <f t="shared" si="8"/>
        <v>334254.6666666667</v>
      </c>
      <c r="T53" s="345">
        <f t="shared" si="8"/>
        <v>274469</v>
      </c>
      <c r="U53" s="345">
        <f t="shared" si="8"/>
        <v>258432</v>
      </c>
      <c r="V53" s="345">
        <f t="shared" si="8"/>
        <v>248460</v>
      </c>
      <c r="W53" s="345">
        <f t="shared" si="8"/>
        <v>244775</v>
      </c>
      <c r="X53" s="346">
        <f>X52*X49</f>
        <v>244775</v>
      </c>
      <c r="Y53" s="257"/>
    </row>
    <row r="54" spans="1:25" ht="13.5" thickBot="1">
      <c r="A54" s="259" t="s">
        <v>231</v>
      </c>
      <c r="D54" s="268"/>
      <c r="E54" s="274">
        <f aca="true" t="shared" si="9" ref="E54:X54">ROUND(E50/E52,2)</f>
        <v>-0.78</v>
      </c>
      <c r="F54" s="274">
        <f t="shared" si="9"/>
        <v>0.8</v>
      </c>
      <c r="G54" s="274">
        <f t="shared" si="9"/>
        <v>-0.7</v>
      </c>
      <c r="H54" s="274">
        <f t="shared" si="9"/>
        <v>0.84</v>
      </c>
      <c r="I54" s="274">
        <f t="shared" si="9"/>
        <v>0.37</v>
      </c>
      <c r="J54" s="274">
        <f t="shared" si="9"/>
        <v>-0.75</v>
      </c>
      <c r="K54" s="274">
        <f t="shared" si="9"/>
        <v>0.06</v>
      </c>
      <c r="L54" s="274">
        <f t="shared" si="9"/>
        <v>0.31</v>
      </c>
      <c r="M54" s="274">
        <f t="shared" si="9"/>
        <v>0.15</v>
      </c>
      <c r="N54" s="274">
        <f t="shared" si="9"/>
        <v>-0.23</v>
      </c>
      <c r="O54" s="274">
        <f t="shared" si="9"/>
        <v>-0.09</v>
      </c>
      <c r="P54" s="274">
        <f t="shared" si="9"/>
        <v>0.39</v>
      </c>
      <c r="Q54" s="274">
        <f t="shared" si="9"/>
        <v>-1.03</v>
      </c>
      <c r="R54" s="274">
        <f t="shared" si="9"/>
        <v>0.55</v>
      </c>
      <c r="S54" s="274">
        <f t="shared" si="9"/>
        <v>0.8</v>
      </c>
      <c r="T54" s="274">
        <f t="shared" si="9"/>
        <v>-1.87</v>
      </c>
      <c r="U54" s="274">
        <f t="shared" si="9"/>
        <v>-0.22</v>
      </c>
      <c r="V54" s="274">
        <f t="shared" si="9"/>
        <v>0.76</v>
      </c>
      <c r="W54" s="274">
        <f t="shared" si="9"/>
        <v>0.25</v>
      </c>
      <c r="X54" s="347">
        <f t="shared" si="9"/>
        <v>-0.25</v>
      </c>
      <c r="Y54" s="257"/>
    </row>
    <row r="55" spans="4:25" ht="13.5" thickTop="1">
      <c r="D55" s="268"/>
      <c r="E55" s="268"/>
      <c r="F55" s="268"/>
      <c r="G55" s="268"/>
      <c r="H55" s="268"/>
      <c r="I55" s="268"/>
      <c r="J55" s="268"/>
      <c r="K55" s="268"/>
      <c r="L55" s="268"/>
      <c r="M55" s="268"/>
      <c r="N55" s="268"/>
      <c r="O55" s="268"/>
      <c r="P55" s="268"/>
      <c r="Q55" s="268"/>
      <c r="R55" s="268"/>
      <c r="S55" s="268"/>
      <c r="T55" s="268"/>
      <c r="U55" s="268"/>
      <c r="V55" s="268"/>
      <c r="W55" s="268"/>
      <c r="X55" s="325"/>
      <c r="Y55" s="257"/>
    </row>
    <row r="56" spans="1:25" ht="12.75">
      <c r="A56" s="348" t="s">
        <v>232</v>
      </c>
      <c r="B56" s="262"/>
      <c r="C56" s="262"/>
      <c r="D56" s="268"/>
      <c r="E56" s="268"/>
      <c r="F56" s="268"/>
      <c r="G56" s="268"/>
      <c r="H56" s="268"/>
      <c r="I56" s="268"/>
      <c r="J56" s="268"/>
      <c r="K56" s="268"/>
      <c r="L56" s="268"/>
      <c r="M56" s="268"/>
      <c r="N56" s="268"/>
      <c r="O56" s="268"/>
      <c r="P56" s="268"/>
      <c r="Q56" s="268"/>
      <c r="R56" s="268"/>
      <c r="S56" s="268"/>
      <c r="T56" s="268"/>
      <c r="U56" s="268"/>
      <c r="V56" s="268"/>
      <c r="W56" s="268"/>
      <c r="X56" s="325"/>
      <c r="Y56" s="257"/>
    </row>
    <row r="57" spans="1:25" ht="12.75">
      <c r="A57" s="256" t="s">
        <v>233</v>
      </c>
      <c r="D57" s="268"/>
      <c r="E57" s="268">
        <v>1.26</v>
      </c>
      <c r="F57" s="268">
        <v>1.77</v>
      </c>
      <c r="G57" s="268">
        <v>1.46</v>
      </c>
      <c r="H57" s="268">
        <v>1.99</v>
      </c>
      <c r="I57" s="268">
        <v>2.490813520586243</v>
      </c>
      <c r="J57" s="268">
        <v>2.12</v>
      </c>
      <c r="K57" s="268">
        <v>2.19</v>
      </c>
      <c r="L57" s="268">
        <v>2.4852103513083708</v>
      </c>
      <c r="M57" s="268">
        <v>2.901400332635424</v>
      </c>
      <c r="N57" s="268">
        <v>2.986337578870041</v>
      </c>
      <c r="O57" s="268">
        <v>3.02</v>
      </c>
      <c r="P57" s="268">
        <v>3.57</v>
      </c>
      <c r="Q57" s="268">
        <v>2.44</v>
      </c>
      <c r="R57" s="268">
        <v>2.71</v>
      </c>
      <c r="S57" s="268">
        <v>4.5378892740465355</v>
      </c>
      <c r="T57" s="268">
        <v>3.605421713563053</v>
      </c>
      <c r="U57" s="268">
        <v>3.3087916255305188</v>
      </c>
      <c r="V57" s="268">
        <v>3.1</v>
      </c>
      <c r="W57" s="268">
        <f>B20</f>
        <v>2.62</v>
      </c>
      <c r="X57" s="349">
        <f>+W57</f>
        <v>2.62</v>
      </c>
      <c r="Y57" s="257"/>
    </row>
    <row r="58" spans="1:25" ht="12.75">
      <c r="A58" s="350" t="s">
        <v>234</v>
      </c>
      <c r="D58" s="268"/>
      <c r="E58" s="268"/>
      <c r="F58" s="268"/>
      <c r="G58" s="268"/>
      <c r="H58" s="268"/>
      <c r="I58" s="268"/>
      <c r="J58" s="268"/>
      <c r="K58" s="268"/>
      <c r="L58" s="268"/>
      <c r="M58" s="268"/>
      <c r="N58" s="268"/>
      <c r="O58" s="268"/>
      <c r="P58" s="268"/>
      <c r="Q58" s="268"/>
      <c r="R58" s="268"/>
      <c r="S58" s="268"/>
      <c r="T58" s="268"/>
      <c r="U58" s="268"/>
      <c r="V58" s="268"/>
      <c r="W58" s="268"/>
      <c r="X58" s="325"/>
      <c r="Y58" s="257"/>
    </row>
    <row r="59" spans="1:25" ht="12.75">
      <c r="A59" s="256" t="s">
        <v>231</v>
      </c>
      <c r="D59" s="278"/>
      <c r="E59" s="278">
        <v>-0.78</v>
      </c>
      <c r="F59" s="278">
        <v>0.8</v>
      </c>
      <c r="G59" s="278">
        <v>-0.7</v>
      </c>
      <c r="H59" s="278">
        <v>0.84</v>
      </c>
      <c r="I59" s="278">
        <v>0.37</v>
      </c>
      <c r="J59" s="278">
        <v>-0.75</v>
      </c>
      <c r="K59" s="278">
        <v>0.06</v>
      </c>
      <c r="L59" s="278">
        <v>0.31</v>
      </c>
      <c r="M59" s="278">
        <v>0.15</v>
      </c>
      <c r="N59" s="278">
        <v>-0.23</v>
      </c>
      <c r="O59" s="278">
        <v>-0.02</v>
      </c>
      <c r="P59" s="278">
        <v>0.39</v>
      </c>
      <c r="Q59" s="278">
        <v>-1.03</v>
      </c>
      <c r="R59" s="278">
        <v>0.55</v>
      </c>
      <c r="S59" s="278">
        <v>0.8</v>
      </c>
      <c r="T59" s="278">
        <f>+T54</f>
        <v>-1.87</v>
      </c>
      <c r="U59" s="278">
        <f>+U54</f>
        <v>-0.22</v>
      </c>
      <c r="V59" s="278">
        <f>+V54</f>
        <v>0.76</v>
      </c>
      <c r="W59" s="278">
        <f>+W54</f>
        <v>0.25</v>
      </c>
      <c r="X59" s="351">
        <f>+X54</f>
        <v>-0.25</v>
      </c>
      <c r="Y59" s="257"/>
    </row>
    <row r="60" spans="1:25" ht="13.5" thickBot="1">
      <c r="A60" s="256" t="s">
        <v>235</v>
      </c>
      <c r="D60" s="274">
        <v>2.16</v>
      </c>
      <c r="E60" s="274">
        <f aca="true" t="shared" si="10" ref="E60:R60">SUM(E57:E59)</f>
        <v>0.48</v>
      </c>
      <c r="F60" s="274">
        <f t="shared" si="10"/>
        <v>2.5700000000000003</v>
      </c>
      <c r="G60" s="274">
        <f t="shared" si="10"/>
        <v>0.76</v>
      </c>
      <c r="H60" s="274">
        <f t="shared" si="10"/>
        <v>2.83</v>
      </c>
      <c r="I60" s="274">
        <f t="shared" si="10"/>
        <v>2.8608135205862433</v>
      </c>
      <c r="J60" s="274">
        <f t="shared" si="10"/>
        <v>1.37</v>
      </c>
      <c r="K60" s="274">
        <f t="shared" si="10"/>
        <v>2.25</v>
      </c>
      <c r="L60" s="274">
        <f t="shared" si="10"/>
        <v>2.795210351308371</v>
      </c>
      <c r="M60" s="274">
        <f t="shared" si="10"/>
        <v>3.0514003326354238</v>
      </c>
      <c r="N60" s="274">
        <f t="shared" si="10"/>
        <v>2.756337578870041</v>
      </c>
      <c r="O60" s="274">
        <f t="shared" si="10"/>
        <v>3</v>
      </c>
      <c r="P60" s="274">
        <f t="shared" si="10"/>
        <v>3.96</v>
      </c>
      <c r="Q60" s="274">
        <f t="shared" si="10"/>
        <v>1.41</v>
      </c>
      <c r="R60" s="274">
        <f t="shared" si="10"/>
        <v>3.26</v>
      </c>
      <c r="S60" s="274">
        <f aca="true" t="shared" si="11" ref="S60:X60">SUM(S57:S59)</f>
        <v>5.337889274046535</v>
      </c>
      <c r="T60" s="274">
        <f t="shared" si="11"/>
        <v>1.7354217135630527</v>
      </c>
      <c r="U60" s="274">
        <f t="shared" si="11"/>
        <v>3.0887916255305186</v>
      </c>
      <c r="V60" s="274">
        <f t="shared" si="11"/>
        <v>3.8600000000000003</v>
      </c>
      <c r="W60" s="274">
        <f t="shared" si="11"/>
        <v>2.87</v>
      </c>
      <c r="X60" s="352">
        <f t="shared" si="11"/>
        <v>2.37</v>
      </c>
      <c r="Y60" s="257"/>
    </row>
    <row r="61" spans="4:25" ht="13.5" thickTop="1">
      <c r="D61" s="353"/>
      <c r="E61" s="353"/>
      <c r="F61" s="353"/>
      <c r="G61" s="353"/>
      <c r="H61" s="353"/>
      <c r="I61" s="353"/>
      <c r="J61" s="353"/>
      <c r="K61" s="353"/>
      <c r="L61" s="353"/>
      <c r="M61" s="353"/>
      <c r="N61" s="353"/>
      <c r="O61" s="353"/>
      <c r="P61" s="353"/>
      <c r="Q61" s="353"/>
      <c r="R61" s="353"/>
      <c r="S61" s="353"/>
      <c r="T61" s="353"/>
      <c r="U61" s="353"/>
      <c r="V61" s="353"/>
      <c r="W61" s="353"/>
      <c r="X61" s="354"/>
      <c r="Y61" s="257"/>
    </row>
    <row r="62" spans="1:25" ht="38.25">
      <c r="A62" s="355" t="s">
        <v>349</v>
      </c>
      <c r="C62" s="559">
        <f>+'2016-2017 KC Budget'!C18</f>
        <v>0.475</v>
      </c>
      <c r="D62" s="268"/>
      <c r="E62" s="268"/>
      <c r="F62" s="268"/>
      <c r="G62" s="268"/>
      <c r="H62" s="268"/>
      <c r="I62" s="268"/>
      <c r="J62" s="268"/>
      <c r="K62" s="268"/>
      <c r="L62" s="268"/>
      <c r="M62" s="268"/>
      <c r="N62" s="268"/>
      <c r="O62" s="268"/>
      <c r="P62" s="268"/>
      <c r="Q62" s="268"/>
      <c r="R62" s="268"/>
      <c r="S62" s="268"/>
      <c r="T62" s="268"/>
      <c r="U62" s="268"/>
      <c r="V62" s="268"/>
      <c r="W62" s="268"/>
      <c r="X62" s="356">
        <f>ROUND(-X57*C62,2)</f>
        <v>-1.24</v>
      </c>
      <c r="Y62" s="257"/>
    </row>
    <row r="63" spans="4:25" ht="12.75">
      <c r="D63" s="268"/>
      <c r="E63" s="268"/>
      <c r="F63" s="268"/>
      <c r="G63" s="268"/>
      <c r="H63" s="268"/>
      <c r="I63" s="268"/>
      <c r="J63" s="268"/>
      <c r="K63" s="268"/>
      <c r="L63" s="268"/>
      <c r="M63" s="268"/>
      <c r="N63" s="268"/>
      <c r="O63" s="268"/>
      <c r="P63" s="268"/>
      <c r="Q63" s="268"/>
      <c r="R63" s="268"/>
      <c r="S63" s="268"/>
      <c r="T63" s="268"/>
      <c r="U63" s="268"/>
      <c r="V63" s="268"/>
      <c r="W63" s="268"/>
      <c r="X63" s="325"/>
      <c r="Y63" s="257"/>
    </row>
    <row r="64" spans="1:26" ht="13.5" thickBot="1">
      <c r="A64" s="256" t="s">
        <v>236</v>
      </c>
      <c r="D64" s="274">
        <v>2.16</v>
      </c>
      <c r="E64" s="274">
        <v>0.61</v>
      </c>
      <c r="F64" s="274">
        <v>2.57</v>
      </c>
      <c r="G64" s="357">
        <v>0.87</v>
      </c>
      <c r="H64" s="358">
        <v>2.56</v>
      </c>
      <c r="I64" s="358">
        <v>2.89</v>
      </c>
      <c r="J64" s="358">
        <v>1.96</v>
      </c>
      <c r="K64" s="358">
        <v>1.45</v>
      </c>
      <c r="L64" s="358">
        <v>1.97</v>
      </c>
      <c r="M64" s="358">
        <v>2.39</v>
      </c>
      <c r="N64" s="358">
        <v>2.16</v>
      </c>
      <c r="O64" s="358">
        <v>2.1</v>
      </c>
      <c r="P64" s="358">
        <v>2.87</v>
      </c>
      <c r="Q64" s="358">
        <v>1.05</v>
      </c>
      <c r="R64" s="358">
        <v>1.505</v>
      </c>
      <c r="S64" s="358">
        <v>4.9</v>
      </c>
      <c r="T64" s="358">
        <v>1.5</v>
      </c>
      <c r="U64" s="358">
        <v>1.13</v>
      </c>
      <c r="V64" s="358">
        <v>1.52</v>
      </c>
      <c r="W64" s="358"/>
      <c r="X64" s="561">
        <f>+X62+X60</f>
        <v>1.1300000000000001</v>
      </c>
      <c r="Y64" s="257"/>
      <c r="Z64" s="267"/>
    </row>
    <row r="65" spans="4:25" ht="14.25" thickBot="1" thickTop="1">
      <c r="D65" s="353"/>
      <c r="E65" s="353"/>
      <c r="F65" s="353"/>
      <c r="G65" s="360"/>
      <c r="H65" s="353"/>
      <c r="I65" s="353"/>
      <c r="J65" s="353"/>
      <c r="K65" s="353"/>
      <c r="L65" s="353"/>
      <c r="M65" s="268"/>
      <c r="N65" s="268"/>
      <c r="O65" s="268"/>
      <c r="P65" s="268"/>
      <c r="Q65" s="268"/>
      <c r="R65" s="268"/>
      <c r="S65" s="268"/>
      <c r="T65" s="268"/>
      <c r="U65" s="268"/>
      <c r="V65" s="268"/>
      <c r="W65" s="268"/>
      <c r="X65" s="361"/>
      <c r="Y65" s="257"/>
    </row>
    <row r="66" spans="1:25" ht="13.5" thickBot="1">
      <c r="A66" s="256" t="s">
        <v>243</v>
      </c>
      <c r="D66" s="364"/>
      <c r="E66" s="366">
        <v>7810.308000000001</v>
      </c>
      <c r="F66" s="366">
        <v>8167.99</v>
      </c>
      <c r="G66" s="366">
        <v>8903.55</v>
      </c>
      <c r="H66" s="366">
        <v>9011.56</v>
      </c>
      <c r="I66" s="366">
        <v>8698.39223</v>
      </c>
      <c r="J66" s="366">
        <v>8345.086153846154</v>
      </c>
      <c r="K66" s="366">
        <v>7749.8657142857155</v>
      </c>
      <c r="L66" s="366">
        <v>10344.54</v>
      </c>
      <c r="M66" s="366">
        <v>10726.52</v>
      </c>
      <c r="N66" s="366">
        <v>10762.96</v>
      </c>
      <c r="O66" s="366">
        <v>9784.27</v>
      </c>
      <c r="P66" s="366">
        <v>8049.7</v>
      </c>
      <c r="Q66" s="366">
        <v>8059.959999999999</v>
      </c>
      <c r="R66" s="366">
        <v>8644.85</v>
      </c>
      <c r="S66" s="366">
        <v>11672.96</v>
      </c>
      <c r="T66" s="367">
        <v>8958.309894235463</v>
      </c>
      <c r="U66" s="367">
        <v>8289.830508989748</v>
      </c>
      <c r="V66" s="367">
        <v>7790.159877328698</v>
      </c>
      <c r="W66" s="367">
        <f>+W17</f>
        <v>7886.729999999999</v>
      </c>
      <c r="X66" s="368">
        <f>SUM(E66:W66)</f>
        <v>169657.5423786858</v>
      </c>
      <c r="Y66" s="257"/>
    </row>
    <row r="67" spans="4:25" ht="13.5" thickTop="1">
      <c r="D67" s="364"/>
      <c r="E67" s="369"/>
      <c r="F67" s="370">
        <f aca="true" t="shared" si="12" ref="F67:R67">+F66/E66-1</f>
        <v>0.045796145299263236</v>
      </c>
      <c r="G67" s="370">
        <f t="shared" si="12"/>
        <v>0.09005397900829948</v>
      </c>
      <c r="H67" s="370">
        <f t="shared" si="12"/>
        <v>0.012131116240151396</v>
      </c>
      <c r="I67" s="370">
        <f t="shared" si="12"/>
        <v>-0.034751782155364896</v>
      </c>
      <c r="J67" s="370">
        <f t="shared" si="12"/>
        <v>-0.040617399952984856</v>
      </c>
      <c r="K67" s="370">
        <f t="shared" si="12"/>
        <v>-0.07132585914479839</v>
      </c>
      <c r="L67" s="370">
        <f t="shared" si="12"/>
        <v>0.3348024832135339</v>
      </c>
      <c r="M67" s="370">
        <f t="shared" si="12"/>
        <v>0.036925759869457675</v>
      </c>
      <c r="N67" s="370">
        <f t="shared" si="12"/>
        <v>0.0033971875314640076</v>
      </c>
      <c r="O67" s="370">
        <f t="shared" si="12"/>
        <v>-0.0909313051428231</v>
      </c>
      <c r="P67" s="370">
        <f t="shared" si="12"/>
        <v>-0.17728149366278734</v>
      </c>
      <c r="Q67" s="370">
        <f t="shared" si="12"/>
        <v>0.0012745816614283534</v>
      </c>
      <c r="R67" s="370">
        <f t="shared" si="12"/>
        <v>0.0725673576543806</v>
      </c>
      <c r="S67" s="370">
        <f>+S66/16*12/R66-1</f>
        <v>0.01270930091326039</v>
      </c>
      <c r="T67" s="370">
        <f>+T66/13*16/S66-1</f>
        <v>-0.05545704110006622</v>
      </c>
      <c r="U67" s="370">
        <f>+U66/12*12/T66-1</f>
        <v>-0.07462114987514235</v>
      </c>
      <c r="V67" s="370">
        <f>+V66/12*12/U66-1</f>
        <v>-0.06027513241907556</v>
      </c>
      <c r="W67" s="370">
        <f>+W66/12*12/V66-1</f>
        <v>0.01239642371812466</v>
      </c>
      <c r="X67" s="365"/>
      <c r="Y67" s="257"/>
    </row>
    <row r="68" spans="1:25" ht="13.5" thickBot="1">
      <c r="A68" s="256" t="s">
        <v>244</v>
      </c>
      <c r="D68" s="364"/>
      <c r="E68" s="371">
        <f aca="true" t="shared" si="13" ref="E68:W68">+E52</f>
        <v>19015</v>
      </c>
      <c r="F68" s="371">
        <f t="shared" si="13"/>
        <v>19513</v>
      </c>
      <c r="G68" s="371">
        <f t="shared" si="13"/>
        <v>20215</v>
      </c>
      <c r="H68" s="371">
        <f t="shared" si="13"/>
        <v>20447</v>
      </c>
      <c r="I68" s="371">
        <f t="shared" si="13"/>
        <v>20711.674242424244</v>
      </c>
      <c r="J68" s="371">
        <f t="shared" si="13"/>
        <v>21314</v>
      </c>
      <c r="K68" s="371">
        <f t="shared" si="13"/>
        <v>22270</v>
      </c>
      <c r="L68" s="371">
        <f t="shared" si="13"/>
        <v>23056.666666666668</v>
      </c>
      <c r="M68" s="371">
        <f t="shared" si="13"/>
        <v>24000.25</v>
      </c>
      <c r="N68" s="371">
        <f t="shared" si="13"/>
        <v>24843.083333333332</v>
      </c>
      <c r="O68" s="371">
        <f t="shared" si="13"/>
        <v>23590</v>
      </c>
      <c r="P68" s="371">
        <f t="shared" si="13"/>
        <v>20465</v>
      </c>
      <c r="Q68" s="371">
        <f t="shared" si="13"/>
        <v>20537</v>
      </c>
      <c r="R68" s="371">
        <f t="shared" si="13"/>
        <v>20666</v>
      </c>
      <c r="S68" s="371">
        <f t="shared" si="13"/>
        <v>20890.916666666668</v>
      </c>
      <c r="T68" s="371">
        <f t="shared" si="13"/>
        <v>21113</v>
      </c>
      <c r="U68" s="371">
        <f t="shared" si="13"/>
        <v>21536</v>
      </c>
      <c r="V68" s="371">
        <f t="shared" si="13"/>
        <v>20705</v>
      </c>
      <c r="W68" s="371">
        <f t="shared" si="13"/>
        <v>20397.916666666668</v>
      </c>
      <c r="X68" s="372">
        <f>SUM(E68:W68)</f>
        <v>405286.5075757576</v>
      </c>
      <c r="Y68" s="257"/>
    </row>
    <row r="69" spans="5:25" ht="13.5" thickTop="1">
      <c r="E69" s="373"/>
      <c r="F69" s="370">
        <f>+F68/(E68)-1</f>
        <v>0.02618985011832753</v>
      </c>
      <c r="G69" s="370">
        <f aca="true" t="shared" si="14" ref="G69:V69">+G68/F68-1</f>
        <v>0.035976015989340526</v>
      </c>
      <c r="H69" s="370">
        <f t="shared" si="14"/>
        <v>0.011476626267623136</v>
      </c>
      <c r="I69" s="370">
        <f t="shared" si="14"/>
        <v>0.012944404676688226</v>
      </c>
      <c r="J69" s="370">
        <f t="shared" si="14"/>
        <v>0.02908146152385882</v>
      </c>
      <c r="K69" s="370">
        <f t="shared" si="14"/>
        <v>0.04485314816552499</v>
      </c>
      <c r="L69" s="370">
        <f t="shared" si="14"/>
        <v>0.03532405328543642</v>
      </c>
      <c r="M69" s="370">
        <f t="shared" si="14"/>
        <v>0.04092453375740912</v>
      </c>
      <c r="N69" s="370">
        <f t="shared" si="14"/>
        <v>0.03511768974628726</v>
      </c>
      <c r="O69" s="370">
        <f t="shared" si="14"/>
        <v>-0.050439927947751984</v>
      </c>
      <c r="P69" s="370">
        <f t="shared" si="14"/>
        <v>-0.13247138618058496</v>
      </c>
      <c r="Q69" s="370">
        <f t="shared" si="14"/>
        <v>0.0035182018079649158</v>
      </c>
      <c r="R69" s="370">
        <f t="shared" si="14"/>
        <v>0.006281345863563326</v>
      </c>
      <c r="S69" s="370">
        <f t="shared" si="14"/>
        <v>0.010883415594051371</v>
      </c>
      <c r="T69" s="370">
        <f t="shared" si="14"/>
        <v>0.010630616974681928</v>
      </c>
      <c r="U69" s="370">
        <f t="shared" si="14"/>
        <v>0.020035049495571444</v>
      </c>
      <c r="V69" s="370">
        <f t="shared" si="14"/>
        <v>-0.03858655274888556</v>
      </c>
      <c r="W69" s="370">
        <f>+W68/V68-1</f>
        <v>-0.014831361184898917</v>
      </c>
      <c r="Y69" s="257"/>
    </row>
    <row r="70" spans="1:25" ht="12.75">
      <c r="A70" s="256" t="s">
        <v>240</v>
      </c>
      <c r="B70" s="374"/>
      <c r="C70" s="374"/>
      <c r="D70" s="375"/>
      <c r="E70" s="376">
        <f aca="true" t="shared" si="15" ref="E70:X70">+E66*2000/E68/E49</f>
        <v>82.14891401525112</v>
      </c>
      <c r="F70" s="376">
        <f t="shared" si="15"/>
        <v>69.76537009515025</v>
      </c>
      <c r="G70" s="376">
        <f t="shared" si="15"/>
        <v>73.40712342320059</v>
      </c>
      <c r="H70" s="376">
        <f t="shared" si="15"/>
        <v>73.45462252001109</v>
      </c>
      <c r="I70" s="376">
        <f t="shared" si="15"/>
        <v>69.99588837506002</v>
      </c>
      <c r="J70" s="376">
        <f t="shared" si="15"/>
        <v>60.23549818354245</v>
      </c>
      <c r="K70" s="376">
        <f t="shared" si="15"/>
        <v>49.713680892204216</v>
      </c>
      <c r="L70" s="376">
        <f t="shared" si="15"/>
        <v>74.77620355645512</v>
      </c>
      <c r="M70" s="376">
        <f t="shared" si="15"/>
        <v>74.48894629569831</v>
      </c>
      <c r="N70" s="376">
        <f t="shared" si="15"/>
        <v>72.20628142641984</v>
      </c>
      <c r="O70" s="376">
        <f t="shared" si="15"/>
        <v>69.12724318213932</v>
      </c>
      <c r="P70" s="376">
        <f t="shared" si="15"/>
        <v>65.5566414203111</v>
      </c>
      <c r="Q70" s="376">
        <f t="shared" si="15"/>
        <v>65.4100728765967</v>
      </c>
      <c r="R70" s="376">
        <f t="shared" si="15"/>
        <v>69.7187812510081</v>
      </c>
      <c r="S70" s="376">
        <f t="shared" si="15"/>
        <v>69.84470922370568</v>
      </c>
      <c r="T70" s="376">
        <f t="shared" si="15"/>
        <v>65.27738938995269</v>
      </c>
      <c r="U70" s="376">
        <f t="shared" si="15"/>
        <v>64.15482996679782</v>
      </c>
      <c r="V70" s="376">
        <f t="shared" si="15"/>
        <v>62.70755757328099</v>
      </c>
      <c r="W70" s="376">
        <f t="shared" si="15"/>
        <v>64.44064957614134</v>
      </c>
      <c r="X70" s="377">
        <f t="shared" si="15"/>
        <v>69.76856257132813</v>
      </c>
      <c r="Y70" s="257"/>
    </row>
    <row r="71" spans="2:25" ht="12.75">
      <c r="B71" s="374"/>
      <c r="C71" s="374"/>
      <c r="D71" s="375"/>
      <c r="E71" s="379"/>
      <c r="F71" s="379"/>
      <c r="G71" s="379"/>
      <c r="H71" s="379"/>
      <c r="I71" s="379"/>
      <c r="J71" s="379"/>
      <c r="K71" s="379"/>
      <c r="L71" s="379"/>
      <c r="M71" s="379"/>
      <c r="N71" s="379"/>
      <c r="O71" s="379"/>
      <c r="P71" s="379"/>
      <c r="Q71" s="379"/>
      <c r="R71" s="379"/>
      <c r="S71" s="379"/>
      <c r="T71" s="379"/>
      <c r="U71" s="379"/>
      <c r="V71" s="379"/>
      <c r="W71" s="379"/>
      <c r="Y71" s="257"/>
    </row>
    <row r="72" spans="1:25" ht="12.75">
      <c r="A72" s="256" t="s">
        <v>241</v>
      </c>
      <c r="B72" s="374"/>
      <c r="C72" s="374"/>
      <c r="D72" s="375"/>
      <c r="E72" s="380">
        <f aca="true" t="shared" si="16" ref="E72:X72">+E41/E66</f>
        <v>33.5569352706705</v>
      </c>
      <c r="F72" s="380">
        <f t="shared" si="16"/>
        <v>47.818986066339455</v>
      </c>
      <c r="G72" s="380">
        <f t="shared" si="16"/>
        <v>42.08984056921116</v>
      </c>
      <c r="H72" s="380">
        <f t="shared" si="16"/>
        <v>54.23766806191159</v>
      </c>
      <c r="I72" s="380">
        <f t="shared" si="16"/>
        <v>75.56488401765255</v>
      </c>
      <c r="J72" s="380">
        <f t="shared" si="16"/>
        <v>69.24949477407802</v>
      </c>
      <c r="K72" s="380">
        <f t="shared" si="16"/>
        <v>83.64248154714569</v>
      </c>
      <c r="L72" s="380">
        <f t="shared" si="16"/>
        <v>66.47062121660315</v>
      </c>
      <c r="M72" s="380">
        <f t="shared" si="16"/>
        <v>77.90150020696368</v>
      </c>
      <c r="N72" s="380">
        <f t="shared" si="16"/>
        <v>82.71683626065693</v>
      </c>
      <c r="O72" s="380">
        <f t="shared" si="16"/>
        <v>87.36993153296055</v>
      </c>
      <c r="P72" s="380">
        <f t="shared" si="16"/>
        <v>109.03275898480689</v>
      </c>
      <c r="Q72" s="380">
        <f t="shared" si="16"/>
        <v>74.60880699159799</v>
      </c>
      <c r="R72" s="380">
        <f t="shared" si="16"/>
        <v>77.8735316402251</v>
      </c>
      <c r="S72" s="380">
        <f t="shared" si="16"/>
        <v>117.42694226657164</v>
      </c>
      <c r="T72" s="380">
        <f t="shared" si="16"/>
        <v>110.34953616931386</v>
      </c>
      <c r="U72" s="380">
        <f t="shared" si="16"/>
        <v>103.15059460304174</v>
      </c>
      <c r="V72" s="380">
        <f t="shared" si="16"/>
        <v>98.82262722407839</v>
      </c>
      <c r="W72" s="380">
        <f t="shared" si="16"/>
        <v>81.19413360163088</v>
      </c>
      <c r="X72" s="380">
        <f t="shared" si="16"/>
        <v>79.24634162573416</v>
      </c>
      <c r="Y72" s="257"/>
    </row>
    <row r="73" spans="2:25" ht="15">
      <c r="B73" s="374"/>
      <c r="C73" s="374"/>
      <c r="D73" s="375"/>
      <c r="E73" s="381"/>
      <c r="F73" s="381"/>
      <c r="G73" s="381"/>
      <c r="H73" s="381"/>
      <c r="I73" s="381"/>
      <c r="J73" s="381"/>
      <c r="K73" s="381"/>
      <c r="L73" s="381"/>
      <c r="M73" s="381"/>
      <c r="N73" s="381"/>
      <c r="O73" s="381"/>
      <c r="P73" s="381"/>
      <c r="Q73" s="381"/>
      <c r="R73" s="381"/>
      <c r="S73" s="381"/>
      <c r="T73" s="381"/>
      <c r="U73" s="381"/>
      <c r="V73" s="381"/>
      <c r="W73" s="381"/>
      <c r="Y73" s="257"/>
    </row>
  </sheetData>
  <sheetProtection/>
  <mergeCells count="2">
    <mergeCell ref="O19:R19"/>
    <mergeCell ref="O20:R20"/>
  </mergeCells>
  <printOptions/>
  <pageMargins left="0.7" right="0.7" top="0.5" bottom="0.5" header="0.3" footer="0.05"/>
  <pageSetup fitToHeight="1" fitToWidth="1" horizontalDpi="600" verticalDpi="600" orientation="landscape" scale="57" r:id="rId1"/>
  <headerFooter>
    <oddFooter>&amp;CPage &amp;P&amp;R&amp;A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D89"/>
  <sheetViews>
    <sheetView zoomScalePageLayoutView="0" workbookViewId="0" topLeftCell="A1">
      <selection activeCell="X25" sqref="X25"/>
    </sheetView>
  </sheetViews>
  <sheetFormatPr defaultColWidth="9.140625" defaultRowHeight="15"/>
  <cols>
    <col min="1" max="1" width="25.00390625" style="1" customWidth="1"/>
    <col min="2" max="2" width="10.00390625" style="1" customWidth="1"/>
    <col min="3" max="3" width="13.57421875" style="1" customWidth="1"/>
    <col min="4" max="4" width="10.421875" style="1" bestFit="1" customWidth="1"/>
    <col min="5" max="5" width="10.28125" style="1" hidden="1" customWidth="1"/>
    <col min="6" max="6" width="10.7109375" style="1" hidden="1" customWidth="1"/>
    <col min="7" max="7" width="14.140625" style="1" hidden="1" customWidth="1"/>
    <col min="8" max="9" width="10.28125" style="1" hidden="1" customWidth="1"/>
    <col min="10" max="10" width="11.28125" style="1" hidden="1" customWidth="1"/>
    <col min="11" max="14" width="10.28125" style="1" hidden="1" customWidth="1"/>
    <col min="15" max="15" width="12.7109375" style="1" customWidth="1"/>
    <col min="16" max="20" width="10.28125" style="1" bestFit="1" customWidth="1"/>
    <col min="21" max="23" width="10.28125" style="1" customWidth="1"/>
    <col min="24" max="24" width="12.28125" style="1" bestFit="1" customWidth="1"/>
    <col min="25" max="25" width="3.57421875" style="1" customWidth="1"/>
    <col min="26" max="26" width="9.140625" style="1" customWidth="1"/>
    <col min="27" max="27" width="9.7109375" style="1" bestFit="1" customWidth="1"/>
    <col min="28" max="16384" width="9.140625" style="1" customWidth="1"/>
  </cols>
  <sheetData>
    <row r="1" spans="1:30" ht="15">
      <c r="A1" s="253" t="s">
        <v>242</v>
      </c>
      <c r="B1" s="254"/>
      <c r="C1" s="254"/>
      <c r="D1" s="255"/>
      <c r="E1" s="256"/>
      <c r="F1" s="256"/>
      <c r="G1" s="256"/>
      <c r="H1" s="256"/>
      <c r="I1" s="256"/>
      <c r="J1" s="256"/>
      <c r="K1" s="256"/>
      <c r="L1" s="256"/>
      <c r="M1" s="256"/>
      <c r="N1" s="256"/>
      <c r="O1" s="256"/>
      <c r="P1" s="256"/>
      <c r="Q1" s="256"/>
      <c r="R1" s="256"/>
      <c r="S1" s="256"/>
      <c r="T1" s="256"/>
      <c r="U1" s="256"/>
      <c r="V1" s="256"/>
      <c r="W1" s="256"/>
      <c r="X1" s="256"/>
      <c r="Y1" s="257"/>
      <c r="Z1" s="256"/>
      <c r="AA1" s="256"/>
      <c r="AB1" s="256"/>
      <c r="AC1" s="256"/>
      <c r="AD1" s="256"/>
    </row>
    <row r="2" spans="1:30" ht="15">
      <c r="A2" s="258" t="s">
        <v>348</v>
      </c>
      <c r="B2" s="259"/>
      <c r="C2" s="259"/>
      <c r="D2" s="260"/>
      <c r="E2" s="256"/>
      <c r="F2" s="256"/>
      <c r="G2" s="256"/>
      <c r="H2" s="256"/>
      <c r="I2" s="256"/>
      <c r="J2" s="256"/>
      <c r="K2" s="256"/>
      <c r="L2" s="256"/>
      <c r="M2" s="256"/>
      <c r="N2" s="256"/>
      <c r="O2" s="256"/>
      <c r="P2" s="256"/>
      <c r="Q2" s="256"/>
      <c r="R2" s="256"/>
      <c r="S2" s="256"/>
      <c r="T2" s="256"/>
      <c r="U2" s="256"/>
      <c r="V2" s="256"/>
      <c r="W2" s="256"/>
      <c r="X2" s="256"/>
      <c r="Y2" s="257"/>
      <c r="Z2" s="256"/>
      <c r="AA2" s="256"/>
      <c r="AB2" s="256"/>
      <c r="AC2" s="256"/>
      <c r="AD2" s="256"/>
    </row>
    <row r="3" spans="1:30" ht="15">
      <c r="A3" s="261" t="s">
        <v>151</v>
      </c>
      <c r="B3" s="262"/>
      <c r="C3" s="262"/>
      <c r="D3" s="263"/>
      <c r="E3" s="256"/>
      <c r="F3" s="256"/>
      <c r="G3" s="256"/>
      <c r="H3" s="256"/>
      <c r="I3" s="256"/>
      <c r="J3" s="256"/>
      <c r="K3" s="256"/>
      <c r="L3" s="256"/>
      <c r="M3" s="256"/>
      <c r="N3" s="256"/>
      <c r="O3" s="256"/>
      <c r="P3" s="256"/>
      <c r="Q3" s="256"/>
      <c r="R3" s="256"/>
      <c r="S3" s="256"/>
      <c r="T3" s="256"/>
      <c r="U3" s="256"/>
      <c r="V3" s="256"/>
      <c r="W3" s="256"/>
      <c r="X3" s="256"/>
      <c r="Y3" s="257"/>
      <c r="Z3" s="256"/>
      <c r="AA3" s="256"/>
      <c r="AB3" s="256"/>
      <c r="AC3" s="256"/>
      <c r="AD3" s="256"/>
    </row>
    <row r="4" spans="1:30" ht="15.75" thickBot="1">
      <c r="A4" s="256"/>
      <c r="B4" s="256"/>
      <c r="C4" s="256"/>
      <c r="D4" s="256"/>
      <c r="E4" s="256"/>
      <c r="J4" s="256"/>
      <c r="K4" s="256"/>
      <c r="L4" s="256"/>
      <c r="M4" s="256"/>
      <c r="N4" s="256"/>
      <c r="O4" s="256"/>
      <c r="P4" s="256"/>
      <c r="Q4" s="256"/>
      <c r="R4" s="256"/>
      <c r="S4" s="256"/>
      <c r="T4" s="256"/>
      <c r="U4" s="256"/>
      <c r="V4" s="256"/>
      <c r="W4" s="256"/>
      <c r="X4" s="256"/>
      <c r="Y4" s="257"/>
      <c r="Z4" s="256"/>
      <c r="AA4" s="256"/>
      <c r="AB4" s="256"/>
      <c r="AC4" s="256"/>
      <c r="AD4" s="256"/>
    </row>
    <row r="5" spans="1:30" ht="15">
      <c r="A5" s="264" t="s">
        <v>152</v>
      </c>
      <c r="B5" s="256"/>
      <c r="C5" s="256"/>
      <c r="D5" s="265"/>
      <c r="E5" s="256"/>
      <c r="J5" s="256"/>
      <c r="K5" s="256"/>
      <c r="L5" s="256"/>
      <c r="M5" s="256"/>
      <c r="N5" s="256"/>
      <c r="O5" s="256"/>
      <c r="P5" s="256"/>
      <c r="Q5" s="256"/>
      <c r="R5" s="256"/>
      <c r="S5" s="256"/>
      <c r="T5" s="256"/>
      <c r="U5" s="543"/>
      <c r="V5" s="544"/>
      <c r="W5" s="545" t="s">
        <v>155</v>
      </c>
      <c r="X5" s="546"/>
      <c r="Y5" s="257"/>
      <c r="Z5" s="256"/>
      <c r="AA5" s="256"/>
      <c r="AB5" s="256"/>
      <c r="AC5" s="256"/>
      <c r="AD5" s="256"/>
    </row>
    <row r="6" spans="1:30" ht="15">
      <c r="A6" s="256" t="s">
        <v>156</v>
      </c>
      <c r="B6" s="256"/>
      <c r="C6" s="256"/>
      <c r="D6" s="268">
        <v>9.4</v>
      </c>
      <c r="E6" s="256"/>
      <c r="J6" s="256"/>
      <c r="K6" s="256"/>
      <c r="L6" s="256"/>
      <c r="M6" s="256"/>
      <c r="N6" s="256"/>
      <c r="O6" s="256"/>
      <c r="P6" s="256"/>
      <c r="Q6" s="256"/>
      <c r="R6" s="256"/>
      <c r="S6" s="256"/>
      <c r="T6" s="256"/>
      <c r="U6" s="547"/>
      <c r="V6" s="317"/>
      <c r="W6" s="269" t="s">
        <v>157</v>
      </c>
      <c r="X6" s="548" t="s">
        <v>158</v>
      </c>
      <c r="Y6" s="257"/>
      <c r="Z6" s="256"/>
      <c r="AA6" s="256"/>
      <c r="AB6" s="256"/>
      <c r="AC6" s="256"/>
      <c r="AD6" s="256"/>
    </row>
    <row r="7" spans="1:30" ht="15">
      <c r="A7" s="256" t="s">
        <v>159</v>
      </c>
      <c r="B7" s="256"/>
      <c r="C7" s="256"/>
      <c r="D7" s="278">
        <f>+V31</f>
        <v>-1.4</v>
      </c>
      <c r="E7" s="256"/>
      <c r="J7" s="256"/>
      <c r="K7" s="256"/>
      <c r="L7" s="256"/>
      <c r="M7" s="256"/>
      <c r="N7" s="256"/>
      <c r="O7" s="256"/>
      <c r="P7" s="256"/>
      <c r="Q7" s="256"/>
      <c r="R7" s="256"/>
      <c r="S7" s="256"/>
      <c r="T7" s="256"/>
      <c r="U7" s="549"/>
      <c r="V7" s="271" t="s">
        <v>160</v>
      </c>
      <c r="W7" s="550">
        <f aca="true" t="shared" si="0" ref="W7:W16">+$W$17*X7</f>
        <v>1980.5255369406482</v>
      </c>
      <c r="X7" s="551">
        <f>+'NS(SC) Deferred Acct.'!W7</f>
        <v>0.3614942061176056</v>
      </c>
      <c r="Y7" s="257"/>
      <c r="Z7" s="256"/>
      <c r="AA7" s="256"/>
      <c r="AB7" s="256"/>
      <c r="AC7" s="256"/>
      <c r="AD7" s="256"/>
    </row>
    <row r="8" spans="1:30" ht="15">
      <c r="A8" s="256"/>
      <c r="B8" s="256"/>
      <c r="C8" s="256"/>
      <c r="D8" s="273"/>
      <c r="E8" s="256"/>
      <c r="J8" s="256"/>
      <c r="K8" s="256"/>
      <c r="L8" s="256"/>
      <c r="M8" s="256"/>
      <c r="N8" s="256"/>
      <c r="O8" s="256"/>
      <c r="P8" s="256"/>
      <c r="Q8" s="256"/>
      <c r="R8" s="256"/>
      <c r="S8" s="256"/>
      <c r="T8" s="256"/>
      <c r="U8" s="549"/>
      <c r="V8" s="271" t="s">
        <v>22</v>
      </c>
      <c r="W8" s="550">
        <f t="shared" si="0"/>
        <v>1440.8565604278685</v>
      </c>
      <c r="X8" s="551">
        <f>+'NS(SC) Deferred Acct.'!W8</f>
        <v>0.26299145793686635</v>
      </c>
      <c r="Y8" s="257"/>
      <c r="Z8" s="256"/>
      <c r="AA8" s="256"/>
      <c r="AB8" s="256"/>
      <c r="AC8" s="256"/>
      <c r="AD8" s="256"/>
    </row>
    <row r="9" spans="1:30" ht="15.75" thickBot="1">
      <c r="A9" s="259" t="s">
        <v>161</v>
      </c>
      <c r="B9" s="259"/>
      <c r="C9" s="256"/>
      <c r="D9" s="274">
        <f>D6+D7</f>
        <v>8</v>
      </c>
      <c r="E9" s="256"/>
      <c r="J9" s="256"/>
      <c r="K9" s="256"/>
      <c r="L9" s="256"/>
      <c r="M9" s="256"/>
      <c r="N9" s="256"/>
      <c r="O9" s="256"/>
      <c r="P9" s="256"/>
      <c r="Q9" s="256"/>
      <c r="R9" s="256"/>
      <c r="S9" s="256"/>
      <c r="T9" s="256"/>
      <c r="U9" s="549"/>
      <c r="V9" s="271" t="s">
        <v>162</v>
      </c>
      <c r="W9" s="550">
        <f t="shared" si="0"/>
        <v>754.1472828124433</v>
      </c>
      <c r="X9" s="551">
        <f>+'NS(SC) Deferred Acct.'!W9</f>
        <v>0.1376502691892346</v>
      </c>
      <c r="Y9" s="257"/>
      <c r="Z9" s="256"/>
      <c r="AA9" s="256"/>
      <c r="AB9" s="256"/>
      <c r="AC9" s="256"/>
      <c r="AD9" s="256"/>
    </row>
    <row r="10" spans="1:30" ht="15.75" thickTop="1">
      <c r="A10" s="256"/>
      <c r="B10" s="256"/>
      <c r="C10" s="256"/>
      <c r="D10" s="256"/>
      <c r="E10" s="256"/>
      <c r="J10" s="256"/>
      <c r="K10" s="256"/>
      <c r="L10" s="256"/>
      <c r="M10" s="256"/>
      <c r="N10" s="256"/>
      <c r="O10" s="256"/>
      <c r="P10" s="256"/>
      <c r="Q10" s="256"/>
      <c r="R10" s="256"/>
      <c r="S10" s="256"/>
      <c r="T10" s="256"/>
      <c r="U10" s="549"/>
      <c r="V10" s="271" t="s">
        <v>163</v>
      </c>
      <c r="W10" s="550">
        <f t="shared" si="0"/>
        <v>48.312273754211674</v>
      </c>
      <c r="X10" s="551">
        <f>+'NS(SC) Deferred Acct.'!W10</f>
        <v>0.008818168067397434</v>
      </c>
      <c r="Y10" s="257"/>
      <c r="Z10" s="256"/>
      <c r="AA10" s="256"/>
      <c r="AB10" s="256"/>
      <c r="AC10" s="256"/>
      <c r="AD10" s="256"/>
    </row>
    <row r="11" spans="1:30" ht="15">
      <c r="A11" s="256"/>
      <c r="B11" s="256"/>
      <c r="C11" s="256"/>
      <c r="D11" s="268"/>
      <c r="E11" s="256"/>
      <c r="J11" s="256"/>
      <c r="K11" s="276"/>
      <c r="L11" s="276"/>
      <c r="M11" s="276"/>
      <c r="N11" s="256"/>
      <c r="O11" s="256"/>
      <c r="P11" s="256"/>
      <c r="Q11" s="256"/>
      <c r="R11" s="256"/>
      <c r="S11" s="256"/>
      <c r="T11" s="256"/>
      <c r="U11" s="549"/>
      <c r="V11" s="271" t="s">
        <v>164</v>
      </c>
      <c r="W11" s="550">
        <f t="shared" si="0"/>
        <v>85.55301796921226</v>
      </c>
      <c r="X11" s="551">
        <f>+'NS(SC) Deferred Acct.'!W11</f>
        <v>0.015615512011786013</v>
      </c>
      <c r="Y11" s="257"/>
      <c r="Z11" s="256"/>
      <c r="AA11" s="256"/>
      <c r="AB11" s="256"/>
      <c r="AC11" s="256"/>
      <c r="AD11" s="256"/>
    </row>
    <row r="12" spans="1:30" ht="15">
      <c r="A12" s="264" t="s">
        <v>165</v>
      </c>
      <c r="B12" s="256"/>
      <c r="C12" s="256"/>
      <c r="D12" s="268"/>
      <c r="E12" s="256"/>
      <c r="J12" s="256"/>
      <c r="K12" s="276"/>
      <c r="L12" s="276"/>
      <c r="M12" s="276"/>
      <c r="N12" s="256"/>
      <c r="O12" s="256"/>
      <c r="P12" s="256"/>
      <c r="Q12" s="256"/>
      <c r="R12" s="256"/>
      <c r="S12" s="256"/>
      <c r="T12" s="256"/>
      <c r="U12" s="549"/>
      <c r="V12" s="271" t="s">
        <v>166</v>
      </c>
      <c r="W12" s="550">
        <f t="shared" si="0"/>
        <v>1024.7953724304016</v>
      </c>
      <c r="X12" s="551">
        <f>+'NS(SC) Deferred Acct.'!W12</f>
        <v>0.18705014536796946</v>
      </c>
      <c r="Y12" s="257"/>
      <c r="Z12" s="256"/>
      <c r="AA12" s="256"/>
      <c r="AB12" s="256"/>
      <c r="AC12" s="256"/>
      <c r="AD12" s="256"/>
    </row>
    <row r="13" spans="1:30" ht="15">
      <c r="A13" s="256" t="s">
        <v>156</v>
      </c>
      <c r="B13" s="256"/>
      <c r="C13" s="256"/>
      <c r="D13" s="268">
        <f>+D6</f>
        <v>9.4</v>
      </c>
      <c r="E13" s="256"/>
      <c r="J13" s="256"/>
      <c r="K13" s="276"/>
      <c r="L13" s="276"/>
      <c r="M13" s="276"/>
      <c r="N13" s="256"/>
      <c r="O13" s="256"/>
      <c r="P13" s="256"/>
      <c r="Q13" s="256"/>
      <c r="R13" s="256"/>
      <c r="S13" s="256"/>
      <c r="T13" s="256"/>
      <c r="U13" s="549"/>
      <c r="V13" s="271" t="s">
        <v>167</v>
      </c>
      <c r="W13" s="550">
        <f t="shared" si="0"/>
        <v>81.99708703013994</v>
      </c>
      <c r="X13" s="551">
        <f>+'NS(SC) Deferred Acct.'!W13</f>
        <v>0.014966467903112393</v>
      </c>
      <c r="Y13" s="257"/>
      <c r="Z13" s="256"/>
      <c r="AA13" s="256"/>
      <c r="AB13" s="256"/>
      <c r="AC13" s="256"/>
      <c r="AD13" s="256"/>
    </row>
    <row r="14" spans="1:30" ht="15">
      <c r="A14" s="256" t="s">
        <v>159</v>
      </c>
      <c r="B14" s="256"/>
      <c r="C14" s="256"/>
      <c r="D14" s="278">
        <f>-X64</f>
        <v>-0.8699999999999997</v>
      </c>
      <c r="E14" s="279"/>
      <c r="J14" s="256"/>
      <c r="K14" s="276"/>
      <c r="L14" s="276"/>
      <c r="M14" s="276"/>
      <c r="N14" s="256"/>
      <c r="O14" s="256"/>
      <c r="P14" s="256"/>
      <c r="Q14" s="256"/>
      <c r="R14" s="256"/>
      <c r="S14" s="256"/>
      <c r="T14" s="256"/>
      <c r="U14" s="549"/>
      <c r="V14" s="271" t="s">
        <v>168</v>
      </c>
      <c r="W14" s="550">
        <f t="shared" si="0"/>
        <v>19.019587848570044</v>
      </c>
      <c r="X14" s="551">
        <f>+'NS(SC) Deferred Acct.'!W14</f>
        <v>0.0034715385799183097</v>
      </c>
      <c r="Y14" s="257"/>
      <c r="Z14" s="256"/>
      <c r="AA14" s="256"/>
      <c r="AB14" s="256"/>
      <c r="AC14" s="256"/>
      <c r="AD14" s="256"/>
    </row>
    <row r="15" spans="1:30" ht="15">
      <c r="A15" s="256"/>
      <c r="B15" s="256"/>
      <c r="C15" s="256"/>
      <c r="D15" s="268"/>
      <c r="E15" s="259"/>
      <c r="J15" s="256"/>
      <c r="K15" s="276"/>
      <c r="L15" s="276"/>
      <c r="M15" s="272"/>
      <c r="N15" s="259"/>
      <c r="O15" s="259"/>
      <c r="P15" s="259"/>
      <c r="Q15" s="259"/>
      <c r="R15" s="259"/>
      <c r="S15" s="259"/>
      <c r="T15" s="259"/>
      <c r="U15" s="549"/>
      <c r="V15" s="271" t="s">
        <v>169</v>
      </c>
      <c r="W15" s="550">
        <f t="shared" si="0"/>
        <v>21.228018483453926</v>
      </c>
      <c r="X15" s="551">
        <f>+'NS(SC) Deferred Acct.'!W15</f>
        <v>0.003874631023935139</v>
      </c>
      <c r="Y15" s="280"/>
      <c r="Z15" s="259"/>
      <c r="AA15" s="259"/>
      <c r="AB15" s="259"/>
      <c r="AC15" s="259"/>
      <c r="AD15" s="259"/>
    </row>
    <row r="16" spans="1:30" ht="17.25" thickBot="1">
      <c r="A16" s="259" t="s">
        <v>161</v>
      </c>
      <c r="B16" s="259"/>
      <c r="C16" s="256"/>
      <c r="D16" s="274">
        <f>D13+D14</f>
        <v>8.530000000000001</v>
      </c>
      <c r="E16" s="256"/>
      <c r="J16" s="256"/>
      <c r="K16" s="276"/>
      <c r="L16" s="276"/>
      <c r="M16" s="276"/>
      <c r="N16" s="256"/>
      <c r="O16" s="256"/>
      <c r="P16" s="256"/>
      <c r="Q16" s="256"/>
      <c r="R16" s="256"/>
      <c r="S16" s="256"/>
      <c r="T16" s="256"/>
      <c r="U16" s="549"/>
      <c r="V16" s="271" t="s">
        <v>170</v>
      </c>
      <c r="W16" s="552">
        <f t="shared" si="0"/>
        <v>22.285262303051596</v>
      </c>
      <c r="X16" s="553">
        <f>+'NS(SC) Deferred Acct.'!W16</f>
        <v>0.004067603802174887</v>
      </c>
      <c r="Y16" s="257"/>
      <c r="Z16" s="256"/>
      <c r="AA16" s="256"/>
      <c r="AB16" s="256"/>
      <c r="AC16" s="256"/>
      <c r="AD16" s="256"/>
    </row>
    <row r="17" spans="1:30" ht="18" thickBot="1" thickTop="1">
      <c r="A17" s="256"/>
      <c r="B17" s="256"/>
      <c r="C17" s="256"/>
      <c r="D17" s="256"/>
      <c r="E17" s="256"/>
      <c r="J17" s="256"/>
      <c r="K17" s="276"/>
      <c r="L17" s="276"/>
      <c r="M17" s="276"/>
      <c r="N17" s="281"/>
      <c r="O17" s="256"/>
      <c r="P17" s="256"/>
      <c r="Q17" s="256"/>
      <c r="R17" s="256"/>
      <c r="S17" s="256"/>
      <c r="T17" s="256"/>
      <c r="U17" s="554"/>
      <c r="V17" s="555"/>
      <c r="W17" s="556">
        <f>SUM('2014-2015 RSA'!D83:D94)</f>
        <v>5478.72</v>
      </c>
      <c r="X17" s="557">
        <f>+W17/$W$17</f>
        <v>1</v>
      </c>
      <c r="Y17" s="257"/>
      <c r="Z17" s="256"/>
      <c r="AA17" s="256"/>
      <c r="AB17" s="256"/>
      <c r="AC17" s="256"/>
      <c r="AD17" s="256"/>
    </row>
    <row r="18" spans="1:30" ht="16.5" thickBot="1" thickTop="1">
      <c r="A18" s="282"/>
      <c r="B18" s="282"/>
      <c r="C18" s="282"/>
      <c r="D18" s="282"/>
      <c r="E18" s="282"/>
      <c r="F18" s="283"/>
      <c r="G18" s="283"/>
      <c r="H18" s="284"/>
      <c r="I18" s="285"/>
      <c r="J18" s="282"/>
      <c r="K18" s="282"/>
      <c r="L18" s="282"/>
      <c r="M18" s="282"/>
      <c r="N18" s="282"/>
      <c r="O18" s="282"/>
      <c r="P18" s="282"/>
      <c r="Q18" s="282"/>
      <c r="R18" s="282"/>
      <c r="S18" s="282"/>
      <c r="T18" s="282"/>
      <c r="U18" s="282"/>
      <c r="V18" s="282"/>
      <c r="W18" s="282"/>
      <c r="X18" s="282"/>
      <c r="Y18" s="257"/>
      <c r="Z18" s="256"/>
      <c r="AA18" s="256"/>
      <c r="AB18" s="256"/>
      <c r="AC18" s="256"/>
      <c r="AD18" s="256"/>
    </row>
    <row r="19" spans="1:30" ht="16.5" thickBot="1" thickTop="1">
      <c r="A19" s="259" t="s">
        <v>171</v>
      </c>
      <c r="B19" s="286">
        <f>+D36</f>
        <v>16328.833333333334</v>
      </c>
      <c r="C19" s="256"/>
      <c r="D19" s="256"/>
      <c r="E19" s="256"/>
      <c r="F19" s="256"/>
      <c r="G19" s="256"/>
      <c r="H19" s="256"/>
      <c r="I19" s="256"/>
      <c r="J19" s="256"/>
      <c r="K19" s="256"/>
      <c r="L19" s="256"/>
      <c r="M19" s="256"/>
      <c r="N19" s="256"/>
      <c r="O19" s="256"/>
      <c r="P19" s="256"/>
      <c r="Q19" s="256"/>
      <c r="R19" s="256"/>
      <c r="S19" s="256"/>
      <c r="T19" s="256"/>
      <c r="U19" s="256"/>
      <c r="V19" s="256"/>
      <c r="W19" s="256"/>
      <c r="X19" s="256"/>
      <c r="Y19" s="257"/>
      <c r="Z19" s="256"/>
      <c r="AA19" s="256"/>
      <c r="AB19" s="256"/>
      <c r="AC19" s="256"/>
      <c r="AD19" s="256"/>
    </row>
    <row r="20" spans="1:30" ht="16.5" thickBot="1" thickTop="1">
      <c r="A20" s="259" t="s">
        <v>173</v>
      </c>
      <c r="B20" s="287">
        <f>ROUND(SUM(P24:P35)/SUM(D24:D35),2)</f>
        <v>2.26</v>
      </c>
      <c r="C20" s="256"/>
      <c r="D20" s="266"/>
      <c r="O20" s="577" t="s">
        <v>174</v>
      </c>
      <c r="P20" s="577"/>
      <c r="Q20" s="577"/>
      <c r="R20" s="577"/>
      <c r="S20" s="256"/>
      <c r="T20" s="256"/>
      <c r="U20" s="256"/>
      <c r="V20" s="256"/>
      <c r="W20" s="256"/>
      <c r="X20" s="256"/>
      <c r="Y20" s="257"/>
      <c r="Z20" s="256"/>
      <c r="AA20" s="256"/>
      <c r="AB20" s="256"/>
      <c r="AC20" s="256"/>
      <c r="AD20" s="256"/>
    </row>
    <row r="21" spans="1:30" ht="15.75" thickTop="1">
      <c r="A21" s="256"/>
      <c r="B21" s="256"/>
      <c r="C21" s="256"/>
      <c r="D21" s="266"/>
      <c r="O21" s="256"/>
      <c r="P21" s="256"/>
      <c r="Q21" s="266" t="s">
        <v>71</v>
      </c>
      <c r="R21" s="256"/>
      <c r="S21" s="256"/>
      <c r="T21" s="266"/>
      <c r="U21" s="256"/>
      <c r="V21" s="266"/>
      <c r="W21" s="256"/>
      <c r="X21" s="266"/>
      <c r="Y21" s="257"/>
      <c r="Z21" s="256"/>
      <c r="AA21" s="256"/>
      <c r="AB21" s="256"/>
      <c r="AC21" s="256"/>
      <c r="AD21" s="256"/>
    </row>
    <row r="22" spans="1:30" ht="15">
      <c r="A22" s="259"/>
      <c r="B22" s="256"/>
      <c r="C22" s="256"/>
      <c r="D22" s="266" t="s">
        <v>7</v>
      </c>
      <c r="O22" s="256"/>
      <c r="P22" s="266"/>
      <c r="Q22" s="266" t="s">
        <v>176</v>
      </c>
      <c r="R22" s="266" t="s">
        <v>177</v>
      </c>
      <c r="S22" s="288"/>
      <c r="T22" s="266" t="s">
        <v>178</v>
      </c>
      <c r="U22" s="256"/>
      <c r="V22" s="266" t="s">
        <v>179</v>
      </c>
      <c r="W22" s="256"/>
      <c r="X22" s="266" t="s">
        <v>7</v>
      </c>
      <c r="Y22" s="257"/>
      <c r="Z22" s="256"/>
      <c r="AA22" s="256"/>
      <c r="AB22" s="256"/>
      <c r="AC22" s="256"/>
      <c r="AD22" s="256"/>
    </row>
    <row r="23" spans="1:30" ht="15">
      <c r="A23" s="256"/>
      <c r="B23" s="256"/>
      <c r="C23" s="256"/>
      <c r="D23" s="265" t="s">
        <v>73</v>
      </c>
      <c r="O23" s="256"/>
      <c r="P23" s="265" t="s">
        <v>155</v>
      </c>
      <c r="Q23" s="289">
        <v>0.35</v>
      </c>
      <c r="R23" s="265" t="s">
        <v>155</v>
      </c>
      <c r="S23" s="265" t="s">
        <v>180</v>
      </c>
      <c r="T23" s="265" t="s">
        <v>62</v>
      </c>
      <c r="U23" s="256"/>
      <c r="V23" s="265" t="s">
        <v>181</v>
      </c>
      <c r="W23" s="256"/>
      <c r="X23" s="265" t="s">
        <v>182</v>
      </c>
      <c r="Y23" s="257"/>
      <c r="Z23" s="256"/>
      <c r="AA23" s="256"/>
      <c r="AB23" s="256"/>
      <c r="AC23" s="256"/>
      <c r="AD23" s="256"/>
    </row>
    <row r="24" spans="1:30" ht="15">
      <c r="A24" s="290" t="s">
        <v>278</v>
      </c>
      <c r="B24" s="256"/>
      <c r="C24" s="256"/>
      <c r="D24" s="292">
        <f>+'Customer Counts'!E18</f>
        <v>16200</v>
      </c>
      <c r="O24" s="256"/>
      <c r="P24" s="293">
        <f>+'2014-2015 RSA'!L83</f>
        <v>42914.89944199473</v>
      </c>
      <c r="Q24" s="294">
        <f aca="true" t="shared" si="1" ref="Q24:Q35">-$Q$23*P24</f>
        <v>-15020.214804698153</v>
      </c>
      <c r="R24" s="293">
        <f aca="true" t="shared" si="2" ref="R24:R35">+P24+Q24</f>
        <v>27894.684637296574</v>
      </c>
      <c r="S24" s="268">
        <f aca="true" t="shared" si="3" ref="S24:S35">R24/D24</f>
        <v>1.7218941134133687</v>
      </c>
      <c r="T24" s="295">
        <f>ROUND((SUM($E$41:$V$41)+R24)/(SUM($E$53:$V$53)+D24),2)</f>
        <v>2.25</v>
      </c>
      <c r="U24" s="256"/>
      <c r="V24" s="268">
        <v>-1.29</v>
      </c>
      <c r="W24" s="256"/>
      <c r="X24" s="294">
        <f aca="true" t="shared" si="4" ref="X24:X35">+V24*D24</f>
        <v>-20898</v>
      </c>
      <c r="Y24" s="257"/>
      <c r="Z24" s="256"/>
      <c r="AA24" s="256"/>
      <c r="AB24" s="256"/>
      <c r="AC24" s="256"/>
      <c r="AD24" s="256"/>
    </row>
    <row r="25" spans="1:30" ht="15">
      <c r="A25" s="290" t="s">
        <v>10</v>
      </c>
      <c r="B25" s="256"/>
      <c r="C25" s="256"/>
      <c r="D25" s="292">
        <f>+'Customer Counts'!E19</f>
        <v>16169</v>
      </c>
      <c r="O25" s="256"/>
      <c r="P25" s="293">
        <f>+'2014-2015 RSA'!L84</f>
        <v>38529.3879650592</v>
      </c>
      <c r="Q25" s="294">
        <f t="shared" si="1"/>
        <v>-13485.28578777072</v>
      </c>
      <c r="R25" s="293">
        <f t="shared" si="2"/>
        <v>25044.102177288478</v>
      </c>
      <c r="S25" s="268">
        <f t="shared" si="3"/>
        <v>1.548896170281927</v>
      </c>
      <c r="T25" s="295">
        <f>ROUND((SUM($E$41:$V$41)+R25+R24)/(SUM($E$53:$V$53)+D25+D24),2)</f>
        <v>2.25</v>
      </c>
      <c r="U25" s="256"/>
      <c r="V25" s="268">
        <f>+V24</f>
        <v>-1.29</v>
      </c>
      <c r="W25" s="256"/>
      <c r="X25" s="294">
        <f t="shared" si="4"/>
        <v>-20858.010000000002</v>
      </c>
      <c r="Y25" s="257"/>
      <c r="Z25" s="256"/>
      <c r="AA25" s="256"/>
      <c r="AB25" s="256"/>
      <c r="AC25" s="256"/>
      <c r="AD25" s="256"/>
    </row>
    <row r="26" spans="1:30" ht="15">
      <c r="A26" s="290" t="s">
        <v>11</v>
      </c>
      <c r="B26" s="256"/>
      <c r="C26" s="256"/>
      <c r="D26" s="292">
        <f>+'Customer Counts'!E20</f>
        <v>16202</v>
      </c>
      <c r="O26" s="256"/>
      <c r="P26" s="293">
        <f>+'2014-2015 RSA'!L85</f>
        <v>46581.571222777944</v>
      </c>
      <c r="Q26" s="294">
        <f t="shared" si="1"/>
        <v>-16303.549927972279</v>
      </c>
      <c r="R26" s="293">
        <f t="shared" si="2"/>
        <v>30278.021294805665</v>
      </c>
      <c r="S26" s="268">
        <f t="shared" si="3"/>
        <v>1.8687829462292103</v>
      </c>
      <c r="T26" s="295">
        <f>ROUND((SUM($E$41:$V$41)+R26+R25+R24)/(SUM($E$53:$V$53)+D26+D25+D24),2)</f>
        <v>2.25</v>
      </c>
      <c r="U26" s="256"/>
      <c r="V26" s="268">
        <f>+V25</f>
        <v>-1.29</v>
      </c>
      <c r="W26" s="256"/>
      <c r="X26" s="294">
        <f t="shared" si="4"/>
        <v>-20900.58</v>
      </c>
      <c r="Y26" s="257"/>
      <c r="Z26" s="256"/>
      <c r="AA26" s="256"/>
      <c r="AB26" s="256"/>
      <c r="AC26" s="256"/>
      <c r="AD26" s="256"/>
    </row>
    <row r="27" spans="1:30" ht="15">
      <c r="A27" s="290" t="s">
        <v>279</v>
      </c>
      <c r="B27" s="256"/>
      <c r="C27" s="256"/>
      <c r="D27" s="292">
        <f>+'Customer Counts'!E21</f>
        <v>16219</v>
      </c>
      <c r="O27" s="256"/>
      <c r="P27" s="293">
        <f>+'2014-2015 RSA'!L86</f>
        <v>43658.63089359484</v>
      </c>
      <c r="Q27" s="294">
        <f t="shared" si="1"/>
        <v>-15280.520812758194</v>
      </c>
      <c r="R27" s="293">
        <f t="shared" si="2"/>
        <v>28378.110080836646</v>
      </c>
      <c r="S27" s="268">
        <f t="shared" si="3"/>
        <v>1.7496830927206761</v>
      </c>
      <c r="T27" s="295">
        <f>ROUND((SUM($E$41:$V$41)+R27+R26+R25+R24)/(SUM($E$53:$V$53)+D27+D26+D25+D24),2)</f>
        <v>2.25</v>
      </c>
      <c r="U27" s="256"/>
      <c r="V27" s="268">
        <v>-1.4</v>
      </c>
      <c r="W27" s="256"/>
      <c r="X27" s="294">
        <f t="shared" si="4"/>
        <v>-22706.6</v>
      </c>
      <c r="Y27" s="257"/>
      <c r="Z27" s="256"/>
      <c r="AA27" s="256"/>
      <c r="AB27" s="256"/>
      <c r="AC27" s="256"/>
      <c r="AD27" s="256"/>
    </row>
    <row r="28" spans="1:30" ht="15">
      <c r="A28" s="290" t="s">
        <v>13</v>
      </c>
      <c r="B28" s="256"/>
      <c r="C28" s="256"/>
      <c r="D28" s="292">
        <f>+'Customer Counts'!E22</f>
        <v>16185</v>
      </c>
      <c r="O28" s="256"/>
      <c r="P28" s="293">
        <f>+'2014-2015 RSA'!L87</f>
        <v>28336.352700323623</v>
      </c>
      <c r="Q28" s="294">
        <f t="shared" si="1"/>
        <v>-9917.723445113268</v>
      </c>
      <c r="R28" s="293">
        <f t="shared" si="2"/>
        <v>18418.629255210355</v>
      </c>
      <c r="S28" s="268">
        <f t="shared" si="3"/>
        <v>1.1380061325431174</v>
      </c>
      <c r="T28" s="295">
        <f>ROUND((SUM($E$41:$V$41)+R28+R27+R26+R25+R24)/(SUM($E$53:$V$53)+D28+D27+D26+D25+D24),2)</f>
        <v>2.24</v>
      </c>
      <c r="U28" s="256"/>
      <c r="V28" s="268">
        <f aca="true" t="shared" si="5" ref="V28:V35">+V27</f>
        <v>-1.4</v>
      </c>
      <c r="W28" s="256"/>
      <c r="X28" s="294">
        <f t="shared" si="4"/>
        <v>-22659</v>
      </c>
      <c r="Y28" s="257"/>
      <c r="Z28" s="256"/>
      <c r="AA28" s="256"/>
      <c r="AB28" s="256"/>
      <c r="AC28" s="256"/>
      <c r="AD28" s="256"/>
    </row>
    <row r="29" spans="1:30" ht="15">
      <c r="A29" s="290" t="s">
        <v>14</v>
      </c>
      <c r="B29" s="256"/>
      <c r="C29" s="256"/>
      <c r="D29" s="292">
        <f>+'Customer Counts'!E23</f>
        <v>16251</v>
      </c>
      <c r="O29" s="256"/>
      <c r="P29" s="293">
        <f>+'2014-2015 RSA'!L88</f>
        <v>34280.132563462364</v>
      </c>
      <c r="Q29" s="294">
        <f t="shared" si="1"/>
        <v>-11998.046397211827</v>
      </c>
      <c r="R29" s="293">
        <f t="shared" si="2"/>
        <v>22282.086166250538</v>
      </c>
      <c r="S29" s="268">
        <f t="shared" si="3"/>
        <v>1.3711209258661337</v>
      </c>
      <c r="T29" s="295">
        <f>ROUND((SUM($E$41:$V$41)+R29+R28+R27+R26+R25+R24)/(SUM($E$53:$V$53)+D29+D28+D27+D26+D25+D24),2)</f>
        <v>2.24</v>
      </c>
      <c r="U29" s="256"/>
      <c r="V29" s="268">
        <f t="shared" si="5"/>
        <v>-1.4</v>
      </c>
      <c r="W29" s="256"/>
      <c r="X29" s="294">
        <f t="shared" si="4"/>
        <v>-22751.399999999998</v>
      </c>
      <c r="Y29" s="257"/>
      <c r="Z29" s="256"/>
      <c r="AA29" s="256"/>
      <c r="AB29" s="256"/>
      <c r="AC29" s="256"/>
      <c r="AD29" s="256"/>
    </row>
    <row r="30" spans="1:30" ht="15">
      <c r="A30" s="290" t="s">
        <v>15</v>
      </c>
      <c r="B30" s="256"/>
      <c r="C30" s="256"/>
      <c r="D30" s="292">
        <f>+'Customer Counts'!E24</f>
        <v>16311</v>
      </c>
      <c r="O30" s="256"/>
      <c r="P30" s="293">
        <f>+'2014-2015 RSA'!L89</f>
        <v>32975.50096090078</v>
      </c>
      <c r="Q30" s="294">
        <f t="shared" si="1"/>
        <v>-11541.425336315273</v>
      </c>
      <c r="R30" s="293">
        <f t="shared" si="2"/>
        <v>21434.07562458551</v>
      </c>
      <c r="S30" s="268">
        <f t="shared" si="3"/>
        <v>1.314087157414353</v>
      </c>
      <c r="T30" s="295">
        <f>ROUND((SUM($E$41:$V$41)+R30+R29+R28+R27+R26+R25+R24)/(SUM($E$53:$V$53)+D30+D29+D28+D27+D26+D25+D24),2)</f>
        <v>2.24</v>
      </c>
      <c r="U30" s="256"/>
      <c r="V30" s="268">
        <f t="shared" si="5"/>
        <v>-1.4</v>
      </c>
      <c r="W30" s="256"/>
      <c r="X30" s="294">
        <f t="shared" si="4"/>
        <v>-22835.399999999998</v>
      </c>
      <c r="Y30" s="257"/>
      <c r="Z30" s="256"/>
      <c r="AA30" s="256"/>
      <c r="AB30" s="256"/>
      <c r="AC30" s="256"/>
      <c r="AD30" s="256"/>
    </row>
    <row r="31" spans="1:30" ht="15">
      <c r="A31" s="290" t="s">
        <v>16</v>
      </c>
      <c r="B31" s="256"/>
      <c r="C31" s="256"/>
      <c r="D31" s="292">
        <f>+'Customer Counts'!E25</f>
        <v>16351</v>
      </c>
      <c r="O31" s="256"/>
      <c r="P31" s="293">
        <f>+'2014-2015 RSA'!L90</f>
        <v>33299.84068925468</v>
      </c>
      <c r="Q31" s="294">
        <f t="shared" si="1"/>
        <v>-11654.944241239136</v>
      </c>
      <c r="R31" s="293">
        <f t="shared" si="2"/>
        <v>21644.89644801554</v>
      </c>
      <c r="S31" s="268">
        <f t="shared" si="3"/>
        <v>1.3237659132784259</v>
      </c>
      <c r="T31" s="295">
        <f>ROUND((SUM($E$41:$V$41)+R31+R30+R29+R28+R27+R26+R25+R24)/(SUM($E$53:$V$53)+D31+D30+D29+D28+D27+D26+D25+D24),2)</f>
        <v>2.24</v>
      </c>
      <c r="U31" s="256"/>
      <c r="V31" s="268">
        <f t="shared" si="5"/>
        <v>-1.4</v>
      </c>
      <c r="W31" s="256"/>
      <c r="X31" s="294">
        <f t="shared" si="4"/>
        <v>-22891.399999999998</v>
      </c>
      <c r="Y31" s="257"/>
      <c r="Z31" s="256"/>
      <c r="AA31" s="256"/>
      <c r="AB31" s="256"/>
      <c r="AC31" s="256"/>
      <c r="AD31" s="256"/>
    </row>
    <row r="32" spans="1:30" ht="15">
      <c r="A32" s="290" t="s">
        <v>47</v>
      </c>
      <c r="B32" s="256"/>
      <c r="C32" s="256"/>
      <c r="D32" s="292">
        <f>+'Customer Counts'!E26</f>
        <v>16453</v>
      </c>
      <c r="O32" s="256"/>
      <c r="P32" s="293">
        <f>+'2014-2015 RSA'!L91</f>
        <v>34745.402459995814</v>
      </c>
      <c r="Q32" s="294">
        <f t="shared" si="1"/>
        <v>-12160.890860998534</v>
      </c>
      <c r="R32" s="293">
        <f t="shared" si="2"/>
        <v>22584.51159899728</v>
      </c>
      <c r="S32" s="268">
        <f t="shared" si="3"/>
        <v>1.3726683035918847</v>
      </c>
      <c r="T32" s="295">
        <f>ROUND((SUM($E$41:$V$41)+R32+R31+R30+R29+R28+R27+R26+R25+R24)/(SUM($E$53:$V$53)+D32+D31+D30+D29+D28+D27+D26+D25+D24),2)</f>
        <v>2.23</v>
      </c>
      <c r="U32" s="256"/>
      <c r="V32" s="268">
        <f t="shared" si="5"/>
        <v>-1.4</v>
      </c>
      <c r="W32" s="256"/>
      <c r="X32" s="294">
        <f t="shared" si="4"/>
        <v>-23034.199999999997</v>
      </c>
      <c r="Y32" s="257"/>
      <c r="Z32" s="256"/>
      <c r="AA32" s="256"/>
      <c r="AB32" s="256"/>
      <c r="AC32" s="256"/>
      <c r="AD32" s="256"/>
    </row>
    <row r="33" spans="1:30" ht="15">
      <c r="A33" s="290" t="s">
        <v>48</v>
      </c>
      <c r="B33" s="256"/>
      <c r="C33" s="256"/>
      <c r="D33" s="292">
        <f>+'Customer Counts'!E27</f>
        <v>16496</v>
      </c>
      <c r="O33" s="256"/>
      <c r="P33" s="293">
        <f>+'2014-2015 RSA'!L92</f>
        <v>43944.83543112177</v>
      </c>
      <c r="Q33" s="294">
        <f t="shared" si="1"/>
        <v>-15380.692400892618</v>
      </c>
      <c r="R33" s="293">
        <f t="shared" si="2"/>
        <v>28564.143030229152</v>
      </c>
      <c r="S33" s="268">
        <f t="shared" si="3"/>
        <v>1.7315799606103996</v>
      </c>
      <c r="T33" s="295">
        <f>ROUND((SUM($E$41:$V$41)+R33+R32+R31+R30+R29+R28+R27+R26+R25+R24)/(SUM($E$53:$V$53)+D33+D32+D31+D30+D29+D28+D27+D26+D25+D24),2)</f>
        <v>2.23</v>
      </c>
      <c r="U33" s="256"/>
      <c r="V33" s="268">
        <f t="shared" si="5"/>
        <v>-1.4</v>
      </c>
      <c r="W33" s="256"/>
      <c r="X33" s="294">
        <f t="shared" si="4"/>
        <v>-23094.399999999998</v>
      </c>
      <c r="Y33" s="257"/>
      <c r="Z33" s="256"/>
      <c r="AA33" s="256"/>
      <c r="AB33" s="256"/>
      <c r="AC33" s="256"/>
      <c r="AD33" s="256"/>
    </row>
    <row r="34" spans="1:30" ht="15">
      <c r="A34" s="290" t="s">
        <v>49</v>
      </c>
      <c r="B34" s="256"/>
      <c r="C34" s="256"/>
      <c r="D34" s="292">
        <f>+'Customer Counts'!E28</f>
        <v>16542</v>
      </c>
      <c r="O34" s="256"/>
      <c r="P34" s="293">
        <f>+'2014-2015 RSA'!L93</f>
        <v>30602.330833770495</v>
      </c>
      <c r="Q34" s="294">
        <f t="shared" si="1"/>
        <v>-10710.815791819672</v>
      </c>
      <c r="R34" s="293">
        <f t="shared" si="2"/>
        <v>19891.51504195082</v>
      </c>
      <c r="S34" s="268">
        <f t="shared" si="3"/>
        <v>1.202485494012261</v>
      </c>
      <c r="T34" s="295">
        <f>ROUND((SUM($E$41:$V$41)+R34+R33+R32+R31+R30+R29+R28+R27+R26+R25+R24)/(SUM($E$53:$V$53)+D34+D33+D32+D31+D30+D29+D28+D27+D26+D25+D24),2)</f>
        <v>2.23</v>
      </c>
      <c r="U34" s="256"/>
      <c r="V34" s="268">
        <f t="shared" si="5"/>
        <v>-1.4</v>
      </c>
      <c r="W34" s="256"/>
      <c r="X34" s="294">
        <f t="shared" si="4"/>
        <v>-23158.8</v>
      </c>
      <c r="Y34" s="257"/>
      <c r="Z34" s="256"/>
      <c r="AA34" s="256"/>
      <c r="AB34" s="256"/>
      <c r="AC34" s="256"/>
      <c r="AD34" s="256"/>
    </row>
    <row r="35" spans="1:30" ht="16.5">
      <c r="A35" s="290" t="s">
        <v>8</v>
      </c>
      <c r="B35" s="256"/>
      <c r="C35" s="256"/>
      <c r="D35" s="298">
        <f>+'Customer Counts'!E29</f>
        <v>16567</v>
      </c>
      <c r="O35" s="382"/>
      <c r="P35" s="299">
        <f>+'2014-2015 RSA'!L94</f>
        <v>33658.79670676738</v>
      </c>
      <c r="Q35" s="300">
        <f t="shared" si="1"/>
        <v>-11780.578847368583</v>
      </c>
      <c r="R35" s="299">
        <f t="shared" si="2"/>
        <v>21878.2178593988</v>
      </c>
      <c r="S35" s="268">
        <f t="shared" si="3"/>
        <v>1.320590200965703</v>
      </c>
      <c r="T35" s="295">
        <f>ROUND((SUM($E$41:$V$41)+R35+R34+R33+R32+R31+R30+R29+R28+R27+R26+R25+R24)/(SUM($E$53:$V$53)+D35+D34+D33+D32+D31+D30+D29+D28+D27+D26+D25+D24),2)</f>
        <v>2.23</v>
      </c>
      <c r="U35" s="256"/>
      <c r="V35" s="268">
        <f t="shared" si="5"/>
        <v>-1.4</v>
      </c>
      <c r="W35" s="256"/>
      <c r="X35" s="300">
        <f t="shared" si="4"/>
        <v>-23193.8</v>
      </c>
      <c r="Y35" s="257"/>
      <c r="Z35" s="256"/>
      <c r="AA35" s="256"/>
      <c r="AB35" s="256"/>
      <c r="AC35" s="256"/>
      <c r="AD35" s="256"/>
    </row>
    <row r="36" spans="1:30" ht="16.5">
      <c r="A36" s="301"/>
      <c r="B36" s="256"/>
      <c r="C36" s="256"/>
      <c r="D36" s="302">
        <f>AVERAGE(D24:D35)</f>
        <v>16328.833333333334</v>
      </c>
      <c r="O36" s="256"/>
      <c r="P36" s="303">
        <f>SUM(P24:P35)</f>
        <v>443527.68186902365</v>
      </c>
      <c r="Q36" s="304">
        <f>SUM(Q24:Q35)</f>
        <v>-155234.68865415826</v>
      </c>
      <c r="R36" s="304">
        <f>SUM(R24:R35)</f>
        <v>288292.99321486533</v>
      </c>
      <c r="S36" s="256"/>
      <c r="T36" s="259"/>
      <c r="U36" s="259"/>
      <c r="V36" s="383"/>
      <c r="W36" s="256"/>
      <c r="X36" s="304">
        <f>SUM(X24:X35)</f>
        <v>-268981.58999999997</v>
      </c>
      <c r="Y36" s="257"/>
      <c r="Z36" s="256"/>
      <c r="AA36" s="290"/>
      <c r="AB36" s="256"/>
      <c r="AC36" s="256"/>
      <c r="AD36" s="256"/>
    </row>
    <row r="37" spans="1:30" ht="17.25" thickBot="1">
      <c r="A37" s="564" t="s">
        <v>350</v>
      </c>
      <c r="B37" s="256"/>
      <c r="C37" s="256"/>
      <c r="D37" s="302"/>
      <c r="E37" s="256"/>
      <c r="F37" s="303"/>
      <c r="G37" s="304"/>
      <c r="H37" s="304"/>
      <c r="I37" s="256"/>
      <c r="J37" s="259"/>
      <c r="K37" s="259"/>
      <c r="L37" s="305"/>
      <c r="M37" s="256"/>
      <c r="N37" s="304"/>
      <c r="O37" s="304"/>
      <c r="P37" s="304"/>
      <c r="Q37" s="304"/>
      <c r="R37" s="304"/>
      <c r="S37" s="304"/>
      <c r="T37" s="304"/>
      <c r="U37" s="304"/>
      <c r="V37" s="304"/>
      <c r="W37" s="304"/>
      <c r="X37" s="256"/>
      <c r="Y37" s="257"/>
      <c r="Z37" s="256"/>
      <c r="AA37" s="290"/>
      <c r="AB37" s="256"/>
      <c r="AC37" s="256"/>
      <c r="AD37" s="256"/>
    </row>
    <row r="38" spans="1:30" ht="15">
      <c r="A38" s="282"/>
      <c r="B38" s="282"/>
      <c r="C38" s="282"/>
      <c r="D38" s="282"/>
      <c r="E38" s="309"/>
      <c r="F38" s="310"/>
      <c r="G38" s="309"/>
      <c r="H38" s="309"/>
      <c r="I38" s="309"/>
      <c r="J38" s="309"/>
      <c r="K38" s="309"/>
      <c r="L38" s="309"/>
      <c r="M38" s="309"/>
      <c r="N38" s="309"/>
      <c r="O38" s="309"/>
      <c r="P38" s="309"/>
      <c r="Q38" s="309"/>
      <c r="R38" s="309"/>
      <c r="S38" s="309"/>
      <c r="T38" s="309"/>
      <c r="U38" s="309"/>
      <c r="V38" s="309"/>
      <c r="W38" s="309"/>
      <c r="X38" s="311"/>
      <c r="Y38" s="257"/>
      <c r="Z38" s="256"/>
      <c r="AA38" s="256"/>
      <c r="AB38" s="256"/>
      <c r="AC38" s="256"/>
      <c r="AD38" s="256"/>
    </row>
    <row r="39" spans="1:30" ht="15">
      <c r="A39" s="312"/>
      <c r="B39" s="312"/>
      <c r="C39" s="312"/>
      <c r="D39" s="313" t="s">
        <v>183</v>
      </c>
      <c r="E39" s="314" t="s">
        <v>184</v>
      </c>
      <c r="F39" s="314" t="s">
        <v>185</v>
      </c>
      <c r="G39" s="314" t="s">
        <v>186</v>
      </c>
      <c r="H39" s="314" t="s">
        <v>187</v>
      </c>
      <c r="I39" s="314" t="s">
        <v>188</v>
      </c>
      <c r="J39" s="313" t="s">
        <v>189</v>
      </c>
      <c r="K39" s="313" t="s">
        <v>190</v>
      </c>
      <c r="L39" s="313" t="s">
        <v>191</v>
      </c>
      <c r="M39" s="313" t="s">
        <v>192</v>
      </c>
      <c r="N39" s="313" t="s">
        <v>193</v>
      </c>
      <c r="O39" s="313" t="s">
        <v>194</v>
      </c>
      <c r="P39" s="313" t="s">
        <v>195</v>
      </c>
      <c r="Q39" s="313" t="s">
        <v>196</v>
      </c>
      <c r="R39" s="313" t="s">
        <v>197</v>
      </c>
      <c r="S39" s="313" t="s">
        <v>198</v>
      </c>
      <c r="T39" s="313" t="s">
        <v>199</v>
      </c>
      <c r="U39" s="313" t="s">
        <v>200</v>
      </c>
      <c r="V39" s="313" t="s">
        <v>201</v>
      </c>
      <c r="W39" s="313" t="s">
        <v>276</v>
      </c>
      <c r="X39" s="315" t="s">
        <v>178</v>
      </c>
      <c r="Y39" s="316"/>
      <c r="Z39" s="256"/>
      <c r="AA39" s="256"/>
      <c r="AB39" s="256"/>
      <c r="AC39" s="256"/>
      <c r="AD39" s="256"/>
    </row>
    <row r="40" spans="1:30" ht="15">
      <c r="A40" s="317"/>
      <c r="B40" s="318"/>
      <c r="C40" s="319"/>
      <c r="D40" s="320" t="s">
        <v>202</v>
      </c>
      <c r="E40" s="321" t="s">
        <v>203</v>
      </c>
      <c r="F40" s="321" t="s">
        <v>204</v>
      </c>
      <c r="G40" s="321" t="s">
        <v>205</v>
      </c>
      <c r="H40" s="321" t="s">
        <v>206</v>
      </c>
      <c r="I40" s="321" t="s">
        <v>207</v>
      </c>
      <c r="J40" s="321" t="s">
        <v>208</v>
      </c>
      <c r="K40" s="321" t="s">
        <v>209</v>
      </c>
      <c r="L40" s="321" t="s">
        <v>210</v>
      </c>
      <c r="M40" s="321" t="s">
        <v>211</v>
      </c>
      <c r="N40" s="321" t="s">
        <v>212</v>
      </c>
      <c r="O40" s="321" t="s">
        <v>213</v>
      </c>
      <c r="P40" s="321" t="s">
        <v>214</v>
      </c>
      <c r="Q40" s="321" t="s">
        <v>215</v>
      </c>
      <c r="R40" s="321" t="s">
        <v>216</v>
      </c>
      <c r="S40" s="321" t="s">
        <v>217</v>
      </c>
      <c r="T40" s="321" t="s">
        <v>218</v>
      </c>
      <c r="U40" s="321" t="s">
        <v>219</v>
      </c>
      <c r="V40" s="321" t="s">
        <v>220</v>
      </c>
      <c r="W40" s="321" t="s">
        <v>277</v>
      </c>
      <c r="X40" s="322" t="s">
        <v>7</v>
      </c>
      <c r="Y40" s="257"/>
      <c r="Z40" s="256"/>
      <c r="AA40" s="256"/>
      <c r="AB40" s="256"/>
      <c r="AC40" s="256"/>
      <c r="AD40" s="256"/>
    </row>
    <row r="41" spans="1:30" ht="15">
      <c r="A41" s="256" t="s">
        <v>221</v>
      </c>
      <c r="B41" s="256"/>
      <c r="C41" s="323"/>
      <c r="D41" s="256"/>
      <c r="E41" s="294">
        <v>267270</v>
      </c>
      <c r="F41" s="294">
        <v>426954</v>
      </c>
      <c r="G41" s="294">
        <v>375567</v>
      </c>
      <c r="H41" s="294">
        <v>465726</v>
      </c>
      <c r="I41" s="294">
        <v>560897</v>
      </c>
      <c r="J41" s="294">
        <v>550588</v>
      </c>
      <c r="K41" s="294">
        <v>847366</v>
      </c>
      <c r="L41" s="294">
        <v>768504</v>
      </c>
      <c r="M41" s="324">
        <v>701634</v>
      </c>
      <c r="N41" s="324">
        <v>677860</v>
      </c>
      <c r="O41" s="324">
        <v>772811</v>
      </c>
      <c r="P41" s="324">
        <v>914968</v>
      </c>
      <c r="Q41" s="324">
        <v>555140</v>
      </c>
      <c r="R41" s="324">
        <v>524701</v>
      </c>
      <c r="S41" s="324">
        <v>995333</v>
      </c>
      <c r="T41" s="324">
        <v>660979.8966153578</v>
      </c>
      <c r="U41" s="324">
        <v>540356.4334616095</v>
      </c>
      <c r="V41" s="324">
        <f>SUM('2014-2015 RSA'!L71:L82)</f>
        <v>541881.6392656117</v>
      </c>
      <c r="W41" s="324">
        <f>+P36</f>
        <v>443527.68186902365</v>
      </c>
      <c r="X41" s="325">
        <f>SUM(E41:W41)</f>
        <v>11592064.651211604</v>
      </c>
      <c r="Y41" s="257"/>
      <c r="Z41" s="293"/>
      <c r="AA41" s="256"/>
      <c r="AB41" s="256"/>
      <c r="AC41" s="256"/>
      <c r="AD41" s="256"/>
    </row>
    <row r="42" spans="1:30" ht="15">
      <c r="A42" s="256"/>
      <c r="B42" s="256"/>
      <c r="C42" s="323"/>
      <c r="D42" s="256"/>
      <c r="E42" s="326"/>
      <c r="F42" s="294"/>
      <c r="G42" s="294"/>
      <c r="H42" s="294"/>
      <c r="I42" s="294"/>
      <c r="J42" s="294"/>
      <c r="K42" s="294"/>
      <c r="L42" s="294"/>
      <c r="M42" s="294"/>
      <c r="N42" s="294"/>
      <c r="O42" s="294"/>
      <c r="P42" s="294"/>
      <c r="Q42" s="294"/>
      <c r="R42" s="294"/>
      <c r="S42" s="294"/>
      <c r="T42" s="294"/>
      <c r="U42" s="294"/>
      <c r="V42" s="294"/>
      <c r="W42" s="294"/>
      <c r="X42" s="325"/>
      <c r="Y42" s="257"/>
      <c r="Z42" s="256"/>
      <c r="AA42" s="256"/>
      <c r="AB42" s="256"/>
      <c r="AC42" s="256"/>
      <c r="AD42" s="256"/>
    </row>
    <row r="43" spans="1:30" ht="15">
      <c r="A43" s="327" t="s">
        <v>222</v>
      </c>
      <c r="B43" s="256"/>
      <c r="C43" s="328"/>
      <c r="D43" s="256"/>
      <c r="E43" s="326"/>
      <c r="F43" s="294"/>
      <c r="G43" s="294"/>
      <c r="H43" s="294"/>
      <c r="I43" s="294"/>
      <c r="J43" s="294"/>
      <c r="K43" s="294"/>
      <c r="L43" s="292">
        <v>-201327.3</v>
      </c>
      <c r="M43" s="329">
        <v>-210490.2</v>
      </c>
      <c r="N43" s="329">
        <v>-203358</v>
      </c>
      <c r="O43" s="329">
        <v>-231843.3</v>
      </c>
      <c r="P43" s="329">
        <v>-274490.4</v>
      </c>
      <c r="Q43" s="329">
        <v>-166542</v>
      </c>
      <c r="R43" s="329">
        <v>-157410</v>
      </c>
      <c r="S43" s="329">
        <v>-456269.5</v>
      </c>
      <c r="T43" s="329">
        <v>-232790.90857531194</v>
      </c>
      <c r="U43" s="329">
        <v>-193554.47190433517</v>
      </c>
      <c r="V43" s="329">
        <v>-193552</v>
      </c>
      <c r="W43" s="329">
        <f>+Q36</f>
        <v>-155234.68865415826</v>
      </c>
      <c r="X43" s="330">
        <f>SUM(E43:W43)</f>
        <v>-2676862.7691338053</v>
      </c>
      <c r="Y43" s="257"/>
      <c r="Z43" s="256"/>
      <c r="AA43" s="256"/>
      <c r="AB43" s="256"/>
      <c r="AC43" s="256"/>
      <c r="AD43" s="256"/>
    </row>
    <row r="44" spans="1:30" ht="15">
      <c r="A44" s="256"/>
      <c r="B44" s="256"/>
      <c r="C44" s="323"/>
      <c r="D44" s="256"/>
      <c r="E44" s="326"/>
      <c r="F44" s="294"/>
      <c r="G44" s="294"/>
      <c r="H44" s="294"/>
      <c r="I44" s="294"/>
      <c r="J44" s="294"/>
      <c r="K44" s="294"/>
      <c r="L44" s="294"/>
      <c r="M44" s="294"/>
      <c r="N44" s="326"/>
      <c r="O44" s="326"/>
      <c r="P44" s="326"/>
      <c r="Q44" s="326"/>
      <c r="R44" s="326"/>
      <c r="S44" s="326"/>
      <c r="T44" s="326"/>
      <c r="U44" s="326"/>
      <c r="V44" s="326"/>
      <c r="W44" s="326"/>
      <c r="X44" s="325"/>
      <c r="Y44" s="257"/>
      <c r="Z44" s="256"/>
      <c r="AA44" s="256"/>
      <c r="AB44" s="256"/>
      <c r="AC44" s="256"/>
      <c r="AD44" s="256"/>
    </row>
    <row r="45" spans="1:30" ht="15">
      <c r="A45" s="256" t="s">
        <v>223</v>
      </c>
      <c r="B45" s="256"/>
      <c r="C45" s="323"/>
      <c r="D45" s="256"/>
      <c r="E45" s="331">
        <v>-398059</v>
      </c>
      <c r="F45" s="331">
        <v>-269365</v>
      </c>
      <c r="G45" s="331">
        <v>-597853</v>
      </c>
      <c r="H45" s="331">
        <v>-237180</v>
      </c>
      <c r="I45" s="332">
        <v>-497028</v>
      </c>
      <c r="J45" s="332">
        <v>-685915</v>
      </c>
      <c r="K45" s="332">
        <v>-628452</v>
      </c>
      <c r="L45" s="332">
        <v>-676257.82</v>
      </c>
      <c r="M45" s="332">
        <v>-517207.08</v>
      </c>
      <c r="N45" s="332">
        <v>-475295.07</v>
      </c>
      <c r="O45" s="332">
        <v>-479254.2</v>
      </c>
      <c r="P45" s="332">
        <v>-581952.39</v>
      </c>
      <c r="Q45" s="332">
        <v>-706470.1800000002</v>
      </c>
      <c r="R45" s="332">
        <v>-225966</v>
      </c>
      <c r="S45" s="332">
        <v>-350381.48999999993</v>
      </c>
      <c r="T45" s="332">
        <v>-596976.86</v>
      </c>
      <c r="U45" s="332">
        <v>-489827.06000000006</v>
      </c>
      <c r="V45" s="332">
        <v>-295116.05000000005</v>
      </c>
      <c r="W45" s="384">
        <f>+X36</f>
        <v>-268981.58999999997</v>
      </c>
      <c r="X45" s="333">
        <f>SUM(E45:W45)</f>
        <v>-8977537.790000001</v>
      </c>
      <c r="Y45" s="257"/>
      <c r="Z45" s="293"/>
      <c r="AA45" s="256"/>
      <c r="AB45" s="256"/>
      <c r="AC45" s="256"/>
      <c r="AD45" s="256"/>
    </row>
    <row r="46" spans="1:30" ht="15">
      <c r="A46" s="256"/>
      <c r="B46" s="256"/>
      <c r="C46" s="323"/>
      <c r="D46" s="256"/>
      <c r="E46" s="294"/>
      <c r="F46" s="294"/>
      <c r="G46" s="294"/>
      <c r="H46" s="294"/>
      <c r="I46" s="294"/>
      <c r="J46" s="294"/>
      <c r="K46" s="294"/>
      <c r="L46" s="294"/>
      <c r="M46" s="294"/>
      <c r="N46" s="294"/>
      <c r="O46" s="294"/>
      <c r="P46" s="294"/>
      <c r="Q46" s="294"/>
      <c r="R46" s="294"/>
      <c r="S46" s="294"/>
      <c r="T46" s="326"/>
      <c r="U46" s="326"/>
      <c r="V46" s="326"/>
      <c r="W46" s="294"/>
      <c r="X46" s="325"/>
      <c r="Y46" s="257"/>
      <c r="Z46" s="256"/>
      <c r="AA46" s="256"/>
      <c r="AB46" s="256"/>
      <c r="AC46" s="256"/>
      <c r="AD46" s="256"/>
    </row>
    <row r="47" spans="1:30" ht="15">
      <c r="A47" s="259" t="s">
        <v>224</v>
      </c>
      <c r="B47" s="259"/>
      <c r="C47" s="259"/>
      <c r="D47" s="259"/>
      <c r="E47" s="334">
        <f>SUM(E41:E45)</f>
        <v>-130789</v>
      </c>
      <c r="F47" s="334">
        <f aca="true" t="shared" si="6" ref="F47:R47">SUM(F41:F45)</f>
        <v>157589</v>
      </c>
      <c r="G47" s="334">
        <f t="shared" si="6"/>
        <v>-222286</v>
      </c>
      <c r="H47" s="334">
        <f t="shared" si="6"/>
        <v>228546</v>
      </c>
      <c r="I47" s="334">
        <f t="shared" si="6"/>
        <v>63869</v>
      </c>
      <c r="J47" s="334">
        <f t="shared" si="6"/>
        <v>-135327</v>
      </c>
      <c r="K47" s="334">
        <f t="shared" si="6"/>
        <v>218914</v>
      </c>
      <c r="L47" s="334">
        <f t="shared" si="6"/>
        <v>-109081.12</v>
      </c>
      <c r="M47" s="334">
        <f t="shared" si="6"/>
        <v>-26063.280000000028</v>
      </c>
      <c r="N47" s="334">
        <f t="shared" si="6"/>
        <v>-793.070000000007</v>
      </c>
      <c r="O47" s="334">
        <f t="shared" si="6"/>
        <v>61713.49999999994</v>
      </c>
      <c r="P47" s="334">
        <f t="shared" si="6"/>
        <v>58525.20999999996</v>
      </c>
      <c r="Q47" s="334">
        <f t="shared" si="6"/>
        <v>-317872.18000000017</v>
      </c>
      <c r="R47" s="334">
        <f t="shared" si="6"/>
        <v>141325</v>
      </c>
      <c r="S47" s="334">
        <f>SUM(S41:S45)</f>
        <v>188682.01000000007</v>
      </c>
      <c r="T47" s="385">
        <f>SUM(T41:T45)</f>
        <v>-168787.8719599541</v>
      </c>
      <c r="U47" s="385">
        <f>SUM(U41:U45)</f>
        <v>-143025.09844272572</v>
      </c>
      <c r="V47" s="385">
        <f>SUM(V41:V45)</f>
        <v>53213.589265611605</v>
      </c>
      <c r="W47" s="385">
        <f>SUM(W41:W45)</f>
        <v>19311.403214865422</v>
      </c>
      <c r="X47" s="335">
        <f>SUM(E47:W47)</f>
        <v>-62335.90792220301</v>
      </c>
      <c r="Y47" s="280"/>
      <c r="Z47" s="336"/>
      <c r="AA47" s="259"/>
      <c r="AB47" s="259"/>
      <c r="AC47" s="259"/>
      <c r="AD47" s="259"/>
    </row>
    <row r="48" spans="1:30" ht="15">
      <c r="A48" s="259"/>
      <c r="B48" s="256"/>
      <c r="C48" s="256"/>
      <c r="D48" s="256"/>
      <c r="E48" s="291"/>
      <c r="F48" s="291"/>
      <c r="G48" s="291"/>
      <c r="H48" s="291"/>
      <c r="I48" s="291"/>
      <c r="J48" s="291"/>
      <c r="K48" s="291"/>
      <c r="L48" s="291"/>
      <c r="M48" s="291"/>
      <c r="N48" s="291"/>
      <c r="O48" s="291"/>
      <c r="P48" s="291"/>
      <c r="Q48" s="291"/>
      <c r="R48" s="291"/>
      <c r="S48" s="291"/>
      <c r="T48" s="343"/>
      <c r="U48" s="343"/>
      <c r="V48" s="343"/>
      <c r="W48" s="291"/>
      <c r="X48" s="325"/>
      <c r="Y48" s="257"/>
      <c r="Z48" s="256"/>
      <c r="AA48" s="256"/>
      <c r="AB48" s="256"/>
      <c r="AC48" s="256"/>
      <c r="AD48" s="256"/>
    </row>
    <row r="49" spans="1:30" ht="15">
      <c r="A49" s="256" t="s">
        <v>228</v>
      </c>
      <c r="B49" s="256"/>
      <c r="C49" s="256"/>
      <c r="D49" s="256"/>
      <c r="E49" s="339">
        <v>10</v>
      </c>
      <c r="F49" s="339">
        <v>12</v>
      </c>
      <c r="G49" s="339">
        <v>12</v>
      </c>
      <c r="H49" s="339">
        <v>12</v>
      </c>
      <c r="I49" s="339">
        <v>12</v>
      </c>
      <c r="J49" s="340">
        <v>13</v>
      </c>
      <c r="K49" s="340">
        <v>14</v>
      </c>
      <c r="L49" s="340">
        <v>12</v>
      </c>
      <c r="M49" s="340">
        <v>12</v>
      </c>
      <c r="N49" s="340">
        <v>12</v>
      </c>
      <c r="O49" s="340">
        <v>12</v>
      </c>
      <c r="P49" s="340">
        <v>12</v>
      </c>
      <c r="Q49" s="340">
        <v>12</v>
      </c>
      <c r="R49" s="340">
        <v>12</v>
      </c>
      <c r="S49" s="340">
        <v>16</v>
      </c>
      <c r="T49" s="341">
        <v>13</v>
      </c>
      <c r="U49" s="341">
        <v>12</v>
      </c>
      <c r="V49" s="341">
        <v>12</v>
      </c>
      <c r="W49" s="386">
        <v>12</v>
      </c>
      <c r="X49" s="342">
        <v>12</v>
      </c>
      <c r="Y49" s="257"/>
      <c r="Z49" s="256"/>
      <c r="AA49" s="256"/>
      <c r="AB49" s="256"/>
      <c r="AC49" s="256"/>
      <c r="AD49" s="256"/>
    </row>
    <row r="50" spans="1:30" ht="15">
      <c r="A50" s="259" t="s">
        <v>229</v>
      </c>
      <c r="B50" s="259"/>
      <c r="C50" s="259"/>
      <c r="D50" s="259"/>
      <c r="E50" s="334">
        <f>+E47/E49</f>
        <v>-13078.9</v>
      </c>
      <c r="F50" s="334">
        <f aca="true" t="shared" si="7" ref="F50:W50">+F47/F49</f>
        <v>13132.416666666666</v>
      </c>
      <c r="G50" s="334">
        <f t="shared" si="7"/>
        <v>-18523.833333333332</v>
      </c>
      <c r="H50" s="334">
        <f t="shared" si="7"/>
        <v>19045.5</v>
      </c>
      <c r="I50" s="334">
        <f t="shared" si="7"/>
        <v>5322.416666666667</v>
      </c>
      <c r="J50" s="334">
        <f t="shared" si="7"/>
        <v>-10409.76923076923</v>
      </c>
      <c r="K50" s="334">
        <f t="shared" si="7"/>
        <v>15636.714285714286</v>
      </c>
      <c r="L50" s="334">
        <f t="shared" si="7"/>
        <v>-9090.093333333332</v>
      </c>
      <c r="M50" s="334">
        <f t="shared" si="7"/>
        <v>-2171.9400000000023</v>
      </c>
      <c r="N50" s="334">
        <f t="shared" si="7"/>
        <v>-66.08916666666725</v>
      </c>
      <c r="O50" s="334">
        <f t="shared" si="7"/>
        <v>5142.7916666666615</v>
      </c>
      <c r="P50" s="334">
        <f t="shared" si="7"/>
        <v>4877.10083333333</v>
      </c>
      <c r="Q50" s="334">
        <f t="shared" si="7"/>
        <v>-26489.348333333346</v>
      </c>
      <c r="R50" s="334">
        <f t="shared" si="7"/>
        <v>11777.083333333334</v>
      </c>
      <c r="S50" s="334">
        <f t="shared" si="7"/>
        <v>11792.625625000004</v>
      </c>
      <c r="T50" s="334">
        <f t="shared" si="7"/>
        <v>-12983.682458458006</v>
      </c>
      <c r="U50" s="334">
        <f t="shared" si="7"/>
        <v>-11918.758203560477</v>
      </c>
      <c r="V50" s="334">
        <f t="shared" si="7"/>
        <v>4434.4657721343</v>
      </c>
      <c r="W50" s="334">
        <f t="shared" si="7"/>
        <v>1609.2836012387852</v>
      </c>
      <c r="X50" s="335">
        <f>+X47/X49</f>
        <v>-5194.658993516918</v>
      </c>
      <c r="Y50" s="280"/>
      <c r="Z50" s="259"/>
      <c r="AA50" s="259"/>
      <c r="AB50" s="259"/>
      <c r="AC50" s="259"/>
      <c r="AD50" s="259"/>
    </row>
    <row r="51" spans="1:30" ht="15">
      <c r="A51" s="259"/>
      <c r="B51" s="256"/>
      <c r="C51" s="256"/>
      <c r="D51" s="256"/>
      <c r="E51" s="256"/>
      <c r="F51" s="301"/>
      <c r="G51" s="256"/>
      <c r="H51" s="256"/>
      <c r="I51" s="256"/>
      <c r="J51" s="256"/>
      <c r="K51" s="256"/>
      <c r="L51" s="256"/>
      <c r="M51" s="256"/>
      <c r="N51" s="256"/>
      <c r="O51" s="256"/>
      <c r="P51" s="256"/>
      <c r="Q51" s="256"/>
      <c r="R51" s="256"/>
      <c r="S51" s="256"/>
      <c r="T51" s="256"/>
      <c r="U51" s="256"/>
      <c r="V51" s="256"/>
      <c r="W51" s="256"/>
      <c r="X51" s="325"/>
      <c r="Y51" s="257"/>
      <c r="Z51" s="256"/>
      <c r="AA51" s="256"/>
      <c r="AB51" s="256"/>
      <c r="AC51" s="256"/>
      <c r="AD51" s="256"/>
    </row>
    <row r="52" spans="1:30" ht="15.75" thickBot="1">
      <c r="A52" s="256" t="s">
        <v>230</v>
      </c>
      <c r="B52" s="256"/>
      <c r="C52" s="323"/>
      <c r="D52" s="323"/>
      <c r="E52" s="339">
        <v>20805</v>
      </c>
      <c r="F52" s="339">
        <v>20925</v>
      </c>
      <c r="G52" s="339">
        <v>22176</v>
      </c>
      <c r="H52" s="339">
        <v>22125</v>
      </c>
      <c r="I52" s="339">
        <v>22176</v>
      </c>
      <c r="J52" s="339">
        <v>22979</v>
      </c>
      <c r="K52" s="339">
        <v>31853</v>
      </c>
      <c r="L52" s="343">
        <v>31960.25</v>
      </c>
      <c r="M52" s="343">
        <v>26315.583333333332</v>
      </c>
      <c r="N52" s="343">
        <v>23549.583333333332</v>
      </c>
      <c r="O52" s="343">
        <v>23844</v>
      </c>
      <c r="P52" s="343">
        <v>23908</v>
      </c>
      <c r="Q52" s="343">
        <v>23119</v>
      </c>
      <c r="R52" s="343">
        <v>18604</v>
      </c>
      <c r="S52" s="343">
        <v>18935.25</v>
      </c>
      <c r="T52" s="343">
        <v>15470</v>
      </c>
      <c r="U52" s="343">
        <v>15900</v>
      </c>
      <c r="V52" s="343">
        <v>15987</v>
      </c>
      <c r="W52" s="343">
        <f>+B19</f>
        <v>16328.833333333334</v>
      </c>
      <c r="X52" s="344">
        <f>+W52</f>
        <v>16328.833333333334</v>
      </c>
      <c r="Y52" s="257"/>
      <c r="Z52" s="256"/>
      <c r="AA52" s="256"/>
      <c r="AB52" s="256"/>
      <c r="AC52" s="256"/>
      <c r="AD52" s="256"/>
    </row>
    <row r="53" spans="1:30" ht="15">
      <c r="A53" s="256"/>
      <c r="B53" s="256"/>
      <c r="C53" s="256"/>
      <c r="D53" s="256"/>
      <c r="E53" s="345">
        <f aca="true" t="shared" si="8" ref="E53:W53">E52*E49</f>
        <v>208050</v>
      </c>
      <c r="F53" s="345">
        <f t="shared" si="8"/>
        <v>251100</v>
      </c>
      <c r="G53" s="345">
        <f t="shared" si="8"/>
        <v>266112</v>
      </c>
      <c r="H53" s="345">
        <f t="shared" si="8"/>
        <v>265500</v>
      </c>
      <c r="I53" s="345">
        <f t="shared" si="8"/>
        <v>266112</v>
      </c>
      <c r="J53" s="345">
        <f t="shared" si="8"/>
        <v>298727</v>
      </c>
      <c r="K53" s="345">
        <f t="shared" si="8"/>
        <v>445942</v>
      </c>
      <c r="L53" s="345">
        <f t="shared" si="8"/>
        <v>383523</v>
      </c>
      <c r="M53" s="345">
        <f t="shared" si="8"/>
        <v>315787</v>
      </c>
      <c r="N53" s="345">
        <f t="shared" si="8"/>
        <v>282595</v>
      </c>
      <c r="O53" s="345">
        <f t="shared" si="8"/>
        <v>286128</v>
      </c>
      <c r="P53" s="345">
        <f t="shared" si="8"/>
        <v>286896</v>
      </c>
      <c r="Q53" s="345">
        <f t="shared" si="8"/>
        <v>277428</v>
      </c>
      <c r="R53" s="345">
        <f t="shared" si="8"/>
        <v>223248</v>
      </c>
      <c r="S53" s="345">
        <f t="shared" si="8"/>
        <v>302964</v>
      </c>
      <c r="T53" s="345">
        <f t="shared" si="8"/>
        <v>201110</v>
      </c>
      <c r="U53" s="345">
        <f t="shared" si="8"/>
        <v>190800</v>
      </c>
      <c r="V53" s="345">
        <f t="shared" si="8"/>
        <v>191844</v>
      </c>
      <c r="W53" s="345">
        <f t="shared" si="8"/>
        <v>195946</v>
      </c>
      <c r="X53" s="346">
        <f>X52*X49</f>
        <v>195946</v>
      </c>
      <c r="Y53" s="257"/>
      <c r="Z53" s="256"/>
      <c r="AA53" s="256"/>
      <c r="AB53" s="256"/>
      <c r="AC53" s="256"/>
      <c r="AD53" s="256"/>
    </row>
    <row r="54" spans="1:30" ht="15.75" thickBot="1">
      <c r="A54" s="259" t="s">
        <v>231</v>
      </c>
      <c r="B54" s="256"/>
      <c r="C54" s="256"/>
      <c r="D54" s="268"/>
      <c r="E54" s="274">
        <f aca="true" t="shared" si="9" ref="E54:X54">ROUND(E50/E52,2)</f>
        <v>-0.63</v>
      </c>
      <c r="F54" s="274">
        <f t="shared" si="9"/>
        <v>0.63</v>
      </c>
      <c r="G54" s="274">
        <f t="shared" si="9"/>
        <v>-0.84</v>
      </c>
      <c r="H54" s="274">
        <f t="shared" si="9"/>
        <v>0.86</v>
      </c>
      <c r="I54" s="274">
        <f t="shared" si="9"/>
        <v>0.24</v>
      </c>
      <c r="J54" s="274">
        <f t="shared" si="9"/>
        <v>-0.45</v>
      </c>
      <c r="K54" s="274">
        <f t="shared" si="9"/>
        <v>0.49</v>
      </c>
      <c r="L54" s="274">
        <f t="shared" si="9"/>
        <v>-0.28</v>
      </c>
      <c r="M54" s="274">
        <f t="shared" si="9"/>
        <v>-0.08</v>
      </c>
      <c r="N54" s="274">
        <f t="shared" si="9"/>
        <v>0</v>
      </c>
      <c r="O54" s="274">
        <f t="shared" si="9"/>
        <v>0.22</v>
      </c>
      <c r="P54" s="274">
        <f t="shared" si="9"/>
        <v>0.2</v>
      </c>
      <c r="Q54" s="274">
        <f t="shared" si="9"/>
        <v>-1.15</v>
      </c>
      <c r="R54" s="274">
        <f t="shared" si="9"/>
        <v>0.63</v>
      </c>
      <c r="S54" s="274">
        <f t="shared" si="9"/>
        <v>0.62</v>
      </c>
      <c r="T54" s="274">
        <f t="shared" si="9"/>
        <v>-0.84</v>
      </c>
      <c r="U54" s="274">
        <f t="shared" si="9"/>
        <v>-0.75</v>
      </c>
      <c r="V54" s="274">
        <f t="shared" si="9"/>
        <v>0.28</v>
      </c>
      <c r="W54" s="274">
        <f t="shared" si="9"/>
        <v>0.1</v>
      </c>
      <c r="X54" s="347">
        <f t="shared" si="9"/>
        <v>-0.32</v>
      </c>
      <c r="Y54" s="257"/>
      <c r="Z54" s="256"/>
      <c r="AA54" s="256"/>
      <c r="AB54" s="256"/>
      <c r="AC54" s="256"/>
      <c r="AD54" s="256"/>
    </row>
    <row r="55" spans="1:30" ht="15.75" thickTop="1">
      <c r="A55" s="256"/>
      <c r="B55" s="256"/>
      <c r="C55" s="256"/>
      <c r="D55" s="268"/>
      <c r="E55" s="268"/>
      <c r="F55" s="268"/>
      <c r="G55" s="268"/>
      <c r="H55" s="268"/>
      <c r="I55" s="268"/>
      <c r="J55" s="268"/>
      <c r="K55" s="268"/>
      <c r="L55" s="268"/>
      <c r="M55" s="268"/>
      <c r="N55" s="268"/>
      <c r="O55" s="268"/>
      <c r="P55" s="268"/>
      <c r="Q55" s="268"/>
      <c r="R55" s="268"/>
      <c r="S55" s="268"/>
      <c r="T55" s="268"/>
      <c r="U55" s="268"/>
      <c r="V55" s="268"/>
      <c r="W55" s="268"/>
      <c r="X55" s="325"/>
      <c r="Y55" s="257"/>
      <c r="Z55" s="256"/>
      <c r="AA55" s="256"/>
      <c r="AB55" s="256"/>
      <c r="AC55" s="256"/>
      <c r="AD55" s="256"/>
    </row>
    <row r="56" spans="1:30" ht="15">
      <c r="A56" s="348" t="s">
        <v>232</v>
      </c>
      <c r="B56" s="262"/>
      <c r="C56" s="262"/>
      <c r="D56" s="268"/>
      <c r="E56" s="268"/>
      <c r="F56" s="268"/>
      <c r="G56" s="268"/>
      <c r="H56" s="268"/>
      <c r="I56" s="268"/>
      <c r="J56" s="268"/>
      <c r="K56" s="268"/>
      <c r="L56" s="268"/>
      <c r="M56" s="268"/>
      <c r="N56" s="268"/>
      <c r="O56" s="268"/>
      <c r="P56" s="268"/>
      <c r="Q56" s="268"/>
      <c r="R56" s="268"/>
      <c r="S56" s="268"/>
      <c r="T56" s="268"/>
      <c r="U56" s="268"/>
      <c r="V56" s="268"/>
      <c r="W56" s="268"/>
      <c r="X56" s="325"/>
      <c r="Y56" s="257"/>
      <c r="Z56" s="256"/>
      <c r="AA56" s="256"/>
      <c r="AB56" s="256"/>
      <c r="AC56" s="256"/>
      <c r="AD56" s="256"/>
    </row>
    <row r="57" spans="1:30" ht="15">
      <c r="A57" s="256" t="s">
        <v>233</v>
      </c>
      <c r="B57" s="256"/>
      <c r="C57" s="256"/>
      <c r="D57" s="268"/>
      <c r="E57" s="268">
        <v>1.34</v>
      </c>
      <c r="F57" s="268">
        <v>1.93</v>
      </c>
      <c r="G57" s="268">
        <v>2.13</v>
      </c>
      <c r="H57" s="268">
        <v>1.75</v>
      </c>
      <c r="I57" s="268">
        <v>2.04</v>
      </c>
      <c r="J57" s="268">
        <v>1.84</v>
      </c>
      <c r="K57" s="268">
        <v>1.96</v>
      </c>
      <c r="L57" s="268">
        <v>2</v>
      </c>
      <c r="M57" s="268">
        <v>2.2218584045575023</v>
      </c>
      <c r="N57" s="268">
        <v>2.3986977830464093</v>
      </c>
      <c r="O57" s="268">
        <v>2.7</v>
      </c>
      <c r="P57" s="268">
        <v>3.19</v>
      </c>
      <c r="Q57" s="268">
        <v>2</v>
      </c>
      <c r="R57" s="268">
        <v>2.35</v>
      </c>
      <c r="S57" s="268">
        <v>3.469490324482997</v>
      </c>
      <c r="T57" s="268">
        <v>3.29</v>
      </c>
      <c r="U57" s="268">
        <v>2.832145840338845</v>
      </c>
      <c r="V57" s="268">
        <v>2.82</v>
      </c>
      <c r="W57" s="268">
        <f>+B20</f>
        <v>2.26</v>
      </c>
      <c r="X57" s="562">
        <f>+W57</f>
        <v>2.26</v>
      </c>
      <c r="Y57" s="257"/>
      <c r="Z57" s="256"/>
      <c r="AA57" s="256"/>
      <c r="AB57" s="256"/>
      <c r="AC57" s="256"/>
      <c r="AD57" s="256"/>
    </row>
    <row r="58" spans="1:30" ht="15">
      <c r="A58" s="350" t="s">
        <v>234</v>
      </c>
      <c r="B58" s="256"/>
      <c r="C58" s="256"/>
      <c r="D58" s="268"/>
      <c r="E58" s="268"/>
      <c r="F58" s="268"/>
      <c r="G58" s="268"/>
      <c r="H58" s="268"/>
      <c r="I58" s="268"/>
      <c r="J58" s="268"/>
      <c r="K58" s="268"/>
      <c r="L58" s="268"/>
      <c r="M58" s="268"/>
      <c r="N58" s="268"/>
      <c r="O58" s="268"/>
      <c r="P58" s="268"/>
      <c r="Q58" s="268"/>
      <c r="R58" s="268"/>
      <c r="S58" s="268"/>
      <c r="T58" s="268"/>
      <c r="U58" s="268"/>
      <c r="V58" s="268"/>
      <c r="W58" s="268"/>
      <c r="X58" s="325"/>
      <c r="Y58" s="257"/>
      <c r="Z58" s="256"/>
      <c r="AA58" s="256"/>
      <c r="AB58" s="256"/>
      <c r="AC58" s="256"/>
      <c r="AD58" s="256"/>
    </row>
    <row r="59" spans="1:30" ht="15">
      <c r="A59" s="256" t="s">
        <v>231</v>
      </c>
      <c r="B59" s="256"/>
      <c r="C59" s="256"/>
      <c r="D59" s="278"/>
      <c r="E59" s="278">
        <v>-0.63</v>
      </c>
      <c r="F59" s="278">
        <v>0.63</v>
      </c>
      <c r="G59" s="278">
        <v>-0.84</v>
      </c>
      <c r="H59" s="278">
        <v>0.86</v>
      </c>
      <c r="I59" s="278">
        <v>0.24</v>
      </c>
      <c r="J59" s="278">
        <v>-0.45</v>
      </c>
      <c r="K59" s="278">
        <v>0.49</v>
      </c>
      <c r="L59" s="278">
        <v>-0.28</v>
      </c>
      <c r="M59" s="278">
        <v>-0.08</v>
      </c>
      <c r="N59" s="278">
        <v>0</v>
      </c>
      <c r="O59" s="278">
        <v>0.21</v>
      </c>
      <c r="P59" s="278">
        <v>0.21</v>
      </c>
      <c r="Q59" s="278">
        <v>-1.15</v>
      </c>
      <c r="R59" s="278">
        <v>0.63</v>
      </c>
      <c r="S59" s="278">
        <v>0.62</v>
      </c>
      <c r="T59" s="278">
        <f>+T54</f>
        <v>-0.84</v>
      </c>
      <c r="U59" s="278">
        <v>-0.75</v>
      </c>
      <c r="V59" s="278">
        <v>0.25</v>
      </c>
      <c r="W59" s="278">
        <f>+W54</f>
        <v>0.1</v>
      </c>
      <c r="X59" s="351">
        <f>+X54</f>
        <v>-0.32</v>
      </c>
      <c r="Y59" s="257"/>
      <c r="Z59" s="267"/>
      <c r="AA59" s="256"/>
      <c r="AB59" s="256"/>
      <c r="AC59" s="256"/>
      <c r="AD59" s="256"/>
    </row>
    <row r="60" spans="1:30" ht="15.75" thickBot="1">
      <c r="A60" s="256" t="s">
        <v>235</v>
      </c>
      <c r="B60" s="256"/>
      <c r="C60" s="256"/>
      <c r="D60" s="274">
        <v>1.91</v>
      </c>
      <c r="E60" s="274">
        <f aca="true" t="shared" si="10" ref="E60:R60">SUM(E57:E59)</f>
        <v>0.7100000000000001</v>
      </c>
      <c r="F60" s="274">
        <f t="shared" si="10"/>
        <v>2.56</v>
      </c>
      <c r="G60" s="274">
        <f t="shared" si="10"/>
        <v>1.29</v>
      </c>
      <c r="H60" s="274">
        <f t="shared" si="10"/>
        <v>2.61</v>
      </c>
      <c r="I60" s="274">
        <f t="shared" si="10"/>
        <v>2.2800000000000002</v>
      </c>
      <c r="J60" s="274">
        <f t="shared" si="10"/>
        <v>1.3900000000000001</v>
      </c>
      <c r="K60" s="274">
        <f t="shared" si="10"/>
        <v>2.45</v>
      </c>
      <c r="L60" s="274">
        <f t="shared" si="10"/>
        <v>1.72</v>
      </c>
      <c r="M60" s="274">
        <f t="shared" si="10"/>
        <v>2.141858404557502</v>
      </c>
      <c r="N60" s="274">
        <f t="shared" si="10"/>
        <v>2.3986977830464093</v>
      </c>
      <c r="O60" s="274">
        <f t="shared" si="10"/>
        <v>2.91</v>
      </c>
      <c r="P60" s="274">
        <f t="shared" si="10"/>
        <v>3.4</v>
      </c>
      <c r="Q60" s="274">
        <f t="shared" si="10"/>
        <v>0.8500000000000001</v>
      </c>
      <c r="R60" s="274">
        <f t="shared" si="10"/>
        <v>2.98</v>
      </c>
      <c r="S60" s="274">
        <f aca="true" t="shared" si="11" ref="S60:X60">SUM(S57:S59)</f>
        <v>4.0894903244829965</v>
      </c>
      <c r="T60" s="274">
        <f t="shared" si="11"/>
        <v>2.45</v>
      </c>
      <c r="U60" s="274">
        <f t="shared" si="11"/>
        <v>2.082145840338845</v>
      </c>
      <c r="V60" s="274">
        <f t="shared" si="11"/>
        <v>3.07</v>
      </c>
      <c r="W60" s="274">
        <f t="shared" si="11"/>
        <v>2.36</v>
      </c>
      <c r="X60" s="352">
        <f t="shared" si="11"/>
        <v>1.9399999999999997</v>
      </c>
      <c r="Y60" s="257"/>
      <c r="Z60" s="256"/>
      <c r="AA60" s="267"/>
      <c r="AB60" s="387"/>
      <c r="AC60" s="256"/>
      <c r="AD60" s="256"/>
    </row>
    <row r="61" spans="1:30" ht="15.75" thickTop="1">
      <c r="A61" s="256"/>
      <c r="B61" s="256"/>
      <c r="C61" s="256"/>
      <c r="D61" s="353"/>
      <c r="E61" s="353"/>
      <c r="F61" s="353"/>
      <c r="G61" s="353"/>
      <c r="H61" s="353"/>
      <c r="I61" s="353"/>
      <c r="J61" s="353"/>
      <c r="K61" s="353"/>
      <c r="L61" s="353"/>
      <c r="M61" s="353"/>
      <c r="N61" s="353"/>
      <c r="O61" s="353"/>
      <c r="P61" s="353"/>
      <c r="Q61" s="353"/>
      <c r="R61" s="353"/>
      <c r="S61" s="353"/>
      <c r="T61" s="353"/>
      <c r="U61" s="353"/>
      <c r="V61" s="353"/>
      <c r="W61" s="353"/>
      <c r="X61" s="354"/>
      <c r="Y61" s="257"/>
      <c r="Z61" s="256"/>
      <c r="AA61" s="267"/>
      <c r="AB61" s="387"/>
      <c r="AC61" s="256"/>
      <c r="AD61" s="256"/>
    </row>
    <row r="62" spans="1:30" ht="39">
      <c r="A62" s="355" t="s">
        <v>349</v>
      </c>
      <c r="B62" s="256"/>
      <c r="C62" s="559">
        <f>+'2016-2017 KC Budget'!C18</f>
        <v>0.475</v>
      </c>
      <c r="D62" s="268"/>
      <c r="E62" s="268"/>
      <c r="F62" s="268"/>
      <c r="G62" s="268"/>
      <c r="H62" s="268"/>
      <c r="I62" s="268"/>
      <c r="J62" s="268"/>
      <c r="K62" s="268"/>
      <c r="L62" s="268"/>
      <c r="M62" s="268"/>
      <c r="N62" s="268"/>
      <c r="O62" s="268"/>
      <c r="P62" s="268"/>
      <c r="Q62" s="268"/>
      <c r="R62" s="268"/>
      <c r="S62" s="268"/>
      <c r="T62" s="268"/>
      <c r="U62" s="268"/>
      <c r="V62" s="268"/>
      <c r="W62" s="268"/>
      <c r="X62" s="356">
        <f>ROUND(-X57*C62,2)</f>
        <v>-1.07</v>
      </c>
      <c r="Y62" s="257"/>
      <c r="Z62" s="294"/>
      <c r="AA62" s="294"/>
      <c r="AB62" s="267"/>
      <c r="AC62" s="256"/>
      <c r="AD62" s="256"/>
    </row>
    <row r="63" spans="1:30" ht="15">
      <c r="A63" s="256"/>
      <c r="B63" s="256"/>
      <c r="C63" s="256"/>
      <c r="D63" s="268"/>
      <c r="E63" s="268"/>
      <c r="F63" s="268"/>
      <c r="G63" s="268"/>
      <c r="H63" s="268"/>
      <c r="I63" s="268"/>
      <c r="J63" s="268"/>
      <c r="K63" s="268"/>
      <c r="L63" s="268"/>
      <c r="M63" s="268"/>
      <c r="N63" s="268"/>
      <c r="O63" s="268"/>
      <c r="P63" s="268"/>
      <c r="Q63" s="268"/>
      <c r="R63" s="268"/>
      <c r="S63" s="268"/>
      <c r="T63" s="268"/>
      <c r="U63" s="268"/>
      <c r="V63" s="268"/>
      <c r="W63" s="268"/>
      <c r="X63" s="325"/>
      <c r="Y63" s="257"/>
      <c r="Z63" s="256"/>
      <c r="AA63" s="256"/>
      <c r="AB63" s="256"/>
      <c r="AC63" s="256"/>
      <c r="AD63" s="256"/>
    </row>
    <row r="64" spans="1:30" ht="15.75" thickBot="1">
      <c r="A64" s="256" t="s">
        <v>236</v>
      </c>
      <c r="B64" s="256"/>
      <c r="C64" s="256"/>
      <c r="D64" s="274">
        <v>1.91</v>
      </c>
      <c r="E64" s="274">
        <v>0.91</v>
      </c>
      <c r="F64" s="274">
        <v>2.56</v>
      </c>
      <c r="G64" s="357">
        <v>0.56</v>
      </c>
      <c r="H64" s="358">
        <v>2.13</v>
      </c>
      <c r="I64" s="358">
        <v>2.33</v>
      </c>
      <c r="J64" s="358">
        <v>1.7</v>
      </c>
      <c r="K64" s="358">
        <v>1.84</v>
      </c>
      <c r="L64" s="358">
        <v>1.59</v>
      </c>
      <c r="M64" s="358">
        <v>1.7</v>
      </c>
      <c r="N64" s="358">
        <v>1.67</v>
      </c>
      <c r="O64" s="358">
        <v>2.1</v>
      </c>
      <c r="P64" s="358">
        <v>2.64</v>
      </c>
      <c r="Q64" s="358">
        <v>0.68</v>
      </c>
      <c r="R64" s="358">
        <v>1.315</v>
      </c>
      <c r="S64" s="358">
        <v>3.41</v>
      </c>
      <c r="T64" s="358">
        <v>2.29</v>
      </c>
      <c r="U64" s="358">
        <v>1.29</v>
      </c>
      <c r="V64" s="358">
        <v>1.52</v>
      </c>
      <c r="W64" s="388"/>
      <c r="X64" s="561">
        <f>+X62+X60</f>
        <v>0.8699999999999997</v>
      </c>
      <c r="Y64" s="257"/>
      <c r="Z64" s="461"/>
      <c r="AA64" s="268"/>
      <c r="AB64" s="268"/>
      <c r="AC64" s="256"/>
      <c r="AD64" s="267"/>
    </row>
    <row r="65" spans="1:30" ht="16.5" thickBot="1" thickTop="1">
      <c r="A65" s="256"/>
      <c r="B65" s="256"/>
      <c r="C65" s="256"/>
      <c r="D65" s="353"/>
      <c r="E65" s="353"/>
      <c r="F65" s="353"/>
      <c r="G65" s="360"/>
      <c r="H65" s="353"/>
      <c r="I65" s="353"/>
      <c r="J65" s="353"/>
      <c r="K65" s="353"/>
      <c r="L65" s="353"/>
      <c r="M65" s="268"/>
      <c r="N65" s="268"/>
      <c r="O65" s="268"/>
      <c r="P65" s="268"/>
      <c r="Q65" s="268"/>
      <c r="R65" s="268"/>
      <c r="S65" s="268"/>
      <c r="T65" s="268"/>
      <c r="U65" s="268"/>
      <c r="V65" s="268"/>
      <c r="W65" s="268"/>
      <c r="X65" s="361"/>
      <c r="Y65" s="257"/>
      <c r="Z65" s="256"/>
      <c r="AA65" s="267"/>
      <c r="AB65" s="267"/>
      <c r="AC65" s="256"/>
      <c r="AD65" s="256"/>
    </row>
    <row r="66" spans="1:30" ht="15.75" thickBot="1">
      <c r="A66" s="256" t="s">
        <v>243</v>
      </c>
      <c r="B66" s="256"/>
      <c r="C66" s="256"/>
      <c r="D66" s="364"/>
      <c r="E66" s="366">
        <v>7896.18</v>
      </c>
      <c r="F66" s="366">
        <v>7528.25</v>
      </c>
      <c r="G66" s="366">
        <v>8162.79</v>
      </c>
      <c r="H66" s="366">
        <v>8325.95</v>
      </c>
      <c r="I66" s="366">
        <v>8424.47</v>
      </c>
      <c r="J66" s="366">
        <v>9054.611076923078</v>
      </c>
      <c r="K66" s="366">
        <v>11958.96857142857</v>
      </c>
      <c r="L66" s="366">
        <v>11706.094141667125</v>
      </c>
      <c r="M66" s="366">
        <v>9059.515480630878</v>
      </c>
      <c r="N66" s="366">
        <v>8199.202012675878</v>
      </c>
      <c r="O66" s="366">
        <v>8698.76487207301</v>
      </c>
      <c r="P66" s="366">
        <v>8784.742061640472</v>
      </c>
      <c r="Q66" s="366">
        <v>8384.623158593984</v>
      </c>
      <c r="R66" s="366">
        <v>6824.62</v>
      </c>
      <c r="S66" s="366">
        <v>8776.103530275153</v>
      </c>
      <c r="T66" s="367">
        <v>6061.080429599028</v>
      </c>
      <c r="U66" s="367">
        <v>5237.642272109166</v>
      </c>
      <c r="V66" s="367">
        <v>5476.424782415852</v>
      </c>
      <c r="W66" s="367">
        <f>+W17</f>
        <v>5478.72</v>
      </c>
      <c r="X66" s="368">
        <f>SUM(E66:W66)</f>
        <v>154038.75239003217</v>
      </c>
      <c r="Y66" s="257"/>
      <c r="Z66" s="256"/>
      <c r="AA66" s="256"/>
      <c r="AB66" s="256"/>
      <c r="AC66" s="256"/>
      <c r="AD66" s="256"/>
    </row>
    <row r="67" spans="1:30" ht="15.75" thickTop="1">
      <c r="A67" s="256"/>
      <c r="B67" s="256"/>
      <c r="C67" s="256"/>
      <c r="D67" s="364"/>
      <c r="E67" s="369"/>
      <c r="F67" s="370">
        <f aca="true" t="shared" si="12" ref="F67:R67">+F66/E66-1</f>
        <v>-0.04659594892720276</v>
      </c>
      <c r="G67" s="370">
        <f t="shared" si="12"/>
        <v>0.08428784910171694</v>
      </c>
      <c r="H67" s="370">
        <f t="shared" si="12"/>
        <v>0.019988263816660856</v>
      </c>
      <c r="I67" s="370">
        <f t="shared" si="12"/>
        <v>0.01183288393516646</v>
      </c>
      <c r="J67" s="370">
        <f t="shared" si="12"/>
        <v>0.07479889855659505</v>
      </c>
      <c r="K67" s="370">
        <f t="shared" si="12"/>
        <v>0.32076004919831913</v>
      </c>
      <c r="L67" s="370">
        <f t="shared" si="12"/>
        <v>-0.021145170526293722</v>
      </c>
      <c r="M67" s="370">
        <f t="shared" si="12"/>
        <v>-0.2260855439062216</v>
      </c>
      <c r="N67" s="370">
        <f t="shared" si="12"/>
        <v>-0.09496241490997381</v>
      </c>
      <c r="O67" s="370">
        <f t="shared" si="12"/>
        <v>0.060928229189232574</v>
      </c>
      <c r="P67" s="370">
        <f t="shared" si="12"/>
        <v>0.009883838778478538</v>
      </c>
      <c r="Q67" s="370">
        <f t="shared" si="12"/>
        <v>-0.045547029182979815</v>
      </c>
      <c r="R67" s="370">
        <f t="shared" si="12"/>
        <v>-0.18605525007943002</v>
      </c>
      <c r="S67" s="370">
        <f>+S66/16*12/R66-1</f>
        <v>-0.035539319741412</v>
      </c>
      <c r="T67" s="370">
        <f>+T66/13*16/S66-1</f>
        <v>-0.14998822971563652</v>
      </c>
      <c r="U67" s="370">
        <f>+U66/12*12/T66-1</f>
        <v>-0.13585666236478855</v>
      </c>
      <c r="V67" s="370">
        <f>+V66/12*12/U66-1</f>
        <v>0.04558969435125815</v>
      </c>
      <c r="W67" s="460">
        <f>+W66/12*12/V66-1</f>
        <v>0.0004191087571434604</v>
      </c>
      <c r="X67" s="365"/>
      <c r="Y67" s="257"/>
      <c r="Z67" s="256"/>
      <c r="AA67" s="256"/>
      <c r="AB67" s="256"/>
      <c r="AC67" s="256"/>
      <c r="AD67" s="256"/>
    </row>
    <row r="68" spans="1:30" ht="15.75" thickBot="1">
      <c r="A68" s="256" t="s">
        <v>244</v>
      </c>
      <c r="B68" s="256"/>
      <c r="C68" s="256"/>
      <c r="D68" s="364"/>
      <c r="E68" s="371">
        <f aca="true" t="shared" si="13" ref="E68:W68">+E52</f>
        <v>20805</v>
      </c>
      <c r="F68" s="371">
        <f t="shared" si="13"/>
        <v>20925</v>
      </c>
      <c r="G68" s="371">
        <f t="shared" si="13"/>
        <v>22176</v>
      </c>
      <c r="H68" s="371">
        <f t="shared" si="13"/>
        <v>22125</v>
      </c>
      <c r="I68" s="371">
        <f t="shared" si="13"/>
        <v>22176</v>
      </c>
      <c r="J68" s="371">
        <f t="shared" si="13"/>
        <v>22979</v>
      </c>
      <c r="K68" s="371">
        <f t="shared" si="13"/>
        <v>31853</v>
      </c>
      <c r="L68" s="371">
        <f t="shared" si="13"/>
        <v>31960.25</v>
      </c>
      <c r="M68" s="371">
        <f t="shared" si="13"/>
        <v>26315.583333333332</v>
      </c>
      <c r="N68" s="371">
        <f t="shared" si="13"/>
        <v>23549.583333333332</v>
      </c>
      <c r="O68" s="371">
        <f t="shared" si="13"/>
        <v>23844</v>
      </c>
      <c r="P68" s="371">
        <f t="shared" si="13"/>
        <v>23908</v>
      </c>
      <c r="Q68" s="371">
        <f t="shared" si="13"/>
        <v>23119</v>
      </c>
      <c r="R68" s="371">
        <f t="shared" si="13"/>
        <v>18604</v>
      </c>
      <c r="S68" s="371">
        <f t="shared" si="13"/>
        <v>18935.25</v>
      </c>
      <c r="T68" s="371">
        <f t="shared" si="13"/>
        <v>15470</v>
      </c>
      <c r="U68" s="371">
        <f t="shared" si="13"/>
        <v>15900</v>
      </c>
      <c r="V68" s="371">
        <f t="shared" si="13"/>
        <v>15987</v>
      </c>
      <c r="W68" s="389">
        <f t="shared" si="13"/>
        <v>16328.833333333334</v>
      </c>
      <c r="X68" s="372">
        <f>SUM(E68:W68)</f>
        <v>416960.5</v>
      </c>
      <c r="Y68" s="257"/>
      <c r="Z68" s="256"/>
      <c r="AA68" s="256"/>
      <c r="AB68" s="256"/>
      <c r="AC68" s="256"/>
      <c r="AD68" s="256"/>
    </row>
    <row r="69" spans="1:30" ht="15.75" thickTop="1">
      <c r="A69" s="256"/>
      <c r="B69" s="256"/>
      <c r="C69" s="256"/>
      <c r="D69" s="256"/>
      <c r="E69" s="373"/>
      <c r="F69" s="370">
        <f>+F68/(E68)-1</f>
        <v>0.005767844268204758</v>
      </c>
      <c r="G69" s="370">
        <f aca="true" t="shared" si="14" ref="G69:V69">+G68/F68-1</f>
        <v>0.05978494623655917</v>
      </c>
      <c r="H69" s="370">
        <f t="shared" si="14"/>
        <v>-0.0022997835497835517</v>
      </c>
      <c r="I69" s="370">
        <f t="shared" si="14"/>
        <v>0.002305084745762631</v>
      </c>
      <c r="J69" s="370">
        <f t="shared" si="14"/>
        <v>0.03621031746031744</v>
      </c>
      <c r="K69" s="370">
        <f t="shared" si="14"/>
        <v>0.38617868488620055</v>
      </c>
      <c r="L69" s="370">
        <f t="shared" si="14"/>
        <v>0.0033670297931120974</v>
      </c>
      <c r="M69" s="370">
        <f t="shared" si="14"/>
        <v>-0.17661522255510098</v>
      </c>
      <c r="N69" s="370">
        <f t="shared" si="14"/>
        <v>-0.10510882335244964</v>
      </c>
      <c r="O69" s="370">
        <f t="shared" si="14"/>
        <v>0.012501990481077252</v>
      </c>
      <c r="P69" s="370">
        <f t="shared" si="14"/>
        <v>0.002684113403791377</v>
      </c>
      <c r="Q69" s="370">
        <f t="shared" si="14"/>
        <v>-0.03300150577212646</v>
      </c>
      <c r="R69" s="370">
        <f t="shared" si="14"/>
        <v>-0.19529391409663044</v>
      </c>
      <c r="S69" s="370">
        <f t="shared" si="14"/>
        <v>0.017805310685873987</v>
      </c>
      <c r="T69" s="370">
        <f t="shared" si="14"/>
        <v>-0.1830052415468505</v>
      </c>
      <c r="U69" s="370">
        <f t="shared" si="14"/>
        <v>0.02779573367808652</v>
      </c>
      <c r="V69" s="370">
        <f t="shared" si="14"/>
        <v>0.005471698113207468</v>
      </c>
      <c r="W69" s="370">
        <f>+W68/V68-1</f>
        <v>0.02138195617272376</v>
      </c>
      <c r="X69" s="256"/>
      <c r="Y69" s="257"/>
      <c r="Z69" s="256"/>
      <c r="AA69" s="256"/>
      <c r="AB69" s="256"/>
      <c r="AC69" s="256"/>
      <c r="AD69" s="256"/>
    </row>
    <row r="70" spans="1:30" ht="15">
      <c r="A70" s="256" t="s">
        <v>240</v>
      </c>
      <c r="B70" s="374"/>
      <c r="C70" s="374"/>
      <c r="D70" s="375"/>
      <c r="E70" s="376">
        <f aca="true" t="shared" si="15" ref="E70:X70">+E66*2000/E68/E49</f>
        <v>75.90656092285508</v>
      </c>
      <c r="F70" s="376">
        <f t="shared" si="15"/>
        <v>59.96216646754281</v>
      </c>
      <c r="G70" s="376">
        <f t="shared" si="15"/>
        <v>61.348529942279946</v>
      </c>
      <c r="H70" s="376">
        <f t="shared" si="15"/>
        <v>62.7190207156309</v>
      </c>
      <c r="I70" s="376">
        <f t="shared" si="15"/>
        <v>63.31522065897065</v>
      </c>
      <c r="J70" s="376">
        <f t="shared" si="15"/>
        <v>60.62131027274453</v>
      </c>
      <c r="K70" s="376">
        <f t="shared" si="15"/>
        <v>53.634636663191934</v>
      </c>
      <c r="L70" s="376">
        <f t="shared" si="15"/>
        <v>61.04506974375527</v>
      </c>
      <c r="M70" s="376">
        <f t="shared" si="15"/>
        <v>57.37738083347876</v>
      </c>
      <c r="N70" s="376">
        <f t="shared" si="15"/>
        <v>58.027934058818296</v>
      </c>
      <c r="O70" s="376">
        <f t="shared" si="15"/>
        <v>60.80331091031294</v>
      </c>
      <c r="P70" s="376">
        <f t="shared" si="15"/>
        <v>61.2399061795248</v>
      </c>
      <c r="Q70" s="376">
        <f t="shared" si="15"/>
        <v>60.445399589039205</v>
      </c>
      <c r="R70" s="376">
        <f t="shared" si="15"/>
        <v>61.139360710958215</v>
      </c>
      <c r="S70" s="376">
        <f t="shared" si="15"/>
        <v>57.93495946894782</v>
      </c>
      <c r="T70" s="376">
        <f t="shared" si="15"/>
        <v>60.27627099198477</v>
      </c>
      <c r="U70" s="376">
        <f t="shared" si="15"/>
        <v>54.90191060911075</v>
      </c>
      <c r="V70" s="376">
        <f t="shared" si="15"/>
        <v>57.092479122785726</v>
      </c>
      <c r="W70" s="376">
        <f t="shared" si="15"/>
        <v>55.92071284945852</v>
      </c>
      <c r="X70" s="377">
        <f t="shared" si="15"/>
        <v>61.57208032496771</v>
      </c>
      <c r="Y70" s="257"/>
      <c r="Z70" s="378"/>
      <c r="AA70" s="256"/>
      <c r="AB70" s="256"/>
      <c r="AC70" s="256"/>
      <c r="AD70" s="256"/>
    </row>
    <row r="71" spans="1:30" ht="15">
      <c r="A71" s="256"/>
      <c r="B71" s="374"/>
      <c r="C71" s="374"/>
      <c r="D71" s="375"/>
      <c r="E71" s="379"/>
      <c r="F71" s="379"/>
      <c r="G71" s="379"/>
      <c r="H71" s="379"/>
      <c r="I71" s="379"/>
      <c r="J71" s="379"/>
      <c r="K71" s="379"/>
      <c r="L71" s="379"/>
      <c r="M71" s="379"/>
      <c r="N71" s="379"/>
      <c r="O71" s="379"/>
      <c r="P71" s="379"/>
      <c r="Q71" s="379"/>
      <c r="R71" s="379"/>
      <c r="S71" s="379"/>
      <c r="T71" s="379"/>
      <c r="U71" s="379"/>
      <c r="V71" s="379"/>
      <c r="W71" s="379"/>
      <c r="X71" s="256"/>
      <c r="Y71" s="257"/>
      <c r="Z71" s="256"/>
      <c r="AA71" s="256"/>
      <c r="AB71" s="256"/>
      <c r="AC71" s="256"/>
      <c r="AD71" s="256"/>
    </row>
    <row r="72" spans="1:30" ht="15">
      <c r="A72" s="256" t="s">
        <v>241</v>
      </c>
      <c r="B72" s="374"/>
      <c r="C72" s="374"/>
      <c r="D72" s="375"/>
      <c r="E72" s="380">
        <f aca="true" t="shared" si="16" ref="E72:X72">+E41/E66</f>
        <v>33.84801258329977</v>
      </c>
      <c r="F72" s="380">
        <f t="shared" si="16"/>
        <v>56.713578852987084</v>
      </c>
      <c r="G72" s="380">
        <f t="shared" si="16"/>
        <v>46.00963641108004</v>
      </c>
      <c r="H72" s="380">
        <f t="shared" si="16"/>
        <v>55.93667989838997</v>
      </c>
      <c r="I72" s="380">
        <f t="shared" si="16"/>
        <v>66.57949995667384</v>
      </c>
      <c r="J72" s="380">
        <f t="shared" si="16"/>
        <v>60.8074709473993</v>
      </c>
      <c r="K72" s="380">
        <f t="shared" si="16"/>
        <v>70.85611062014667</v>
      </c>
      <c r="L72" s="380">
        <f t="shared" si="16"/>
        <v>65.64990770615428</v>
      </c>
      <c r="M72" s="380">
        <f t="shared" si="16"/>
        <v>77.44718815262074</v>
      </c>
      <c r="N72" s="380">
        <f t="shared" si="16"/>
        <v>82.67389911262532</v>
      </c>
      <c r="O72" s="380">
        <f t="shared" si="16"/>
        <v>88.84146328418126</v>
      </c>
      <c r="P72" s="380">
        <f t="shared" si="16"/>
        <v>104.1542248571312</v>
      </c>
      <c r="Q72" s="380">
        <f t="shared" si="16"/>
        <v>66.20929641077528</v>
      </c>
      <c r="R72" s="380">
        <f t="shared" si="16"/>
        <v>76.88354809498551</v>
      </c>
      <c r="S72" s="380">
        <f t="shared" si="16"/>
        <v>113.41399934109411</v>
      </c>
      <c r="T72" s="380">
        <f t="shared" si="16"/>
        <v>109.05314725531287</v>
      </c>
      <c r="U72" s="380">
        <f t="shared" si="16"/>
        <v>103.16787695468392</v>
      </c>
      <c r="V72" s="380">
        <f t="shared" si="16"/>
        <v>98.94806571716809</v>
      </c>
      <c r="W72" s="380">
        <f t="shared" si="16"/>
        <v>80.95461747799187</v>
      </c>
      <c r="X72" s="380">
        <f t="shared" si="16"/>
        <v>75.25421019939218</v>
      </c>
      <c r="Y72" s="257"/>
      <c r="Z72" s="256"/>
      <c r="AA72" s="387"/>
      <c r="AB72" s="256"/>
      <c r="AC72" s="256"/>
      <c r="AD72" s="256"/>
    </row>
    <row r="73" spans="1:30" ht="16.5">
      <c r="A73" s="256"/>
      <c r="B73" s="374"/>
      <c r="C73" s="374"/>
      <c r="D73" s="375"/>
      <c r="E73" s="381"/>
      <c r="F73" s="381"/>
      <c r="G73" s="381"/>
      <c r="H73" s="381"/>
      <c r="I73" s="381"/>
      <c r="J73" s="381"/>
      <c r="K73" s="381"/>
      <c r="L73" s="381"/>
      <c r="M73" s="381"/>
      <c r="N73" s="381"/>
      <c r="O73" s="381"/>
      <c r="P73" s="381"/>
      <c r="Q73" s="381"/>
      <c r="R73" s="381"/>
      <c r="S73" s="381"/>
      <c r="T73" s="381"/>
      <c r="U73" s="381"/>
      <c r="V73" s="381"/>
      <c r="W73" s="381"/>
      <c r="X73" s="256"/>
      <c r="Y73" s="256"/>
      <c r="Z73" s="256"/>
      <c r="AA73" s="256"/>
      <c r="AB73" s="256"/>
      <c r="AC73" s="256"/>
      <c r="AD73" s="256"/>
    </row>
    <row r="74" spans="1:30" ht="15">
      <c r="A74" s="256"/>
      <c r="B74" s="256"/>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row>
    <row r="75" spans="1:30" ht="15">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row>
    <row r="76" spans="1:30" ht="15">
      <c r="A76" s="256"/>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row>
    <row r="77" spans="1:30" ht="15">
      <c r="A77" s="256"/>
      <c r="B77" s="256"/>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row>
    <row r="78" spans="1:30" ht="15">
      <c r="A78" s="256"/>
      <c r="B78" s="256"/>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row>
    <row r="79" spans="1:30" ht="15">
      <c r="A79" s="256"/>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row>
    <row r="80" spans="1:30" ht="15">
      <c r="A80" s="256"/>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row>
    <row r="81" spans="1:30" ht="15">
      <c r="A81" s="256"/>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row>
    <row r="82" spans="1:30" ht="15">
      <c r="A82" s="256"/>
      <c r="B82" s="256"/>
      <c r="C82" s="256"/>
      <c r="D82" s="256"/>
      <c r="E82" s="256"/>
      <c r="F82" s="256"/>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6"/>
    </row>
    <row r="83" spans="1:30" ht="15">
      <c r="A83" s="256"/>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row>
    <row r="84" spans="1:30" ht="15">
      <c r="A84" s="256"/>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row>
    <row r="85" spans="1:30" ht="15">
      <c r="A85" s="256"/>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row>
    <row r="86" spans="1:30" ht="15">
      <c r="A86" s="256"/>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row>
    <row r="87" spans="1:30" ht="15">
      <c r="A87" s="256"/>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row>
    <row r="88" spans="1:30" ht="15">
      <c r="A88" s="256"/>
      <c r="B88" s="256"/>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row>
    <row r="89" spans="1:30" ht="15">
      <c r="A89" s="256"/>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row>
  </sheetData>
  <sheetProtection/>
  <mergeCells count="1">
    <mergeCell ref="O20:R20"/>
  </mergeCells>
  <printOptions/>
  <pageMargins left="0.7" right="0.7" top="0.5" bottom="0.5" header="0.3" footer="0"/>
  <pageSetup fitToHeight="1" fitToWidth="1" horizontalDpi="600" verticalDpi="600" orientation="landscape" scale="49" r:id="rId1"/>
  <headerFooter>
    <oddFooter>&amp;CPage &amp;P&amp;R&amp;A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36">
      <selection activeCell="F15" sqref="F15"/>
    </sheetView>
  </sheetViews>
  <sheetFormatPr defaultColWidth="9.140625" defaultRowHeight="15"/>
  <cols>
    <col min="1" max="1" width="87.8515625" style="1" bestFit="1" customWidth="1"/>
    <col min="2" max="2" width="11.00390625" style="1" bestFit="1" customWidth="1"/>
    <col min="3" max="3" width="11.28125" style="1" bestFit="1" customWidth="1"/>
    <col min="4" max="4" width="12.57421875" style="1" bestFit="1" customWidth="1"/>
    <col min="5" max="5" width="11.28125" style="25" bestFit="1" customWidth="1"/>
    <col min="6" max="6" width="12.7109375" style="1" customWidth="1"/>
    <col min="7" max="7" width="13.28125" style="1" bestFit="1" customWidth="1"/>
    <col min="8" max="16384" width="9.140625" style="1" customWidth="1"/>
  </cols>
  <sheetData>
    <row r="1" spans="1:4" ht="23.25">
      <c r="A1" s="138" t="s">
        <v>313</v>
      </c>
      <c r="B1" s="138"/>
      <c r="C1" s="139"/>
      <c r="D1" s="139"/>
    </row>
    <row r="2" spans="1:4" ht="15.75">
      <c r="A2" s="140" t="s">
        <v>314</v>
      </c>
      <c r="B2" s="140"/>
      <c r="C2" s="141"/>
      <c r="D2" s="142"/>
    </row>
    <row r="3" spans="1:4" ht="15">
      <c r="A3" s="145"/>
      <c r="B3" s="145"/>
      <c r="C3" s="141"/>
      <c r="D3" s="142"/>
    </row>
    <row r="4" spans="1:7" ht="15">
      <c r="A4" s="146"/>
      <c r="B4" s="146"/>
      <c r="C4" s="141"/>
      <c r="D4" s="147" t="s">
        <v>98</v>
      </c>
      <c r="F4" s="15"/>
      <c r="G4" s="15" t="s">
        <v>88</v>
      </c>
    </row>
    <row r="5" spans="1:7" ht="17.25">
      <c r="A5" s="139"/>
      <c r="B5" s="139"/>
      <c r="C5" s="141"/>
      <c r="D5" s="476" t="s">
        <v>6</v>
      </c>
      <c r="F5" s="519" t="s">
        <v>294</v>
      </c>
      <c r="G5" s="519" t="s">
        <v>89</v>
      </c>
    </row>
    <row r="6" spans="1:4" ht="15">
      <c r="A6" s="151" t="s">
        <v>99</v>
      </c>
      <c r="B6" s="151"/>
      <c r="C6" s="141"/>
      <c r="D6" s="150"/>
    </row>
    <row r="7" spans="1:8" ht="17.25">
      <c r="A7" s="139" t="s">
        <v>100</v>
      </c>
      <c r="B7" s="139"/>
      <c r="C7" s="141"/>
      <c r="D7" s="466">
        <f>+'KC Financial Incentive'!I49</f>
        <v>37164</v>
      </c>
      <c r="F7" s="539">
        <f>+'NS (KC) Deferred Acct.'!D35</f>
        <v>20597</v>
      </c>
      <c r="G7" s="539">
        <f>+'Sea.(SS) Deferred Acct.'!D35</f>
        <v>16567</v>
      </c>
      <c r="H7" s="538"/>
    </row>
    <row r="8" spans="1:7" ht="15">
      <c r="A8" s="139"/>
      <c r="B8" s="139"/>
      <c r="C8" s="141"/>
      <c r="D8" s="152"/>
      <c r="F8" s="540">
        <f>+F7/D7</f>
        <v>0.5542191367990529</v>
      </c>
      <c r="G8" s="540">
        <f>+G7/D7</f>
        <v>0.4457808632009472</v>
      </c>
    </row>
    <row r="9" spans="1:4" ht="15">
      <c r="A9" s="139"/>
      <c r="B9" s="139"/>
      <c r="C9" s="141"/>
      <c r="D9" s="152"/>
    </row>
    <row r="10" spans="1:4" ht="15">
      <c r="A10" s="151" t="s">
        <v>101</v>
      </c>
      <c r="B10" s="151"/>
      <c r="C10" s="141"/>
      <c r="D10" s="152"/>
    </row>
    <row r="11" spans="1:7" ht="17.25">
      <c r="A11" s="155" t="s">
        <v>102</v>
      </c>
      <c r="B11" s="155"/>
      <c r="C11" s="141"/>
      <c r="D11" s="156">
        <f>SUM('2014-2015 RSA'!C47:C58)*2</f>
        <v>28764.320000000003</v>
      </c>
      <c r="F11" s="88">
        <f>(SUM('2014-2015 RSA'!C83:C94)+SUM('2014-2015 RSA'!C112:C123))*2</f>
        <v>16524.899999999998</v>
      </c>
      <c r="G11" s="88">
        <f>(SUM('2014-2015 RSA'!D83:D94)+SUM('2014-2015 RSA'!D112:D123))*2</f>
        <v>12239.42</v>
      </c>
    </row>
    <row r="12" spans="1:7" ht="15">
      <c r="A12" s="45"/>
      <c r="B12" s="45"/>
      <c r="C12" s="141"/>
      <c r="D12" s="152"/>
      <c r="F12" s="540">
        <f>+F11/D11</f>
        <v>0.5744929829733502</v>
      </c>
      <c r="G12" s="540">
        <f>+G11/D11</f>
        <v>0.4255070170266496</v>
      </c>
    </row>
    <row r="13" spans="1:4" ht="15">
      <c r="A13" s="45"/>
      <c r="B13" s="45"/>
      <c r="C13" s="141"/>
      <c r="D13" s="152"/>
    </row>
    <row r="14" spans="1:4" ht="21">
      <c r="A14" s="158" t="s">
        <v>103</v>
      </c>
      <c r="B14" s="158"/>
      <c r="C14" s="141"/>
      <c r="D14" s="150"/>
    </row>
    <row r="15" spans="1:7" ht="18" customHeight="1">
      <c r="A15" s="159" t="s">
        <v>104</v>
      </c>
      <c r="B15" s="159"/>
      <c r="C15" s="160"/>
      <c r="D15" s="161">
        <f>ROUND(SUM('2014-2015 RSA'!G47:G58)*2,-2)</f>
        <v>2332800</v>
      </c>
      <c r="F15" s="224">
        <f>ROUND((SUM('2014-2015 RSA'!J83:J94)+SUM('2014-2015 RSA'!J112:J123))*2,-3)</f>
        <v>1342000</v>
      </c>
      <c r="G15" s="224">
        <f>ROUND((SUM('2014-2015 RSA'!L83:L94)+SUM('2014-2015 RSA'!L112:L123))*2,-3)</f>
        <v>991000</v>
      </c>
    </row>
    <row r="16" spans="1:7" ht="15">
      <c r="A16" s="159"/>
      <c r="B16" s="159"/>
      <c r="C16" s="160"/>
      <c r="D16" s="46"/>
      <c r="F16" s="540">
        <f>+F15/D15</f>
        <v>0.5752743484224966</v>
      </c>
      <c r="G16" s="540">
        <f>+G15/D15</f>
        <v>0.4248113854595336</v>
      </c>
    </row>
    <row r="17" spans="1:7" ht="21">
      <c r="A17" s="158" t="s">
        <v>341</v>
      </c>
      <c r="B17" s="159"/>
      <c r="C17" s="160"/>
      <c r="D17" s="46"/>
      <c r="F17" s="540"/>
      <c r="G17" s="540"/>
    </row>
    <row r="18" spans="1:7" ht="15">
      <c r="A18" s="159" t="s">
        <v>287</v>
      </c>
      <c r="B18" s="159"/>
      <c r="C18" s="516">
        <v>0.475</v>
      </c>
      <c r="D18" s="518">
        <f>ROUND(+D15*C18,-2)</f>
        <v>1108100</v>
      </c>
      <c r="E18" s="505"/>
      <c r="F18" s="221">
        <f>ROUND(+$F$16*D18,-3)</f>
        <v>637000</v>
      </c>
      <c r="G18" s="477">
        <f>ROUND(+$G$16*D18,-3)</f>
        <v>471000</v>
      </c>
    </row>
    <row r="19" spans="1:10" ht="15">
      <c r="A19" s="517" t="s">
        <v>347</v>
      </c>
      <c r="B19" s="159"/>
      <c r="C19" s="165"/>
      <c r="D19" s="518">
        <f>-'2014-2015 RSA Budget vs. Actual'!G41</f>
        <v>-32000</v>
      </c>
      <c r="E19" s="505"/>
      <c r="F19" s="221">
        <f>ROUND(+$F$16*D19,-3)</f>
        <v>-18000</v>
      </c>
      <c r="G19" s="477">
        <f>ROUND(+$G$16*D19,-3)</f>
        <v>-14000</v>
      </c>
      <c r="J19" s="558"/>
    </row>
    <row r="20" spans="1:7" ht="17.25">
      <c r="A20" s="517" t="s">
        <v>335</v>
      </c>
      <c r="B20" s="517"/>
      <c r="C20" s="141"/>
      <c r="D20" s="176">
        <f>ROUND(+'2014-2015 RSA Budget vs. Actual'!G19-'2014-2015 RSA Budget vs. Actual'!G39,-2)</f>
        <v>252400</v>
      </c>
      <c r="F20" s="541">
        <f>ROUND(+$F$16*D20,-3)</f>
        <v>145000</v>
      </c>
      <c r="G20" s="21">
        <f>ROUND(+$G$16*D20,-3)</f>
        <v>107000</v>
      </c>
    </row>
    <row r="21" spans="1:10" ht="17.25">
      <c r="A21" s="517"/>
      <c r="B21" s="517"/>
      <c r="C21" s="141"/>
      <c r="D21" s="534">
        <f>SUM(D18:D20)</f>
        <v>1328500</v>
      </c>
      <c r="E21" s="534"/>
      <c r="F21" s="534">
        <f>SUM(F18:F20)</f>
        <v>764000</v>
      </c>
      <c r="G21" s="534">
        <f>SUM(G18:G20)</f>
        <v>564000</v>
      </c>
      <c r="J21" s="221"/>
    </row>
    <row r="22" spans="1:4" ht="17.25">
      <c r="A22" s="517"/>
      <c r="B22" s="517"/>
      <c r="C22" s="141"/>
      <c r="D22" s="534"/>
    </row>
    <row r="23" spans="1:6" ht="18.75">
      <c r="A23" s="168" t="s">
        <v>342</v>
      </c>
      <c r="B23" s="168"/>
      <c r="C23" s="141"/>
      <c r="D23" s="150"/>
      <c r="F23" s="221"/>
    </row>
    <row r="24" spans="1:7" ht="17.25">
      <c r="A24" s="171" t="s">
        <v>107</v>
      </c>
      <c r="B24" s="171"/>
      <c r="C24" s="141"/>
      <c r="D24" s="172">
        <f>+D51</f>
        <v>342600</v>
      </c>
      <c r="F24" s="223">
        <f>ROUND(+$F$16*D24,-3)</f>
        <v>197000</v>
      </c>
      <c r="G24" s="542">
        <f>ROUND(+$G$16*D24,-3)</f>
        <v>146000</v>
      </c>
    </row>
    <row r="25" spans="1:7" ht="15">
      <c r="A25" s="171"/>
      <c r="B25" s="171"/>
      <c r="C25" s="173"/>
      <c r="D25" s="147"/>
      <c r="F25" s="221"/>
      <c r="G25" s="477"/>
    </row>
    <row r="26" spans="1:7" ht="15">
      <c r="A26" s="174" t="s">
        <v>108</v>
      </c>
      <c r="B26" s="174"/>
      <c r="C26" s="175"/>
      <c r="D26" s="176"/>
      <c r="F26" s="221"/>
      <c r="G26" s="477"/>
    </row>
    <row r="27" spans="1:7" ht="15">
      <c r="A27" s="177" t="s">
        <v>343</v>
      </c>
      <c r="B27" s="177"/>
      <c r="C27" s="178"/>
      <c r="D27" s="179">
        <v>0</v>
      </c>
      <c r="F27" s="221">
        <f>ROUND(+$F$16*D27,-3)</f>
        <v>0</v>
      </c>
      <c r="G27" s="477">
        <f>ROUND(+$G$16*D27,-3)</f>
        <v>0</v>
      </c>
    </row>
    <row r="28" spans="1:7" ht="15">
      <c r="A28" s="177" t="s">
        <v>344</v>
      </c>
      <c r="B28" s="177"/>
      <c r="C28" s="180"/>
      <c r="D28" s="179">
        <v>0</v>
      </c>
      <c r="F28" s="221">
        <f>ROUND(+$F$16*D28,-3)</f>
        <v>0</v>
      </c>
      <c r="G28" s="477">
        <f>ROUND(+$G$16*D28,-3)</f>
        <v>0</v>
      </c>
    </row>
    <row r="29" spans="1:7" ht="15">
      <c r="A29" s="182" t="s">
        <v>345</v>
      </c>
      <c r="B29" s="182"/>
      <c r="C29" s="180"/>
      <c r="D29" s="179">
        <v>680400</v>
      </c>
      <c r="F29" s="221">
        <f>ROUND(+$F$16*D29,-3)</f>
        <v>391000</v>
      </c>
      <c r="G29" s="477">
        <f>ROUND(+$G$16*D29,-3)</f>
        <v>289000</v>
      </c>
    </row>
    <row r="30" spans="1:7" ht="17.25">
      <c r="A30" s="182" t="s">
        <v>346</v>
      </c>
      <c r="B30" s="182"/>
      <c r="C30" s="184"/>
      <c r="D30" s="513">
        <v>242500</v>
      </c>
      <c r="F30" s="541">
        <f>ROUND(+$F$16*D30,-3)</f>
        <v>140000</v>
      </c>
      <c r="G30" s="21">
        <f>ROUND(+$G$16*D30,-3)</f>
        <v>103000</v>
      </c>
    </row>
    <row r="31" spans="1:7" ht="15">
      <c r="A31" s="171" t="s">
        <v>119</v>
      </c>
      <c r="B31" s="171"/>
      <c r="C31" s="187"/>
      <c r="D31" s="176">
        <f>SUM(D27:D30)</f>
        <v>922900</v>
      </c>
      <c r="E31" s="176"/>
      <c r="F31" s="176">
        <f>SUM(F27:F30)</f>
        <v>531000</v>
      </c>
      <c r="G31" s="176">
        <f>SUM(G27:G30)</f>
        <v>392000</v>
      </c>
    </row>
    <row r="32" spans="1:5" ht="15">
      <c r="A32" s="171"/>
      <c r="B32" s="171"/>
      <c r="C32" s="187"/>
      <c r="E32" s="1"/>
    </row>
    <row r="33" spans="1:7" ht="17.25">
      <c r="A33" s="171" t="s">
        <v>120</v>
      </c>
      <c r="B33" s="171"/>
      <c r="C33" s="187"/>
      <c r="D33" s="191">
        <f>+D31+D24</f>
        <v>1265500</v>
      </c>
      <c r="E33" s="191"/>
      <c r="F33" s="191">
        <f>+F31+F24</f>
        <v>728000</v>
      </c>
      <c r="G33" s="191">
        <f>+G31+G24</f>
        <v>538000</v>
      </c>
    </row>
    <row r="34" spans="1:5" ht="15">
      <c r="A34" s="171"/>
      <c r="B34" s="171"/>
      <c r="C34" s="187"/>
      <c r="E34" s="1"/>
    </row>
    <row r="35" spans="1:7" ht="17.25">
      <c r="A35" s="171" t="s">
        <v>121</v>
      </c>
      <c r="B35" s="171"/>
      <c r="C35" s="187"/>
      <c r="D35" s="192">
        <f>ROUND(+D33*0.05,-3)</f>
        <v>63000</v>
      </c>
      <c r="E35" s="192"/>
      <c r="F35" s="192">
        <f>ROUND(+F33*0.05,-3)</f>
        <v>36000</v>
      </c>
      <c r="G35" s="192">
        <f>ROUND(+G33*0.05,-3)</f>
        <v>27000</v>
      </c>
    </row>
    <row r="36" spans="1:7" ht="15">
      <c r="A36" s="171"/>
      <c r="B36" s="171"/>
      <c r="C36" s="187"/>
      <c r="D36" s="193"/>
      <c r="E36" s="193"/>
      <c r="F36" s="193"/>
      <c r="G36" s="193"/>
    </row>
    <row r="37" spans="1:7" ht="15">
      <c r="A37" s="171" t="s">
        <v>122</v>
      </c>
      <c r="B37" s="171"/>
      <c r="C37" s="194"/>
      <c r="D37" s="193">
        <f>+D35+D33</f>
        <v>1328500</v>
      </c>
      <c r="E37" s="193"/>
      <c r="F37" s="193">
        <f>+F35+F33</f>
        <v>764000</v>
      </c>
      <c r="G37" s="193">
        <f>+G35+G33</f>
        <v>565000</v>
      </c>
    </row>
    <row r="38" spans="1:4" ht="15">
      <c r="A38" s="146"/>
      <c r="B38" s="146"/>
      <c r="C38" s="199"/>
      <c r="D38" s="200"/>
    </row>
    <row r="39" spans="1:4" ht="15">
      <c r="A39" s="171" t="s">
        <v>124</v>
      </c>
      <c r="B39" s="171"/>
      <c r="C39" s="199"/>
      <c r="D39" s="201">
        <f>+D11*2000/D7/24</f>
        <v>64.49861873497652</v>
      </c>
    </row>
    <row r="40" spans="3:4" ht="15">
      <c r="C40" s="199"/>
      <c r="D40" s="201"/>
    </row>
    <row r="41" spans="1:4" ht="15">
      <c r="A41" s="171" t="s">
        <v>125</v>
      </c>
      <c r="B41" s="171"/>
      <c r="C41" s="199"/>
      <c r="D41" s="202">
        <f>+D15/D11</f>
        <v>81.1004744767128</v>
      </c>
    </row>
    <row r="42" spans="1:4" ht="15.75" thickBot="1">
      <c r="A42" s="146"/>
      <c r="B42" s="146"/>
      <c r="C42" s="199"/>
      <c r="D42" s="203"/>
    </row>
    <row r="43" spans="1:4" ht="15">
      <c r="A43" s="206"/>
      <c r="B43" s="530"/>
      <c r="C43" s="207"/>
      <c r="D43" s="532"/>
    </row>
    <row r="44" spans="1:4" ht="15">
      <c r="A44" s="208" t="s">
        <v>126</v>
      </c>
      <c r="B44" s="209" t="s">
        <v>284</v>
      </c>
      <c r="C44" s="510" t="s">
        <v>324</v>
      </c>
      <c r="D44" s="511" t="s">
        <v>325</v>
      </c>
    </row>
    <row r="45" spans="1:4" ht="15">
      <c r="A45" s="210" t="s">
        <v>326</v>
      </c>
      <c r="B45" s="211">
        <v>700</v>
      </c>
      <c r="C45" s="507">
        <v>75</v>
      </c>
      <c r="D45" s="508">
        <f aca="true" t="shared" si="0" ref="D45:D50">ROUND(B45*C45,-2)</f>
        <v>52500</v>
      </c>
    </row>
    <row r="46" spans="1:4" ht="15">
      <c r="A46" s="210" t="s">
        <v>327</v>
      </c>
      <c r="B46" s="211">
        <v>500</v>
      </c>
      <c r="C46" s="507">
        <v>135</v>
      </c>
      <c r="D46" s="508">
        <f t="shared" si="0"/>
        <v>67500</v>
      </c>
    </row>
    <row r="47" spans="1:4" ht="15">
      <c r="A47" s="210" t="s">
        <v>328</v>
      </c>
      <c r="B47" s="211">
        <v>1000</v>
      </c>
      <c r="C47" s="507">
        <v>35</v>
      </c>
      <c r="D47" s="508">
        <f t="shared" si="0"/>
        <v>35000</v>
      </c>
    </row>
    <row r="48" spans="1:4" ht="15">
      <c r="A48" s="210" t="s">
        <v>329</v>
      </c>
      <c r="B48" s="211">
        <v>920</v>
      </c>
      <c r="C48" s="507">
        <v>105</v>
      </c>
      <c r="D48" s="508">
        <f t="shared" si="0"/>
        <v>96600</v>
      </c>
    </row>
    <row r="49" spans="1:4" ht="15">
      <c r="A49" s="210" t="s">
        <v>330</v>
      </c>
      <c r="B49" s="211">
        <v>950</v>
      </c>
      <c r="C49" s="507">
        <v>75</v>
      </c>
      <c r="D49" s="508">
        <f t="shared" si="0"/>
        <v>71300</v>
      </c>
    </row>
    <row r="50" spans="1:4" ht="17.25">
      <c r="A50" s="210" t="s">
        <v>331</v>
      </c>
      <c r="B50" s="213">
        <v>188</v>
      </c>
      <c r="C50" s="507">
        <v>105</v>
      </c>
      <c r="D50" s="509">
        <f t="shared" si="0"/>
        <v>19700</v>
      </c>
    </row>
    <row r="51" spans="1:4" ht="17.25">
      <c r="A51" s="215" t="s">
        <v>134</v>
      </c>
      <c r="B51" s="216">
        <f>SUM(B45:B50)</f>
        <v>4258</v>
      </c>
      <c r="C51" s="507"/>
      <c r="D51" s="512">
        <f>SUM(D45:D50)</f>
        <v>342600</v>
      </c>
    </row>
    <row r="52" spans="1:4" ht="15.75" thickBot="1">
      <c r="A52" s="217"/>
      <c r="B52" s="531"/>
      <c r="C52" s="218"/>
      <c r="D52" s="533"/>
    </row>
    <row r="53" spans="1:4" ht="15">
      <c r="A53" s="177"/>
      <c r="B53" s="177"/>
      <c r="C53" s="178"/>
      <c r="D53" s="178"/>
    </row>
    <row r="54" spans="1:4" ht="15">
      <c r="A54" s="177"/>
      <c r="B54" s="177"/>
      <c r="C54" s="178"/>
      <c r="D54" s="178"/>
    </row>
  </sheetData>
  <sheetProtection/>
  <printOptions/>
  <pageMargins left="0.45" right="0.45" top="0.5" bottom="0.5" header="0.3" footer="0.3"/>
  <pageSetup fitToHeight="1" fitToWidth="1" horizontalDpi="600" verticalDpi="600" orientation="portrait" scale="78" r:id="rId1"/>
  <headerFooter>
    <oddFooter>&amp;CPage &amp;P&amp;R&amp;A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43">
      <selection activeCell="D28" sqref="D28"/>
    </sheetView>
  </sheetViews>
  <sheetFormatPr defaultColWidth="9.140625" defaultRowHeight="15"/>
  <cols>
    <col min="1" max="1" width="86.00390625" style="1" bestFit="1" customWidth="1"/>
    <col min="2" max="2" width="11.00390625" style="1" bestFit="1" customWidth="1"/>
    <col min="3" max="3" width="11.28125" style="1" bestFit="1" customWidth="1"/>
    <col min="4" max="4" width="12.28125" style="1" bestFit="1" customWidth="1"/>
    <col min="5" max="5" width="11.28125" style="25" bestFit="1" customWidth="1"/>
    <col min="6" max="6" width="11.57421875" style="1" bestFit="1" customWidth="1"/>
    <col min="7" max="16384" width="9.140625" style="1" customWidth="1"/>
  </cols>
  <sheetData>
    <row r="1" spans="1:4" ht="23.25">
      <c r="A1" s="138" t="s">
        <v>338</v>
      </c>
      <c r="B1" s="138"/>
      <c r="C1" s="139"/>
      <c r="D1" s="139"/>
    </row>
    <row r="2" spans="1:4" ht="15.75">
      <c r="A2" s="140" t="s">
        <v>314</v>
      </c>
      <c r="B2" s="140"/>
      <c r="C2" s="141"/>
      <c r="D2" s="142"/>
    </row>
    <row r="3" spans="1:3" ht="15">
      <c r="A3" s="146"/>
      <c r="B3" s="146"/>
      <c r="C3" s="141"/>
    </row>
    <row r="4" spans="1:4" ht="15">
      <c r="A4" s="146"/>
      <c r="B4" s="146"/>
      <c r="C4" s="141"/>
      <c r="D4" s="147" t="s">
        <v>5</v>
      </c>
    </row>
    <row r="5" spans="1:4" ht="17.25">
      <c r="A5" s="139"/>
      <c r="B5" s="139"/>
      <c r="C5" s="141"/>
      <c r="D5" s="476" t="s">
        <v>6</v>
      </c>
    </row>
    <row r="6" spans="1:4" ht="15">
      <c r="A6" s="151" t="s">
        <v>99</v>
      </c>
      <c r="B6" s="151"/>
      <c r="C6" s="141"/>
      <c r="D6" s="150"/>
    </row>
    <row r="7" spans="1:4" ht="17.25">
      <c r="A7" s="139" t="s">
        <v>100</v>
      </c>
      <c r="B7" s="139"/>
      <c r="C7" s="141"/>
      <c r="D7" s="466">
        <f>+'Customer Counts'!H29+'Customer Counts'!I29</f>
        <v>91210</v>
      </c>
    </row>
    <row r="8" spans="1:4" ht="15">
      <c r="A8" s="139"/>
      <c r="B8" s="139"/>
      <c r="C8" s="141"/>
      <c r="D8" s="152"/>
    </row>
    <row r="9" spans="1:4" ht="15">
      <c r="A9" s="139"/>
      <c r="B9" s="139"/>
      <c r="C9" s="141"/>
      <c r="D9" s="152"/>
    </row>
    <row r="10" spans="1:4" ht="15">
      <c r="A10" s="151" t="s">
        <v>101</v>
      </c>
      <c r="B10" s="151"/>
      <c r="C10" s="141"/>
      <c r="D10" s="152"/>
    </row>
    <row r="11" spans="1:4" ht="17.25">
      <c r="A11" s="155" t="s">
        <v>102</v>
      </c>
      <c r="B11" s="155"/>
      <c r="C11" s="141"/>
      <c r="D11" s="156">
        <f>SUM('2014-2015 RSA'!D47:D58)*2</f>
        <v>66419.54</v>
      </c>
    </row>
    <row r="12" spans="1:4" ht="15">
      <c r="A12" s="45"/>
      <c r="B12" s="45"/>
      <c r="C12" s="141"/>
      <c r="D12" s="152"/>
    </row>
    <row r="13" spans="1:4" ht="15">
      <c r="A13" s="45"/>
      <c r="B13" s="45"/>
      <c r="C13" s="141"/>
      <c r="D13" s="152"/>
    </row>
    <row r="14" spans="1:4" ht="21">
      <c r="A14" s="158" t="s">
        <v>103</v>
      </c>
      <c r="B14" s="158"/>
      <c r="C14" s="141"/>
      <c r="D14" s="150"/>
    </row>
    <row r="15" spans="1:6" ht="18" customHeight="1">
      <c r="A15" s="159" t="s">
        <v>104</v>
      </c>
      <c r="B15" s="159"/>
      <c r="C15" s="160"/>
      <c r="D15" s="161">
        <f>ROUND(SUM('2014-2015 RSA'!H47:H58)*2,-2)</f>
        <v>5405100</v>
      </c>
      <c r="F15" s="221"/>
    </row>
    <row r="16" spans="1:4" ht="15">
      <c r="A16" s="159"/>
      <c r="B16" s="159"/>
      <c r="C16" s="160"/>
      <c r="D16" s="46"/>
    </row>
    <row r="17" spans="1:4" ht="21">
      <c r="A17" s="158" t="s">
        <v>341</v>
      </c>
      <c r="B17" s="159"/>
      <c r="C17" s="160"/>
      <c r="D17" s="46"/>
    </row>
    <row r="18" spans="1:6" ht="15">
      <c r="A18" s="159" t="s">
        <v>287</v>
      </c>
      <c r="B18" s="159"/>
      <c r="C18" s="516">
        <v>0.45</v>
      </c>
      <c r="D18" s="518">
        <f>ROUND(+D15*C18,-3)</f>
        <v>2432000</v>
      </c>
      <c r="E18" s="515"/>
      <c r="F18" s="221"/>
    </row>
    <row r="19" spans="1:6" ht="15">
      <c r="A19" s="517" t="s">
        <v>340</v>
      </c>
      <c r="B19" s="159"/>
      <c r="C19" s="516"/>
      <c r="D19" s="518">
        <f>-'2014-2015 RSA Budget vs. Actual'!H41</f>
        <v>-104000</v>
      </c>
      <c r="E19" s="515"/>
      <c r="F19" s="221"/>
    </row>
    <row r="20" spans="1:6" ht="15">
      <c r="A20" s="517" t="s">
        <v>336</v>
      </c>
      <c r="B20" s="517"/>
      <c r="C20" s="141"/>
      <c r="D20" s="176">
        <f>ROUND(+'2014-2015 RSA Budget vs. Actual'!H19-'2014-2015 RSA Budget vs. Actual'!H39,-2)</f>
        <v>-20500</v>
      </c>
      <c r="E20" s="515"/>
      <c r="F20" s="221"/>
    </row>
    <row r="21" spans="1:6" ht="17.25">
      <c r="A21" s="517"/>
      <c r="B21" s="517"/>
      <c r="C21" s="141"/>
      <c r="D21" s="534">
        <f>SUM(D18:D20)</f>
        <v>2307500</v>
      </c>
      <c r="E21" s="515"/>
      <c r="F21" s="221"/>
    </row>
    <row r="22" spans="1:4" ht="15">
      <c r="A22" s="139"/>
      <c r="B22" s="139"/>
      <c r="C22" s="141"/>
      <c r="D22" s="167"/>
    </row>
    <row r="23" spans="1:6" ht="18.75">
      <c r="A23" s="168" t="s">
        <v>342</v>
      </c>
      <c r="B23" s="168"/>
      <c r="C23" s="141"/>
      <c r="D23" s="150"/>
      <c r="F23" s="221"/>
    </row>
    <row r="24" spans="1:4" ht="17.25">
      <c r="A24" s="171" t="s">
        <v>107</v>
      </c>
      <c r="B24" s="171"/>
      <c r="C24" s="141"/>
      <c r="D24" s="191">
        <f>+D56</f>
        <v>330000</v>
      </c>
    </row>
    <row r="25" spans="1:4" ht="17.25">
      <c r="A25" s="171"/>
      <c r="B25" s="171"/>
      <c r="C25" s="173"/>
      <c r="D25" s="514"/>
    </row>
    <row r="26" spans="1:4" ht="17.25">
      <c r="A26" s="174" t="s">
        <v>108</v>
      </c>
      <c r="B26" s="174"/>
      <c r="C26" s="175"/>
      <c r="D26" s="514"/>
    </row>
    <row r="27" spans="1:4" ht="15">
      <c r="A27" s="177" t="s">
        <v>109</v>
      </c>
      <c r="B27" s="177"/>
      <c r="C27" s="178"/>
      <c r="D27" s="179">
        <v>0</v>
      </c>
    </row>
    <row r="28" spans="1:4" ht="15">
      <c r="A28" s="177" t="s">
        <v>110</v>
      </c>
      <c r="B28" s="177"/>
      <c r="C28" s="180"/>
      <c r="D28" s="179">
        <v>0</v>
      </c>
    </row>
    <row r="29" spans="1:4" ht="15">
      <c r="A29" s="182" t="s">
        <v>111</v>
      </c>
      <c r="B29" s="182"/>
      <c r="C29" s="180"/>
      <c r="D29" s="179">
        <v>192500</v>
      </c>
    </row>
    <row r="30" spans="1:4" ht="15">
      <c r="A30" s="182" t="s">
        <v>332</v>
      </c>
      <c r="B30" s="182"/>
      <c r="C30" s="178"/>
      <c r="D30" s="179">
        <v>472500</v>
      </c>
    </row>
    <row r="31" spans="1:4" ht="15">
      <c r="A31" s="182" t="s">
        <v>113</v>
      </c>
      <c r="B31" s="182"/>
      <c r="C31" s="160"/>
      <c r="D31" s="179">
        <v>376250</v>
      </c>
    </row>
    <row r="32" spans="1:4" ht="15">
      <c r="A32" s="182" t="s">
        <v>114</v>
      </c>
      <c r="B32" s="182"/>
      <c r="C32" s="183"/>
      <c r="D32" s="179">
        <v>34000</v>
      </c>
    </row>
    <row r="33" spans="1:4" ht="15">
      <c r="A33" s="182" t="s">
        <v>115</v>
      </c>
      <c r="B33" s="182"/>
      <c r="C33" s="184"/>
      <c r="D33" s="179">
        <v>164500</v>
      </c>
    </row>
    <row r="34" spans="1:4" ht="15">
      <c r="A34" s="182" t="s">
        <v>116</v>
      </c>
      <c r="B34" s="182"/>
      <c r="C34" s="184"/>
      <c r="D34" s="179">
        <v>185000</v>
      </c>
    </row>
    <row r="35" spans="1:4" ht="17.25">
      <c r="A35" s="182" t="s">
        <v>333</v>
      </c>
      <c r="B35" s="182"/>
      <c r="C35" s="184"/>
      <c r="D35" s="513">
        <v>442750</v>
      </c>
    </row>
    <row r="36" spans="1:4" ht="17.25">
      <c r="A36" s="171" t="s">
        <v>119</v>
      </c>
      <c r="B36" s="171"/>
      <c r="C36" s="160"/>
      <c r="D36" s="192">
        <f>SUM(D27:D35)</f>
        <v>1867500</v>
      </c>
    </row>
    <row r="37" spans="1:4" ht="15">
      <c r="A37" s="171"/>
      <c r="B37" s="171"/>
      <c r="C37" s="187"/>
      <c r="D37" s="188"/>
    </row>
    <row r="38" spans="1:4" ht="17.25">
      <c r="A38" s="171" t="s">
        <v>120</v>
      </c>
      <c r="B38" s="171"/>
      <c r="C38" s="187"/>
      <c r="D38" s="191">
        <f>+D36+D24</f>
        <v>2197500</v>
      </c>
    </row>
    <row r="39" spans="1:4" ht="17.25">
      <c r="A39" s="171"/>
      <c r="B39" s="171"/>
      <c r="C39" s="187"/>
      <c r="D39" s="191"/>
    </row>
    <row r="40" spans="1:5" ht="17.25">
      <c r="A40" s="171" t="s">
        <v>121</v>
      </c>
      <c r="B40" s="171"/>
      <c r="C40" s="187"/>
      <c r="D40" s="192">
        <f>ROUND(+D38*0.05,-3)</f>
        <v>110000</v>
      </c>
      <c r="E40" s="192"/>
    </row>
    <row r="41" spans="1:4" ht="15">
      <c r="A41" s="171"/>
      <c r="B41" s="171"/>
      <c r="C41" s="187"/>
      <c r="D41" s="193"/>
    </row>
    <row r="42" spans="1:4" ht="15">
      <c r="A42" s="171" t="s">
        <v>122</v>
      </c>
      <c r="B42" s="171"/>
      <c r="C42" s="194"/>
      <c r="D42" s="193">
        <f>+D40+D38</f>
        <v>2307500</v>
      </c>
    </row>
    <row r="43" spans="1:4" ht="15">
      <c r="A43" s="146"/>
      <c r="B43" s="146"/>
      <c r="C43" s="199"/>
      <c r="D43" s="200"/>
    </row>
    <row r="44" spans="1:4" ht="15">
      <c r="A44" s="171" t="s">
        <v>124</v>
      </c>
      <c r="B44" s="171"/>
      <c r="C44" s="199"/>
      <c r="D44" s="201">
        <f>+D11*2000/D7/24</f>
        <v>60.68371523590249</v>
      </c>
    </row>
    <row r="45" spans="3:4" ht="15">
      <c r="C45" s="199"/>
      <c r="D45" s="201"/>
    </row>
    <row r="46" spans="1:4" ht="15">
      <c r="A46" s="171" t="s">
        <v>125</v>
      </c>
      <c r="B46" s="171"/>
      <c r="C46" s="199"/>
      <c r="D46" s="202">
        <f>+D15/D11</f>
        <v>81.37816070391334</v>
      </c>
    </row>
    <row r="47" spans="1:4" ht="15.75" thickBot="1">
      <c r="A47" s="177"/>
      <c r="B47" s="177"/>
      <c r="C47" s="178"/>
      <c r="D47" s="178"/>
    </row>
    <row r="48" spans="1:4" ht="15">
      <c r="A48" s="206"/>
      <c r="B48" s="530"/>
      <c r="C48" s="207"/>
      <c r="D48" s="532"/>
    </row>
    <row r="49" spans="1:4" ht="15">
      <c r="A49" s="208" t="s">
        <v>126</v>
      </c>
      <c r="B49" s="209" t="s">
        <v>284</v>
      </c>
      <c r="C49" s="510" t="s">
        <v>324</v>
      </c>
      <c r="D49" s="511" t="s">
        <v>325</v>
      </c>
    </row>
    <row r="50" spans="1:4" ht="15">
      <c r="A50" s="210" t="s">
        <v>326</v>
      </c>
      <c r="B50" s="211">
        <v>700</v>
      </c>
      <c r="C50" s="507">
        <v>75</v>
      </c>
      <c r="D50" s="508">
        <f>C50*B50</f>
        <v>52500</v>
      </c>
    </row>
    <row r="51" spans="1:4" ht="15">
      <c r="A51" s="210" t="s">
        <v>327</v>
      </c>
      <c r="B51" s="211">
        <v>500</v>
      </c>
      <c r="C51" s="507">
        <v>135</v>
      </c>
      <c r="D51" s="508">
        <f>C51*B51</f>
        <v>67500</v>
      </c>
    </row>
    <row r="52" spans="1:4" ht="15">
      <c r="A52" s="210" t="s">
        <v>328</v>
      </c>
      <c r="B52" s="211">
        <v>1000</v>
      </c>
      <c r="C52" s="507">
        <v>35</v>
      </c>
      <c r="D52" s="508">
        <f>B52*C52</f>
        <v>35000</v>
      </c>
    </row>
    <row r="53" spans="1:4" ht="15">
      <c r="A53" s="210" t="s">
        <v>329</v>
      </c>
      <c r="B53" s="211">
        <v>800</v>
      </c>
      <c r="C53" s="507">
        <v>105</v>
      </c>
      <c r="D53" s="508">
        <f>B53*C53</f>
        <v>84000</v>
      </c>
    </row>
    <row r="54" spans="1:4" ht="15">
      <c r="A54" s="210" t="s">
        <v>330</v>
      </c>
      <c r="B54" s="211">
        <v>950</v>
      </c>
      <c r="C54" s="507">
        <v>75</v>
      </c>
      <c r="D54" s="508">
        <f>ROUND(B54*C54,-2)</f>
        <v>71300</v>
      </c>
    </row>
    <row r="55" spans="1:4" ht="17.25">
      <c r="A55" s="210" t="s">
        <v>331</v>
      </c>
      <c r="B55" s="213">
        <v>188</v>
      </c>
      <c r="C55" s="507">
        <v>105</v>
      </c>
      <c r="D55" s="509">
        <f>ROUND(B55*C55,-2)</f>
        <v>19700</v>
      </c>
    </row>
    <row r="56" spans="1:4" ht="17.25">
      <c r="A56" s="215" t="s">
        <v>134</v>
      </c>
      <c r="B56" s="216">
        <f>SUM(B50:B55)</f>
        <v>4138</v>
      </c>
      <c r="C56" s="507"/>
      <c r="D56" s="512">
        <f>SUM(D50:D55)</f>
        <v>330000</v>
      </c>
    </row>
    <row r="57" spans="1:4" ht="15.75" thickBot="1">
      <c r="A57" s="217"/>
      <c r="B57" s="531"/>
      <c r="C57" s="218"/>
      <c r="D57" s="533"/>
    </row>
    <row r="58" spans="1:4" ht="15">
      <c r="A58" s="177"/>
      <c r="B58" s="177"/>
      <c r="C58" s="178"/>
      <c r="D58" s="178"/>
    </row>
  </sheetData>
  <sheetProtection/>
  <printOptions/>
  <pageMargins left="0.45" right="0.45" top="0.5" bottom="0.5" header="0.3" footer="0.3"/>
  <pageSetup fitToHeight="1" fitToWidth="1" horizontalDpi="600" verticalDpi="600" orientation="portrait" scale="80" r:id="rId1"/>
  <headerFooter>
    <oddFooter>&amp;CPage &amp;P&amp;R&amp;A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0"/>
  <sheetViews>
    <sheetView zoomScalePageLayoutView="0" workbookViewId="0" topLeftCell="A15">
      <selection activeCell="I26" sqref="I26"/>
    </sheetView>
  </sheetViews>
  <sheetFormatPr defaultColWidth="9.140625" defaultRowHeight="15"/>
  <cols>
    <col min="2" max="2" width="23.00390625" style="0" bestFit="1" customWidth="1"/>
    <col min="3" max="3" width="11.00390625" style="464" bestFit="1" customWidth="1"/>
    <col min="4" max="4" width="10.421875" style="0" bestFit="1" customWidth="1"/>
    <col min="5" max="5" width="11.140625" style="0" bestFit="1" customWidth="1"/>
    <col min="6" max="6" width="9.7109375" style="0" bestFit="1" customWidth="1"/>
    <col min="7" max="7" width="2.8515625" style="1" customWidth="1"/>
    <col min="8" max="8" width="11.00390625" style="1" bestFit="1" customWidth="1"/>
    <col min="9" max="9" width="10.421875" style="0" bestFit="1" customWidth="1"/>
    <col min="10" max="10" width="10.57421875" style="0" bestFit="1" customWidth="1"/>
    <col min="11" max="11" width="9.7109375" style="0" bestFit="1" customWidth="1"/>
    <col min="12" max="12" width="8.421875" style="464" customWidth="1"/>
  </cols>
  <sheetData>
    <row r="1" ht="23.25">
      <c r="A1" s="535" t="s">
        <v>309</v>
      </c>
    </row>
    <row r="3" spans="5:13" ht="15">
      <c r="E3" s="457"/>
      <c r="I3" s="457"/>
      <c r="J3" s="457"/>
      <c r="L3" s="474"/>
      <c r="M3" s="474"/>
    </row>
    <row r="4" spans="3:13" ht="17.25">
      <c r="C4" s="92" t="s">
        <v>297</v>
      </c>
      <c r="E4" s="92" t="s">
        <v>298</v>
      </c>
      <c r="F4" s="15" t="s">
        <v>295</v>
      </c>
      <c r="G4" s="15"/>
      <c r="H4" s="92" t="s">
        <v>297</v>
      </c>
      <c r="I4" s="15"/>
      <c r="J4" s="92" t="s">
        <v>298</v>
      </c>
      <c r="K4" s="15" t="s">
        <v>299</v>
      </c>
      <c r="L4" s="15" t="s">
        <v>158</v>
      </c>
      <c r="M4" s="475"/>
    </row>
    <row r="5" spans="1:13" ht="17.25">
      <c r="A5" s="1"/>
      <c r="B5" s="1"/>
      <c r="C5" s="481" t="s">
        <v>291</v>
      </c>
      <c r="D5" s="480" t="s">
        <v>292</v>
      </c>
      <c r="E5" s="480" t="s">
        <v>289</v>
      </c>
      <c r="F5" s="457" t="s">
        <v>296</v>
      </c>
      <c r="G5" s="457"/>
      <c r="H5" s="481" t="s">
        <v>289</v>
      </c>
      <c r="I5" s="20">
        <v>2014</v>
      </c>
      <c r="J5" s="20">
        <v>2015</v>
      </c>
      <c r="K5" s="457" t="s">
        <v>296</v>
      </c>
      <c r="L5" s="504" t="s">
        <v>339</v>
      </c>
      <c r="M5" s="472"/>
    </row>
    <row r="6" spans="1:13" s="1" customFormat="1" ht="18">
      <c r="A6" s="500" t="s">
        <v>312</v>
      </c>
      <c r="C6" s="481"/>
      <c r="D6" s="480"/>
      <c r="E6" s="480"/>
      <c r="F6" s="457"/>
      <c r="G6" s="457"/>
      <c r="H6" s="481"/>
      <c r="I6" s="457"/>
      <c r="J6" s="457"/>
      <c r="K6" s="457"/>
      <c r="L6" s="474"/>
      <c r="M6" s="472"/>
    </row>
    <row r="7" spans="1:12" s="139" customFormat="1" ht="15">
      <c r="A7" s="244" t="s">
        <v>139</v>
      </c>
      <c r="B7" s="244"/>
      <c r="C7" s="487"/>
      <c r="D7" s="487"/>
      <c r="L7" s="174"/>
    </row>
    <row r="8" spans="1:13" s="139" customFormat="1" ht="15">
      <c r="A8" s="245"/>
      <c r="B8" s="245" t="s">
        <v>140</v>
      </c>
      <c r="C8" s="487">
        <v>3390</v>
      </c>
      <c r="D8" s="487">
        <v>13509</v>
      </c>
      <c r="E8" s="488">
        <v>9875</v>
      </c>
      <c r="F8" s="489">
        <f>SUM(C8:E8)</f>
        <v>26774</v>
      </c>
      <c r="G8" s="489"/>
      <c r="H8" s="489">
        <f>+'2014-2015 RSA'!E71+'2014-2015 RSA'!E72+'2014-2015 RSA'!E73</f>
        <v>3510.09</v>
      </c>
      <c r="I8" s="488">
        <f>SUM('2014-2015 RSA'!E74:E85)</f>
        <v>13208.460000000001</v>
      </c>
      <c r="J8" s="488">
        <f>SUM('2014-2015 RSA'!E86:E94)</f>
        <v>9913.490000000002</v>
      </c>
      <c r="K8" s="489">
        <f>SUM(H8:J8)</f>
        <v>26632.040000000005</v>
      </c>
      <c r="L8" s="174"/>
      <c r="M8" s="487"/>
    </row>
    <row r="9" spans="1:13" s="139" customFormat="1" ht="15">
      <c r="A9" s="245"/>
      <c r="B9" s="245" t="s">
        <v>141</v>
      </c>
      <c r="C9" s="487">
        <v>3705</v>
      </c>
      <c r="D9" s="487">
        <v>15570</v>
      </c>
      <c r="E9" s="488">
        <v>11861</v>
      </c>
      <c r="F9" s="489">
        <f>SUM(C9:E9)</f>
        <v>31136</v>
      </c>
      <c r="G9" s="489"/>
      <c r="H9" s="489">
        <v>3857.17058471404</v>
      </c>
      <c r="I9" s="488">
        <v>15641</v>
      </c>
      <c r="J9" s="488">
        <v>11198</v>
      </c>
      <c r="K9" s="489">
        <f>SUM(H9:J9)</f>
        <v>30696.17058471404</v>
      </c>
      <c r="L9" s="174"/>
      <c r="M9" s="487"/>
    </row>
    <row r="10" spans="1:13" s="139" customFormat="1" ht="17.25">
      <c r="A10" s="245"/>
      <c r="B10" s="245" t="s">
        <v>142</v>
      </c>
      <c r="C10" s="490">
        <v>6054</v>
      </c>
      <c r="D10" s="490">
        <v>24199</v>
      </c>
      <c r="E10" s="491">
        <v>18351</v>
      </c>
      <c r="F10" s="492">
        <f>SUM(C10:E10)</f>
        <v>48604</v>
      </c>
      <c r="G10" s="492"/>
      <c r="H10" s="492">
        <v>6187.652012213133</v>
      </c>
      <c r="I10" s="491">
        <v>23980</v>
      </c>
      <c r="J10" s="491">
        <v>17465</v>
      </c>
      <c r="K10" s="492">
        <f>SUM(H10:J10)</f>
        <v>47632.65201221313</v>
      </c>
      <c r="L10" s="174"/>
      <c r="M10" s="487"/>
    </row>
    <row r="11" spans="1:13" s="145" customFormat="1" ht="15">
      <c r="A11" s="250"/>
      <c r="B11" s="493" t="s">
        <v>143</v>
      </c>
      <c r="C11" s="494">
        <f>+C10+C9+C8</f>
        <v>13149</v>
      </c>
      <c r="D11" s="494">
        <f>+D10+D9+D8</f>
        <v>53278</v>
      </c>
      <c r="E11" s="494">
        <f>+E10+E9+E8</f>
        <v>40087</v>
      </c>
      <c r="F11" s="494">
        <f>+F10+F9+F8</f>
        <v>106514</v>
      </c>
      <c r="G11" s="494"/>
      <c r="H11" s="494">
        <f>+H10+H9+H8</f>
        <v>13554.912596927174</v>
      </c>
      <c r="I11" s="494">
        <f>+I10+I9+I8</f>
        <v>52829.46</v>
      </c>
      <c r="J11" s="494">
        <f>+J10+J9+J8</f>
        <v>38576.490000000005</v>
      </c>
      <c r="K11" s="494">
        <f>+K10+K9+K8</f>
        <v>104960.86259692718</v>
      </c>
      <c r="L11" s="174"/>
      <c r="M11" s="487"/>
    </row>
    <row r="12" spans="1:13" s="139" customFormat="1" ht="15">
      <c r="A12" s="244" t="s">
        <v>144</v>
      </c>
      <c r="B12" s="244"/>
      <c r="C12" s="487"/>
      <c r="D12" s="487"/>
      <c r="I12" s="488"/>
      <c r="J12" s="488"/>
      <c r="L12" s="174"/>
      <c r="M12" s="487"/>
    </row>
    <row r="13" spans="1:13" s="139" customFormat="1" ht="15">
      <c r="A13" s="245"/>
      <c r="B13" s="245" t="s">
        <v>145</v>
      </c>
      <c r="C13" s="487">
        <v>248</v>
      </c>
      <c r="D13" s="487">
        <v>979</v>
      </c>
      <c r="E13" s="488">
        <v>699</v>
      </c>
      <c r="F13" s="489">
        <f>SUM(C13:E13)</f>
        <v>1926</v>
      </c>
      <c r="H13" s="489">
        <f>+'2014-2015 RSA'!E100++'2014-2015 RSA'!E101+'2014-2015 RSA'!E102</f>
        <v>247.29</v>
      </c>
      <c r="I13" s="488">
        <f>SUM('2014-2015 RSA'!E103:E114)</f>
        <v>948.0699999999999</v>
      </c>
      <c r="J13" s="488">
        <f>SUM('2014-2015 RSA'!E115:E123)</f>
        <v>745.05</v>
      </c>
      <c r="K13" s="489">
        <f>SUM(H13:J13)</f>
        <v>1940.4099999999999</v>
      </c>
      <c r="L13" s="174"/>
      <c r="M13" s="487"/>
    </row>
    <row r="14" spans="1:13" s="139" customFormat="1" ht="15">
      <c r="A14" s="245"/>
      <c r="B14" s="245" t="s">
        <v>146</v>
      </c>
      <c r="C14" s="487">
        <v>5</v>
      </c>
      <c r="D14" s="487">
        <v>9</v>
      </c>
      <c r="E14" s="488">
        <v>13</v>
      </c>
      <c r="F14" s="489">
        <f>SUM(C14:E14)</f>
        <v>27</v>
      </c>
      <c r="H14" s="489">
        <v>3.8044153675436974</v>
      </c>
      <c r="I14" s="488">
        <v>13</v>
      </c>
      <c r="J14" s="488">
        <v>9</v>
      </c>
      <c r="K14" s="489">
        <f>SUM(H14:J14)</f>
        <v>25.804415367543697</v>
      </c>
      <c r="L14" s="174"/>
      <c r="M14" s="487"/>
    </row>
    <row r="15" spans="1:13" s="139" customFormat="1" ht="17.25">
      <c r="A15" s="245"/>
      <c r="B15" s="245" t="s">
        <v>147</v>
      </c>
      <c r="C15" s="490">
        <v>2257</v>
      </c>
      <c r="D15" s="490">
        <v>8937</v>
      </c>
      <c r="E15" s="491">
        <v>6466</v>
      </c>
      <c r="F15" s="492">
        <f>SUM(C15:E15)</f>
        <v>17660</v>
      </c>
      <c r="G15" s="495"/>
      <c r="H15" s="492">
        <v>2313.501761229634</v>
      </c>
      <c r="I15" s="491">
        <v>8380</v>
      </c>
      <c r="J15" s="491">
        <v>6102</v>
      </c>
      <c r="K15" s="492">
        <f>SUM(H15:J15)</f>
        <v>16795.501761229636</v>
      </c>
      <c r="L15" s="174"/>
      <c r="M15" s="487"/>
    </row>
    <row r="16" spans="1:13" s="145" customFormat="1" ht="15">
      <c r="A16" s="250"/>
      <c r="B16" s="244" t="s">
        <v>148</v>
      </c>
      <c r="C16" s="496">
        <f>+C15+C14+C13</f>
        <v>2510</v>
      </c>
      <c r="D16" s="497">
        <f>+D15+D14+D13</f>
        <v>9925</v>
      </c>
      <c r="E16" s="496">
        <f>+E15+E14+E13</f>
        <v>7178</v>
      </c>
      <c r="F16" s="496">
        <f>+F15+F14+F13</f>
        <v>19613</v>
      </c>
      <c r="G16" s="496"/>
      <c r="H16" s="496">
        <f>+H15+H14+H13</f>
        <v>2564.596176597178</v>
      </c>
      <c r="I16" s="496">
        <f>+I15+I14+I13</f>
        <v>9341.07</v>
      </c>
      <c r="J16" s="496">
        <f>+J15+J14+J13</f>
        <v>6856.05</v>
      </c>
      <c r="K16" s="496">
        <f>+K15+K14+K13</f>
        <v>18761.71617659718</v>
      </c>
      <c r="L16" s="174"/>
      <c r="M16" s="487"/>
    </row>
    <row r="17" spans="1:13" s="145" customFormat="1" ht="15">
      <c r="A17" s="249" t="s">
        <v>149</v>
      </c>
      <c r="B17" s="249"/>
      <c r="C17" s="498">
        <f aca="true" t="shared" si="0" ref="C17:K17">+C16+C11</f>
        <v>15659</v>
      </c>
      <c r="D17" s="499">
        <f t="shared" si="0"/>
        <v>63203</v>
      </c>
      <c r="E17" s="498">
        <f t="shared" si="0"/>
        <v>47265</v>
      </c>
      <c r="F17" s="498">
        <f t="shared" si="0"/>
        <v>126127</v>
      </c>
      <c r="G17" s="498"/>
      <c r="H17" s="498">
        <f t="shared" si="0"/>
        <v>16119.50877352435</v>
      </c>
      <c r="I17" s="498">
        <f t="shared" si="0"/>
        <v>62170.53</v>
      </c>
      <c r="J17" s="498">
        <f t="shared" si="0"/>
        <v>45432.54000000001</v>
      </c>
      <c r="K17" s="498">
        <f t="shared" si="0"/>
        <v>123722.57877352436</v>
      </c>
      <c r="L17" s="174"/>
      <c r="M17" s="487"/>
    </row>
    <row r="18" spans="1:12" s="14" customFormat="1" ht="15">
      <c r="A18" s="249"/>
      <c r="B18" s="249"/>
      <c r="C18" s="248"/>
      <c r="D18" s="92"/>
      <c r="E18" s="248"/>
      <c r="F18" s="248"/>
      <c r="G18" s="248"/>
      <c r="H18" s="248"/>
      <c r="I18" s="248"/>
      <c r="J18" s="248"/>
      <c r="K18" s="248"/>
      <c r="L18" s="474"/>
    </row>
    <row r="19" spans="2:13" s="14" customFormat="1" ht="15">
      <c r="B19" s="14" t="s">
        <v>150</v>
      </c>
      <c r="C19" s="473">
        <f>+C8+C9+C13+C14</f>
        <v>7348</v>
      </c>
      <c r="D19" s="473">
        <f>+D8+D9+D13+D14</f>
        <v>30067</v>
      </c>
      <c r="E19" s="473">
        <f aca="true" t="shared" si="1" ref="E19:K19">+E8+E9+E13+E14</f>
        <v>22448</v>
      </c>
      <c r="F19" s="473">
        <f>+F8+F9+F13+F14</f>
        <v>59863</v>
      </c>
      <c r="G19" s="473"/>
      <c r="H19" s="473">
        <f>+H8+H9+H13+H14</f>
        <v>7618.355000081584</v>
      </c>
      <c r="I19" s="473">
        <f t="shared" si="1"/>
        <v>29810.53</v>
      </c>
      <c r="J19" s="473">
        <f t="shared" si="1"/>
        <v>21865.54</v>
      </c>
      <c r="K19" s="473">
        <f t="shared" si="1"/>
        <v>59294.425000081595</v>
      </c>
      <c r="L19" s="474"/>
      <c r="M19" s="473"/>
    </row>
    <row r="20" spans="3:13" s="14" customFormat="1" ht="15">
      <c r="C20" s="455">
        <f>+C19/C17</f>
        <v>0.4692509100197969</v>
      </c>
      <c r="D20" s="455">
        <f>+D19/D17</f>
        <v>0.47572108918880435</v>
      </c>
      <c r="E20" s="455">
        <f aca="true" t="shared" si="2" ref="E20:K20">+E19/E17</f>
        <v>0.47493917274939174</v>
      </c>
      <c r="F20" s="455">
        <f>+F19/F17</f>
        <v>0.47462478295686095</v>
      </c>
      <c r="G20" s="455"/>
      <c r="H20" s="455">
        <f>+H19/H17</f>
        <v>0.4726170696091203</v>
      </c>
      <c r="I20" s="455">
        <f t="shared" si="2"/>
        <v>0.47949615356343267</v>
      </c>
      <c r="J20" s="455">
        <f t="shared" si="2"/>
        <v>0.4812748747923844</v>
      </c>
      <c r="K20" s="455">
        <f t="shared" si="2"/>
        <v>0.47925306429815645</v>
      </c>
      <c r="L20" s="486">
        <f>+K20-F20</f>
        <v>0.004628281341295504</v>
      </c>
      <c r="M20" s="251"/>
    </row>
    <row r="21" spans="3:13" s="14" customFormat="1" ht="15">
      <c r="C21" s="455"/>
      <c r="D21" s="455"/>
      <c r="E21" s="455"/>
      <c r="F21" s="455"/>
      <c r="G21" s="455"/>
      <c r="H21" s="455"/>
      <c r="I21" s="455"/>
      <c r="J21" s="455"/>
      <c r="K21" s="455"/>
      <c r="L21" s="486"/>
      <c r="M21" s="251"/>
    </row>
    <row r="22" spans="1:12" s="1" customFormat="1" ht="15.75">
      <c r="A22" s="500" t="s">
        <v>311</v>
      </c>
      <c r="C22" s="464"/>
      <c r="E22" s="247"/>
      <c r="I22" s="247"/>
      <c r="J22" s="247"/>
      <c r="L22" s="464"/>
    </row>
    <row r="23" spans="3:11" s="1" customFormat="1" ht="15">
      <c r="C23" s="464"/>
      <c r="D23" s="578" t="s">
        <v>302</v>
      </c>
      <c r="E23" s="578"/>
      <c r="F23" s="578"/>
      <c r="I23" s="578" t="s">
        <v>304</v>
      </c>
      <c r="J23" s="578"/>
      <c r="K23" s="578"/>
    </row>
    <row r="24" spans="4:11" ht="15">
      <c r="D24" s="15" t="s">
        <v>300</v>
      </c>
      <c r="E24" s="15" t="s">
        <v>301</v>
      </c>
      <c r="F24" s="1"/>
      <c r="I24" s="15" t="s">
        <v>300</v>
      </c>
      <c r="J24" s="15" t="s">
        <v>301</v>
      </c>
      <c r="K24" s="464"/>
    </row>
    <row r="25" spans="4:11" ht="15">
      <c r="D25" s="457" t="s">
        <v>73</v>
      </c>
      <c r="E25" s="457" t="s">
        <v>73</v>
      </c>
      <c r="F25" s="457" t="s">
        <v>158</v>
      </c>
      <c r="I25" s="457" t="s">
        <v>73</v>
      </c>
      <c r="J25" s="457" t="s">
        <v>73</v>
      </c>
      <c r="K25" s="457" t="s">
        <v>158</v>
      </c>
    </row>
    <row r="26" spans="2:19" ht="15">
      <c r="B26" t="s">
        <v>303</v>
      </c>
      <c r="D26" s="247">
        <v>36269</v>
      </c>
      <c r="E26" s="247">
        <v>16553</v>
      </c>
      <c r="F26" s="471">
        <f>+E26/D26</f>
        <v>0.4563952686867573</v>
      </c>
      <c r="I26" s="464">
        <f>+'Customer Counts'!E6+'Customer Counts'!G6</f>
        <v>37642</v>
      </c>
      <c r="J26" s="464">
        <v>18049</v>
      </c>
      <c r="K26" s="471">
        <f>+J26/I26</f>
        <v>0.4794909941023325</v>
      </c>
      <c r="Q26" s="247"/>
      <c r="R26" s="247"/>
      <c r="S26" s="464"/>
    </row>
    <row r="27" spans="2:19" ht="15">
      <c r="B27" s="1" t="s">
        <v>10</v>
      </c>
      <c r="D27" s="247">
        <v>36343</v>
      </c>
      <c r="E27" s="247">
        <v>16508</v>
      </c>
      <c r="F27" s="471">
        <f aca="true" t="shared" si="3" ref="F27:F50">+E27/D27</f>
        <v>0.45422777426189365</v>
      </c>
      <c r="I27" s="464">
        <f>+'Customer Counts'!E7+'Customer Counts'!G7</f>
        <v>37529</v>
      </c>
      <c r="J27" s="464">
        <v>17972</v>
      </c>
      <c r="K27" s="471">
        <f aca="true" t="shared" si="4" ref="K27:K50">+J27/I27</f>
        <v>0.47888299714887156</v>
      </c>
      <c r="Q27" s="247"/>
      <c r="R27" s="247"/>
      <c r="S27" s="464"/>
    </row>
    <row r="28" spans="2:19" ht="15">
      <c r="B28" s="1" t="s">
        <v>11</v>
      </c>
      <c r="D28" s="247">
        <v>36287</v>
      </c>
      <c r="E28" s="247">
        <v>16422</v>
      </c>
      <c r="F28" s="471">
        <f t="shared" si="3"/>
        <v>0.45255876760272273</v>
      </c>
      <c r="I28" s="464">
        <f>+'Customer Counts'!E8+'Customer Counts'!G8</f>
        <v>37561</v>
      </c>
      <c r="J28" s="464">
        <v>17886</v>
      </c>
      <c r="K28" s="471">
        <f t="shared" si="4"/>
        <v>0.4761854050744123</v>
      </c>
      <c r="Q28" s="247"/>
      <c r="R28" s="247"/>
      <c r="S28" s="464"/>
    </row>
    <row r="29" spans="2:19" ht="15">
      <c r="B29" s="1" t="s">
        <v>12</v>
      </c>
      <c r="D29" s="247">
        <v>36041</v>
      </c>
      <c r="E29" s="247">
        <v>16280</v>
      </c>
      <c r="F29" s="471">
        <f t="shared" si="3"/>
        <v>0.45170777725368333</v>
      </c>
      <c r="I29" s="464">
        <f>+'Customer Counts'!E9+'Customer Counts'!G9</f>
        <v>37553</v>
      </c>
      <c r="J29" s="464">
        <v>17829</v>
      </c>
      <c r="K29" s="471">
        <f t="shared" si="4"/>
        <v>0.474768993156339</v>
      </c>
      <c r="Q29" s="247"/>
      <c r="R29" s="247"/>
      <c r="S29" s="464"/>
    </row>
    <row r="30" spans="2:19" ht="15">
      <c r="B30" s="1" t="s">
        <v>13</v>
      </c>
      <c r="D30" s="247">
        <v>36128</v>
      </c>
      <c r="E30" s="247">
        <v>16360</v>
      </c>
      <c r="F30" s="471">
        <f t="shared" si="3"/>
        <v>0.4528343666961913</v>
      </c>
      <c r="I30" s="464">
        <f>+'Customer Counts'!E10+'Customer Counts'!G10</f>
        <v>35898</v>
      </c>
      <c r="J30" s="464">
        <v>16696</v>
      </c>
      <c r="K30" s="471">
        <f t="shared" si="4"/>
        <v>0.4650955484985236</v>
      </c>
      <c r="Q30" s="247"/>
      <c r="R30" s="247"/>
      <c r="S30" s="464"/>
    </row>
    <row r="31" spans="2:19" ht="15">
      <c r="B31" s="1" t="s">
        <v>14</v>
      </c>
      <c r="D31" s="247">
        <v>36158</v>
      </c>
      <c r="E31" s="247">
        <v>16417</v>
      </c>
      <c r="F31" s="471">
        <f t="shared" si="3"/>
        <v>0.4540350683113004</v>
      </c>
      <c r="I31" s="464">
        <f>+'Customer Counts'!E11+'Customer Counts'!G11</f>
        <v>35978</v>
      </c>
      <c r="J31" s="464">
        <v>16781</v>
      </c>
      <c r="K31" s="471">
        <f t="shared" si="4"/>
        <v>0.466423925732392</v>
      </c>
      <c r="Q31" s="247"/>
      <c r="R31" s="247"/>
      <c r="S31" s="464"/>
    </row>
    <row r="32" spans="2:19" ht="15">
      <c r="B32" s="1" t="s">
        <v>15</v>
      </c>
      <c r="D32" s="247">
        <v>36436</v>
      </c>
      <c r="E32" s="247">
        <v>16640</v>
      </c>
      <c r="F32" s="471">
        <f t="shared" si="3"/>
        <v>0.4566911845427599</v>
      </c>
      <c r="I32" s="464">
        <f>+'Customer Counts'!E12+'Customer Counts'!G12</f>
        <v>36140</v>
      </c>
      <c r="J32" s="464">
        <v>17030</v>
      </c>
      <c r="K32" s="471">
        <f t="shared" si="4"/>
        <v>0.4712230215827338</v>
      </c>
      <c r="Q32" s="247"/>
      <c r="R32" s="247"/>
      <c r="S32" s="464"/>
    </row>
    <row r="33" spans="2:19" ht="15">
      <c r="B33" s="1" t="s">
        <v>16</v>
      </c>
      <c r="D33" s="247">
        <v>36711</v>
      </c>
      <c r="E33" s="247">
        <v>16952</v>
      </c>
      <c r="F33" s="471">
        <f t="shared" si="3"/>
        <v>0.4617689520852061</v>
      </c>
      <c r="I33" s="464">
        <f>+'Customer Counts'!E13+'Customer Counts'!G13</f>
        <v>36174</v>
      </c>
      <c r="J33" s="464">
        <v>17163</v>
      </c>
      <c r="K33" s="471">
        <f t="shared" si="4"/>
        <v>0.47445679217117265</v>
      </c>
      <c r="Q33" s="247"/>
      <c r="R33" s="247"/>
      <c r="S33" s="464"/>
    </row>
    <row r="34" spans="2:19" ht="15">
      <c r="B34" s="1" t="s">
        <v>47</v>
      </c>
      <c r="D34" s="247">
        <v>35980</v>
      </c>
      <c r="E34" s="247">
        <v>16827</v>
      </c>
      <c r="F34" s="471">
        <f t="shared" si="3"/>
        <v>0.46767648693718733</v>
      </c>
      <c r="I34" s="464">
        <f>+'Customer Counts'!E14+'Customer Counts'!G14</f>
        <v>36224</v>
      </c>
      <c r="J34" s="464">
        <v>17286</v>
      </c>
      <c r="K34" s="471">
        <f t="shared" si="4"/>
        <v>0.4771974381625442</v>
      </c>
      <c r="Q34" s="247"/>
      <c r="R34" s="247"/>
      <c r="S34" s="464"/>
    </row>
    <row r="35" spans="2:19" ht="15">
      <c r="B35" s="1" t="s">
        <v>48</v>
      </c>
      <c r="D35" s="247">
        <v>36576</v>
      </c>
      <c r="E35" s="247">
        <v>17232</v>
      </c>
      <c r="F35" s="471">
        <f t="shared" si="3"/>
        <v>0.47112860892388453</v>
      </c>
      <c r="I35" s="464">
        <f>+'Customer Counts'!E15+'Customer Counts'!G15</f>
        <v>36333</v>
      </c>
      <c r="J35" s="464">
        <v>17306</v>
      </c>
      <c r="K35" s="471">
        <f t="shared" si="4"/>
        <v>0.47631629647978424</v>
      </c>
      <c r="Q35" s="247"/>
      <c r="R35" s="247"/>
      <c r="S35" s="464"/>
    </row>
    <row r="36" spans="2:19" ht="15">
      <c r="B36" s="1" t="s">
        <v>49</v>
      </c>
      <c r="D36" s="247">
        <v>36713</v>
      </c>
      <c r="E36" s="247">
        <v>17300</v>
      </c>
      <c r="F36" s="471">
        <f t="shared" si="3"/>
        <v>0.47122272764415873</v>
      </c>
      <c r="I36" s="464">
        <f>+'Customer Counts'!E16+'Customer Counts'!G16</f>
        <v>36419</v>
      </c>
      <c r="J36" s="464">
        <v>17465</v>
      </c>
      <c r="K36" s="471">
        <f t="shared" si="4"/>
        <v>0.47955737389823994</v>
      </c>
      <c r="Q36" s="247"/>
      <c r="R36" s="247"/>
      <c r="S36" s="464"/>
    </row>
    <row r="37" spans="2:19" ht="15">
      <c r="B37" s="1" t="s">
        <v>8</v>
      </c>
      <c r="D37" s="247">
        <v>36838</v>
      </c>
      <c r="E37" s="247">
        <v>17381</v>
      </c>
      <c r="F37" s="471">
        <f t="shared" si="3"/>
        <v>0.471822574515446</v>
      </c>
      <c r="I37" s="464">
        <f>+'Customer Counts'!E17+'Customer Counts'!G17</f>
        <v>36405</v>
      </c>
      <c r="J37" s="464">
        <v>17446</v>
      </c>
      <c r="K37" s="471">
        <f t="shared" si="4"/>
        <v>0.4792198873781074</v>
      </c>
      <c r="Q37" s="247"/>
      <c r="R37" s="247"/>
      <c r="S37" s="464"/>
    </row>
    <row r="38" spans="2:19" ht="15">
      <c r="B38" s="1" t="s">
        <v>9</v>
      </c>
      <c r="D38" s="247">
        <v>36682</v>
      </c>
      <c r="E38" s="247">
        <v>17245</v>
      </c>
      <c r="F38" s="471">
        <f t="shared" si="3"/>
        <v>0.4701215855187831</v>
      </c>
      <c r="I38" s="464">
        <f>+'Customer Counts'!E18+'Customer Counts'!G18</f>
        <v>36508</v>
      </c>
      <c r="J38" s="464">
        <v>17448</v>
      </c>
      <c r="K38" s="471">
        <f t="shared" si="4"/>
        <v>0.47792264709104854</v>
      </c>
      <c r="Q38" s="247"/>
      <c r="R38" s="247"/>
      <c r="S38" s="464"/>
    </row>
    <row r="39" spans="2:19" ht="15">
      <c r="B39" s="1" t="s">
        <v>10</v>
      </c>
      <c r="D39" s="247">
        <v>36659</v>
      </c>
      <c r="E39" s="247">
        <v>17135</v>
      </c>
      <c r="F39" s="471">
        <f t="shared" si="3"/>
        <v>0.4674159142366131</v>
      </c>
      <c r="I39" s="464">
        <f>+'Customer Counts'!E19+'Customer Counts'!G19</f>
        <v>36471</v>
      </c>
      <c r="J39" s="464">
        <v>17276</v>
      </c>
      <c r="K39" s="471">
        <f t="shared" si="4"/>
        <v>0.47369142606454445</v>
      </c>
      <c r="Q39" s="247"/>
      <c r="R39" s="247"/>
      <c r="S39" s="464"/>
    </row>
    <row r="40" spans="2:19" ht="15">
      <c r="B40" s="1" t="s">
        <v>11</v>
      </c>
      <c r="D40" s="247">
        <v>36781</v>
      </c>
      <c r="E40" s="247">
        <v>17132</v>
      </c>
      <c r="F40" s="471">
        <f t="shared" si="3"/>
        <v>0.4657839645469128</v>
      </c>
      <c r="I40" s="464">
        <f>+'Customer Counts'!E20+'Customer Counts'!G20</f>
        <v>36465</v>
      </c>
      <c r="J40" s="464">
        <v>17383</v>
      </c>
      <c r="K40" s="471">
        <f t="shared" si="4"/>
        <v>0.47670368846839434</v>
      </c>
      <c r="Q40" s="247"/>
      <c r="R40" s="247"/>
      <c r="S40" s="464"/>
    </row>
    <row r="41" spans="2:19" ht="15">
      <c r="B41" s="1" t="s">
        <v>12</v>
      </c>
      <c r="D41" s="247">
        <v>36772</v>
      </c>
      <c r="E41" s="247">
        <v>17053</v>
      </c>
      <c r="F41" s="471">
        <f t="shared" si="3"/>
        <v>0.46374959208093114</v>
      </c>
      <c r="I41" s="464">
        <f>+'Customer Counts'!E21+'Customer Counts'!G21</f>
        <v>36465</v>
      </c>
      <c r="J41" s="464">
        <v>17366</v>
      </c>
      <c r="K41" s="471">
        <f t="shared" si="4"/>
        <v>0.4762374880021939</v>
      </c>
      <c r="Q41" s="247"/>
      <c r="R41" s="247"/>
      <c r="S41" s="464"/>
    </row>
    <row r="42" spans="2:19" ht="15">
      <c r="B42" s="1" t="s">
        <v>13</v>
      </c>
      <c r="D42" s="247">
        <v>36771</v>
      </c>
      <c r="E42" s="247">
        <v>17107</v>
      </c>
      <c r="F42" s="471">
        <f t="shared" si="3"/>
        <v>0.4652307524951728</v>
      </c>
      <c r="I42" s="464">
        <f>+'Customer Counts'!E22+'Customer Counts'!G22</f>
        <v>36424</v>
      </c>
      <c r="J42" s="464">
        <v>17462</v>
      </c>
      <c r="K42" s="471">
        <f t="shared" si="4"/>
        <v>0.4794091807599385</v>
      </c>
      <c r="Q42" s="247"/>
      <c r="R42" s="247"/>
      <c r="S42" s="464"/>
    </row>
    <row r="43" spans="2:19" ht="15">
      <c r="B43" s="1" t="s">
        <v>14</v>
      </c>
      <c r="D43" s="247">
        <v>36876</v>
      </c>
      <c r="E43" s="247">
        <v>17194</v>
      </c>
      <c r="F43" s="471">
        <f t="shared" si="3"/>
        <v>0.4662653216183968</v>
      </c>
      <c r="I43" s="464">
        <f>+'Customer Counts'!E23+'Customer Counts'!G23</f>
        <v>36519</v>
      </c>
      <c r="J43" s="464">
        <v>17570</v>
      </c>
      <c r="K43" s="471">
        <f t="shared" si="4"/>
        <v>0.48111941728963004</v>
      </c>
      <c r="Q43" s="247"/>
      <c r="R43" s="247"/>
      <c r="S43" s="464"/>
    </row>
    <row r="44" spans="2:19" ht="15">
      <c r="B44" s="1" t="s">
        <v>15</v>
      </c>
      <c r="D44" s="247">
        <v>36970</v>
      </c>
      <c r="E44" s="247">
        <v>17402</v>
      </c>
      <c r="F44" s="471">
        <f t="shared" si="3"/>
        <v>0.47070597781985396</v>
      </c>
      <c r="I44" s="464">
        <f>+'Customer Counts'!E24+'Customer Counts'!G24</f>
        <v>36669</v>
      </c>
      <c r="J44" s="464">
        <v>17769</v>
      </c>
      <c r="K44" s="471">
        <f t="shared" si="4"/>
        <v>0.484578254111102</v>
      </c>
      <c r="Q44" s="247"/>
      <c r="R44" s="247"/>
      <c r="S44" s="464"/>
    </row>
    <row r="45" spans="2:19" ht="15">
      <c r="B45" s="1" t="s">
        <v>16</v>
      </c>
      <c r="D45" s="247">
        <v>37096</v>
      </c>
      <c r="E45" s="247">
        <v>17607</v>
      </c>
      <c r="F45" s="471">
        <f t="shared" si="3"/>
        <v>0.47463338365322405</v>
      </c>
      <c r="I45" s="464">
        <f>+'Customer Counts'!E25+'Customer Counts'!G25</f>
        <v>36833</v>
      </c>
      <c r="J45" s="464">
        <v>17948</v>
      </c>
      <c r="K45" s="471">
        <f t="shared" si="4"/>
        <v>0.48728042787717535</v>
      </c>
      <c r="Q45" s="247"/>
      <c r="R45" s="247"/>
      <c r="S45" s="464"/>
    </row>
    <row r="46" spans="2:19" ht="15">
      <c r="B46" s="1" t="s">
        <v>47</v>
      </c>
      <c r="D46" s="247">
        <v>37144</v>
      </c>
      <c r="E46" s="247">
        <v>17784</v>
      </c>
      <c r="F46" s="471">
        <f t="shared" si="3"/>
        <v>0.4787852681455955</v>
      </c>
      <c r="I46" s="464">
        <f>+'Customer Counts'!E26+'Customer Counts'!G26</f>
        <v>36979</v>
      </c>
      <c r="J46" s="464">
        <v>18126</v>
      </c>
      <c r="K46" s="471">
        <f t="shared" si="4"/>
        <v>0.4901700965412802</v>
      </c>
      <c r="Q46" s="247"/>
      <c r="R46" s="247"/>
      <c r="S46" s="464"/>
    </row>
    <row r="47" spans="2:19" ht="15">
      <c r="B47" s="1" t="s">
        <v>48</v>
      </c>
      <c r="D47" s="247">
        <v>37234</v>
      </c>
      <c r="E47" s="247">
        <v>17965</v>
      </c>
      <c r="F47" s="471">
        <f t="shared" si="3"/>
        <v>0.48248912284471185</v>
      </c>
      <c r="I47" s="464">
        <f>+'Customer Counts'!E27+'Customer Counts'!G27</f>
        <v>37073</v>
      </c>
      <c r="J47" s="464">
        <v>18156</v>
      </c>
      <c r="K47" s="471">
        <f t="shared" si="4"/>
        <v>0.48973646589161923</v>
      </c>
      <c r="Q47" s="247"/>
      <c r="R47" s="247"/>
      <c r="S47" s="464"/>
    </row>
    <row r="48" spans="2:19" ht="15">
      <c r="B48" s="1" t="s">
        <v>49</v>
      </c>
      <c r="D48" s="247">
        <v>37349</v>
      </c>
      <c r="E48" s="247">
        <v>18064</v>
      </c>
      <c r="F48" s="471">
        <f t="shared" si="3"/>
        <v>0.48365418083482825</v>
      </c>
      <c r="I48" s="464">
        <f>+'Customer Counts'!E28+'Customer Counts'!G28</f>
        <v>37151</v>
      </c>
      <c r="J48" s="464">
        <v>18221</v>
      </c>
      <c r="K48" s="471">
        <f t="shared" si="4"/>
        <v>0.490457861161207</v>
      </c>
      <c r="Q48" s="247"/>
      <c r="R48" s="247"/>
      <c r="S48" s="464"/>
    </row>
    <row r="49" spans="2:19" ht="17.25">
      <c r="B49" s="1" t="s">
        <v>8</v>
      </c>
      <c r="D49" s="468">
        <v>37334</v>
      </c>
      <c r="E49" s="468">
        <v>18070</v>
      </c>
      <c r="F49" s="485">
        <f t="shared" si="3"/>
        <v>0.4840092141211764</v>
      </c>
      <c r="I49" s="101">
        <f>+'Customer Counts'!E29+'Customer Counts'!G29</f>
        <v>37164</v>
      </c>
      <c r="J49" s="101">
        <v>18268</v>
      </c>
      <c r="K49" s="485">
        <f t="shared" si="4"/>
        <v>0.4915509632978151</v>
      </c>
      <c r="Q49" s="101"/>
      <c r="R49" s="101"/>
      <c r="S49" s="101"/>
    </row>
    <row r="50" spans="4:12" ht="15">
      <c r="D50" s="473">
        <f>AVERAGE(D26:D49)</f>
        <v>36672.833333333336</v>
      </c>
      <c r="E50" s="473">
        <f>AVERAGE(E26:E49)</f>
        <v>17109.583333333332</v>
      </c>
      <c r="F50" s="455">
        <f t="shared" si="3"/>
        <v>0.46654653535541746</v>
      </c>
      <c r="I50" s="473">
        <f>AVERAGE(I26:I49)</f>
        <v>36690.708333333336</v>
      </c>
      <c r="J50" s="473">
        <f>AVERAGE(J26:J49)</f>
        <v>17579.25</v>
      </c>
      <c r="K50" s="455">
        <f t="shared" si="4"/>
        <v>0.47911994067526176</v>
      </c>
      <c r="L50" s="486">
        <f>+K50-F50</f>
        <v>0.0125734053198443</v>
      </c>
    </row>
    <row r="51" spans="4:6" ht="15">
      <c r="D51" s="1"/>
      <c r="E51" s="1"/>
      <c r="F51" s="1"/>
    </row>
    <row r="52" spans="1:4" ht="15">
      <c r="A52" s="502" t="s">
        <v>293</v>
      </c>
      <c r="D52" s="537"/>
    </row>
    <row r="53" ht="15">
      <c r="A53" s="502" t="s">
        <v>316</v>
      </c>
    </row>
    <row r="54" ht="15">
      <c r="A54" s="501" t="s">
        <v>320</v>
      </c>
    </row>
    <row r="55" ht="15">
      <c r="A55" s="501"/>
    </row>
    <row r="56" spans="1:11" ht="101.25" customHeight="1">
      <c r="A56" s="579" t="s">
        <v>321</v>
      </c>
      <c r="B56" s="580"/>
      <c r="C56" s="580"/>
      <c r="D56" s="580"/>
      <c r="E56" s="580"/>
      <c r="F56" s="580"/>
      <c r="G56" s="580"/>
      <c r="H56" s="580"/>
      <c r="I56" s="580"/>
      <c r="J56" s="580"/>
      <c r="K56" s="580"/>
    </row>
    <row r="57" ht="15.75">
      <c r="A57" s="503"/>
    </row>
    <row r="58" spans="1:11" ht="104.25" customHeight="1">
      <c r="A58" s="579" t="s">
        <v>322</v>
      </c>
      <c r="B58" s="580"/>
      <c r="C58" s="580"/>
      <c r="D58" s="580"/>
      <c r="E58" s="580"/>
      <c r="F58" s="580"/>
      <c r="G58" s="580"/>
      <c r="H58" s="580"/>
      <c r="I58" s="580"/>
      <c r="J58" s="580"/>
      <c r="K58" s="580"/>
    </row>
    <row r="60" spans="1:11" ht="58.5" customHeight="1">
      <c r="A60" s="579" t="s">
        <v>323</v>
      </c>
      <c r="B60" s="580"/>
      <c r="C60" s="580"/>
      <c r="D60" s="580"/>
      <c r="E60" s="580"/>
      <c r="F60" s="580"/>
      <c r="G60" s="580"/>
      <c r="H60" s="580"/>
      <c r="I60" s="580"/>
      <c r="J60" s="580"/>
      <c r="K60" s="580"/>
    </row>
  </sheetData>
  <sheetProtection/>
  <mergeCells count="5">
    <mergeCell ref="D23:F23"/>
    <mergeCell ref="I23:K23"/>
    <mergeCell ref="A56:K56"/>
    <mergeCell ref="A58:K58"/>
    <mergeCell ref="A60:K60"/>
  </mergeCells>
  <printOptions/>
  <pageMargins left="0.45" right="0.2" top="0.5" bottom="0.25" header="0.3" footer="0.05"/>
  <pageSetup fitToHeight="1" fitToWidth="1" horizontalDpi="600" verticalDpi="600" orientation="portrait" scale="66" r:id="rId1"/>
  <headerFooter>
    <oddFooter>&amp;CPage &amp;P&amp;R&amp;A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I38" sqref="I38"/>
    </sheetView>
  </sheetViews>
  <sheetFormatPr defaultColWidth="9.140625" defaultRowHeight="15"/>
  <cols>
    <col min="2" max="2" width="23.00390625" style="0" bestFit="1" customWidth="1"/>
    <col min="6" max="6" width="11.421875" style="0" bestFit="1" customWidth="1"/>
    <col min="7" max="7" width="5.8515625" style="1" customWidth="1"/>
    <col min="9" max="9" width="11.00390625" style="0" bestFit="1" customWidth="1"/>
    <col min="10" max="10" width="10.28125" style="464" bestFit="1" customWidth="1"/>
  </cols>
  <sheetData>
    <row r="1" ht="23.25">
      <c r="A1" s="535" t="s">
        <v>310</v>
      </c>
    </row>
    <row r="3" spans="1:8" ht="15">
      <c r="A3" s="1"/>
      <c r="B3" s="1"/>
      <c r="C3" s="1"/>
      <c r="D3" s="457"/>
      <c r="E3" s="457"/>
      <c r="F3" s="1"/>
      <c r="H3" s="457"/>
    </row>
    <row r="4" spans="1:10" ht="15">
      <c r="A4" s="1"/>
      <c r="B4" s="1"/>
      <c r="C4" s="1"/>
      <c r="D4" s="15"/>
      <c r="E4" s="15"/>
      <c r="F4" s="15" t="s">
        <v>305</v>
      </c>
      <c r="G4" s="15"/>
      <c r="H4" s="15" t="s">
        <v>290</v>
      </c>
      <c r="I4" s="15" t="s">
        <v>285</v>
      </c>
      <c r="J4" s="469" t="s">
        <v>307</v>
      </c>
    </row>
    <row r="5" spans="1:10" ht="15">
      <c r="A5" s="1"/>
      <c r="B5" s="1"/>
      <c r="C5" s="1"/>
      <c r="D5" s="246">
        <v>2013</v>
      </c>
      <c r="E5" s="246">
        <v>2014</v>
      </c>
      <c r="F5" s="457" t="s">
        <v>306</v>
      </c>
      <c r="G5" s="457"/>
      <c r="H5" s="246">
        <v>2015</v>
      </c>
      <c r="I5" s="457">
        <v>2015</v>
      </c>
      <c r="J5" s="470" t="s">
        <v>308</v>
      </c>
    </row>
    <row r="6" spans="1:8" ht="15.75">
      <c r="A6" s="500" t="s">
        <v>312</v>
      </c>
      <c r="B6" s="1"/>
      <c r="C6" s="1"/>
      <c r="D6" s="1"/>
      <c r="E6" s="1"/>
      <c r="F6" s="1"/>
      <c r="H6" s="1"/>
    </row>
    <row r="7" spans="1:8" ht="15">
      <c r="A7" s="244" t="s">
        <v>139</v>
      </c>
      <c r="B7" s="244"/>
      <c r="C7" s="1"/>
      <c r="D7" s="1"/>
      <c r="E7" s="1"/>
      <c r="F7" s="1"/>
      <c r="H7" s="1"/>
    </row>
    <row r="8" spans="1:14" ht="15">
      <c r="A8" s="245"/>
      <c r="B8" s="245" t="s">
        <v>140</v>
      </c>
      <c r="C8" s="1"/>
      <c r="D8" s="247">
        <v>29992.64</v>
      </c>
      <c r="E8" s="247">
        <v>30050.92</v>
      </c>
      <c r="F8" s="247">
        <f>AVERAGE(D8:E8)</f>
        <v>30021.78</v>
      </c>
      <c r="G8" s="247"/>
      <c r="H8" s="247">
        <f>SUM('2014-2015 RSA'!G86:G94)</f>
        <v>23166.840000000004</v>
      </c>
      <c r="I8" s="464">
        <f>+H8/9*12</f>
        <v>30889.120000000003</v>
      </c>
      <c r="J8" s="464">
        <f>+I8-F8</f>
        <v>867.3400000000038</v>
      </c>
      <c r="M8" s="247"/>
      <c r="N8" s="247"/>
    </row>
    <row r="9" spans="1:14" ht="15">
      <c r="A9" s="245"/>
      <c r="B9" s="245" t="s">
        <v>141</v>
      </c>
      <c r="C9" s="1"/>
      <c r="D9" s="247">
        <v>31690.06</v>
      </c>
      <c r="E9" s="247">
        <v>31156.98</v>
      </c>
      <c r="F9" s="247">
        <f>AVERAGE(D9:E9)</f>
        <v>31423.52</v>
      </c>
      <c r="G9" s="247"/>
      <c r="H9" s="247">
        <v>24538</v>
      </c>
      <c r="I9" s="464">
        <f>+H9/9*12</f>
        <v>32717.333333333332</v>
      </c>
      <c r="J9" s="464">
        <f aca="true" t="shared" si="0" ref="J9:J15">+I9-F9</f>
        <v>1293.8133333333317</v>
      </c>
      <c r="M9" s="247"/>
      <c r="N9" s="247"/>
    </row>
    <row r="10" spans="1:14" ht="17.25">
      <c r="A10" s="245"/>
      <c r="B10" s="245" t="s">
        <v>142</v>
      </c>
      <c r="C10" s="1"/>
      <c r="D10" s="468">
        <v>54122.73</v>
      </c>
      <c r="E10" s="468">
        <v>55233.54</v>
      </c>
      <c r="F10" s="468">
        <f>AVERAGE(D10:E10)</f>
        <v>54678.135</v>
      </c>
      <c r="G10" s="468"/>
      <c r="H10" s="468">
        <v>42412</v>
      </c>
      <c r="I10" s="101">
        <f>+H10/9*12</f>
        <v>56549.33333333333</v>
      </c>
      <c r="J10" s="101">
        <f t="shared" si="0"/>
        <v>1871.1983333333264</v>
      </c>
      <c r="M10" s="468"/>
      <c r="N10" s="468"/>
    </row>
    <row r="11" spans="1:14" ht="15">
      <c r="A11" s="250"/>
      <c r="B11" s="493" t="s">
        <v>143</v>
      </c>
      <c r="C11" s="14"/>
      <c r="D11" s="467">
        <f aca="true" t="shared" si="1" ref="D11:J11">+D10+D9+D8</f>
        <v>115805.43000000001</v>
      </c>
      <c r="E11" s="467">
        <f t="shared" si="1"/>
        <v>116441.44</v>
      </c>
      <c r="F11" s="467">
        <f t="shared" si="1"/>
        <v>116123.435</v>
      </c>
      <c r="G11" s="467"/>
      <c r="H11" s="467">
        <f t="shared" si="1"/>
        <v>90116.84</v>
      </c>
      <c r="I11" s="467">
        <f t="shared" si="1"/>
        <v>120155.78666666665</v>
      </c>
      <c r="J11" s="482">
        <f t="shared" si="1"/>
        <v>4032.351666666662</v>
      </c>
      <c r="M11" s="467"/>
      <c r="N11" s="467"/>
    </row>
    <row r="12" spans="1:14" ht="15">
      <c r="A12" s="244" t="s">
        <v>144</v>
      </c>
      <c r="B12" s="244"/>
      <c r="C12" s="1"/>
      <c r="D12" s="1"/>
      <c r="E12" s="247"/>
      <c r="F12" s="1"/>
      <c r="H12" s="247"/>
      <c r="M12" s="1"/>
      <c r="N12" s="247"/>
    </row>
    <row r="13" spans="1:14" ht="15">
      <c r="A13" s="245"/>
      <c r="B13" s="245" t="s">
        <v>145</v>
      </c>
      <c r="C13" s="1"/>
      <c r="D13" s="247">
        <v>1876.96</v>
      </c>
      <c r="E13" s="247">
        <v>2145.86</v>
      </c>
      <c r="F13" s="247">
        <f>AVERAGE(D13:E13)</f>
        <v>2011.41</v>
      </c>
      <c r="G13" s="247"/>
      <c r="H13" s="247">
        <f>SUM('2014-2015 RSA'!G115:G123)</f>
        <v>1702.4499999999994</v>
      </c>
      <c r="I13" s="464">
        <f>+H13/9*12</f>
        <v>2269.9333333333325</v>
      </c>
      <c r="J13" s="464">
        <f t="shared" si="0"/>
        <v>258.5233333333324</v>
      </c>
      <c r="M13" s="247"/>
      <c r="N13" s="247"/>
    </row>
    <row r="14" spans="1:14" ht="15">
      <c r="A14" s="245"/>
      <c r="B14" s="245" t="s">
        <v>146</v>
      </c>
      <c r="C14" s="1"/>
      <c r="D14" s="247">
        <v>38.75</v>
      </c>
      <c r="E14" s="247">
        <v>37.88</v>
      </c>
      <c r="F14" s="247">
        <f>AVERAGE(D14:E14)</f>
        <v>38.315</v>
      </c>
      <c r="G14" s="247"/>
      <c r="H14" s="247">
        <v>23</v>
      </c>
      <c r="I14" s="464">
        <f>+H14/9*12</f>
        <v>30.666666666666664</v>
      </c>
      <c r="J14" s="464">
        <f t="shared" si="0"/>
        <v>-7.648333333333333</v>
      </c>
      <c r="M14" s="247"/>
      <c r="N14" s="247"/>
    </row>
    <row r="15" spans="1:14" ht="17.25">
      <c r="A15" s="245"/>
      <c r="B15" s="245" t="s">
        <v>147</v>
      </c>
      <c r="C15" s="1"/>
      <c r="D15" s="468">
        <v>27830.74</v>
      </c>
      <c r="E15" s="468">
        <v>26520.07</v>
      </c>
      <c r="F15" s="468">
        <f>AVERAGE(D15:E15)</f>
        <v>27175.405</v>
      </c>
      <c r="G15" s="468"/>
      <c r="H15" s="468">
        <v>19296</v>
      </c>
      <c r="I15" s="101">
        <f>+H15/9*12</f>
        <v>25728</v>
      </c>
      <c r="J15" s="101">
        <f t="shared" si="0"/>
        <v>-1447.4049999999988</v>
      </c>
      <c r="M15" s="468"/>
      <c r="N15" s="468"/>
    </row>
    <row r="16" spans="1:10" ht="15">
      <c r="A16" s="250"/>
      <c r="B16" s="244" t="s">
        <v>148</v>
      </c>
      <c r="C16" s="14"/>
      <c r="D16" s="467">
        <f>+D15+D14+D13</f>
        <v>29746.45</v>
      </c>
      <c r="E16" s="467">
        <f>+E15+E14+E13</f>
        <v>28703.81</v>
      </c>
      <c r="F16" s="467">
        <f>+F15+F14+F13</f>
        <v>29225.129999999997</v>
      </c>
      <c r="G16" s="467"/>
      <c r="H16" s="467">
        <f>+H15+H14+H13</f>
        <v>21021.45</v>
      </c>
      <c r="I16" s="467">
        <f>+I15+I14+I13</f>
        <v>28028.6</v>
      </c>
      <c r="J16" s="482">
        <f>+J15+J14+J13</f>
        <v>-1196.5299999999997</v>
      </c>
    </row>
    <row r="17" spans="1:10" ht="15">
      <c r="A17" s="249" t="s">
        <v>149</v>
      </c>
      <c r="B17" s="249"/>
      <c r="C17" s="14"/>
      <c r="D17" s="473">
        <f aca="true" t="shared" si="2" ref="D17:J17">+D16+D11</f>
        <v>145551.88</v>
      </c>
      <c r="E17" s="473">
        <f t="shared" si="2"/>
        <v>145145.25</v>
      </c>
      <c r="F17" s="473">
        <f t="shared" si="2"/>
        <v>145348.565</v>
      </c>
      <c r="G17" s="473"/>
      <c r="H17" s="473">
        <f t="shared" si="2"/>
        <v>111138.29</v>
      </c>
      <c r="I17" s="473">
        <f t="shared" si="2"/>
        <v>148184.38666666666</v>
      </c>
      <c r="J17" s="483">
        <f t="shared" si="2"/>
        <v>2835.821666666662</v>
      </c>
    </row>
    <row r="18" spans="1:8" ht="15">
      <c r="A18" s="249"/>
      <c r="B18" s="249"/>
      <c r="C18" s="14"/>
      <c r="D18" s="248"/>
      <c r="E18" s="248"/>
      <c r="F18" s="248"/>
      <c r="G18" s="248"/>
      <c r="H18" s="248"/>
    </row>
    <row r="19" spans="2:10" ht="15">
      <c r="B19" s="14" t="s">
        <v>150</v>
      </c>
      <c r="C19" s="14"/>
      <c r="D19" s="473">
        <f>+D8+D9+D13+D14</f>
        <v>63598.409999999996</v>
      </c>
      <c r="E19" s="473">
        <f>+E8+E9+E13+E14</f>
        <v>63391.63999999999</v>
      </c>
      <c r="F19" s="473">
        <f>+F8+F9+F13+F14</f>
        <v>63495.02500000001</v>
      </c>
      <c r="G19" s="473"/>
      <c r="H19" s="473">
        <f>+H8+H9+H13+H14</f>
        <v>49430.29</v>
      </c>
      <c r="I19" s="473">
        <f>+I8+I9+I13+I14</f>
        <v>65907.05333333334</v>
      </c>
      <c r="J19" s="473">
        <f>+J8+J9+J13+J14</f>
        <v>2412.0283333333346</v>
      </c>
    </row>
    <row r="20" spans="1:10" ht="15">
      <c r="A20" s="145"/>
      <c r="B20" s="145"/>
      <c r="C20" s="14"/>
      <c r="D20" s="455">
        <f aca="true" t="shared" si="3" ref="D20:I20">+D19/D17</f>
        <v>0.4369466749587844</v>
      </c>
      <c r="E20" s="455">
        <f t="shared" si="3"/>
        <v>0.4367462249022961</v>
      </c>
      <c r="F20" s="455">
        <f t="shared" si="3"/>
        <v>0.43684659012629407</v>
      </c>
      <c r="G20" s="455"/>
      <c r="H20" s="455">
        <f t="shared" si="3"/>
        <v>0.4447638163228893</v>
      </c>
      <c r="I20" s="455">
        <f t="shared" si="3"/>
        <v>0.44476381632288936</v>
      </c>
      <c r="J20" s="455">
        <f>+I20-F20</f>
        <v>0.007917226196595295</v>
      </c>
    </row>
    <row r="21" spans="1:8" ht="15">
      <c r="A21" s="139"/>
      <c r="B21" s="139"/>
      <c r="C21" s="1"/>
      <c r="D21" s="247"/>
      <c r="E21" s="247"/>
      <c r="F21" s="1"/>
      <c r="H21" s="247"/>
    </row>
    <row r="24" ht="15">
      <c r="A24" s="502" t="s">
        <v>315</v>
      </c>
    </row>
    <row r="25" ht="15">
      <c r="A25" s="502" t="s">
        <v>316</v>
      </c>
    </row>
    <row r="26" ht="15">
      <c r="A26" s="501" t="s">
        <v>317</v>
      </c>
    </row>
    <row r="27" ht="15">
      <c r="A27" s="501"/>
    </row>
    <row r="28" spans="1:10" ht="81.75" customHeight="1">
      <c r="A28" s="579" t="s">
        <v>318</v>
      </c>
      <c r="B28" s="580"/>
      <c r="C28" s="580"/>
      <c r="D28" s="580"/>
      <c r="E28" s="580"/>
      <c r="F28" s="580"/>
      <c r="G28" s="580"/>
      <c r="H28" s="580"/>
      <c r="I28" s="580"/>
      <c r="J28" s="580"/>
    </row>
    <row r="29" spans="1:10" s="1" customFormat="1" ht="71.25" customHeight="1">
      <c r="A29" s="580"/>
      <c r="B29" s="580"/>
      <c r="C29" s="580"/>
      <c r="D29" s="580"/>
      <c r="E29" s="580"/>
      <c r="F29" s="580"/>
      <c r="G29" s="580"/>
      <c r="H29" s="580"/>
      <c r="I29" s="580"/>
      <c r="J29" s="580"/>
    </row>
    <row r="30" s="1" customFormat="1" ht="15">
      <c r="J30" s="464"/>
    </row>
    <row r="31" s="1" customFormat="1" ht="15">
      <c r="J31" s="464"/>
    </row>
    <row r="32" spans="1:10" ht="57.75" customHeight="1">
      <c r="A32" s="579" t="s">
        <v>319</v>
      </c>
      <c r="B32" s="580"/>
      <c r="C32" s="580"/>
      <c r="D32" s="580"/>
      <c r="E32" s="580"/>
      <c r="F32" s="580"/>
      <c r="G32" s="580"/>
      <c r="H32" s="580"/>
      <c r="I32" s="580"/>
      <c r="J32" s="580"/>
    </row>
    <row r="48" ht="15">
      <c r="B48">
        <v>700</v>
      </c>
    </row>
    <row r="49" ht="15">
      <c r="B49">
        <v>500</v>
      </c>
    </row>
    <row r="50" ht="15">
      <c r="B50">
        <v>1000</v>
      </c>
    </row>
    <row r="51" ht="15">
      <c r="B51">
        <v>800</v>
      </c>
    </row>
    <row r="52" spans="2:4" ht="15">
      <c r="B52">
        <v>950</v>
      </c>
      <c r="D52" s="537"/>
    </row>
    <row r="53" ht="15">
      <c r="B53">
        <v>188</v>
      </c>
    </row>
  </sheetData>
  <sheetProtection/>
  <mergeCells count="2">
    <mergeCell ref="A28:J29"/>
    <mergeCell ref="A32:J32"/>
  </mergeCells>
  <printOptions/>
  <pageMargins left="0.45" right="0.45" top="0.5" bottom="0.5" header="0.3" footer="0.3"/>
  <pageSetup fitToHeight="1" fitToWidth="1" horizontalDpi="600" verticalDpi="600" orientation="portrait" scale="83" r:id="rId1"/>
  <headerFooter>
    <oddFooter>&amp;CPage &amp;P&amp;R&amp;A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zoomScalePageLayoutView="0" workbookViewId="0" topLeftCell="A1">
      <pane xSplit="1" ySplit="7" topLeftCell="B32" activePane="bottomRight" state="frozen"/>
      <selection pane="topLeft" activeCell="B20" sqref="B20"/>
      <selection pane="topRight" activeCell="B20" sqref="B20"/>
      <selection pane="bottomLeft" activeCell="B20" sqref="B20"/>
      <selection pane="bottomRight" activeCell="K50" sqref="K50"/>
    </sheetView>
  </sheetViews>
  <sheetFormatPr defaultColWidth="9.140625" defaultRowHeight="15"/>
  <cols>
    <col min="1" max="1" width="86.00390625" style="0" bestFit="1" customWidth="1"/>
    <col min="2" max="2" width="4.57421875" style="0" bestFit="1" customWidth="1"/>
    <col min="3" max="3" width="11.57421875" style="0" bestFit="1" customWidth="1"/>
    <col min="4" max="4" width="12.28125" style="0" bestFit="1" customWidth="1"/>
    <col min="5" max="5" width="11.57421875" style="0" bestFit="1" customWidth="1"/>
    <col min="6" max="6" width="2.8515625" style="25" customWidth="1"/>
    <col min="7" max="7" width="11.57421875" style="1" bestFit="1" customWidth="1"/>
    <col min="8" max="8" width="12.28125" style="1" bestFit="1" customWidth="1"/>
    <col min="9" max="9" width="11.57421875" style="0" bestFit="1" customWidth="1"/>
    <col min="10" max="10" width="3.00390625" style="0" customWidth="1"/>
    <col min="11" max="11" width="12.28125" style="0" bestFit="1" customWidth="1"/>
    <col min="13" max="13" width="14.28125" style="0" bestFit="1" customWidth="1"/>
    <col min="14" max="14" width="11.57421875" style="0" bestFit="1" customWidth="1"/>
    <col min="15" max="15" width="12.28125" style="0" bestFit="1" customWidth="1"/>
    <col min="16" max="16" width="11.57421875" style="0" bestFit="1" customWidth="1"/>
  </cols>
  <sheetData>
    <row r="1" spans="1:5" ht="23.25">
      <c r="A1" s="138" t="s">
        <v>95</v>
      </c>
      <c r="B1" s="139"/>
      <c r="C1" s="139"/>
      <c r="D1" s="139"/>
      <c r="E1" s="139"/>
    </row>
    <row r="2" spans="1:5" ht="15.75">
      <c r="A2" s="140" t="s">
        <v>96</v>
      </c>
      <c r="B2" s="141"/>
      <c r="C2" s="142"/>
      <c r="D2" s="143"/>
      <c r="E2" s="144"/>
    </row>
    <row r="3" spans="1:5" ht="15">
      <c r="A3" s="145" t="s">
        <v>337</v>
      </c>
      <c r="B3" s="141"/>
      <c r="C3" s="142"/>
      <c r="D3" s="143"/>
      <c r="E3" s="144"/>
    </row>
    <row r="4" spans="1:11" ht="15.75">
      <c r="A4" s="145"/>
      <c r="B4" s="141"/>
      <c r="C4" s="581" t="s">
        <v>286</v>
      </c>
      <c r="D4" s="581"/>
      <c r="E4" s="581"/>
      <c r="G4" s="582" t="s">
        <v>288</v>
      </c>
      <c r="H4" s="582"/>
      <c r="I4" s="582"/>
      <c r="J4" s="582"/>
      <c r="K4" s="582"/>
    </row>
    <row r="5" spans="1:17" ht="15">
      <c r="A5" s="146"/>
      <c r="B5" s="141"/>
      <c r="E5" s="148"/>
      <c r="I5" s="15" t="s">
        <v>136</v>
      </c>
      <c r="K5" s="15" t="s">
        <v>137</v>
      </c>
      <c r="N5" s="583"/>
      <c r="O5" s="583"/>
      <c r="P5" s="1"/>
      <c r="Q5" s="1"/>
    </row>
    <row r="6" spans="1:15" ht="15">
      <c r="A6" s="146"/>
      <c r="B6" s="141"/>
      <c r="C6" s="147" t="s">
        <v>98</v>
      </c>
      <c r="D6" s="147" t="s">
        <v>5</v>
      </c>
      <c r="E6" s="149"/>
      <c r="G6" s="147" t="s">
        <v>98</v>
      </c>
      <c r="H6" s="147" t="s">
        <v>5</v>
      </c>
      <c r="I6" s="15" t="s">
        <v>135</v>
      </c>
      <c r="K6" s="15" t="s">
        <v>138</v>
      </c>
      <c r="M6" s="147"/>
      <c r="N6" s="147"/>
      <c r="O6" s="147"/>
    </row>
    <row r="7" spans="1:15" ht="17.25">
      <c r="A7" s="139"/>
      <c r="B7" s="141"/>
      <c r="C7" s="476" t="s">
        <v>6</v>
      </c>
      <c r="D7" s="476" t="s">
        <v>6</v>
      </c>
      <c r="E7" s="150" t="s">
        <v>7</v>
      </c>
      <c r="G7" s="476" t="s">
        <v>6</v>
      </c>
      <c r="H7" s="476" t="s">
        <v>6</v>
      </c>
      <c r="I7" s="225" t="s">
        <v>283</v>
      </c>
      <c r="K7" s="20" t="s">
        <v>97</v>
      </c>
      <c r="M7" s="476"/>
      <c r="N7" s="476"/>
      <c r="O7" s="476"/>
    </row>
    <row r="8" spans="1:5" ht="15">
      <c r="A8" s="151" t="s">
        <v>99</v>
      </c>
      <c r="B8" s="141"/>
      <c r="C8" s="150"/>
      <c r="D8" s="150"/>
      <c r="E8" s="150"/>
    </row>
    <row r="9" spans="1:11" ht="17.25">
      <c r="A9" s="139" t="s">
        <v>100</v>
      </c>
      <c r="B9" s="141"/>
      <c r="C9" s="466">
        <v>37435</v>
      </c>
      <c r="D9" s="466">
        <v>86826</v>
      </c>
      <c r="E9" s="466">
        <f>+D9+C9</f>
        <v>124261</v>
      </c>
      <c r="G9" s="465">
        <f>+'Customer Counts'!L36</f>
        <v>37164</v>
      </c>
      <c r="H9" s="465">
        <f>+'Customer Counts'!L37</f>
        <v>91210</v>
      </c>
      <c r="I9" s="465">
        <f>+H9+G9</f>
        <v>128374</v>
      </c>
      <c r="K9" s="465">
        <f>+I9-E9</f>
        <v>4113</v>
      </c>
    </row>
    <row r="10" spans="1:8" ht="15">
      <c r="A10" s="139"/>
      <c r="B10" s="141"/>
      <c r="C10" s="152">
        <f>+C9/(E9)</f>
        <v>0.3012610553592841</v>
      </c>
      <c r="D10" s="153">
        <f>1-C10</f>
        <v>0.698738944640716</v>
      </c>
      <c r="E10" s="154">
        <f>+D10+C10</f>
        <v>1</v>
      </c>
      <c r="G10" s="77"/>
      <c r="H10" s="77"/>
    </row>
    <row r="11" spans="1:5" ht="15">
      <c r="A11" s="139"/>
      <c r="B11" s="141"/>
      <c r="C11" s="152"/>
      <c r="D11" s="153"/>
      <c r="E11" s="154"/>
    </row>
    <row r="12" spans="1:5" ht="15">
      <c r="A12" s="151" t="s">
        <v>101</v>
      </c>
      <c r="B12" s="141"/>
      <c r="C12" s="152"/>
      <c r="D12" s="153"/>
      <c r="E12" s="154"/>
    </row>
    <row r="13" spans="1:11" ht="17.25">
      <c r="A13" s="155" t="s">
        <v>102</v>
      </c>
      <c r="B13" s="141"/>
      <c r="C13" s="156">
        <f>14490*2</f>
        <v>28980</v>
      </c>
      <c r="D13" s="156">
        <f>32079*2</f>
        <v>64158</v>
      </c>
      <c r="E13" s="157">
        <f>+D13+C13</f>
        <v>93138</v>
      </c>
      <c r="G13" s="88">
        <f>+'2014-2015 RSA'!C59</f>
        <v>28572.450000000004</v>
      </c>
      <c r="H13" s="88">
        <f>+'2014-2015 RSA'!D59</f>
        <v>65236.19</v>
      </c>
      <c r="I13" s="88">
        <f>+'2014-2015 RSA'!E59</f>
        <v>93808.64000000003</v>
      </c>
      <c r="K13" s="465">
        <f>+I13-E13</f>
        <v>670.6400000000285</v>
      </c>
    </row>
    <row r="14" spans="1:8" ht="15">
      <c r="A14" s="45"/>
      <c r="B14" s="141"/>
      <c r="C14" s="152">
        <f>+C13/E13</f>
        <v>0.31115119500096633</v>
      </c>
      <c r="D14" s="153">
        <f>1-C14</f>
        <v>0.6888488049990337</v>
      </c>
      <c r="E14" s="154">
        <f>+D14+C14</f>
        <v>1</v>
      </c>
      <c r="G14" s="77"/>
      <c r="H14" s="77"/>
    </row>
    <row r="15" spans="1:5" ht="15">
      <c r="A15" s="45"/>
      <c r="B15" s="141"/>
      <c r="C15" s="152"/>
      <c r="D15" s="153"/>
      <c r="E15" s="154"/>
    </row>
    <row r="16" spans="1:5" ht="21">
      <c r="A16" s="158" t="s">
        <v>103</v>
      </c>
      <c r="B16" s="141"/>
      <c r="C16" s="150"/>
      <c r="D16" s="150"/>
      <c r="E16" s="150"/>
    </row>
    <row r="17" spans="1:16" ht="18" customHeight="1">
      <c r="A17" s="159" t="s">
        <v>104</v>
      </c>
      <c r="B17" s="160"/>
      <c r="C17" s="161">
        <f>1495000*2</f>
        <v>2990000</v>
      </c>
      <c r="D17" s="161">
        <f>3297000*2</f>
        <v>6594000</v>
      </c>
      <c r="E17" s="162">
        <f>+D17+C17</f>
        <v>9584000</v>
      </c>
      <c r="G17" s="18">
        <f>+'2014-2015 RSA'!G59</f>
        <v>2569489.810206671</v>
      </c>
      <c r="H17" s="18">
        <f>+'2014-2015 RSA'!H59</f>
        <v>5871325.031004232</v>
      </c>
      <c r="I17" s="18">
        <f>+'2014-2015 RSA'!J59</f>
        <v>8440814.841210905</v>
      </c>
      <c r="K17" s="224">
        <f>+I17-E17</f>
        <v>-1143185.1587890945</v>
      </c>
      <c r="M17" s="477"/>
      <c r="N17" s="477"/>
      <c r="O17" s="477"/>
      <c r="P17" s="221"/>
    </row>
    <row r="18" spans="1:11" ht="17.25">
      <c r="A18" s="159"/>
      <c r="B18" s="160"/>
      <c r="C18" s="46"/>
      <c r="D18" s="163"/>
      <c r="E18" s="164"/>
      <c r="I18" s="220"/>
      <c r="K18" s="224"/>
    </row>
    <row r="19" spans="1:16" ht="17.25">
      <c r="A19" s="159" t="s">
        <v>287</v>
      </c>
      <c r="B19" s="165">
        <v>0.35</v>
      </c>
      <c r="C19" s="166">
        <f>ROUND(+C17*B19,-3)-1000</f>
        <v>1046000</v>
      </c>
      <c r="D19" s="166">
        <f>ROUND(+D17*B19,-3)</f>
        <v>2308000</v>
      </c>
      <c r="E19" s="162">
        <f>+D19+C19</f>
        <v>3354000</v>
      </c>
      <c r="G19" s="18">
        <f>+G17*$B19</f>
        <v>899321.4335723347</v>
      </c>
      <c r="H19" s="18">
        <f>+H17*$B19</f>
        <v>2054963.7608514812</v>
      </c>
      <c r="I19" s="18">
        <f>+I17*$B19</f>
        <v>2954285.1944238166</v>
      </c>
      <c r="J19" s="18"/>
      <c r="K19" s="224">
        <f>+I19-E19</f>
        <v>-399714.80557618337</v>
      </c>
      <c r="M19" s="477"/>
      <c r="N19" s="477"/>
      <c r="O19" s="221"/>
      <c r="P19" s="221"/>
    </row>
    <row r="20" spans="1:14" ht="17.25">
      <c r="A20" s="139"/>
      <c r="B20" s="141"/>
      <c r="C20" s="167"/>
      <c r="D20" s="167"/>
      <c r="E20" s="167"/>
      <c r="K20" s="224"/>
      <c r="M20" s="471"/>
      <c r="N20" s="471"/>
    </row>
    <row r="21" spans="1:16" ht="18.75">
      <c r="A21" s="168" t="s">
        <v>105</v>
      </c>
      <c r="B21" s="141"/>
      <c r="C21" s="150"/>
      <c r="D21" s="150"/>
      <c r="E21" s="150"/>
      <c r="K21" s="221"/>
      <c r="N21" s="1"/>
      <c r="O21" s="221"/>
      <c r="P21" s="221"/>
    </row>
    <row r="22" spans="1:14" ht="15">
      <c r="A22" s="169" t="s">
        <v>106</v>
      </c>
      <c r="B22" s="141"/>
      <c r="C22" s="150"/>
      <c r="D22" s="536"/>
      <c r="E22" s="150"/>
      <c r="K22" s="221"/>
      <c r="M22" s="221"/>
      <c r="N22" s="221"/>
    </row>
    <row r="23" spans="1:14" ht="15">
      <c r="A23" s="169"/>
      <c r="B23" s="141"/>
      <c r="C23" s="150"/>
      <c r="D23" s="150"/>
      <c r="E23" s="170"/>
      <c r="K23" s="221"/>
      <c r="M23" s="471"/>
      <c r="N23" s="471"/>
    </row>
    <row r="24" spans="1:11" ht="17.25">
      <c r="A24" s="171" t="s">
        <v>107</v>
      </c>
      <c r="B24" s="141"/>
      <c r="C24" s="172">
        <f>ROUND(E59*C14,-3)</f>
        <v>167000</v>
      </c>
      <c r="D24" s="172">
        <f>+E24-C24</f>
        <v>369000</v>
      </c>
      <c r="E24" s="172">
        <f>+E59</f>
        <v>536000</v>
      </c>
      <c r="G24" s="463">
        <v>196800</v>
      </c>
      <c r="H24" s="463">
        <v>459200</v>
      </c>
      <c r="I24" s="478">
        <f>+H24++G24</f>
        <v>656000</v>
      </c>
      <c r="J24" s="24"/>
      <c r="K24" s="223">
        <f>+I24-E24</f>
        <v>120000</v>
      </c>
    </row>
    <row r="25" spans="1:11" ht="15">
      <c r="A25" s="171"/>
      <c r="B25" s="173"/>
      <c r="C25" s="147"/>
      <c r="D25" s="147"/>
      <c r="E25" s="149"/>
      <c r="I25" s="479"/>
      <c r="K25" s="221"/>
    </row>
    <row r="26" spans="1:11" ht="15">
      <c r="A26" s="174" t="s">
        <v>108</v>
      </c>
      <c r="B26" s="175"/>
      <c r="C26" s="176"/>
      <c r="D26" s="176"/>
      <c r="E26" s="176"/>
      <c r="I26" s="479"/>
      <c r="K26" s="221"/>
    </row>
    <row r="27" spans="1:11" ht="15">
      <c r="A27" s="177" t="s">
        <v>109</v>
      </c>
      <c r="B27" s="178"/>
      <c r="C27" s="179">
        <v>0</v>
      </c>
      <c r="D27" s="179">
        <v>0</v>
      </c>
      <c r="E27" s="179">
        <f>+D27+C27</f>
        <v>0</v>
      </c>
      <c r="G27" s="462">
        <v>0</v>
      </c>
      <c r="H27" s="462">
        <v>0</v>
      </c>
      <c r="I27" s="479">
        <f>+H27+G27</f>
        <v>0</v>
      </c>
      <c r="K27" s="222">
        <f>+I27-E27</f>
        <v>0</v>
      </c>
    </row>
    <row r="28" spans="1:11" ht="15">
      <c r="A28" s="177" t="s">
        <v>110</v>
      </c>
      <c r="B28" s="180"/>
      <c r="C28" s="181">
        <v>0</v>
      </c>
      <c r="D28" s="181">
        <v>0</v>
      </c>
      <c r="E28" s="181">
        <f>+D28+C28</f>
        <v>0</v>
      </c>
      <c r="G28" s="462">
        <v>0</v>
      </c>
      <c r="H28" s="462">
        <v>0</v>
      </c>
      <c r="I28" s="479">
        <f aca="true" t="shared" si="0" ref="I28:I36">+H28+G28</f>
        <v>0</v>
      </c>
      <c r="K28" s="222">
        <f aca="true" t="shared" si="1" ref="K28:K36">+I28-E28</f>
        <v>0</v>
      </c>
    </row>
    <row r="29" spans="1:11" ht="15">
      <c r="A29" s="182" t="s">
        <v>111</v>
      </c>
      <c r="B29" s="180"/>
      <c r="C29" s="181">
        <v>200000</v>
      </c>
      <c r="D29" s="181">
        <v>125000</v>
      </c>
      <c r="E29" s="181">
        <f aca="true" t="shared" si="2" ref="E29:E36">+D29+C29</f>
        <v>325000</v>
      </c>
      <c r="G29" s="462">
        <v>94578</v>
      </c>
      <c r="H29" s="462">
        <v>57967</v>
      </c>
      <c r="I29" s="479">
        <f t="shared" si="0"/>
        <v>152545</v>
      </c>
      <c r="K29" s="222">
        <f t="shared" si="1"/>
        <v>-172455</v>
      </c>
    </row>
    <row r="30" spans="1:11" ht="15">
      <c r="A30" s="182" t="s">
        <v>112</v>
      </c>
      <c r="B30" s="178"/>
      <c r="C30" s="181">
        <v>94000</v>
      </c>
      <c r="D30" s="181">
        <v>134000</v>
      </c>
      <c r="E30" s="181">
        <f t="shared" si="2"/>
        <v>228000</v>
      </c>
      <c r="G30" s="462">
        <v>72017</v>
      </c>
      <c r="H30" s="462">
        <v>102358</v>
      </c>
      <c r="I30" s="479">
        <f t="shared" si="0"/>
        <v>174375</v>
      </c>
      <c r="K30" s="222">
        <f t="shared" si="1"/>
        <v>-53625</v>
      </c>
    </row>
    <row r="31" spans="1:11" ht="15">
      <c r="A31" s="182" t="s">
        <v>113</v>
      </c>
      <c r="B31" s="160"/>
      <c r="C31" s="181">
        <v>142000</v>
      </c>
      <c r="D31" s="181">
        <v>319000</v>
      </c>
      <c r="E31" s="181">
        <f t="shared" si="2"/>
        <v>461000</v>
      </c>
      <c r="G31" s="462">
        <v>11000</v>
      </c>
      <c r="H31" s="462">
        <v>314000</v>
      </c>
      <c r="I31" s="479">
        <f t="shared" si="0"/>
        <v>325000</v>
      </c>
      <c r="K31" s="222">
        <f t="shared" si="1"/>
        <v>-136000</v>
      </c>
    </row>
    <row r="32" spans="1:11" ht="15">
      <c r="A32" s="182" t="s">
        <v>114</v>
      </c>
      <c r="B32" s="183"/>
      <c r="C32" s="181">
        <v>152000</v>
      </c>
      <c r="D32" s="181">
        <v>359000</v>
      </c>
      <c r="E32" s="181">
        <f t="shared" si="2"/>
        <v>511000</v>
      </c>
      <c r="G32" s="462">
        <v>138800</v>
      </c>
      <c r="H32" s="462">
        <v>333200</v>
      </c>
      <c r="I32" s="479">
        <f t="shared" si="0"/>
        <v>472000</v>
      </c>
      <c r="K32" s="222">
        <f t="shared" si="1"/>
        <v>-39000</v>
      </c>
    </row>
    <row r="33" spans="1:11" ht="15">
      <c r="A33" s="182" t="s">
        <v>115</v>
      </c>
      <c r="B33" s="184"/>
      <c r="C33" s="181">
        <v>66000</v>
      </c>
      <c r="D33" s="181">
        <v>134000</v>
      </c>
      <c r="E33" s="181">
        <f t="shared" si="2"/>
        <v>200000</v>
      </c>
      <c r="G33" s="462">
        <v>60372</v>
      </c>
      <c r="H33" s="462">
        <v>140868</v>
      </c>
      <c r="I33" s="479">
        <f t="shared" si="0"/>
        <v>201240</v>
      </c>
      <c r="K33" s="222">
        <f t="shared" si="1"/>
        <v>1240</v>
      </c>
    </row>
    <row r="34" spans="1:11" ht="15">
      <c r="A34" s="182" t="s">
        <v>116</v>
      </c>
      <c r="B34" s="184"/>
      <c r="C34" s="181">
        <v>170000</v>
      </c>
      <c r="D34" s="181">
        <v>358000</v>
      </c>
      <c r="E34" s="181">
        <f t="shared" si="2"/>
        <v>528000</v>
      </c>
      <c r="G34" s="462">
        <v>68348</v>
      </c>
      <c r="H34" s="462">
        <v>267823</v>
      </c>
      <c r="I34" s="479">
        <f t="shared" si="0"/>
        <v>336171</v>
      </c>
      <c r="K34" s="222">
        <f t="shared" si="1"/>
        <v>-191829</v>
      </c>
    </row>
    <row r="35" spans="1:11" ht="15">
      <c r="A35" s="182" t="s">
        <v>117</v>
      </c>
      <c r="B35" s="184"/>
      <c r="C35" s="181">
        <v>0</v>
      </c>
      <c r="D35" s="181">
        <v>400000</v>
      </c>
      <c r="E35" s="181">
        <f t="shared" si="2"/>
        <v>400000</v>
      </c>
      <c r="G35" s="462">
        <v>0</v>
      </c>
      <c r="H35" s="462">
        <v>400000</v>
      </c>
      <c r="I35" s="479">
        <f t="shared" si="0"/>
        <v>400000</v>
      </c>
      <c r="K35" s="222">
        <f t="shared" si="1"/>
        <v>0</v>
      </c>
    </row>
    <row r="36" spans="1:11" ht="17.25">
      <c r="A36" s="182" t="s">
        <v>118</v>
      </c>
      <c r="B36" s="184"/>
      <c r="C36" s="185">
        <v>5000</v>
      </c>
      <c r="D36" s="185">
        <v>0</v>
      </c>
      <c r="E36" s="186">
        <f t="shared" si="2"/>
        <v>5000</v>
      </c>
      <c r="G36" s="463">
        <v>5000</v>
      </c>
      <c r="H36" s="463">
        <v>0</v>
      </c>
      <c r="I36" s="478">
        <f t="shared" si="0"/>
        <v>5000</v>
      </c>
      <c r="J36" s="24"/>
      <c r="K36" s="223">
        <f t="shared" si="1"/>
        <v>0</v>
      </c>
    </row>
    <row r="37" spans="1:13" ht="17.25">
      <c r="A37" s="171" t="s">
        <v>119</v>
      </c>
      <c r="B37" s="160"/>
      <c r="C37" s="176">
        <f>SUM(C27:C36)</f>
        <v>829000</v>
      </c>
      <c r="D37" s="176">
        <f>SUM(D27:D36)</f>
        <v>1829000</v>
      </c>
      <c r="E37" s="176">
        <f>SUM(E27:E36)</f>
        <v>2658000</v>
      </c>
      <c r="G37" s="223">
        <f>SUM(G27:G36)</f>
        <v>450115</v>
      </c>
      <c r="H37" s="223">
        <f>SUM(H27:H36)</f>
        <v>1616216</v>
      </c>
      <c r="I37" s="223">
        <f>SUM(I27:I36)</f>
        <v>2066331</v>
      </c>
      <c r="K37" s="223">
        <f>SUM(K27:K36)</f>
        <v>-591669</v>
      </c>
      <c r="M37" s="222"/>
    </row>
    <row r="38" spans="1:11" ht="15">
      <c r="A38" s="171"/>
      <c r="B38" s="187"/>
      <c r="C38" s="188"/>
      <c r="D38" s="189"/>
      <c r="E38" s="190"/>
      <c r="K38" s="1"/>
    </row>
    <row r="39" spans="1:13" ht="17.25">
      <c r="A39" s="171" t="s">
        <v>120</v>
      </c>
      <c r="B39" s="187"/>
      <c r="C39" s="191">
        <f>+C37+C24</f>
        <v>996000</v>
      </c>
      <c r="D39" s="191">
        <f>+D37+D24</f>
        <v>2198000</v>
      </c>
      <c r="E39" s="191">
        <f>+E37+E24</f>
        <v>3194000</v>
      </c>
      <c r="G39" s="191">
        <f>+G37+G24</f>
        <v>646915</v>
      </c>
      <c r="H39" s="191">
        <f>+H37+H24</f>
        <v>2075416</v>
      </c>
      <c r="I39" s="191">
        <f>+I37+I24</f>
        <v>2722331</v>
      </c>
      <c r="K39" s="191">
        <f>+K37+K24</f>
        <v>-471669</v>
      </c>
      <c r="M39" s="221"/>
    </row>
    <row r="40" spans="1:11" ht="17.25">
      <c r="A40" s="171"/>
      <c r="B40" s="187"/>
      <c r="C40" s="191"/>
      <c r="D40" s="191"/>
      <c r="E40" s="191"/>
      <c r="K40" s="1"/>
    </row>
    <row r="41" spans="1:11" ht="17.25">
      <c r="A41" s="171" t="s">
        <v>121</v>
      </c>
      <c r="B41" s="187"/>
      <c r="C41" s="192">
        <f>ROUND(+C39*0.05,-3)</f>
        <v>50000</v>
      </c>
      <c r="D41" s="192">
        <f>ROUND(+D39*0.05,-3)</f>
        <v>110000</v>
      </c>
      <c r="E41" s="192">
        <f>+D41+C41</f>
        <v>160000</v>
      </c>
      <c r="F41" s="192"/>
      <c r="G41" s="192">
        <f>ROUND(+G39*0.05,-3)</f>
        <v>32000</v>
      </c>
      <c r="H41" s="192">
        <f>ROUND(+H39*0.05,-3)</f>
        <v>104000</v>
      </c>
      <c r="I41" s="192">
        <f>ROUND(+I39*0.05,-3)</f>
        <v>136000</v>
      </c>
      <c r="K41" s="192">
        <f>ROUND(+K39*0.05,-3)</f>
        <v>-24000</v>
      </c>
    </row>
    <row r="42" spans="1:11" ht="15">
      <c r="A42" s="171"/>
      <c r="B42" s="187"/>
      <c r="C42" s="193"/>
      <c r="D42" s="193"/>
      <c r="E42" s="193"/>
      <c r="K42" s="1"/>
    </row>
    <row r="43" spans="1:11" ht="15">
      <c r="A43" s="171" t="s">
        <v>122</v>
      </c>
      <c r="B43" s="187"/>
      <c r="C43" s="193">
        <f>+C41+C39</f>
        <v>1046000</v>
      </c>
      <c r="D43" s="193">
        <f>+D41+D39</f>
        <v>2308000</v>
      </c>
      <c r="E43" s="193">
        <f>+E41+E39</f>
        <v>3354000</v>
      </c>
      <c r="G43" s="193">
        <f>+G41+G39</f>
        <v>678915</v>
      </c>
      <c r="H43" s="193">
        <f>+H41+H39</f>
        <v>2179416</v>
      </c>
      <c r="I43" s="193">
        <f>+I41+I39</f>
        <v>2858331</v>
      </c>
      <c r="K43" s="193">
        <f>+K41+K39</f>
        <v>-495669</v>
      </c>
    </row>
    <row r="44" spans="1:5" ht="15">
      <c r="A44" s="146"/>
      <c r="B44" s="194"/>
      <c r="C44" s="195"/>
      <c r="D44" s="196"/>
      <c r="E44" s="197"/>
    </row>
    <row r="45" spans="1:11" s="1" customFormat="1" ht="17.25">
      <c r="A45" s="171" t="s">
        <v>334</v>
      </c>
      <c r="B45" s="194"/>
      <c r="C45" s="191">
        <f>+C19-C43</f>
        <v>0</v>
      </c>
      <c r="D45" s="191">
        <f aca="true" t="shared" si="3" ref="D45:K45">+D19-D43</f>
        <v>0</v>
      </c>
      <c r="E45" s="191">
        <f t="shared" si="3"/>
        <v>0</v>
      </c>
      <c r="F45" s="191"/>
      <c r="G45" s="191">
        <f t="shared" si="3"/>
        <v>220406.4335723347</v>
      </c>
      <c r="H45" s="191">
        <f t="shared" si="3"/>
        <v>-124452.23914851877</v>
      </c>
      <c r="I45" s="191">
        <f t="shared" si="3"/>
        <v>95954.19442381663</v>
      </c>
      <c r="J45" s="191"/>
      <c r="K45" s="191">
        <f t="shared" si="3"/>
        <v>95954.19442381663</v>
      </c>
    </row>
    <row r="46" spans="1:9" ht="15">
      <c r="A46" s="198" t="s">
        <v>123</v>
      </c>
      <c r="B46" s="199"/>
      <c r="C46" s="520">
        <f>+C43/E43</f>
        <v>0.3118664281454979</v>
      </c>
      <c r="D46" s="520">
        <f>+D43/E43</f>
        <v>0.6881335718545021</v>
      </c>
      <c r="E46" s="520">
        <f>+D46+C46</f>
        <v>1</v>
      </c>
      <c r="F46" s="521"/>
      <c r="G46" s="520">
        <f>+G43/I43</f>
        <v>0.23752147669391682</v>
      </c>
      <c r="H46" s="520">
        <f>+H43/I43</f>
        <v>0.7624785233060831</v>
      </c>
      <c r="I46" s="520">
        <f>+H46+G46</f>
        <v>1</v>
      </c>
    </row>
    <row r="47" spans="1:5" ht="15">
      <c r="A47" s="146"/>
      <c r="B47" s="199"/>
      <c r="C47" s="200"/>
      <c r="D47" s="200"/>
      <c r="E47" s="200"/>
    </row>
    <row r="48" spans="1:11" ht="17.25">
      <c r="A48" s="171" t="s">
        <v>124</v>
      </c>
      <c r="B48" s="199"/>
      <c r="C48" s="201">
        <f>+C13*2000/C9/24</f>
        <v>64.51182048884733</v>
      </c>
      <c r="D48" s="201">
        <f>+D13*2000/D9/24</f>
        <v>61.577177343192126</v>
      </c>
      <c r="E48" s="201">
        <f>+E13*2000/E9/24</f>
        <v>62.461271034355114</v>
      </c>
      <c r="G48" s="12">
        <f>+'2014-2015 RSA'!R59</f>
        <v>64.89483599957755</v>
      </c>
      <c r="H48" s="12">
        <f>+'2014-2015 RSA'!S59</f>
        <v>61.47676298965652</v>
      </c>
      <c r="I48" s="12">
        <f>+'2014-2015 RSA'!T59</f>
        <v>62.47909257809419</v>
      </c>
      <c r="K48" s="12">
        <f>+I48-E48</f>
        <v>0.01782154373907474</v>
      </c>
    </row>
    <row r="49" spans="1:11" ht="17.25">
      <c r="A49" s="146"/>
      <c r="B49" s="199"/>
      <c r="C49" s="200"/>
      <c r="D49" s="200"/>
      <c r="E49" s="200"/>
      <c r="K49" s="12"/>
    </row>
    <row r="50" spans="1:11" ht="17.25">
      <c r="A50" s="171" t="s">
        <v>125</v>
      </c>
      <c r="B50" s="199"/>
      <c r="C50" s="202">
        <f>+C17/C13</f>
        <v>103.17460317460318</v>
      </c>
      <c r="D50" s="202">
        <f>+D17/D13</f>
        <v>102.77751800243149</v>
      </c>
      <c r="E50" s="202">
        <f>+E17/E13</f>
        <v>102.90107152826988</v>
      </c>
      <c r="G50" s="87">
        <f>+'2014-2015 RSA'!G59/'2014-2015 RSA'!C59</f>
        <v>89.92892839804324</v>
      </c>
      <c r="H50" s="87">
        <f>+'2014-2015 RSA'!H59/'2014-2015 RSA'!D59</f>
        <v>90.00104130857784</v>
      </c>
      <c r="I50" s="87">
        <f>+'2014-2015 RSA'!L59</f>
        <v>89.97907699345075</v>
      </c>
      <c r="K50" s="79">
        <f>+I50-E50</f>
        <v>-12.921994534819135</v>
      </c>
    </row>
    <row r="51" spans="1:11" s="1" customFormat="1" ht="18" thickBot="1">
      <c r="A51" s="171"/>
      <c r="B51" s="199"/>
      <c r="C51" s="202"/>
      <c r="D51" s="202"/>
      <c r="E51" s="202"/>
      <c r="F51" s="25"/>
      <c r="G51" s="87"/>
      <c r="H51" s="87"/>
      <c r="I51" s="87"/>
      <c r="K51" s="79"/>
    </row>
    <row r="52" spans="1:11" ht="15.75" thickBot="1">
      <c r="A52" s="146"/>
      <c r="B52" s="199"/>
      <c r="C52" s="203"/>
      <c r="D52" s="563" t="s">
        <v>127</v>
      </c>
      <c r="E52" s="203"/>
      <c r="K52" s="471"/>
    </row>
    <row r="53" spans="1:5" ht="15">
      <c r="A53" s="522" t="s">
        <v>126</v>
      </c>
      <c r="B53" s="207"/>
      <c r="C53" s="523" t="s">
        <v>284</v>
      </c>
      <c r="D53" s="524" t="s">
        <v>127</v>
      </c>
      <c r="E53" s="525" t="s">
        <v>128</v>
      </c>
    </row>
    <row r="54" spans="1:5" ht="15">
      <c r="A54" s="210" t="s">
        <v>129</v>
      </c>
      <c r="B54" s="506"/>
      <c r="C54" s="211">
        <v>1400</v>
      </c>
      <c r="D54" s="566">
        <v>65</v>
      </c>
      <c r="E54" s="212">
        <f>ROUND(+D54*C54,-3)</f>
        <v>91000</v>
      </c>
    </row>
    <row r="55" spans="1:5" ht="15">
      <c r="A55" s="210" t="s">
        <v>130</v>
      </c>
      <c r="B55" s="506"/>
      <c r="C55" s="211">
        <v>2255</v>
      </c>
      <c r="D55" s="566">
        <v>125</v>
      </c>
      <c r="E55" s="212">
        <f>ROUND(+D55*C55,-3)</f>
        <v>282000</v>
      </c>
    </row>
    <row r="56" spans="1:5" ht="15">
      <c r="A56" s="210" t="s">
        <v>131</v>
      </c>
      <c r="B56" s="506"/>
      <c r="C56" s="211">
        <v>700</v>
      </c>
      <c r="D56" s="566">
        <f>+D55</f>
        <v>125</v>
      </c>
      <c r="E56" s="212">
        <f>ROUND(+D56*C56,-3)</f>
        <v>88000</v>
      </c>
    </row>
    <row r="57" spans="1:5" ht="15">
      <c r="A57" s="210" t="s">
        <v>132</v>
      </c>
      <c r="B57" s="506"/>
      <c r="C57" s="211">
        <v>500</v>
      </c>
      <c r="D57" s="566">
        <v>90</v>
      </c>
      <c r="E57" s="212">
        <f>ROUND(+D57*C57,-3)</f>
        <v>45000</v>
      </c>
    </row>
    <row r="58" spans="1:5" ht="17.25">
      <c r="A58" s="210" t="s">
        <v>133</v>
      </c>
      <c r="B58" s="506"/>
      <c r="C58" s="213">
        <v>1000</v>
      </c>
      <c r="D58" s="566">
        <v>30</v>
      </c>
      <c r="E58" s="214">
        <f>ROUND(+D58*C58,-3)</f>
        <v>30000</v>
      </c>
    </row>
    <row r="59" spans="1:5" ht="18" thickBot="1">
      <c r="A59" s="526" t="s">
        <v>134</v>
      </c>
      <c r="B59" s="218"/>
      <c r="C59" s="527">
        <f>SUM(C54:C58)</f>
        <v>5855</v>
      </c>
      <c r="D59" s="528"/>
      <c r="E59" s="529">
        <f>SUM(E54:E58)</f>
        <v>536000</v>
      </c>
    </row>
    <row r="60" spans="1:5" ht="15">
      <c r="A60" s="177"/>
      <c r="B60" s="178"/>
      <c r="C60" s="178"/>
      <c r="D60" s="204"/>
      <c r="E60" s="205"/>
    </row>
    <row r="61" spans="1:5" ht="15">
      <c r="A61" s="177"/>
      <c r="B61" s="178"/>
      <c r="C61" s="178"/>
      <c r="D61" s="204"/>
      <c r="E61" s="205"/>
    </row>
  </sheetData>
  <sheetProtection/>
  <mergeCells count="3">
    <mergeCell ref="C4:E4"/>
    <mergeCell ref="G4:K4"/>
    <mergeCell ref="N5:O5"/>
  </mergeCells>
  <printOptions/>
  <pageMargins left="0.45" right="0.2" top="0.25" bottom="0.5" header="0.3" footer="0.05"/>
  <pageSetup fitToHeight="1" fitToWidth="1" horizontalDpi="600" verticalDpi="600" orientation="landscape" scale="60" r:id="rId3"/>
  <headerFooter>
    <oddFooter>&amp;CPage &amp;P&amp;R&amp;A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Waste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Weinstein</dc:creator>
  <cp:keywords/>
  <dc:description/>
  <cp:lastModifiedBy>Weinstein, Mike</cp:lastModifiedBy>
  <cp:lastPrinted>2015-11-11T16:41:58Z</cp:lastPrinted>
  <dcterms:created xsi:type="dcterms:W3CDTF">2012-12-19T16:32:37Z</dcterms:created>
  <dcterms:modified xsi:type="dcterms:W3CDTF">2015-11-11T16:48:02Z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152165</vt:lpwstr>
  </property>
  <property fmtid="{D5CDD505-2E9C-101B-9397-08002B2CF9AE}" pid="6" name="IsConfidenti">
    <vt:lpwstr>0</vt:lpwstr>
  </property>
  <property fmtid="{D5CDD505-2E9C-101B-9397-08002B2CF9AE}" pid="7" name="Dat">
    <vt:lpwstr>2015-11-12T00:00:00Z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2015-11-12T00:00:00Z</vt:lpwstr>
  </property>
  <property fmtid="{D5CDD505-2E9C-101B-9397-08002B2CF9AE}" pid="11" name="Pref">
    <vt:lpwstr>TG</vt:lpwstr>
  </property>
  <property fmtid="{D5CDD505-2E9C-101B-9397-08002B2CF9AE}" pid="12" name="CaseCompanyNam">
    <vt:lpwstr>Waste Management of Washington, Inc.</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