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690" windowHeight="7260" tabRatio="700" activeTab="0"/>
  </bookViews>
  <sheets>
    <sheet name="0504" sheetId="1" r:id="rId1"/>
    <sheet name="ES Wutc Tons" sheetId="2" r:id="rId2"/>
    <sheet name="Issaq County Tons" sheetId="3" r:id="rId3"/>
    <sheet name="ES-Issaq Cty Pricing" sheetId="4" r:id="rId4"/>
    <sheet name="Res Cust Counts by Svc Level" sheetId="5" r:id="rId5"/>
  </sheets>
  <externalReferences>
    <externalReference r:id="rId8"/>
    <externalReference r:id="rId9"/>
    <externalReference r:id="rId10"/>
  </externalReferences>
  <definedNames>
    <definedName name="_Regression_Int" localSheetId="0" hidden="1">1</definedName>
    <definedName name="_xlnm.Print_Area" localSheetId="0">'0504'!$A$4:$Z$102</definedName>
    <definedName name="_xlnm.Print_Area" localSheetId="4">'Res Cust Counts by Svc Level'!#REF!</definedName>
    <definedName name="Print_Area_MI" localSheetId="0">'0504'!$A$1:$Z$101</definedName>
    <definedName name="_xlnm.Print_Titles" localSheetId="0">'0504'!$1:$3</definedName>
    <definedName name="_xlnm.Print_Titles" localSheetId="4">'Res Cust Counts by Svc Level'!$A:$A,'Res Cust Counts by Svc Level'!#REF!</definedName>
    <definedName name="Tukwila_Report" localSheetId="4">'[3]ST97TONS'!#REF!</definedName>
    <definedName name="Tukwila_Report">'[1]ST96TONS'!#REF!</definedName>
  </definedNames>
  <calcPr fullCalcOnLoad="1"/>
</workbook>
</file>

<file path=xl/comments1.xml><?xml version="1.0" encoding="utf-8"?>
<comments xmlns="http://schemas.openxmlformats.org/spreadsheetml/2006/main">
  <authors>
    <author>ALLIED WASTE</author>
  </authors>
  <commentList>
    <comment ref="P63" authorId="0">
      <text>
        <r>
          <rPr>
            <b/>
            <sz val="8"/>
            <rFont val="Tahoma"/>
            <family val="0"/>
          </rPr>
          <t>ALLIED WASTE:</t>
        </r>
        <r>
          <rPr>
            <sz val="8"/>
            <rFont val="Tahoma"/>
            <family val="0"/>
          </rPr>
          <t xml:space="preserve">
Includes Contract 01, 11, 13, 14
</t>
        </r>
      </text>
    </comment>
  </commentList>
</comments>
</file>

<file path=xl/sharedStrings.xml><?xml version="1.0" encoding="utf-8"?>
<sst xmlns="http://schemas.openxmlformats.org/spreadsheetml/2006/main" count="1037" uniqueCount="117">
  <si>
    <t>RABANCO COMPANIES</t>
  </si>
  <si>
    <t>DATA COLLECTION SPREADSHEET FOR HAULERS</t>
  </si>
  <si>
    <t>NOTE: PLEASE ADD NEW ROWS FOR ANY SERVICE AREAS</t>
  </si>
  <si>
    <t>|</t>
  </si>
  <si>
    <t xml:space="preserve"> </t>
  </si>
  <si>
    <t>AVERAGE NUMBER</t>
  </si>
  <si>
    <t>SINGLE-FAMILY</t>
  </si>
  <si>
    <t>- T O N S  O F M A T E R I A L  C O L L E C T E D -</t>
  </si>
  <si>
    <t>TOTAL TONNAGES</t>
  </si>
  <si>
    <t>CUSTOMER COUNTS</t>
  </si>
  <si>
    <t>SET OUTS</t>
  </si>
  <si>
    <t>CURBSIDE</t>
  </si>
  <si>
    <t>ALUM</t>
  </si>
  <si>
    <t>GLASS</t>
  </si>
  <si>
    <t>TIN/IRON</t>
  </si>
  <si>
    <t>ONP</t>
  </si>
  <si>
    <t>MWP</t>
  </si>
  <si>
    <t>PET</t>
  </si>
  <si>
    <t>HDPE</t>
  </si>
  <si>
    <t>OCC</t>
  </si>
  <si>
    <t>RECYC</t>
  </si>
  <si>
    <t>YW</t>
  </si>
  <si>
    <t>GARB</t>
  </si>
  <si>
    <t>PER WEEK</t>
  </si>
  <si>
    <t>-</t>
  </si>
  <si>
    <t>ALGONA</t>
  </si>
  <si>
    <t>BEAUX ARTS</t>
  </si>
  <si>
    <t>BELLEVUE</t>
  </si>
  <si>
    <t>BLACK DIAMOND</t>
  </si>
  <si>
    <t>BURIEN</t>
  </si>
  <si>
    <t>CLYDE HILL</t>
  </si>
  <si>
    <t>DES MOINES</t>
  </si>
  <si>
    <t>HUNTS POINT</t>
  </si>
  <si>
    <t>KENT</t>
  </si>
  <si>
    <t>LAKE FOREST PARK</t>
  </si>
  <si>
    <t>MEDINA</t>
  </si>
  <si>
    <t>MERCER ISLAND</t>
  </si>
  <si>
    <t>NORMANDY PARK</t>
  </si>
  <si>
    <t>SEA TAC</t>
  </si>
  <si>
    <t>TUKWILA</t>
  </si>
  <si>
    <t>YARROW POINT</t>
  </si>
  <si>
    <t>MULTI-FAMILY</t>
  </si>
  <si>
    <t>TONNAGES</t>
  </si>
  <si>
    <t>RECYCLING</t>
  </si>
  <si>
    <t>GARBAGE</t>
  </si>
  <si>
    <t>CUSTOMER COUNT</t>
  </si>
  <si>
    <t>NON RSDNTL</t>
  </si>
  <si>
    <t>Garbage</t>
  </si>
  <si>
    <t>Tons</t>
  </si>
  <si>
    <t>Total</t>
  </si>
  <si>
    <t>Other</t>
  </si>
  <si>
    <t>COVINGTON</t>
  </si>
  <si>
    <t>MAPLE VALLEY</t>
  </si>
  <si>
    <t>KENMORE</t>
  </si>
  <si>
    <t>SHORELINE</t>
  </si>
  <si>
    <t>CITY ISSAQUAH</t>
  </si>
  <si>
    <t>ISSAQUAH COUNTY</t>
  </si>
  <si>
    <t>SNOQUALMIE</t>
  </si>
  <si>
    <t>NORTHBEND</t>
  </si>
  <si>
    <t>SOUTH COVE</t>
  </si>
  <si>
    <t>OTHER</t>
  </si>
  <si>
    <t>TRASH</t>
  </si>
  <si>
    <t>EASTSIDE OTHER (AREA 2)</t>
  </si>
  <si>
    <t>SEATAC OTHER (AREA 5)</t>
  </si>
  <si>
    <t>AUBURN</t>
  </si>
  <si>
    <t>MERIDIAN VALLEY OTHER</t>
  </si>
  <si>
    <t>MERIDIAN VALLEY OTHER (AREA 8)</t>
  </si>
  <si>
    <t>TOTAL</t>
  </si>
  <si>
    <t>MONTH:  May 2004</t>
  </si>
  <si>
    <t>WUTC Residential Tonnages by Commodity (2000 - 2004)</t>
  </si>
  <si>
    <t>Recy Tons</t>
  </si>
  <si>
    <t>Avg Recy</t>
  </si>
  <si>
    <t>Alum</t>
  </si>
  <si>
    <t>Glass</t>
  </si>
  <si>
    <t>Tin/Iron</t>
  </si>
  <si>
    <t>Pet</t>
  </si>
  <si>
    <t>Tons/Mo</t>
  </si>
  <si>
    <t>Total 2000</t>
  </si>
  <si>
    <t>Total 2001</t>
  </si>
  <si>
    <t>Total 2002</t>
  </si>
  <si>
    <t>Total 2003</t>
  </si>
  <si>
    <t>WUTC Residential Pricing by Commodity (2000 - 2004)</t>
  </si>
  <si>
    <t>Mix</t>
  </si>
  <si>
    <t>Glob</t>
  </si>
  <si>
    <t>WUTC Residential Tonnages by Commodity - Issaq. (2000 - 2004)</t>
  </si>
  <si>
    <t>Avg. Recy</t>
  </si>
  <si>
    <t>Garb.</t>
  </si>
  <si>
    <t>Tons/Mo.</t>
  </si>
  <si>
    <t>Total 2004</t>
  </si>
  <si>
    <t>WUTC Residential Service Levels (County, Beaux Arts, Clyde Hill, Hunts Point, Medina, Yarrrow Point, Kenmore)</t>
  </si>
  <si>
    <t>1 can once-a-month</t>
  </si>
  <si>
    <t>2 cans once-a-month</t>
  </si>
  <si>
    <t>19 gal can</t>
  </si>
  <si>
    <t>2 19 gal cans</t>
  </si>
  <si>
    <t>1 can</t>
  </si>
  <si>
    <t>2 can</t>
  </si>
  <si>
    <t>3 can</t>
  </si>
  <si>
    <t>4 can</t>
  </si>
  <si>
    <t>5 can</t>
  </si>
  <si>
    <t>6 can</t>
  </si>
  <si>
    <t>Additional cans</t>
  </si>
  <si>
    <t>1 32 gal toter</t>
  </si>
  <si>
    <t>2 32 gal toters</t>
  </si>
  <si>
    <t>1 60 gal toter</t>
  </si>
  <si>
    <t>2 60 gal toters</t>
  </si>
  <si>
    <t>3 60 gal toters</t>
  </si>
  <si>
    <t>4 60 gal toters</t>
  </si>
  <si>
    <t>1 90 gal toter</t>
  </si>
  <si>
    <t>2 90 gal toters</t>
  </si>
  <si>
    <t>3 90 gal toters</t>
  </si>
  <si>
    <t>4 90 gal toters</t>
  </si>
  <si>
    <t>Extras</t>
  </si>
  <si>
    <t>Jan</t>
  </si>
  <si>
    <t>Feb</t>
  </si>
  <si>
    <t>Mar</t>
  </si>
  <si>
    <t>Apr</t>
  </si>
  <si>
    <t>May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</si>
</sst>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.00_)"/>
    <numFmt numFmtId="167" formatCode="0.0"/>
    <numFmt numFmtId="168" formatCode="0.000"/>
    <numFmt numFmtId="169" formatCode="0.0000"/>
    <numFmt numFmtId="170" formatCode="0.0%"/>
    <numFmt numFmtId="171" formatCode="mmmm"/>
    <numFmt numFmtId="172" formatCode="yyyy"/>
    <numFmt numFmtId="173" formatCode="0.00000"/>
    <numFmt numFmtId="174" formatCode="m/d/yyyy"/>
    <numFmt numFmtId="175" formatCode="0_)"/>
    <numFmt numFmtId="176" formatCode="0.000000"/>
    <numFmt numFmtId="177" formatCode="&quot;$&quot;\ #,##0.00_);[Red]\(&quot;$&quot;\ #,##0.00\)"/>
    <numFmt numFmtId="178" formatCode="#,##0.0"/>
    <numFmt numFmtId="179" formatCode="#,##0.000"/>
    <numFmt numFmtId="180" formatCode="#,##0.0000"/>
    <numFmt numFmtId="181" formatCode="_(* #,##0_);_(* \(#,##0\);_(* &quot;-&quot;??_);_(@_)"/>
    <numFmt numFmtId="182" formatCode="_(* #,##0.000_);_(* \(#,##0.000\);_(* &quot;-&quot;??_);_(@_)"/>
    <numFmt numFmtId="183" formatCode="0.000%"/>
    <numFmt numFmtId="184" formatCode="_(* #,##0.0_);_(* \(#,##0.0\);_(* &quot;-&quot;?_);_(@_)"/>
    <numFmt numFmtId="185" formatCode="00000"/>
    <numFmt numFmtId="186" formatCode="mmm\-yyyy"/>
  </numFmts>
  <fonts count="13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Helv"/>
      <family val="0"/>
    </font>
    <font>
      <sz val="12"/>
      <name val="Helv"/>
      <family val="0"/>
    </font>
    <font>
      <sz val="8"/>
      <color indexed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5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0" fillId="0" borderId="0" xfId="21" applyFont="1">
      <alignment/>
      <protection/>
    </xf>
    <xf numFmtId="1" fontId="0" fillId="0" borderId="0" xfId="21" applyNumberFormat="1" applyFont="1">
      <alignment/>
      <protection/>
    </xf>
    <xf numFmtId="164" fontId="6" fillId="0" borderId="0" xfId="21" applyNumberFormat="1" applyFont="1" applyAlignment="1" applyProtection="1">
      <alignment horizontal="left"/>
      <protection/>
    </xf>
    <xf numFmtId="164" fontId="6" fillId="0" borderId="0" xfId="21" applyFont="1">
      <alignment/>
      <protection/>
    </xf>
    <xf numFmtId="1" fontId="6" fillId="0" borderId="0" xfId="21" applyNumberFormat="1" applyFont="1">
      <alignment/>
      <protection/>
    </xf>
    <xf numFmtId="164" fontId="6" fillId="0" borderId="0" xfId="21" applyFont="1" applyAlignment="1" applyProtection="1" quotePrefix="1">
      <alignment horizontal="left"/>
      <protection/>
    </xf>
    <xf numFmtId="164" fontId="6" fillId="0" borderId="0" xfId="21" applyFont="1" applyAlignment="1" applyProtection="1">
      <alignment horizontal="left"/>
      <protection/>
    </xf>
    <xf numFmtId="164" fontId="6" fillId="0" borderId="0" xfId="21" applyNumberFormat="1" applyFont="1" applyProtection="1">
      <alignment/>
      <protection/>
    </xf>
    <xf numFmtId="1" fontId="6" fillId="0" borderId="0" xfId="21" applyNumberFormat="1" applyFont="1" applyAlignment="1" applyProtection="1">
      <alignment horizontal="left"/>
      <protection/>
    </xf>
    <xf numFmtId="1" fontId="6" fillId="0" borderId="0" xfId="21" applyNumberFormat="1" applyFont="1" applyProtection="1">
      <alignment/>
      <protection/>
    </xf>
    <xf numFmtId="164" fontId="6" fillId="0" borderId="0" xfId="21" applyNumberFormat="1" applyFont="1" applyAlignment="1" applyProtection="1">
      <alignment horizontal="right"/>
      <protection/>
    </xf>
    <xf numFmtId="1" fontId="6" fillId="0" borderId="0" xfId="21" applyNumberFormat="1" applyFont="1" applyAlignment="1" applyProtection="1" quotePrefix="1">
      <alignment horizontal="left"/>
      <protection/>
    </xf>
    <xf numFmtId="164" fontId="6" fillId="0" borderId="0" xfId="21" applyFont="1" applyAlignment="1" applyProtection="1">
      <alignment horizontal="fill"/>
      <protection/>
    </xf>
    <xf numFmtId="1" fontId="6" fillId="0" borderId="0" xfId="21" applyNumberFormat="1" applyFont="1" applyAlignment="1" applyProtection="1">
      <alignment horizontal="fill"/>
      <protection/>
    </xf>
    <xf numFmtId="164" fontId="6" fillId="0" borderId="0" xfId="21" applyFont="1" applyAlignment="1" applyProtection="1">
      <alignment horizontal="left"/>
      <protection locked="0"/>
    </xf>
    <xf numFmtId="2" fontId="6" fillId="0" borderId="0" xfId="0" applyNumberFormat="1" applyFont="1" applyAlignment="1" applyProtection="1">
      <alignment/>
      <protection locked="0"/>
    </xf>
    <xf numFmtId="2" fontId="6" fillId="0" borderId="0" xfId="21" applyNumberFormat="1" applyFont="1" applyAlignment="1" applyProtection="1" quotePrefix="1">
      <alignment horizontal="left"/>
      <protection locked="0"/>
    </xf>
    <xf numFmtId="2" fontId="6" fillId="0" borderId="0" xfId="21" applyNumberFormat="1" applyFont="1" applyProtection="1">
      <alignment/>
      <protection locked="0"/>
    </xf>
    <xf numFmtId="164" fontId="6" fillId="0" borderId="0" xfId="21" applyFont="1" applyAlignment="1" applyProtection="1" quotePrefix="1">
      <alignment horizontal="left"/>
      <protection locked="0"/>
    </xf>
    <xf numFmtId="1" fontId="6" fillId="0" borderId="0" xfId="21" applyNumberFormat="1" applyFont="1" applyProtection="1">
      <alignment/>
      <protection locked="0"/>
    </xf>
    <xf numFmtId="1" fontId="6" fillId="0" borderId="0" xfId="21" applyNumberFormat="1" applyFont="1" applyAlignment="1" applyProtection="1" quotePrefix="1">
      <alignment horizontal="left"/>
      <protection locked="0"/>
    </xf>
    <xf numFmtId="164" fontId="6" fillId="0" borderId="0" xfId="21" applyNumberFormat="1" applyFont="1" applyProtection="1">
      <alignment/>
      <protection locked="0"/>
    </xf>
    <xf numFmtId="164" fontId="6" fillId="0" borderId="0" xfId="21" applyFont="1" applyProtection="1">
      <alignment/>
      <protection locked="0"/>
    </xf>
    <xf numFmtId="2" fontId="0" fillId="0" borderId="0" xfId="21" applyNumberFormat="1" applyFont="1" applyProtection="1">
      <alignment/>
      <protection/>
    </xf>
    <xf numFmtId="1" fontId="0" fillId="0" borderId="0" xfId="21" applyNumberFormat="1" applyFont="1" applyProtection="1">
      <alignment/>
      <protection/>
    </xf>
    <xf numFmtId="2" fontId="6" fillId="0" borderId="0" xfId="0" applyNumberFormat="1" applyFont="1" applyAlignment="1">
      <alignment/>
    </xf>
    <xf numFmtId="2" fontId="6" fillId="0" borderId="0" xfId="21" applyNumberFormat="1" applyFont="1">
      <alignment/>
      <protection/>
    </xf>
    <xf numFmtId="2" fontId="6" fillId="0" borderId="0" xfId="21" applyNumberFormat="1" applyFont="1" applyProtection="1">
      <alignment/>
      <protection/>
    </xf>
    <xf numFmtId="2" fontId="6" fillId="0" borderId="0" xfId="21" applyNumberFormat="1" applyFont="1" applyAlignment="1" applyProtection="1" quotePrefix="1">
      <alignment horizontal="left"/>
      <protection/>
    </xf>
    <xf numFmtId="2" fontId="6" fillId="0" borderId="0" xfId="21" applyNumberFormat="1" applyFont="1" applyAlignment="1" applyProtection="1">
      <alignment horizontal="left"/>
      <protection/>
    </xf>
    <xf numFmtId="2" fontId="6" fillId="0" borderId="0" xfId="21" applyNumberFormat="1" applyFont="1" applyAlignment="1" applyProtection="1">
      <alignment horizontal="right"/>
      <protection/>
    </xf>
    <xf numFmtId="2" fontId="6" fillId="0" borderId="0" xfId="21" applyNumberFormat="1" applyFont="1" applyAlignment="1" applyProtection="1">
      <alignment horizontal="fill"/>
      <protection/>
    </xf>
    <xf numFmtId="2" fontId="6" fillId="0" borderId="0" xfId="21" applyNumberFormat="1" applyFont="1" applyAlignment="1" applyProtection="1" quotePrefix="1">
      <alignment horizontal="center"/>
      <protection/>
    </xf>
    <xf numFmtId="164" fontId="6" fillId="0" borderId="0" xfId="21" applyFont="1" applyAlignment="1" applyProtection="1" quotePrefix="1">
      <alignment horizontal="center"/>
      <protection/>
    </xf>
    <xf numFmtId="2" fontId="6" fillId="0" borderId="0" xfId="21" applyNumberFormat="1" applyFont="1" applyAlignment="1" applyProtection="1" quotePrefix="1">
      <alignment horizontal="center"/>
      <protection locked="0"/>
    </xf>
    <xf numFmtId="164" fontId="6" fillId="0" borderId="0" xfId="21" applyFont="1" applyAlignment="1" applyProtection="1" quotePrefix="1">
      <alignment horizontal="center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164" fontId="0" fillId="0" borderId="0" xfId="21" applyFont="1" applyProtection="1">
      <alignment/>
      <protection locked="0"/>
    </xf>
    <xf numFmtId="175" fontId="6" fillId="0" borderId="0" xfId="21" applyNumberFormat="1" applyFont="1" applyProtection="1">
      <alignment/>
      <protection locked="0"/>
    </xf>
    <xf numFmtId="2" fontId="0" fillId="0" borderId="0" xfId="21" applyNumberFormat="1" applyFont="1">
      <alignment/>
      <protection/>
    </xf>
    <xf numFmtId="0" fontId="12" fillId="0" borderId="0" xfId="23" applyFont="1">
      <alignment/>
      <protection/>
    </xf>
    <xf numFmtId="0" fontId="11" fillId="0" borderId="0" xfId="23">
      <alignment/>
      <protection/>
    </xf>
    <xf numFmtId="0" fontId="12" fillId="0" borderId="0" xfId="23" applyFont="1" applyAlignment="1">
      <alignment horizontal="center"/>
      <protection/>
    </xf>
    <xf numFmtId="17" fontId="11" fillId="0" borderId="0" xfId="23" applyNumberFormat="1">
      <alignment/>
      <protection/>
    </xf>
    <xf numFmtId="17" fontId="12" fillId="0" borderId="0" xfId="23" applyNumberFormat="1" applyFont="1" applyAlignment="1">
      <alignment horizontal="center"/>
      <protection/>
    </xf>
    <xf numFmtId="17" fontId="0" fillId="0" borderId="0" xfId="23" applyNumberFormat="1" applyFont="1">
      <alignment/>
      <protection/>
    </xf>
    <xf numFmtId="0" fontId="0" fillId="0" borderId="0" xfId="23" applyFont="1">
      <alignment/>
      <protection/>
    </xf>
    <xf numFmtId="2" fontId="0" fillId="0" borderId="0" xfId="23" applyNumberFormat="1" applyFont="1">
      <alignment/>
      <protection/>
    </xf>
    <xf numFmtId="17" fontId="0" fillId="0" borderId="0" xfId="23" applyNumberFormat="1" applyFont="1" applyAlignment="1">
      <alignment horizontal="center"/>
      <protection/>
    </xf>
    <xf numFmtId="0" fontId="0" fillId="0" borderId="0" xfId="23" applyFont="1" applyAlignment="1">
      <alignment horizontal="center"/>
      <protection/>
    </xf>
    <xf numFmtId="0" fontId="12" fillId="0" borderId="0" xfId="24" applyFont="1">
      <alignment/>
      <protection/>
    </xf>
    <xf numFmtId="0" fontId="11" fillId="0" borderId="0" xfId="24">
      <alignment/>
      <protection/>
    </xf>
    <xf numFmtId="0" fontId="12" fillId="0" borderId="0" xfId="24" applyFont="1" applyAlignment="1">
      <alignment horizontal="center"/>
      <protection/>
    </xf>
    <xf numFmtId="17" fontId="11" fillId="0" borderId="0" xfId="24" applyNumberFormat="1">
      <alignment/>
      <protection/>
    </xf>
    <xf numFmtId="17" fontId="12" fillId="0" borderId="0" xfId="24" applyNumberFormat="1" applyFont="1" applyAlignment="1">
      <alignment horizontal="center"/>
      <protection/>
    </xf>
    <xf numFmtId="17" fontId="0" fillId="0" borderId="0" xfId="24" applyNumberFormat="1" applyFont="1">
      <alignment/>
      <protection/>
    </xf>
    <xf numFmtId="0" fontId="0" fillId="0" borderId="0" xfId="24" applyFont="1">
      <alignment/>
      <protection/>
    </xf>
    <xf numFmtId="2" fontId="0" fillId="0" borderId="0" xfId="24" applyNumberFormat="1" applyFont="1">
      <alignment/>
      <protection/>
    </xf>
    <xf numFmtId="17" fontId="0" fillId="0" borderId="0" xfId="24" applyNumberFormat="1" applyFont="1" applyAlignment="1">
      <alignment horizontal="center"/>
      <protection/>
    </xf>
    <xf numFmtId="4" fontId="0" fillId="0" borderId="0" xfId="24" applyNumberFormat="1" applyFont="1">
      <alignment/>
      <protection/>
    </xf>
    <xf numFmtId="0" fontId="0" fillId="0" borderId="0" xfId="24" applyFont="1" applyAlignment="1">
      <alignment horizontal="center"/>
      <protection/>
    </xf>
    <xf numFmtId="0" fontId="0" fillId="0" borderId="0" xfId="22" applyFont="1">
      <alignment/>
      <protection/>
    </xf>
    <xf numFmtId="3" fontId="0" fillId="0" borderId="0" xfId="22" applyNumberFormat="1" applyFont="1">
      <alignment/>
      <protection/>
    </xf>
    <xf numFmtId="0" fontId="0" fillId="0" borderId="0" xfId="22" applyFont="1" applyAlignment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701RAB" xfId="21"/>
    <cellStyle name="Normal_ES0404TONS" xfId="22"/>
    <cellStyle name="Normal_Wutc Recycling Tons ES 00-04" xfId="23"/>
    <cellStyle name="Normal_Wutc Recycling Tons Issaq 00-04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CEL\96SEATAC\SKM96T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vision\dpublic\EXCEL\04eastside\ES0404T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DPUBLIC\EXCEL\97SEATAC\SKM97T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96TONS"/>
      <sheetName val="KM96TONS"/>
      <sheetName val="ST96T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04TONS"/>
      <sheetName val="Res'l MSW"/>
      <sheetName val="Res'l MSW Iss"/>
      <sheetName val="Res'l Recy"/>
      <sheetName val="Res'l Recy. Iss"/>
      <sheetName val="Res'l YW"/>
      <sheetName val="Res'l YW Iss"/>
      <sheetName val="Bell MSW "/>
      <sheetName val="STATS"/>
      <sheetName val="RES"/>
      <sheetName val="COMML"/>
      <sheetName val="LFP_RPT"/>
      <sheetName val="MERCER"/>
      <sheetName val="Points"/>
      <sheetName val="PRICES"/>
      <sheetName val="C&amp;MFCUST"/>
    </sheetNames>
    <sheetDataSet>
      <sheetData sheetId="0"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466"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</row>
        <row r="586"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97TONS"/>
      <sheetName val="KM97TONS"/>
      <sheetName val="ST97TONS"/>
      <sheetName val="MV97TONS"/>
      <sheetName val="KT97TONS"/>
      <sheetName val="KC_STATS"/>
      <sheetName val="BURIEN"/>
      <sheetName val="DESMOINES"/>
      <sheetName val="KENT"/>
      <sheetName val="NORMANDY"/>
      <sheetName val="TUKWILA"/>
      <sheetName val="PRICES"/>
      <sheetName val="ComRec"/>
      <sheetName val="C&amp;MFCU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102"/>
  <sheetViews>
    <sheetView showGridLines="0" tabSelected="1" workbookViewId="0" topLeftCell="A1">
      <pane xSplit="1" topLeftCell="B1" activePane="topRight" state="frozen"/>
      <selection pane="topLeft" activeCell="A5" sqref="A5"/>
      <selection pane="topRight" activeCell="L8" sqref="L8"/>
    </sheetView>
  </sheetViews>
  <sheetFormatPr defaultColWidth="14.66015625" defaultRowHeight="11.25"/>
  <cols>
    <col min="1" max="1" width="23.33203125" style="1" customWidth="1"/>
    <col min="2" max="2" width="6.16015625" style="1" customWidth="1"/>
    <col min="3" max="3" width="7.5" style="1" customWidth="1"/>
    <col min="4" max="4" width="9.5" style="1" customWidth="1"/>
    <col min="5" max="5" width="7.5" style="1" customWidth="1"/>
    <col min="6" max="6" width="7.66015625" style="1" customWidth="1"/>
    <col min="7" max="8" width="5.66015625" style="1" customWidth="1"/>
    <col min="9" max="9" width="7.16015625" style="1" customWidth="1"/>
    <col min="10" max="10" width="6.66015625" style="1" customWidth="1"/>
    <col min="11" max="11" width="2.16015625" style="1" customWidth="1"/>
    <col min="12" max="12" width="8.33203125" style="1" customWidth="1"/>
    <col min="13" max="13" width="2.66015625" style="1" customWidth="1"/>
    <col min="14" max="14" width="8.83203125" style="1" customWidth="1"/>
    <col min="15" max="15" width="2.66015625" style="1" customWidth="1"/>
    <col min="16" max="16" width="8.83203125" style="1" customWidth="1"/>
    <col min="17" max="17" width="2.66015625" style="1" customWidth="1"/>
    <col min="18" max="18" width="8" style="1" customWidth="1"/>
    <col min="19" max="19" width="2.66015625" style="1" customWidth="1"/>
    <col min="20" max="20" width="7.16015625" style="1" customWidth="1"/>
    <col min="21" max="21" width="2.66015625" style="1" customWidth="1"/>
    <col min="22" max="22" width="7.16015625" style="1" customWidth="1"/>
    <col min="23" max="23" width="2.66015625" style="1" customWidth="1"/>
    <col min="24" max="24" width="8.66015625" style="1" customWidth="1"/>
    <col min="25" max="25" width="2.66015625" style="1" customWidth="1"/>
    <col min="26" max="26" width="8.66015625" style="1" customWidth="1"/>
    <col min="27" max="16384" width="14.66015625" style="1" customWidth="1"/>
  </cols>
  <sheetData>
    <row r="1" spans="1:26" ht="11.25">
      <c r="A1" s="3" t="s">
        <v>0</v>
      </c>
      <c r="B1" s="4"/>
      <c r="C1" s="4"/>
      <c r="D1" s="4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4"/>
      <c r="X1" s="4"/>
      <c r="Y1" s="4"/>
      <c r="Z1" s="4"/>
    </row>
    <row r="2" spans="1:26" ht="11.25">
      <c r="A2" s="3" t="s">
        <v>68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5"/>
      <c r="U2" s="5"/>
      <c r="V2" s="5"/>
      <c r="W2" s="4"/>
      <c r="X2" s="4"/>
      <c r="Y2" s="4"/>
      <c r="Z2" s="4"/>
    </row>
    <row r="3" spans="1:26" ht="11.2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  <c r="V3" s="5"/>
      <c r="W3" s="4"/>
      <c r="X3" s="4"/>
      <c r="Y3" s="4"/>
      <c r="Z3" s="4"/>
    </row>
    <row r="4" spans="1:26" ht="11.25">
      <c r="A4" s="4"/>
      <c r="B4" s="4"/>
      <c r="C4" s="4"/>
      <c r="D4" s="4"/>
      <c r="E4" s="4"/>
      <c r="F4" s="4"/>
      <c r="G4" s="4"/>
      <c r="H4" s="4"/>
      <c r="I4" s="4"/>
      <c r="J4" s="4"/>
      <c r="K4" s="6" t="s">
        <v>3</v>
      </c>
      <c r="L4" s="7" t="s">
        <v>4</v>
      </c>
      <c r="M4" s="4"/>
      <c r="N4" s="4"/>
      <c r="O4" s="4"/>
      <c r="P4" s="4"/>
      <c r="Q4" s="6" t="s">
        <v>3</v>
      </c>
      <c r="R4" s="5"/>
      <c r="S4" s="5"/>
      <c r="T4" s="5"/>
      <c r="U4" s="5"/>
      <c r="V4" s="5"/>
      <c r="W4" s="6" t="s">
        <v>3</v>
      </c>
      <c r="X4" s="7" t="s">
        <v>5</v>
      </c>
      <c r="Y4" s="4"/>
      <c r="Z4" s="4"/>
    </row>
    <row r="5" spans="1:26" ht="11.25">
      <c r="A5" s="3" t="s">
        <v>6</v>
      </c>
      <c r="B5" s="3" t="s">
        <v>4</v>
      </c>
      <c r="C5" s="3" t="s">
        <v>7</v>
      </c>
      <c r="D5" s="4"/>
      <c r="E5" s="4"/>
      <c r="F5" s="4"/>
      <c r="G5" s="4"/>
      <c r="H5" s="4"/>
      <c r="I5" s="3" t="s">
        <v>4</v>
      </c>
      <c r="J5" s="3"/>
      <c r="K5" s="6" t="s">
        <v>3</v>
      </c>
      <c r="L5" s="3" t="s">
        <v>8</v>
      </c>
      <c r="M5" s="4"/>
      <c r="N5" s="8"/>
      <c r="O5" s="4"/>
      <c r="P5" s="8"/>
      <c r="Q5" s="6" t="s">
        <v>3</v>
      </c>
      <c r="R5" s="9" t="s">
        <v>9</v>
      </c>
      <c r="S5" s="5"/>
      <c r="T5" s="10"/>
      <c r="U5" s="5"/>
      <c r="V5" s="10"/>
      <c r="W5" s="6" t="s">
        <v>3</v>
      </c>
      <c r="X5" s="3" t="s">
        <v>10</v>
      </c>
      <c r="Y5" s="4"/>
      <c r="Z5" s="8"/>
    </row>
    <row r="6" spans="1:26" ht="11.25">
      <c r="A6" s="3" t="s">
        <v>11</v>
      </c>
      <c r="B6" s="11" t="s">
        <v>12</v>
      </c>
      <c r="C6" s="11" t="s">
        <v>13</v>
      </c>
      <c r="D6" s="11" t="s">
        <v>14</v>
      </c>
      <c r="E6" s="11" t="s">
        <v>15</v>
      </c>
      <c r="F6" s="11" t="s">
        <v>16</v>
      </c>
      <c r="G6" s="11" t="s">
        <v>17</v>
      </c>
      <c r="H6" s="11" t="s">
        <v>18</v>
      </c>
      <c r="I6" s="11" t="s">
        <v>19</v>
      </c>
      <c r="J6" s="11" t="s">
        <v>60</v>
      </c>
      <c r="K6" s="6" t="s">
        <v>3</v>
      </c>
      <c r="L6" s="3" t="s">
        <v>20</v>
      </c>
      <c r="M6" s="6" t="s">
        <v>3</v>
      </c>
      <c r="N6" s="3" t="s">
        <v>21</v>
      </c>
      <c r="O6" s="6" t="s">
        <v>3</v>
      </c>
      <c r="P6" s="3" t="s">
        <v>22</v>
      </c>
      <c r="Q6" s="6" t="s">
        <v>3</v>
      </c>
      <c r="R6" s="9" t="s">
        <v>20</v>
      </c>
      <c r="S6" s="12" t="s">
        <v>3</v>
      </c>
      <c r="T6" s="9" t="s">
        <v>21</v>
      </c>
      <c r="U6" s="12" t="s">
        <v>3</v>
      </c>
      <c r="V6" s="9" t="s">
        <v>22</v>
      </c>
      <c r="W6" s="6" t="s">
        <v>3</v>
      </c>
      <c r="X6" s="3" t="s">
        <v>23</v>
      </c>
      <c r="Y6" s="4"/>
      <c r="Z6" s="8"/>
    </row>
    <row r="7" spans="1:26" ht="11.25">
      <c r="A7" s="13" t="s">
        <v>24</v>
      </c>
      <c r="B7" s="13" t="s">
        <v>24</v>
      </c>
      <c r="C7" s="13" t="s">
        <v>24</v>
      </c>
      <c r="D7" s="13" t="s">
        <v>24</v>
      </c>
      <c r="E7" s="13" t="s">
        <v>24</v>
      </c>
      <c r="F7" s="13" t="s">
        <v>24</v>
      </c>
      <c r="G7" s="13" t="s">
        <v>24</v>
      </c>
      <c r="H7" s="13" t="s">
        <v>24</v>
      </c>
      <c r="I7" s="13" t="s">
        <v>24</v>
      </c>
      <c r="J7" s="13"/>
      <c r="K7" s="13" t="s">
        <v>24</v>
      </c>
      <c r="L7" s="13" t="s">
        <v>24</v>
      </c>
      <c r="M7" s="13" t="s">
        <v>24</v>
      </c>
      <c r="N7" s="13" t="s">
        <v>24</v>
      </c>
      <c r="O7" s="13" t="s">
        <v>24</v>
      </c>
      <c r="P7" s="13" t="s">
        <v>24</v>
      </c>
      <c r="Q7" s="13" t="s">
        <v>24</v>
      </c>
      <c r="R7" s="14" t="s">
        <v>24</v>
      </c>
      <c r="S7" s="14" t="s">
        <v>24</v>
      </c>
      <c r="T7" s="14" t="s">
        <v>24</v>
      </c>
      <c r="U7" s="14" t="s">
        <v>24</v>
      </c>
      <c r="V7" s="14" t="s">
        <v>24</v>
      </c>
      <c r="W7" s="13" t="s">
        <v>24</v>
      </c>
      <c r="X7" s="13" t="s">
        <v>24</v>
      </c>
      <c r="Y7" s="13" t="s">
        <v>24</v>
      </c>
      <c r="Z7" s="13" t="s">
        <v>24</v>
      </c>
    </row>
    <row r="8" spans="1:26" ht="11.25">
      <c r="A8" s="15" t="s">
        <v>25</v>
      </c>
      <c r="B8" s="37">
        <v>0.09</v>
      </c>
      <c r="C8" s="37">
        <v>1.76</v>
      </c>
      <c r="D8" s="37">
        <v>0.15</v>
      </c>
      <c r="E8" s="37">
        <v>1.03</v>
      </c>
      <c r="F8" s="37">
        <v>7.03</v>
      </c>
      <c r="G8" s="37">
        <v>0.06</v>
      </c>
      <c r="H8" s="37">
        <v>0.06</v>
      </c>
      <c r="I8" s="37">
        <v>1.06</v>
      </c>
      <c r="J8" s="37">
        <v>0.76</v>
      </c>
      <c r="K8" s="17" t="s">
        <v>3</v>
      </c>
      <c r="L8" s="18">
        <v>12.02</v>
      </c>
      <c r="M8" s="17" t="s">
        <v>3</v>
      </c>
      <c r="N8" s="18">
        <v>21.4</v>
      </c>
      <c r="O8" s="17" t="s">
        <v>3</v>
      </c>
      <c r="P8" s="18">
        <v>42.97</v>
      </c>
      <c r="Q8" s="17" t="s">
        <v>3</v>
      </c>
      <c r="R8" s="20">
        <v>576</v>
      </c>
      <c r="S8" s="17" t="s">
        <v>3</v>
      </c>
      <c r="T8" s="20">
        <v>219</v>
      </c>
      <c r="U8" s="17" t="s">
        <v>3</v>
      </c>
      <c r="V8" s="20">
        <v>733</v>
      </c>
      <c r="W8" s="19" t="s">
        <v>3</v>
      </c>
      <c r="X8" s="22"/>
      <c r="Y8" s="23"/>
      <c r="Z8" s="22"/>
    </row>
    <row r="9" spans="1:26" ht="11.25">
      <c r="A9" s="15" t="s">
        <v>64</v>
      </c>
      <c r="B9" s="37">
        <v>0.08</v>
      </c>
      <c r="C9" s="37">
        <v>1.73</v>
      </c>
      <c r="D9" s="37">
        <v>0.15</v>
      </c>
      <c r="E9" s="37">
        <v>1.02</v>
      </c>
      <c r="F9" s="37">
        <v>6.9</v>
      </c>
      <c r="G9" s="37">
        <v>0.06</v>
      </c>
      <c r="H9" s="37">
        <v>0.06</v>
      </c>
      <c r="I9" s="37">
        <v>1.04</v>
      </c>
      <c r="J9" s="37">
        <v>0.75</v>
      </c>
      <c r="K9" s="17" t="s">
        <v>3</v>
      </c>
      <c r="L9" s="18">
        <v>11.79</v>
      </c>
      <c r="M9" s="17" t="s">
        <v>3</v>
      </c>
      <c r="N9" s="18">
        <v>25.93</v>
      </c>
      <c r="O9" s="17" t="s">
        <v>3</v>
      </c>
      <c r="P9" s="18">
        <v>37.9</v>
      </c>
      <c r="Q9" s="17" t="s">
        <v>3</v>
      </c>
      <c r="R9" s="20">
        <v>604</v>
      </c>
      <c r="S9" s="17" t="s">
        <v>3</v>
      </c>
      <c r="T9" s="20">
        <v>287</v>
      </c>
      <c r="U9" s="17" t="s">
        <v>3</v>
      </c>
      <c r="V9" s="20">
        <v>602</v>
      </c>
      <c r="W9" s="19" t="s">
        <v>3</v>
      </c>
      <c r="X9" s="22"/>
      <c r="Y9" s="23"/>
      <c r="Z9" s="22"/>
    </row>
    <row r="10" spans="1:26" ht="11.25">
      <c r="A10" s="15" t="s">
        <v>26</v>
      </c>
      <c r="B10" s="37">
        <v>0.04</v>
      </c>
      <c r="C10" s="37">
        <v>0.75</v>
      </c>
      <c r="D10" s="37">
        <v>0.06</v>
      </c>
      <c r="E10" s="37">
        <v>0.44</v>
      </c>
      <c r="F10" s="37">
        <v>2.98</v>
      </c>
      <c r="G10" s="37">
        <v>0.03</v>
      </c>
      <c r="H10" s="37">
        <v>0.03</v>
      </c>
      <c r="I10" s="37">
        <v>0.45</v>
      </c>
      <c r="J10" s="37">
        <v>0.32</v>
      </c>
      <c r="K10" s="17" t="s">
        <v>3</v>
      </c>
      <c r="L10" s="18">
        <v>5.1</v>
      </c>
      <c r="M10" s="17" t="s">
        <v>3</v>
      </c>
      <c r="N10" s="18">
        <v>7</v>
      </c>
      <c r="O10" s="17" t="s">
        <v>3</v>
      </c>
      <c r="P10" s="18">
        <v>7.7</v>
      </c>
      <c r="Q10" s="17" t="s">
        <v>3</v>
      </c>
      <c r="R10" s="20">
        <v>107</v>
      </c>
      <c r="S10" s="17" t="s">
        <v>3</v>
      </c>
      <c r="T10" s="20">
        <v>86</v>
      </c>
      <c r="U10" s="17" t="s">
        <v>3</v>
      </c>
      <c r="V10" s="20">
        <v>107</v>
      </c>
      <c r="W10" s="19" t="s">
        <v>3</v>
      </c>
      <c r="X10" s="23"/>
      <c r="Y10" s="23"/>
      <c r="Z10" s="23"/>
    </row>
    <row r="11" spans="1:26" ht="11.25">
      <c r="A11" s="15" t="s">
        <v>27</v>
      </c>
      <c r="B11" s="37">
        <v>7.15</v>
      </c>
      <c r="C11" s="37">
        <v>147.76</v>
      </c>
      <c r="D11" s="37">
        <v>12.58</v>
      </c>
      <c r="E11" s="37">
        <v>86.66</v>
      </c>
      <c r="F11" s="37">
        <v>588.81</v>
      </c>
      <c r="G11" s="37">
        <v>5.23</v>
      </c>
      <c r="H11" s="37">
        <v>5.23</v>
      </c>
      <c r="I11" s="37">
        <v>89.18</v>
      </c>
      <c r="J11" s="37">
        <v>63.81</v>
      </c>
      <c r="K11" s="17" t="s">
        <v>3</v>
      </c>
      <c r="L11" s="18">
        <v>1006.51</v>
      </c>
      <c r="M11" s="17" t="s">
        <v>3</v>
      </c>
      <c r="N11" s="18">
        <v>1811.69</v>
      </c>
      <c r="O11" s="17" t="s">
        <v>3</v>
      </c>
      <c r="P11" s="18">
        <v>1570.16</v>
      </c>
      <c r="Q11" s="17" t="s">
        <v>3</v>
      </c>
      <c r="R11" s="20">
        <v>26008</v>
      </c>
      <c r="S11" s="17" t="s">
        <v>3</v>
      </c>
      <c r="T11" s="20">
        <v>22662</v>
      </c>
      <c r="U11" s="17" t="s">
        <v>3</v>
      </c>
      <c r="V11" s="20">
        <v>26335</v>
      </c>
      <c r="W11" s="19" t="s">
        <v>3</v>
      </c>
      <c r="X11" s="23"/>
      <c r="Y11" s="23"/>
      <c r="Z11" s="23"/>
    </row>
    <row r="12" spans="1:26" ht="11.25">
      <c r="A12" s="15" t="s">
        <v>28</v>
      </c>
      <c r="B12" s="37">
        <v>0.15</v>
      </c>
      <c r="C12" s="37">
        <v>3</v>
      </c>
      <c r="D12" s="37">
        <v>0.26</v>
      </c>
      <c r="E12" s="37">
        <v>1.76</v>
      </c>
      <c r="F12" s="37">
        <v>11.96</v>
      </c>
      <c r="G12" s="37">
        <v>0.11</v>
      </c>
      <c r="H12" s="37">
        <v>0.11</v>
      </c>
      <c r="I12" s="37">
        <v>1.81</v>
      </c>
      <c r="J12" s="37">
        <v>1.3</v>
      </c>
      <c r="K12" s="17" t="s">
        <v>3</v>
      </c>
      <c r="L12" s="18">
        <v>20.44</v>
      </c>
      <c r="M12" s="17" t="s">
        <v>3</v>
      </c>
      <c r="N12" s="18">
        <v>28.1</v>
      </c>
      <c r="O12" s="17" t="s">
        <v>3</v>
      </c>
      <c r="P12" s="18">
        <v>72.52</v>
      </c>
      <c r="Q12" s="17" t="s">
        <v>3</v>
      </c>
      <c r="R12" s="20">
        <v>1047</v>
      </c>
      <c r="S12" s="17" t="s">
        <v>3</v>
      </c>
      <c r="T12" s="20">
        <v>311</v>
      </c>
      <c r="U12" s="17" t="s">
        <v>3</v>
      </c>
      <c r="V12" s="20">
        <v>1048</v>
      </c>
      <c r="W12" s="17" t="s">
        <v>3</v>
      </c>
      <c r="X12" s="23"/>
      <c r="Y12" s="23"/>
      <c r="Z12" s="23"/>
    </row>
    <row r="13" spans="1:26" ht="11.25">
      <c r="A13" s="15" t="s">
        <v>29</v>
      </c>
      <c r="B13" s="37">
        <v>0.31</v>
      </c>
      <c r="C13" s="37">
        <v>6.4</v>
      </c>
      <c r="D13" s="37">
        <v>0.54</v>
      </c>
      <c r="E13" s="37">
        <v>3.75</v>
      </c>
      <c r="F13" s="37">
        <v>25.49</v>
      </c>
      <c r="G13" s="37">
        <v>0.23</v>
      </c>
      <c r="H13" s="37">
        <v>0.23</v>
      </c>
      <c r="I13" s="37">
        <v>3.86</v>
      </c>
      <c r="J13" s="37">
        <v>2.76</v>
      </c>
      <c r="K13" s="17" t="s">
        <v>3</v>
      </c>
      <c r="L13" s="18">
        <v>43.58</v>
      </c>
      <c r="M13" s="17" t="s">
        <v>3</v>
      </c>
      <c r="N13" s="18">
        <v>89.81</v>
      </c>
      <c r="O13" s="17" t="s">
        <v>3</v>
      </c>
      <c r="P13" s="18">
        <v>127.85</v>
      </c>
      <c r="Q13" s="17" t="s">
        <v>3</v>
      </c>
      <c r="R13" s="20">
        <v>2087</v>
      </c>
      <c r="S13" s="17" t="s">
        <v>3</v>
      </c>
      <c r="T13" s="20">
        <v>919</v>
      </c>
      <c r="U13" s="17" t="s">
        <v>3</v>
      </c>
      <c r="V13" s="20">
        <v>2087</v>
      </c>
      <c r="W13" s="19" t="s">
        <v>3</v>
      </c>
      <c r="X13" s="23"/>
      <c r="Y13" s="23"/>
      <c r="Z13" s="23"/>
    </row>
    <row r="14" spans="1:26" ht="11.25">
      <c r="A14" s="15" t="s">
        <v>30</v>
      </c>
      <c r="B14" s="37">
        <v>0.11</v>
      </c>
      <c r="C14" s="37">
        <v>2.25</v>
      </c>
      <c r="D14" s="37">
        <v>0.19</v>
      </c>
      <c r="E14" s="37">
        <v>1.32</v>
      </c>
      <c r="F14" s="37">
        <v>8.98</v>
      </c>
      <c r="G14" s="37">
        <v>0.08</v>
      </c>
      <c r="H14" s="37">
        <v>0.08</v>
      </c>
      <c r="I14" s="37">
        <v>1.36</v>
      </c>
      <c r="J14" s="37">
        <v>0.97</v>
      </c>
      <c r="K14" s="17" t="s">
        <v>3</v>
      </c>
      <c r="L14" s="18">
        <v>15.35</v>
      </c>
      <c r="M14" s="17" t="s">
        <v>3</v>
      </c>
      <c r="N14" s="18">
        <v>50.06</v>
      </c>
      <c r="O14" s="17" t="s">
        <v>3</v>
      </c>
      <c r="P14" s="18">
        <v>81.41</v>
      </c>
      <c r="Q14" s="17" t="s">
        <v>3</v>
      </c>
      <c r="R14" s="20">
        <v>993</v>
      </c>
      <c r="S14" s="17" t="s">
        <v>3</v>
      </c>
      <c r="T14" s="20">
        <v>773</v>
      </c>
      <c r="U14" s="17" t="s">
        <v>3</v>
      </c>
      <c r="V14" s="20">
        <v>1001</v>
      </c>
      <c r="W14" s="19" t="s">
        <v>3</v>
      </c>
      <c r="X14" s="23"/>
      <c r="Y14" s="23"/>
      <c r="Z14" s="23"/>
    </row>
    <row r="15" spans="1:26" ht="11.25">
      <c r="A15" s="15" t="s">
        <v>51</v>
      </c>
      <c r="B15" s="37">
        <v>0.57</v>
      </c>
      <c r="C15" s="37">
        <v>11.8</v>
      </c>
      <c r="D15" s="37">
        <v>1</v>
      </c>
      <c r="E15" s="37">
        <v>6.92</v>
      </c>
      <c r="F15" s="37">
        <v>47.01</v>
      </c>
      <c r="G15" s="37">
        <v>0.42</v>
      </c>
      <c r="H15" s="37">
        <v>0.42</v>
      </c>
      <c r="I15" s="37">
        <v>7.12</v>
      </c>
      <c r="J15" s="37">
        <v>5.09</v>
      </c>
      <c r="K15" s="17" t="s">
        <v>3</v>
      </c>
      <c r="L15" s="18">
        <v>80.36</v>
      </c>
      <c r="M15" s="17" t="s">
        <v>3</v>
      </c>
      <c r="N15" s="18">
        <v>148.53</v>
      </c>
      <c r="O15" s="17" t="s">
        <v>3</v>
      </c>
      <c r="P15" s="18">
        <v>281.1</v>
      </c>
      <c r="Q15" s="17" t="s">
        <v>3</v>
      </c>
      <c r="R15" s="20">
        <v>4116</v>
      </c>
      <c r="S15" s="17" t="s">
        <v>3</v>
      </c>
      <c r="T15" s="20">
        <v>1644</v>
      </c>
      <c r="U15" s="17" t="s">
        <v>3</v>
      </c>
      <c r="V15" s="20">
        <v>4108</v>
      </c>
      <c r="W15" s="19" t="s">
        <v>3</v>
      </c>
      <c r="X15" s="23"/>
      <c r="Y15" s="23"/>
      <c r="Z15" s="23"/>
    </row>
    <row r="16" spans="1:26" ht="11.25">
      <c r="A16" s="15" t="s">
        <v>31</v>
      </c>
      <c r="B16" s="37">
        <v>0.85</v>
      </c>
      <c r="C16" s="37">
        <v>17.51</v>
      </c>
      <c r="D16" s="37">
        <v>1.49</v>
      </c>
      <c r="E16" s="37">
        <v>10.27</v>
      </c>
      <c r="F16" s="37">
        <v>69.77</v>
      </c>
      <c r="G16" s="37">
        <v>0.62</v>
      </c>
      <c r="H16" s="37">
        <v>0.62</v>
      </c>
      <c r="I16" s="37">
        <v>10.57</v>
      </c>
      <c r="J16" s="37">
        <v>7.56</v>
      </c>
      <c r="K16" s="17" t="s">
        <v>3</v>
      </c>
      <c r="L16" s="18">
        <v>119.27</v>
      </c>
      <c r="M16" s="17" t="s">
        <v>3</v>
      </c>
      <c r="N16" s="18">
        <v>202.3</v>
      </c>
      <c r="O16" s="17" t="s">
        <v>3</v>
      </c>
      <c r="P16" s="18">
        <v>351.29</v>
      </c>
      <c r="Q16" s="17" t="s">
        <v>3</v>
      </c>
      <c r="R16" s="20">
        <v>5712</v>
      </c>
      <c r="S16" s="17" t="s">
        <v>3</v>
      </c>
      <c r="T16" s="20">
        <v>2070</v>
      </c>
      <c r="U16" s="17" t="s">
        <v>3</v>
      </c>
      <c r="V16" s="20">
        <v>5738</v>
      </c>
      <c r="W16" s="19" t="s">
        <v>3</v>
      </c>
      <c r="X16" s="23"/>
      <c r="Y16" s="23"/>
      <c r="Z16" s="23"/>
    </row>
    <row r="17" spans="1:26" ht="11.25">
      <c r="A17" s="15" t="s">
        <v>32</v>
      </c>
      <c r="B17" s="37">
        <v>0.06</v>
      </c>
      <c r="C17" s="37">
        <v>1.33</v>
      </c>
      <c r="D17" s="37">
        <v>0.11</v>
      </c>
      <c r="E17" s="37">
        <v>0.78</v>
      </c>
      <c r="F17" s="37">
        <v>5.29</v>
      </c>
      <c r="G17" s="37">
        <v>0.05</v>
      </c>
      <c r="H17" s="37">
        <v>0.05</v>
      </c>
      <c r="I17" s="37">
        <v>0.8</v>
      </c>
      <c r="J17" s="37">
        <v>0.57</v>
      </c>
      <c r="K17" s="17" t="s">
        <v>3</v>
      </c>
      <c r="L17" s="18">
        <v>9.04</v>
      </c>
      <c r="M17" s="17" t="s">
        <v>3</v>
      </c>
      <c r="N17" s="18">
        <v>10.16</v>
      </c>
      <c r="O17" s="17" t="s">
        <v>3</v>
      </c>
      <c r="P17" s="18">
        <v>14.59</v>
      </c>
      <c r="Q17" s="17" t="s">
        <v>3</v>
      </c>
      <c r="R17" s="20">
        <v>162</v>
      </c>
      <c r="S17" s="17" t="s">
        <v>3</v>
      </c>
      <c r="T17" s="20">
        <v>81</v>
      </c>
      <c r="U17" s="17" t="s">
        <v>3</v>
      </c>
      <c r="V17" s="20">
        <v>164</v>
      </c>
      <c r="W17" s="19" t="s">
        <v>3</v>
      </c>
      <c r="X17" s="23"/>
      <c r="Y17" s="23"/>
      <c r="Z17" s="23"/>
    </row>
    <row r="18" spans="1:26" ht="11.25">
      <c r="A18" s="15" t="s">
        <v>33</v>
      </c>
      <c r="B18" s="37">
        <v>2.95</v>
      </c>
      <c r="C18" s="37">
        <v>60.98</v>
      </c>
      <c r="D18" s="37">
        <v>5.19</v>
      </c>
      <c r="E18" s="37">
        <v>35.76</v>
      </c>
      <c r="F18" s="37">
        <v>242.99</v>
      </c>
      <c r="G18" s="37">
        <v>2.16</v>
      </c>
      <c r="H18" s="37">
        <v>2.16</v>
      </c>
      <c r="I18" s="37">
        <v>36.8</v>
      </c>
      <c r="J18" s="37">
        <v>26.33</v>
      </c>
      <c r="K18" s="17" t="s">
        <v>3</v>
      </c>
      <c r="L18" s="18">
        <v>415.37</v>
      </c>
      <c r="M18" s="17" t="s">
        <v>3</v>
      </c>
      <c r="N18" s="18">
        <v>698.78</v>
      </c>
      <c r="O18" s="17" t="s">
        <v>3</v>
      </c>
      <c r="P18" s="18">
        <v>967.47</v>
      </c>
      <c r="Q18" s="17" t="s">
        <v>3</v>
      </c>
      <c r="R18" s="20">
        <v>13017</v>
      </c>
      <c r="S18" s="17" t="s">
        <v>3</v>
      </c>
      <c r="T18" s="20">
        <v>5090</v>
      </c>
      <c r="U18" s="17" t="s">
        <v>3</v>
      </c>
      <c r="V18" s="20">
        <v>14522</v>
      </c>
      <c r="W18" s="19" t="s">
        <v>3</v>
      </c>
      <c r="X18" s="23"/>
      <c r="Y18" s="23"/>
      <c r="Z18" s="23"/>
    </row>
    <row r="19" spans="1:26" ht="11.25">
      <c r="A19" s="15" t="s">
        <v>34</v>
      </c>
      <c r="B19" s="37">
        <v>1.13</v>
      </c>
      <c r="C19" s="37">
        <v>23.28</v>
      </c>
      <c r="D19" s="37">
        <v>1.98</v>
      </c>
      <c r="E19" s="37">
        <v>13.66</v>
      </c>
      <c r="F19" s="37">
        <v>92.78</v>
      </c>
      <c r="G19" s="37">
        <v>0.82</v>
      </c>
      <c r="H19" s="37">
        <v>0.82</v>
      </c>
      <c r="I19" s="37">
        <v>14.05</v>
      </c>
      <c r="J19" s="37">
        <v>10.06</v>
      </c>
      <c r="K19" s="17" t="s">
        <v>3</v>
      </c>
      <c r="L19" s="18">
        <v>158.6</v>
      </c>
      <c r="M19" s="17" t="s">
        <v>3</v>
      </c>
      <c r="N19" s="18">
        <v>112.9</v>
      </c>
      <c r="O19" s="17" t="s">
        <v>3</v>
      </c>
      <c r="P19" s="18">
        <v>228.18</v>
      </c>
      <c r="Q19" s="17" t="s">
        <v>3</v>
      </c>
      <c r="R19" s="20">
        <v>3797</v>
      </c>
      <c r="S19" s="17" t="s">
        <v>3</v>
      </c>
      <c r="T19" s="20">
        <v>2972</v>
      </c>
      <c r="U19" s="17" t="s">
        <v>3</v>
      </c>
      <c r="V19" s="20">
        <v>3800</v>
      </c>
      <c r="W19" s="19" t="s">
        <v>3</v>
      </c>
      <c r="X19" s="23"/>
      <c r="Y19" s="23"/>
      <c r="Z19" s="23"/>
    </row>
    <row r="20" spans="1:26" ht="11.25">
      <c r="A20" s="15" t="s">
        <v>52</v>
      </c>
      <c r="B20" s="37">
        <v>0.64</v>
      </c>
      <c r="C20" s="37">
        <v>13.26</v>
      </c>
      <c r="D20" s="37">
        <v>1.13</v>
      </c>
      <c r="E20" s="37">
        <v>7.77</v>
      </c>
      <c r="F20" s="37">
        <v>52.83</v>
      </c>
      <c r="G20" s="37">
        <v>0.47</v>
      </c>
      <c r="H20" s="37">
        <v>0.47</v>
      </c>
      <c r="I20" s="37">
        <v>8</v>
      </c>
      <c r="J20" s="37">
        <v>5.73</v>
      </c>
      <c r="K20" s="17" t="s">
        <v>3</v>
      </c>
      <c r="L20" s="18">
        <v>90.3</v>
      </c>
      <c r="M20" s="17" t="s">
        <v>3</v>
      </c>
      <c r="N20" s="18">
        <v>202.92</v>
      </c>
      <c r="O20" s="17" t="s">
        <v>3</v>
      </c>
      <c r="P20" s="18">
        <v>315.83</v>
      </c>
      <c r="Q20" s="17" t="s">
        <v>3</v>
      </c>
      <c r="R20" s="20">
        <v>4625</v>
      </c>
      <c r="S20" s="17" t="s">
        <v>3</v>
      </c>
      <c r="T20" s="20">
        <v>2246</v>
      </c>
      <c r="U20" s="17" t="s">
        <v>3</v>
      </c>
      <c r="V20" s="20">
        <v>4622</v>
      </c>
      <c r="W20" s="19" t="s">
        <v>3</v>
      </c>
      <c r="X20" s="23"/>
      <c r="Y20" s="23"/>
      <c r="Z20" s="23"/>
    </row>
    <row r="21" spans="1:26" ht="11.25">
      <c r="A21" s="15" t="s">
        <v>35</v>
      </c>
      <c r="B21" s="37">
        <v>0.12</v>
      </c>
      <c r="C21" s="37">
        <v>2.53</v>
      </c>
      <c r="D21" s="37">
        <v>0.22</v>
      </c>
      <c r="E21" s="37">
        <v>1.48</v>
      </c>
      <c r="F21" s="37">
        <v>10.07</v>
      </c>
      <c r="G21" s="37">
        <v>0.09</v>
      </c>
      <c r="H21" s="37">
        <v>0.09</v>
      </c>
      <c r="I21" s="37">
        <v>1.53</v>
      </c>
      <c r="J21" s="37">
        <v>1.09</v>
      </c>
      <c r="K21" s="17" t="s">
        <v>3</v>
      </c>
      <c r="L21" s="18">
        <v>17.22</v>
      </c>
      <c r="M21" s="17" t="s">
        <v>3</v>
      </c>
      <c r="N21" s="18">
        <v>54.32</v>
      </c>
      <c r="O21" s="17" t="s">
        <v>3</v>
      </c>
      <c r="P21" s="18">
        <v>86.1</v>
      </c>
      <c r="Q21" s="17" t="s">
        <v>3</v>
      </c>
      <c r="R21" s="20">
        <v>1041</v>
      </c>
      <c r="S21" s="17" t="s">
        <v>3</v>
      </c>
      <c r="T21" s="20">
        <v>693</v>
      </c>
      <c r="U21" s="17" t="s">
        <v>3</v>
      </c>
      <c r="V21" s="20">
        <v>1045</v>
      </c>
      <c r="W21" s="19" t="s">
        <v>3</v>
      </c>
      <c r="X21" s="23"/>
      <c r="Y21" s="23"/>
      <c r="Z21" s="23"/>
    </row>
    <row r="22" spans="1:26" ht="11.25">
      <c r="A22" s="15" t="s">
        <v>36</v>
      </c>
      <c r="B22" s="37">
        <v>2.07</v>
      </c>
      <c r="C22" s="37">
        <v>42.74</v>
      </c>
      <c r="D22" s="37">
        <v>3.64</v>
      </c>
      <c r="E22" s="37">
        <v>25.07</v>
      </c>
      <c r="F22" s="37">
        <v>170.31</v>
      </c>
      <c r="G22" s="37">
        <v>1.51</v>
      </c>
      <c r="H22" s="37">
        <v>1.51</v>
      </c>
      <c r="I22" s="37">
        <v>25.79</v>
      </c>
      <c r="J22" s="37">
        <v>18.46</v>
      </c>
      <c r="K22" s="17" t="s">
        <v>3</v>
      </c>
      <c r="L22" s="18">
        <v>291.13</v>
      </c>
      <c r="M22" s="17" t="s">
        <v>3</v>
      </c>
      <c r="N22" s="18">
        <v>520.95</v>
      </c>
      <c r="O22" s="17" t="s">
        <v>3</v>
      </c>
      <c r="P22" s="18">
        <v>426.35</v>
      </c>
      <c r="Q22" s="17" t="s">
        <v>3</v>
      </c>
      <c r="R22" s="20">
        <v>5673</v>
      </c>
      <c r="S22" s="17" t="s">
        <v>3</v>
      </c>
      <c r="T22" s="20">
        <v>5685</v>
      </c>
      <c r="U22" s="17" t="s">
        <v>3</v>
      </c>
      <c r="V22" s="20">
        <v>6389</v>
      </c>
      <c r="W22" s="19" t="s">
        <v>3</v>
      </c>
      <c r="X22" s="23"/>
      <c r="Y22" s="23"/>
      <c r="Z22" s="23"/>
    </row>
    <row r="23" spans="1:26" ht="11.25">
      <c r="A23" s="15" t="s">
        <v>37</v>
      </c>
      <c r="B23" s="37">
        <v>0.3</v>
      </c>
      <c r="C23" s="37">
        <v>6.18</v>
      </c>
      <c r="D23" s="37">
        <v>0.53</v>
      </c>
      <c r="E23" s="37">
        <v>3.63</v>
      </c>
      <c r="F23" s="37">
        <v>24.64</v>
      </c>
      <c r="G23" s="37">
        <v>0.22</v>
      </c>
      <c r="H23" s="37">
        <v>0.22</v>
      </c>
      <c r="I23" s="37">
        <v>3.73</v>
      </c>
      <c r="J23" s="37">
        <v>2.67</v>
      </c>
      <c r="K23" s="17" t="s">
        <v>3</v>
      </c>
      <c r="L23" s="18">
        <v>42.12</v>
      </c>
      <c r="M23" s="17" t="s">
        <v>3</v>
      </c>
      <c r="N23" s="18">
        <v>85.9</v>
      </c>
      <c r="O23" s="17" t="s">
        <v>3</v>
      </c>
      <c r="P23" s="18">
        <v>122.19</v>
      </c>
      <c r="Q23" s="17" t="s">
        <v>3</v>
      </c>
      <c r="R23" s="20">
        <v>2017</v>
      </c>
      <c r="S23" s="17" t="s">
        <v>3</v>
      </c>
      <c r="T23" s="20">
        <v>879</v>
      </c>
      <c r="U23" s="17" t="s">
        <v>3</v>
      </c>
      <c r="V23" s="20">
        <v>1933</v>
      </c>
      <c r="W23" s="19" t="s">
        <v>3</v>
      </c>
      <c r="X23" s="23"/>
      <c r="Y23" s="23"/>
      <c r="Z23" s="23"/>
    </row>
    <row r="24" spans="1:26" ht="11.25">
      <c r="A24" s="15" t="s">
        <v>38</v>
      </c>
      <c r="B24" s="37">
        <v>0.21</v>
      </c>
      <c r="C24" s="37">
        <v>4.29</v>
      </c>
      <c r="D24" s="37">
        <v>0.37</v>
      </c>
      <c r="E24" s="37">
        <v>2.51</v>
      </c>
      <c r="F24" s="37">
        <v>17.09</v>
      </c>
      <c r="G24" s="37">
        <v>0.15</v>
      </c>
      <c r="H24" s="37">
        <v>0.15</v>
      </c>
      <c r="I24" s="37">
        <v>2.59</v>
      </c>
      <c r="J24" s="37">
        <v>1.85</v>
      </c>
      <c r="K24" s="17" t="s">
        <v>3</v>
      </c>
      <c r="L24" s="18">
        <v>29.21</v>
      </c>
      <c r="M24" s="17" t="s">
        <v>3</v>
      </c>
      <c r="N24" s="18">
        <v>31.57</v>
      </c>
      <c r="O24" s="17" t="s">
        <v>3</v>
      </c>
      <c r="P24" s="18">
        <v>95.47</v>
      </c>
      <c r="Q24" s="17" t="s">
        <v>3</v>
      </c>
      <c r="R24" s="20">
        <v>1399</v>
      </c>
      <c r="S24" s="17" t="s">
        <v>3</v>
      </c>
      <c r="T24" s="20">
        <v>323</v>
      </c>
      <c r="U24" s="17" t="s">
        <v>3</v>
      </c>
      <c r="V24" s="20">
        <v>1408</v>
      </c>
      <c r="W24" s="19" t="s">
        <v>3</v>
      </c>
      <c r="X24" s="23"/>
      <c r="Y24" s="23"/>
      <c r="Z24" s="23"/>
    </row>
    <row r="25" spans="1:26" ht="11.25">
      <c r="A25" s="15" t="s">
        <v>39</v>
      </c>
      <c r="B25" s="37">
        <v>0.32</v>
      </c>
      <c r="C25" s="37">
        <v>6.59</v>
      </c>
      <c r="D25" s="37">
        <v>0.56</v>
      </c>
      <c r="E25" s="37">
        <v>3.86</v>
      </c>
      <c r="F25" s="37">
        <v>26.25</v>
      </c>
      <c r="G25" s="37">
        <v>0.23</v>
      </c>
      <c r="H25" s="37">
        <v>0.23</v>
      </c>
      <c r="I25" s="37">
        <v>3.98</v>
      </c>
      <c r="J25" s="37">
        <v>2.84</v>
      </c>
      <c r="K25" s="17" t="s">
        <v>3</v>
      </c>
      <c r="L25" s="18">
        <v>44.87</v>
      </c>
      <c r="M25" s="17" t="s">
        <v>3</v>
      </c>
      <c r="N25" s="18">
        <v>62.45</v>
      </c>
      <c r="O25" s="17" t="s">
        <v>3</v>
      </c>
      <c r="P25" s="18">
        <v>139.83</v>
      </c>
      <c r="Q25" s="17" t="s">
        <v>3</v>
      </c>
      <c r="R25" s="20">
        <v>2149</v>
      </c>
      <c r="S25" s="17" t="s">
        <v>3</v>
      </c>
      <c r="T25" s="20">
        <v>639</v>
      </c>
      <c r="U25" s="17" t="s">
        <v>3</v>
      </c>
      <c r="V25" s="20">
        <v>2327</v>
      </c>
      <c r="W25" s="19" t="s">
        <v>3</v>
      </c>
      <c r="X25" s="23"/>
      <c r="Y25" s="23"/>
      <c r="Z25" s="23"/>
    </row>
    <row r="26" spans="1:26" ht="11.25">
      <c r="A26" s="15" t="s">
        <v>40</v>
      </c>
      <c r="B26" s="37">
        <v>0.13</v>
      </c>
      <c r="C26" s="37">
        <v>2.61</v>
      </c>
      <c r="D26" s="37">
        <v>0.22</v>
      </c>
      <c r="E26" s="37">
        <v>1.53</v>
      </c>
      <c r="F26" s="37">
        <v>10.38</v>
      </c>
      <c r="G26" s="37">
        <v>0.09</v>
      </c>
      <c r="H26" s="37">
        <v>0.09</v>
      </c>
      <c r="I26" s="37">
        <v>1.57</v>
      </c>
      <c r="J26" s="37">
        <v>1.13</v>
      </c>
      <c r="K26" s="17" t="s">
        <v>3</v>
      </c>
      <c r="L26" s="18">
        <v>17.75</v>
      </c>
      <c r="M26" s="17" t="s">
        <v>3</v>
      </c>
      <c r="N26" s="18">
        <v>47.52</v>
      </c>
      <c r="O26" s="17" t="s">
        <v>3</v>
      </c>
      <c r="P26" s="18">
        <v>27.32</v>
      </c>
      <c r="Q26" s="17" t="s">
        <v>3</v>
      </c>
      <c r="R26" s="20">
        <v>351</v>
      </c>
      <c r="S26" s="17" t="s">
        <v>3</v>
      </c>
      <c r="T26" s="20">
        <v>267</v>
      </c>
      <c r="U26" s="17" t="s">
        <v>3</v>
      </c>
      <c r="V26" s="20">
        <v>353</v>
      </c>
      <c r="W26" s="19" t="s">
        <v>3</v>
      </c>
      <c r="X26" s="23"/>
      <c r="Y26" s="23"/>
      <c r="Z26" s="23"/>
    </row>
    <row r="27" spans="1:26" ht="11.25">
      <c r="A27" s="15" t="s">
        <v>53</v>
      </c>
      <c r="B27" s="37">
        <v>0.78</v>
      </c>
      <c r="C27" s="37">
        <v>16.07</v>
      </c>
      <c r="D27" s="37">
        <v>1.37</v>
      </c>
      <c r="E27" s="37">
        <v>9.43</v>
      </c>
      <c r="F27" s="37">
        <v>64.04</v>
      </c>
      <c r="G27" s="37">
        <v>0.57</v>
      </c>
      <c r="H27" s="37">
        <v>0.57</v>
      </c>
      <c r="I27" s="37">
        <v>9.7</v>
      </c>
      <c r="J27" s="37">
        <v>6.94</v>
      </c>
      <c r="K27" s="17" t="s">
        <v>3</v>
      </c>
      <c r="L27" s="18">
        <v>109.47</v>
      </c>
      <c r="M27" s="17" t="s">
        <v>3</v>
      </c>
      <c r="N27" s="18">
        <v>158.15</v>
      </c>
      <c r="O27" s="17" t="s">
        <v>3</v>
      </c>
      <c r="P27" s="18">
        <v>323.32</v>
      </c>
      <c r="Q27" s="17" t="s">
        <v>3</v>
      </c>
      <c r="R27" s="20">
        <v>4787</v>
      </c>
      <c r="S27" s="17" t="s">
        <v>3</v>
      </c>
      <c r="T27" s="20">
        <v>2492</v>
      </c>
      <c r="U27" s="17" t="s">
        <v>3</v>
      </c>
      <c r="V27" s="20">
        <v>4794</v>
      </c>
      <c r="W27" s="19" t="s">
        <v>3</v>
      </c>
      <c r="X27" s="23"/>
      <c r="Y27" s="23"/>
      <c r="Z27" s="23"/>
    </row>
    <row r="28" spans="1:26" ht="11.25">
      <c r="A28" s="15" t="s">
        <v>54</v>
      </c>
      <c r="B28" s="37" t="s">
        <v>4</v>
      </c>
      <c r="C28" s="37" t="s">
        <v>4</v>
      </c>
      <c r="D28" s="37" t="s">
        <v>4</v>
      </c>
      <c r="E28" s="37" t="s">
        <v>4</v>
      </c>
      <c r="F28" s="37" t="s">
        <v>4</v>
      </c>
      <c r="G28" s="37" t="s">
        <v>4</v>
      </c>
      <c r="H28" s="37" t="s">
        <v>4</v>
      </c>
      <c r="I28" s="37" t="s">
        <v>4</v>
      </c>
      <c r="J28" s="37" t="s">
        <v>4</v>
      </c>
      <c r="K28" s="17" t="s">
        <v>3</v>
      </c>
      <c r="L28" s="18"/>
      <c r="M28" s="17" t="s">
        <v>3</v>
      </c>
      <c r="N28" s="18"/>
      <c r="O28" s="17" t="s">
        <v>3</v>
      </c>
      <c r="P28" s="18"/>
      <c r="Q28" s="17" t="s">
        <v>3</v>
      </c>
      <c r="R28" s="20"/>
      <c r="S28" s="17" t="s">
        <v>3</v>
      </c>
      <c r="T28" s="20"/>
      <c r="U28" s="17" t="s">
        <v>3</v>
      </c>
      <c r="V28" s="20"/>
      <c r="W28" s="19" t="s">
        <v>3</v>
      </c>
      <c r="X28" s="23"/>
      <c r="Y28" s="23"/>
      <c r="Z28" s="23"/>
    </row>
    <row r="29" spans="1:26" ht="11.25">
      <c r="A29" s="15" t="s">
        <v>59</v>
      </c>
      <c r="B29" s="37">
        <v>0.24</v>
      </c>
      <c r="C29" s="37">
        <v>4.95</v>
      </c>
      <c r="D29" s="37">
        <v>0.42</v>
      </c>
      <c r="E29" s="37">
        <v>2.91</v>
      </c>
      <c r="F29" s="37">
        <v>19.74</v>
      </c>
      <c r="G29" s="37">
        <v>0.18</v>
      </c>
      <c r="H29" s="37">
        <v>0.18</v>
      </c>
      <c r="I29" s="37">
        <v>2.99</v>
      </c>
      <c r="J29" s="37">
        <v>2.14</v>
      </c>
      <c r="K29" s="17" t="s">
        <v>3</v>
      </c>
      <c r="L29" s="18">
        <v>33.75</v>
      </c>
      <c r="M29" s="17" t="s">
        <v>3</v>
      </c>
      <c r="N29" s="18">
        <v>121.81</v>
      </c>
      <c r="O29" s="17" t="s">
        <v>3</v>
      </c>
      <c r="P29" s="18">
        <v>34.74</v>
      </c>
      <c r="Q29" s="17" t="s">
        <v>3</v>
      </c>
      <c r="R29" s="20">
        <v>614</v>
      </c>
      <c r="S29" s="17" t="s">
        <v>3</v>
      </c>
      <c r="T29" s="20">
        <v>470</v>
      </c>
      <c r="U29" s="17" t="s">
        <v>3</v>
      </c>
      <c r="V29" s="20">
        <v>616</v>
      </c>
      <c r="W29" s="19" t="s">
        <v>3</v>
      </c>
      <c r="X29" s="23"/>
      <c r="Y29" s="23"/>
      <c r="Z29" s="23"/>
    </row>
    <row r="30" spans="1:26" ht="11.25">
      <c r="A30" s="15" t="s">
        <v>55</v>
      </c>
      <c r="B30" s="37">
        <v>0.86</v>
      </c>
      <c r="C30" s="37">
        <v>17.78</v>
      </c>
      <c r="D30" s="37">
        <v>1.51</v>
      </c>
      <c r="E30" s="37">
        <v>10.43</v>
      </c>
      <c r="F30" s="37">
        <v>70.86</v>
      </c>
      <c r="G30" s="37">
        <v>0.63</v>
      </c>
      <c r="H30" s="37">
        <v>0.63</v>
      </c>
      <c r="I30" s="37">
        <v>10.73</v>
      </c>
      <c r="J30" s="37">
        <v>7.68</v>
      </c>
      <c r="K30" s="17" t="s">
        <v>3</v>
      </c>
      <c r="L30" s="18">
        <v>121.13</v>
      </c>
      <c r="M30" s="17" t="s">
        <v>3</v>
      </c>
      <c r="N30" s="18">
        <v>209.11</v>
      </c>
      <c r="O30" s="17" t="s">
        <v>3</v>
      </c>
      <c r="P30" s="18">
        <v>198.06</v>
      </c>
      <c r="Q30" s="17" t="s">
        <v>3</v>
      </c>
      <c r="R30" s="20">
        <v>3978</v>
      </c>
      <c r="S30" s="17" t="s">
        <v>3</v>
      </c>
      <c r="T30" s="20">
        <v>2534</v>
      </c>
      <c r="U30" s="17" t="s">
        <v>3</v>
      </c>
      <c r="V30" s="20">
        <v>4008</v>
      </c>
      <c r="W30" s="19" t="s">
        <v>3</v>
      </c>
      <c r="X30" s="23"/>
      <c r="Y30" s="23"/>
      <c r="Z30" s="23"/>
    </row>
    <row r="31" spans="1:26" ht="11.25">
      <c r="A31" s="15" t="s">
        <v>56</v>
      </c>
      <c r="B31" s="37">
        <v>2.32</v>
      </c>
      <c r="C31" s="37">
        <v>47.91</v>
      </c>
      <c r="D31" s="37">
        <v>4.08</v>
      </c>
      <c r="E31" s="37">
        <v>28.1</v>
      </c>
      <c r="F31" s="37">
        <v>190.9</v>
      </c>
      <c r="G31" s="37">
        <v>1.7</v>
      </c>
      <c r="H31" s="37">
        <v>1.7</v>
      </c>
      <c r="I31" s="37">
        <v>28.91</v>
      </c>
      <c r="J31" s="37">
        <v>20.69</v>
      </c>
      <c r="K31" s="17" t="s">
        <v>3</v>
      </c>
      <c r="L31" s="18">
        <v>326.33</v>
      </c>
      <c r="M31" s="17" t="s">
        <v>3</v>
      </c>
      <c r="N31" s="18">
        <v>547.79</v>
      </c>
      <c r="O31" s="17" t="s">
        <v>3</v>
      </c>
      <c r="P31" s="18">
        <v>557.84</v>
      </c>
      <c r="Q31" s="17" t="s">
        <v>3</v>
      </c>
      <c r="R31" s="20">
        <v>9982</v>
      </c>
      <c r="S31" s="17" t="s">
        <v>3</v>
      </c>
      <c r="T31" s="20">
        <v>5536</v>
      </c>
      <c r="U31" s="17" t="s">
        <v>3</v>
      </c>
      <c r="V31" s="20">
        <v>9974</v>
      </c>
      <c r="W31" s="19" t="s">
        <v>3</v>
      </c>
      <c r="X31" s="23"/>
      <c r="Y31" s="23"/>
      <c r="Z31" s="23"/>
    </row>
    <row r="32" spans="1:26" ht="11.25">
      <c r="A32" s="15" t="s">
        <v>57</v>
      </c>
      <c r="B32" s="37">
        <v>0.29</v>
      </c>
      <c r="C32" s="37">
        <v>5.97</v>
      </c>
      <c r="D32" s="37">
        <v>0.51</v>
      </c>
      <c r="E32" s="37">
        <v>3.5</v>
      </c>
      <c r="F32" s="37">
        <v>23.8</v>
      </c>
      <c r="G32" s="37">
        <v>0.21</v>
      </c>
      <c r="H32" s="37">
        <v>0.21</v>
      </c>
      <c r="I32" s="37">
        <v>3.61</v>
      </c>
      <c r="J32" s="37">
        <v>2.58</v>
      </c>
      <c r="K32" s="17" t="s">
        <v>3</v>
      </c>
      <c r="L32" s="18">
        <v>40.69</v>
      </c>
      <c r="M32" s="17" t="s">
        <v>3</v>
      </c>
      <c r="N32" s="18">
        <v>33.46</v>
      </c>
      <c r="O32" s="17" t="s">
        <v>3</v>
      </c>
      <c r="P32" s="18">
        <v>114.36</v>
      </c>
      <c r="Q32" s="17" t="s">
        <v>3</v>
      </c>
      <c r="R32" s="20">
        <v>1827</v>
      </c>
      <c r="S32" s="17" t="s">
        <v>3</v>
      </c>
      <c r="T32" s="20">
        <v>560</v>
      </c>
      <c r="U32" s="17" t="s">
        <v>3</v>
      </c>
      <c r="V32" s="20">
        <v>1884</v>
      </c>
      <c r="W32" s="19" t="s">
        <v>3</v>
      </c>
      <c r="X32" s="23"/>
      <c r="Y32" s="23"/>
      <c r="Z32" s="23"/>
    </row>
    <row r="33" spans="1:26" ht="11.25">
      <c r="A33" s="15" t="s">
        <v>58</v>
      </c>
      <c r="B33" s="37">
        <v>0.38</v>
      </c>
      <c r="C33" s="37">
        <v>7.96</v>
      </c>
      <c r="D33" s="37">
        <v>0.68</v>
      </c>
      <c r="E33" s="37">
        <v>4.67</v>
      </c>
      <c r="F33" s="37">
        <v>31.71</v>
      </c>
      <c r="G33" s="37">
        <v>0.28</v>
      </c>
      <c r="H33" s="37">
        <v>0.28</v>
      </c>
      <c r="I33" s="37">
        <v>4.8</v>
      </c>
      <c r="J33" s="37">
        <v>3.44</v>
      </c>
      <c r="K33" s="17" t="s">
        <v>3</v>
      </c>
      <c r="L33" s="18">
        <v>54.21</v>
      </c>
      <c r="M33" s="17" t="s">
        <v>3</v>
      </c>
      <c r="N33" s="18">
        <v>56.56</v>
      </c>
      <c r="O33" s="17" t="s">
        <v>3</v>
      </c>
      <c r="P33" s="18">
        <v>68.12</v>
      </c>
      <c r="Q33" s="17" t="s">
        <v>3</v>
      </c>
      <c r="R33" s="20">
        <v>1060</v>
      </c>
      <c r="S33" s="17" t="s">
        <v>3</v>
      </c>
      <c r="T33" s="20">
        <v>486</v>
      </c>
      <c r="U33" s="17" t="s">
        <v>3</v>
      </c>
      <c r="V33" s="20">
        <v>1092</v>
      </c>
      <c r="W33" s="19" t="s">
        <v>3</v>
      </c>
      <c r="X33" s="23"/>
      <c r="Y33" s="23"/>
      <c r="Z33" s="23"/>
    </row>
    <row r="34" spans="1:26" ht="11.25">
      <c r="A34" s="15" t="s">
        <v>62</v>
      </c>
      <c r="B34" s="37">
        <v>2.58</v>
      </c>
      <c r="C34" s="37">
        <v>53.35</v>
      </c>
      <c r="D34" s="37">
        <v>4.54</v>
      </c>
      <c r="E34" s="37">
        <v>31.29</v>
      </c>
      <c r="F34" s="37">
        <v>212.6</v>
      </c>
      <c r="G34" s="37">
        <v>1.89</v>
      </c>
      <c r="H34" s="37">
        <v>1.89</v>
      </c>
      <c r="I34" s="37">
        <v>32.2</v>
      </c>
      <c r="J34" s="37">
        <v>23.04</v>
      </c>
      <c r="K34" s="17" t="s">
        <v>3</v>
      </c>
      <c r="L34" s="18">
        <v>363.42</v>
      </c>
      <c r="M34" s="17" t="s">
        <v>3</v>
      </c>
      <c r="N34" s="18">
        <v>553.77</v>
      </c>
      <c r="O34" s="17" t="s">
        <v>3</v>
      </c>
      <c r="P34" s="18">
        <v>620.03</v>
      </c>
      <c r="Q34" s="17" t="s">
        <v>3</v>
      </c>
      <c r="R34" s="20">
        <v>9036</v>
      </c>
      <c r="S34" s="17" t="s">
        <v>3</v>
      </c>
      <c r="T34" s="20">
        <v>5624</v>
      </c>
      <c r="U34" s="17" t="s">
        <v>3</v>
      </c>
      <c r="V34" s="20">
        <v>9035</v>
      </c>
      <c r="W34" s="19" t="s">
        <v>3</v>
      </c>
      <c r="X34" s="23"/>
      <c r="Y34" s="23"/>
      <c r="Z34" s="23"/>
    </row>
    <row r="35" spans="1:26" ht="11.25">
      <c r="A35" s="15" t="s">
        <v>63</v>
      </c>
      <c r="B35" s="37">
        <v>1</v>
      </c>
      <c r="C35" s="37">
        <v>20.68</v>
      </c>
      <c r="D35" s="37">
        <v>1.76</v>
      </c>
      <c r="E35" s="37">
        <v>12.13</v>
      </c>
      <c r="F35" s="37">
        <v>82.43</v>
      </c>
      <c r="G35" s="37">
        <v>0.73</v>
      </c>
      <c r="H35" s="37">
        <v>0.73</v>
      </c>
      <c r="I35" s="37">
        <v>12.48</v>
      </c>
      <c r="J35" s="37">
        <v>8.93</v>
      </c>
      <c r="K35" s="17" t="s">
        <v>3</v>
      </c>
      <c r="L35" s="18">
        <v>140.9</v>
      </c>
      <c r="M35" s="17" t="s">
        <v>3</v>
      </c>
      <c r="N35" s="18">
        <v>262.3</v>
      </c>
      <c r="O35" s="17" t="s">
        <v>3</v>
      </c>
      <c r="P35" s="18">
        <v>429.77</v>
      </c>
      <c r="Q35" s="17" t="s">
        <v>3</v>
      </c>
      <c r="R35" s="20">
        <v>6748</v>
      </c>
      <c r="S35" s="17" t="s">
        <v>3</v>
      </c>
      <c r="T35" s="20">
        <v>2684</v>
      </c>
      <c r="U35" s="17" t="s">
        <v>3</v>
      </c>
      <c r="V35" s="20">
        <v>6761</v>
      </c>
      <c r="W35" s="19" t="s">
        <v>3</v>
      </c>
      <c r="X35" s="23"/>
      <c r="Y35" s="23"/>
      <c r="Z35" s="23"/>
    </row>
    <row r="36" spans="1:26" ht="11.25">
      <c r="A36" s="15" t="s">
        <v>66</v>
      </c>
      <c r="B36" s="37">
        <v>3.3</v>
      </c>
      <c r="C36" s="37">
        <v>68.26</v>
      </c>
      <c r="D36" s="37">
        <v>5.81</v>
      </c>
      <c r="E36" s="37">
        <v>40.03</v>
      </c>
      <c r="F36" s="37">
        <v>272</v>
      </c>
      <c r="G36" s="37">
        <v>2.42</v>
      </c>
      <c r="H36" s="37">
        <v>2.42</v>
      </c>
      <c r="I36" s="37">
        <v>41.2</v>
      </c>
      <c r="J36" s="37">
        <v>29.48</v>
      </c>
      <c r="K36" s="17" t="s">
        <v>3</v>
      </c>
      <c r="L36" s="18">
        <v>464.96</v>
      </c>
      <c r="M36" s="17" t="s">
        <v>3</v>
      </c>
      <c r="N36" s="18">
        <v>584.64</v>
      </c>
      <c r="O36" s="17" t="s">
        <v>3</v>
      </c>
      <c r="P36" s="18">
        <v>1597.99</v>
      </c>
      <c r="Q36" s="17" t="s">
        <v>3</v>
      </c>
      <c r="R36" s="20">
        <v>23815</v>
      </c>
      <c r="S36" s="17" t="s">
        <v>3</v>
      </c>
      <c r="T36" s="20">
        <v>6471</v>
      </c>
      <c r="U36" s="17" t="s">
        <v>3</v>
      </c>
      <c r="V36" s="20">
        <v>23775</v>
      </c>
      <c r="W36" s="19" t="s">
        <v>3</v>
      </c>
      <c r="X36" s="23"/>
      <c r="Y36" s="23"/>
      <c r="Z36" s="23"/>
    </row>
    <row r="37" spans="1:26" ht="11.25">
      <c r="A37" s="15"/>
      <c r="B37" s="37" t="s">
        <v>4</v>
      </c>
      <c r="C37" s="37" t="s">
        <v>4</v>
      </c>
      <c r="D37" s="37" t="s">
        <v>4</v>
      </c>
      <c r="E37" s="37" t="s">
        <v>4</v>
      </c>
      <c r="F37" s="37" t="s">
        <v>4</v>
      </c>
      <c r="G37" s="37" t="s">
        <v>4</v>
      </c>
      <c r="H37" s="37" t="s">
        <v>4</v>
      </c>
      <c r="I37" s="37" t="s">
        <v>4</v>
      </c>
      <c r="J37" s="37" t="s">
        <v>4</v>
      </c>
      <c r="K37" s="17" t="s">
        <v>3</v>
      </c>
      <c r="L37" s="18">
        <v>0</v>
      </c>
      <c r="M37" s="17" t="s">
        <v>3</v>
      </c>
      <c r="N37" s="18">
        <v>0</v>
      </c>
      <c r="O37" s="17" t="s">
        <v>3</v>
      </c>
      <c r="P37" s="18">
        <v>0</v>
      </c>
      <c r="Q37" s="19" t="s">
        <v>3</v>
      </c>
      <c r="R37" s="20">
        <v>0</v>
      </c>
      <c r="S37" s="21" t="s">
        <v>3</v>
      </c>
      <c r="T37" s="20">
        <v>0</v>
      </c>
      <c r="U37" s="21" t="s">
        <v>3</v>
      </c>
      <c r="V37" s="20">
        <v>0</v>
      </c>
      <c r="W37" s="19" t="s">
        <v>3</v>
      </c>
      <c r="X37" s="23"/>
      <c r="Y37" s="23"/>
      <c r="Z37" s="23"/>
    </row>
    <row r="38" spans="1:26" ht="11.25">
      <c r="A38" s="15"/>
      <c r="B38" s="37" t="s">
        <v>4</v>
      </c>
      <c r="C38" s="37" t="s">
        <v>4</v>
      </c>
      <c r="D38" s="37" t="s">
        <v>4</v>
      </c>
      <c r="E38" s="37" t="s">
        <v>4</v>
      </c>
      <c r="F38" s="37" t="s">
        <v>4</v>
      </c>
      <c r="G38" s="37" t="s">
        <v>4</v>
      </c>
      <c r="H38" s="37" t="s">
        <v>4</v>
      </c>
      <c r="I38" s="37" t="s">
        <v>4</v>
      </c>
      <c r="J38" s="37" t="s">
        <v>4</v>
      </c>
      <c r="K38" s="17" t="s">
        <v>3</v>
      </c>
      <c r="L38" s="18">
        <v>0</v>
      </c>
      <c r="M38" s="17" t="s">
        <v>3</v>
      </c>
      <c r="N38" s="18">
        <v>0</v>
      </c>
      <c r="O38" s="17" t="s">
        <v>3</v>
      </c>
      <c r="P38" s="18">
        <v>0</v>
      </c>
      <c r="Q38" s="19" t="s">
        <v>3</v>
      </c>
      <c r="R38" s="20">
        <v>0</v>
      </c>
      <c r="S38" s="21" t="s">
        <v>3</v>
      </c>
      <c r="T38" s="20">
        <v>0</v>
      </c>
      <c r="U38" s="21" t="s">
        <v>3</v>
      </c>
      <c r="V38" s="20">
        <v>0</v>
      </c>
      <c r="W38" s="19" t="s">
        <v>3</v>
      </c>
      <c r="X38" s="23"/>
      <c r="Y38" s="23"/>
      <c r="Z38" s="23"/>
    </row>
    <row r="39" spans="1:26" ht="11.25">
      <c r="A39" s="15"/>
      <c r="B39" s="16" t="s">
        <v>4</v>
      </c>
      <c r="C39" s="16" t="s">
        <v>4</v>
      </c>
      <c r="D39" s="16" t="s">
        <v>4</v>
      </c>
      <c r="E39" s="16" t="s">
        <v>4</v>
      </c>
      <c r="F39" s="16" t="s">
        <v>4</v>
      </c>
      <c r="G39" s="16" t="s">
        <v>4</v>
      </c>
      <c r="H39" s="16" t="s">
        <v>4</v>
      </c>
      <c r="I39" s="16" t="s">
        <v>4</v>
      </c>
      <c r="J39" s="16" t="s">
        <v>4</v>
      </c>
      <c r="K39" s="17" t="s">
        <v>3</v>
      </c>
      <c r="L39" s="18">
        <v>0</v>
      </c>
      <c r="M39" s="17" t="s">
        <v>3</v>
      </c>
      <c r="N39" s="18">
        <v>0</v>
      </c>
      <c r="O39" s="17" t="s">
        <v>3</v>
      </c>
      <c r="P39" s="18">
        <v>0</v>
      </c>
      <c r="Q39" s="19" t="s">
        <v>3</v>
      </c>
      <c r="R39" s="20">
        <v>0</v>
      </c>
      <c r="S39" s="21" t="s">
        <v>3</v>
      </c>
      <c r="T39" s="20">
        <v>0</v>
      </c>
      <c r="U39" s="21" t="s">
        <v>3</v>
      </c>
      <c r="V39" s="20">
        <v>0</v>
      </c>
      <c r="W39" s="19" t="s">
        <v>3</v>
      </c>
      <c r="X39" s="23"/>
      <c r="Y39" s="23"/>
      <c r="Z39" s="23"/>
    </row>
    <row r="40" spans="1:26" ht="11.25">
      <c r="A40" s="4"/>
      <c r="B40" s="26"/>
      <c r="C40" s="26"/>
      <c r="D40" s="26"/>
      <c r="E40" s="26"/>
      <c r="F40" s="26"/>
      <c r="G40" s="26"/>
      <c r="H40" s="26"/>
      <c r="I40" s="26"/>
      <c r="J40" s="26"/>
      <c r="K40" s="27"/>
      <c r="L40" s="41"/>
      <c r="M40" s="27"/>
      <c r="N40" s="41"/>
      <c r="O40" s="27"/>
      <c r="P40" s="41"/>
      <c r="Q40" s="4"/>
      <c r="R40" s="5"/>
      <c r="S40" s="5"/>
      <c r="T40" s="5"/>
      <c r="U40" s="5"/>
      <c r="V40" s="5"/>
      <c r="W40" s="4"/>
      <c r="X40" s="4"/>
      <c r="Y40" s="4"/>
      <c r="Z40" s="4"/>
    </row>
    <row r="41" spans="1:26" ht="11.25">
      <c r="A41" s="4" t="s">
        <v>67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41">
        <v>4061.08</v>
      </c>
      <c r="M41" s="41"/>
      <c r="N41" s="41">
        <v>6692.55</v>
      </c>
      <c r="O41" s="41"/>
      <c r="P41" s="41">
        <v>8859.59</v>
      </c>
      <c r="Q41" s="41"/>
      <c r="R41" s="2">
        <v>136148</v>
      </c>
      <c r="S41" s="5"/>
      <c r="T41" s="2">
        <v>74197</v>
      </c>
      <c r="U41" s="5"/>
      <c r="V41" s="2">
        <v>138926</v>
      </c>
      <c r="W41" s="4"/>
      <c r="X41" s="4"/>
      <c r="Y41" s="4"/>
      <c r="Z41" s="4"/>
    </row>
    <row r="42" spans="1:26" ht="11.25">
      <c r="A42" s="4"/>
      <c r="B42" s="27"/>
      <c r="C42" s="27"/>
      <c r="D42" s="27"/>
      <c r="E42" s="27"/>
      <c r="F42" s="28"/>
      <c r="G42" s="28"/>
      <c r="H42" s="28"/>
      <c r="I42" s="28"/>
      <c r="J42" s="28"/>
      <c r="K42" s="29" t="s">
        <v>3</v>
      </c>
      <c r="L42" s="30" t="s">
        <v>4</v>
      </c>
      <c r="M42" s="27"/>
      <c r="N42" s="27"/>
      <c r="O42" s="27"/>
      <c r="P42" s="27"/>
      <c r="Q42" s="6" t="s">
        <v>3</v>
      </c>
      <c r="R42" s="7" t="s">
        <v>9</v>
      </c>
      <c r="S42" s="4"/>
      <c r="T42" s="4"/>
      <c r="U42" s="4"/>
      <c r="V42" s="4"/>
      <c r="W42" s="4"/>
      <c r="X42" s="7" t="s">
        <v>9</v>
      </c>
      <c r="Y42" s="4"/>
      <c r="Z42" s="4"/>
    </row>
    <row r="43" spans="1:26" ht="11.25">
      <c r="A43" s="7" t="s">
        <v>41</v>
      </c>
      <c r="B43" s="27"/>
      <c r="C43" s="27"/>
      <c r="D43" s="27"/>
      <c r="E43" s="27"/>
      <c r="F43" s="27"/>
      <c r="G43" s="27"/>
      <c r="H43" s="27"/>
      <c r="I43" s="27"/>
      <c r="J43" s="27"/>
      <c r="K43" s="29" t="s">
        <v>3</v>
      </c>
      <c r="L43" s="30" t="s">
        <v>42</v>
      </c>
      <c r="M43" s="27"/>
      <c r="N43" s="27"/>
      <c r="O43" s="27"/>
      <c r="P43" s="30" t="s">
        <v>4</v>
      </c>
      <c r="Q43" s="6" t="s">
        <v>3</v>
      </c>
      <c r="R43" s="7" t="s">
        <v>43</v>
      </c>
      <c r="S43" s="4"/>
      <c r="T43" s="4"/>
      <c r="U43" s="6" t="s">
        <v>3</v>
      </c>
      <c r="V43" s="7"/>
      <c r="W43" s="6" t="s">
        <v>3</v>
      </c>
      <c r="X43" s="7" t="s">
        <v>44</v>
      </c>
      <c r="Y43" s="4"/>
      <c r="Z43" s="4"/>
    </row>
    <row r="44" spans="1:26" ht="11.25">
      <c r="A44" s="3" t="s">
        <v>11</v>
      </c>
      <c r="B44" s="31" t="s">
        <v>12</v>
      </c>
      <c r="C44" s="31" t="s">
        <v>13</v>
      </c>
      <c r="D44" s="31" t="s">
        <v>14</v>
      </c>
      <c r="E44" s="31" t="s">
        <v>15</v>
      </c>
      <c r="F44" s="31" t="s">
        <v>16</v>
      </c>
      <c r="G44" s="31" t="s">
        <v>17</v>
      </c>
      <c r="H44" s="31" t="s">
        <v>18</v>
      </c>
      <c r="I44" s="31" t="s">
        <v>60</v>
      </c>
      <c r="J44" s="31" t="s">
        <v>61</v>
      </c>
      <c r="K44" s="29" t="s">
        <v>3</v>
      </c>
      <c r="L44" s="30" t="s">
        <v>20</v>
      </c>
      <c r="M44" s="29" t="s">
        <v>3</v>
      </c>
      <c r="N44" s="30" t="s">
        <v>21</v>
      </c>
      <c r="O44" s="29" t="s">
        <v>3</v>
      </c>
      <c r="P44" s="30" t="s">
        <v>22</v>
      </c>
      <c r="Q44" s="6" t="s">
        <v>3</v>
      </c>
      <c r="R44" s="3"/>
      <c r="S44" s="6" t="s">
        <v>3</v>
      </c>
      <c r="T44" s="3"/>
      <c r="U44" s="6" t="s">
        <v>3</v>
      </c>
      <c r="V44" s="3"/>
      <c r="W44" s="6" t="s">
        <v>3</v>
      </c>
      <c r="X44" s="3"/>
      <c r="Y44" s="6" t="s">
        <v>3</v>
      </c>
      <c r="Z44" s="3"/>
    </row>
    <row r="45" spans="1:26" ht="11.25">
      <c r="A45" s="13" t="s">
        <v>24</v>
      </c>
      <c r="B45" s="32" t="s">
        <v>24</v>
      </c>
      <c r="C45" s="32" t="s">
        <v>24</v>
      </c>
      <c r="D45" s="32" t="s">
        <v>24</v>
      </c>
      <c r="E45" s="32" t="s">
        <v>24</v>
      </c>
      <c r="F45" s="32" t="s">
        <v>24</v>
      </c>
      <c r="G45" s="32" t="s">
        <v>24</v>
      </c>
      <c r="H45" s="32" t="s">
        <v>24</v>
      </c>
      <c r="I45" s="32" t="s">
        <v>24</v>
      </c>
      <c r="J45" s="32" t="s">
        <v>24</v>
      </c>
      <c r="K45" s="32" t="s">
        <v>24</v>
      </c>
      <c r="L45" s="32" t="s">
        <v>24</v>
      </c>
      <c r="M45" s="32" t="s">
        <v>24</v>
      </c>
      <c r="N45" s="32" t="s">
        <v>24</v>
      </c>
      <c r="O45" s="32" t="s">
        <v>24</v>
      </c>
      <c r="P45" s="32" t="s">
        <v>24</v>
      </c>
      <c r="Q45" s="13" t="s">
        <v>24</v>
      </c>
      <c r="R45" s="13" t="s">
        <v>24</v>
      </c>
      <c r="S45" s="13" t="s">
        <v>24</v>
      </c>
      <c r="T45" s="13" t="s">
        <v>24</v>
      </c>
      <c r="U45" s="13" t="s">
        <v>24</v>
      </c>
      <c r="V45" s="13" t="s">
        <v>24</v>
      </c>
      <c r="W45" s="13" t="s">
        <v>24</v>
      </c>
      <c r="X45" s="13" t="s">
        <v>24</v>
      </c>
      <c r="Y45" s="13" t="s">
        <v>24</v>
      </c>
      <c r="Z45" s="13" t="s">
        <v>24</v>
      </c>
    </row>
    <row r="46" spans="1:26" ht="11.25">
      <c r="A46" s="15" t="s">
        <v>25</v>
      </c>
      <c r="B46" s="16" t="s">
        <v>4</v>
      </c>
      <c r="C46" s="16" t="s">
        <v>4</v>
      </c>
      <c r="D46" s="16" t="s">
        <v>4</v>
      </c>
      <c r="E46" s="16" t="s">
        <v>4</v>
      </c>
      <c r="F46" s="16" t="s">
        <v>4</v>
      </c>
      <c r="G46" s="16" t="s">
        <v>4</v>
      </c>
      <c r="H46" s="16" t="s">
        <v>4</v>
      </c>
      <c r="I46" s="16" t="s">
        <v>4</v>
      </c>
      <c r="J46" s="16" t="s">
        <v>4</v>
      </c>
      <c r="K46" s="17" t="s">
        <v>3</v>
      </c>
      <c r="L46" s="18">
        <v>0</v>
      </c>
      <c r="M46" s="17" t="s">
        <v>3</v>
      </c>
      <c r="N46" s="18"/>
      <c r="O46" s="17" t="s">
        <v>3</v>
      </c>
      <c r="P46" s="18"/>
      <c r="Q46" s="19" t="s">
        <v>3</v>
      </c>
      <c r="R46" s="22"/>
      <c r="S46" s="19" t="s">
        <v>3</v>
      </c>
      <c r="T46" s="23"/>
      <c r="U46" s="19" t="s">
        <v>3</v>
      </c>
      <c r="V46" s="23"/>
      <c r="W46" s="19" t="s">
        <v>3</v>
      </c>
      <c r="X46" s="23"/>
      <c r="Y46" s="19" t="s">
        <v>3</v>
      </c>
      <c r="Z46" s="23"/>
    </row>
    <row r="47" spans="1:26" ht="11.25">
      <c r="A47" s="15" t="s">
        <v>64</v>
      </c>
      <c r="B47" s="16" t="s">
        <v>4</v>
      </c>
      <c r="C47" s="16" t="s">
        <v>4</v>
      </c>
      <c r="D47" s="16" t="s">
        <v>4</v>
      </c>
      <c r="E47" s="16" t="s">
        <v>4</v>
      </c>
      <c r="F47" s="16" t="s">
        <v>4</v>
      </c>
      <c r="G47" s="16" t="s">
        <v>4</v>
      </c>
      <c r="H47" s="16" t="s">
        <v>4</v>
      </c>
      <c r="I47" s="16" t="s">
        <v>4</v>
      </c>
      <c r="J47" s="16" t="s">
        <v>4</v>
      </c>
      <c r="K47" s="17" t="s">
        <v>3</v>
      </c>
      <c r="L47" s="18">
        <v>0</v>
      </c>
      <c r="M47" s="17" t="s">
        <v>3</v>
      </c>
      <c r="N47" s="18"/>
      <c r="O47" s="17" t="s">
        <v>3</v>
      </c>
      <c r="P47" s="18"/>
      <c r="Q47" s="19" t="s">
        <v>3</v>
      </c>
      <c r="R47" s="22"/>
      <c r="S47" s="19" t="s">
        <v>3</v>
      </c>
      <c r="T47" s="23"/>
      <c r="U47" s="19" t="s">
        <v>3</v>
      </c>
      <c r="V47" s="23"/>
      <c r="W47" s="19" t="s">
        <v>3</v>
      </c>
      <c r="X47" s="23"/>
      <c r="Y47" s="19" t="s">
        <v>3</v>
      </c>
      <c r="Z47" s="23"/>
    </row>
    <row r="48" spans="1:26" ht="11.25">
      <c r="A48" s="15" t="s">
        <v>27</v>
      </c>
      <c r="B48" s="38">
        <v>1.42</v>
      </c>
      <c r="C48" s="38">
        <v>29.28</v>
      </c>
      <c r="D48" s="38">
        <v>2.49</v>
      </c>
      <c r="E48" s="38">
        <v>17.17</v>
      </c>
      <c r="F48" s="38">
        <v>116.67</v>
      </c>
      <c r="G48" s="38">
        <v>1.04</v>
      </c>
      <c r="H48" s="38">
        <v>1.04</v>
      </c>
      <c r="I48" s="38">
        <v>17.67</v>
      </c>
      <c r="J48" s="37"/>
      <c r="K48" s="17" t="s">
        <v>3</v>
      </c>
      <c r="L48" s="18">
        <v>199.44</v>
      </c>
      <c r="M48" s="17" t="s">
        <v>3</v>
      </c>
      <c r="N48" s="18"/>
      <c r="O48" s="17" t="s">
        <v>3</v>
      </c>
      <c r="P48" s="18"/>
      <c r="Q48" s="19" t="s">
        <v>3</v>
      </c>
      <c r="R48" s="22"/>
      <c r="S48" s="19" t="s">
        <v>3</v>
      </c>
      <c r="T48" s="23"/>
      <c r="U48" s="19" t="s">
        <v>3</v>
      </c>
      <c r="V48" s="23"/>
      <c r="W48" s="19" t="s">
        <v>3</v>
      </c>
      <c r="X48" s="23"/>
      <c r="Y48" s="19" t="s">
        <v>3</v>
      </c>
      <c r="Z48" s="23"/>
    </row>
    <row r="49" spans="1:26" ht="11.25">
      <c r="A49" s="15" t="s">
        <v>29</v>
      </c>
      <c r="B49" s="38">
        <v>0.06</v>
      </c>
      <c r="C49" s="38">
        <v>1.25</v>
      </c>
      <c r="D49" s="38">
        <v>0.11</v>
      </c>
      <c r="E49" s="38">
        <v>0.73</v>
      </c>
      <c r="F49" s="38">
        <v>4.99</v>
      </c>
      <c r="G49" s="38">
        <v>0.04</v>
      </c>
      <c r="H49" s="38">
        <v>0.04</v>
      </c>
      <c r="I49" s="38">
        <v>0.76</v>
      </c>
      <c r="J49" s="37"/>
      <c r="K49" s="17" t="s">
        <v>3</v>
      </c>
      <c r="L49" s="18">
        <v>8.53</v>
      </c>
      <c r="M49" s="17" t="s">
        <v>3</v>
      </c>
      <c r="N49" s="18"/>
      <c r="O49" s="17" t="s">
        <v>3</v>
      </c>
      <c r="P49" s="18"/>
      <c r="Q49" s="19" t="s">
        <v>3</v>
      </c>
      <c r="R49" s="22"/>
      <c r="S49" s="19" t="s">
        <v>3</v>
      </c>
      <c r="T49" s="23"/>
      <c r="U49" s="19" t="s">
        <v>3</v>
      </c>
      <c r="V49" s="23"/>
      <c r="W49" s="19" t="s">
        <v>3</v>
      </c>
      <c r="X49" s="23"/>
      <c r="Y49" s="19" t="s">
        <v>3</v>
      </c>
      <c r="Z49" s="23"/>
    </row>
    <row r="50" spans="1:26" ht="11.25">
      <c r="A50" s="15" t="s">
        <v>31</v>
      </c>
      <c r="B50" s="38">
        <v>0.08</v>
      </c>
      <c r="C50" s="38">
        <v>1.72</v>
      </c>
      <c r="D50" s="38">
        <v>0.15</v>
      </c>
      <c r="E50" s="38">
        <v>1.01</v>
      </c>
      <c r="F50" s="38">
        <v>6.86</v>
      </c>
      <c r="G50" s="38">
        <v>0.06</v>
      </c>
      <c r="H50" s="38">
        <v>0.06</v>
      </c>
      <c r="I50" s="38">
        <v>1.04</v>
      </c>
      <c r="J50" s="37"/>
      <c r="K50" s="17" t="s">
        <v>3</v>
      </c>
      <c r="L50" s="18">
        <v>11.73</v>
      </c>
      <c r="M50" s="17" t="s">
        <v>3</v>
      </c>
      <c r="N50" s="18"/>
      <c r="O50" s="17" t="s">
        <v>3</v>
      </c>
      <c r="P50" s="18"/>
      <c r="Q50" s="19" t="s">
        <v>3</v>
      </c>
      <c r="R50" s="40"/>
      <c r="S50" s="19" t="s">
        <v>3</v>
      </c>
      <c r="T50" s="23"/>
      <c r="U50" s="19" t="s">
        <v>3</v>
      </c>
      <c r="V50" s="23"/>
      <c r="W50" s="19" t="s">
        <v>3</v>
      </c>
      <c r="X50" s="23"/>
      <c r="Y50" s="19" t="s">
        <v>3</v>
      </c>
      <c r="Z50" s="23"/>
    </row>
    <row r="51" spans="1:26" ht="11.25">
      <c r="A51" s="15" t="s">
        <v>33</v>
      </c>
      <c r="B51" s="38">
        <v>0.07</v>
      </c>
      <c r="C51" s="38">
        <v>1.55</v>
      </c>
      <c r="D51" s="38">
        <v>0.13</v>
      </c>
      <c r="E51" s="38">
        <v>0.91</v>
      </c>
      <c r="F51" s="38">
        <v>6.16</v>
      </c>
      <c r="G51" s="38">
        <v>0.05</v>
      </c>
      <c r="H51" s="38">
        <v>0.05</v>
      </c>
      <c r="I51" s="38">
        <v>0.93</v>
      </c>
      <c r="J51" s="37"/>
      <c r="K51" s="17" t="s">
        <v>3</v>
      </c>
      <c r="L51" s="18">
        <v>10.53</v>
      </c>
      <c r="M51" s="17" t="s">
        <v>3</v>
      </c>
      <c r="N51" s="18"/>
      <c r="O51" s="17" t="s">
        <v>3</v>
      </c>
      <c r="P51" s="18"/>
      <c r="Q51" s="19" t="s">
        <v>3</v>
      </c>
      <c r="R51" s="22"/>
      <c r="S51" s="19" t="s">
        <v>3</v>
      </c>
      <c r="T51" s="23"/>
      <c r="U51" s="19" t="s">
        <v>3</v>
      </c>
      <c r="V51" s="23"/>
      <c r="W51" s="19" t="s">
        <v>3</v>
      </c>
      <c r="X51" s="23"/>
      <c r="Y51" s="19" t="s">
        <v>3</v>
      </c>
      <c r="Z51" s="23"/>
    </row>
    <row r="52" spans="1:26" ht="11.25">
      <c r="A52" s="15" t="s">
        <v>34</v>
      </c>
      <c r="B52" s="38">
        <v>0.02</v>
      </c>
      <c r="C52" s="38">
        <v>0.51</v>
      </c>
      <c r="D52" s="38">
        <v>0.04</v>
      </c>
      <c r="E52" s="38">
        <v>0.3</v>
      </c>
      <c r="F52" s="38">
        <v>2.04</v>
      </c>
      <c r="G52" s="38">
        <v>0.02</v>
      </c>
      <c r="H52" s="38">
        <v>0.02</v>
      </c>
      <c r="I52" s="38">
        <v>0.31</v>
      </c>
      <c r="J52" s="37"/>
      <c r="K52" s="17" t="s">
        <v>3</v>
      </c>
      <c r="L52" s="18">
        <v>3.48</v>
      </c>
      <c r="M52" s="17" t="s">
        <v>3</v>
      </c>
      <c r="N52" s="18"/>
      <c r="O52" s="17" t="s">
        <v>3</v>
      </c>
      <c r="P52" s="18"/>
      <c r="Q52" s="19" t="s">
        <v>3</v>
      </c>
      <c r="R52" s="23"/>
      <c r="S52" s="19" t="s">
        <v>3</v>
      </c>
      <c r="T52" s="23"/>
      <c r="U52" s="19" t="s">
        <v>3</v>
      </c>
      <c r="V52" s="23"/>
      <c r="W52" s="19" t="s">
        <v>3</v>
      </c>
      <c r="X52" s="23"/>
      <c r="Y52" s="19" t="s">
        <v>3</v>
      </c>
      <c r="Z52" s="23"/>
    </row>
    <row r="53" spans="1:26" ht="11.25">
      <c r="A53" s="15" t="s">
        <v>36</v>
      </c>
      <c r="B53" s="38">
        <v>0.07</v>
      </c>
      <c r="C53" s="38">
        <v>1.47</v>
      </c>
      <c r="D53" s="38">
        <v>0.13</v>
      </c>
      <c r="E53" s="38">
        <v>0.86</v>
      </c>
      <c r="F53" s="38">
        <v>5.85</v>
      </c>
      <c r="G53" s="38">
        <v>0.05</v>
      </c>
      <c r="H53" s="38">
        <v>0.05</v>
      </c>
      <c r="I53" s="38">
        <v>0.89</v>
      </c>
      <c r="J53" s="37"/>
      <c r="K53" s="17" t="s">
        <v>3</v>
      </c>
      <c r="L53" s="18">
        <v>10</v>
      </c>
      <c r="M53" s="17" t="s">
        <v>3</v>
      </c>
      <c r="N53" s="18"/>
      <c r="O53" s="17" t="s">
        <v>3</v>
      </c>
      <c r="P53" s="18"/>
      <c r="Q53" s="19" t="s">
        <v>3</v>
      </c>
      <c r="R53" s="23"/>
      <c r="S53" s="19" t="s">
        <v>3</v>
      </c>
      <c r="T53" s="23"/>
      <c r="U53" s="19" t="s">
        <v>3</v>
      </c>
      <c r="V53" s="23"/>
      <c r="W53" s="19" t="s">
        <v>3</v>
      </c>
      <c r="X53" s="23"/>
      <c r="Y53" s="19" t="s">
        <v>3</v>
      </c>
      <c r="Z53" s="23"/>
    </row>
    <row r="54" spans="1:26" ht="11.25">
      <c r="A54" s="15" t="s">
        <v>37</v>
      </c>
      <c r="B54" s="38">
        <v>0</v>
      </c>
      <c r="C54" s="38">
        <v>0.07</v>
      </c>
      <c r="D54" s="38">
        <v>0.01</v>
      </c>
      <c r="E54" s="38">
        <v>0.04</v>
      </c>
      <c r="F54" s="38">
        <v>0.26</v>
      </c>
      <c r="G54" s="38">
        <v>0</v>
      </c>
      <c r="H54" s="38">
        <v>0</v>
      </c>
      <c r="I54" s="38">
        <v>0.04</v>
      </c>
      <c r="J54" s="37"/>
      <c r="K54" s="17" t="s">
        <v>3</v>
      </c>
      <c r="L54" s="18">
        <v>0.45</v>
      </c>
      <c r="M54" s="17" t="s">
        <v>3</v>
      </c>
      <c r="N54" s="18"/>
      <c r="O54" s="17" t="s">
        <v>3</v>
      </c>
      <c r="P54" s="18"/>
      <c r="Q54" s="19" t="s">
        <v>3</v>
      </c>
      <c r="R54" s="23"/>
      <c r="S54" s="19" t="s">
        <v>3</v>
      </c>
      <c r="T54" s="23"/>
      <c r="U54" s="19" t="s">
        <v>3</v>
      </c>
      <c r="V54" s="23"/>
      <c r="W54" s="19" t="s">
        <v>3</v>
      </c>
      <c r="X54" s="23"/>
      <c r="Y54" s="19" t="s">
        <v>3</v>
      </c>
      <c r="Z54" s="23"/>
    </row>
    <row r="55" spans="1:26" ht="11.25">
      <c r="A55" s="15" t="s">
        <v>38</v>
      </c>
      <c r="B55" s="38">
        <v>0.02</v>
      </c>
      <c r="C55" s="38">
        <v>0.41</v>
      </c>
      <c r="D55" s="38">
        <v>0.04</v>
      </c>
      <c r="E55" s="38">
        <v>0.24</v>
      </c>
      <c r="F55" s="38">
        <v>1.64</v>
      </c>
      <c r="G55" s="38">
        <v>0.01</v>
      </c>
      <c r="H55" s="38">
        <v>0.01</v>
      </c>
      <c r="I55" s="38">
        <v>0.25</v>
      </c>
      <c r="J55" s="37"/>
      <c r="K55" s="17" t="s">
        <v>3</v>
      </c>
      <c r="L55" s="18">
        <v>2.8</v>
      </c>
      <c r="M55" s="17" t="s">
        <v>3</v>
      </c>
      <c r="N55" s="18"/>
      <c r="O55" s="17" t="s">
        <v>3</v>
      </c>
      <c r="P55" s="18"/>
      <c r="Q55" s="19" t="s">
        <v>3</v>
      </c>
      <c r="R55" s="23"/>
      <c r="S55" s="19" t="s">
        <v>3</v>
      </c>
      <c r="T55" s="23"/>
      <c r="U55" s="19" t="s">
        <v>3</v>
      </c>
      <c r="V55" s="23"/>
      <c r="W55" s="19" t="s">
        <v>3</v>
      </c>
      <c r="X55" s="23"/>
      <c r="Y55" s="19" t="s">
        <v>3</v>
      </c>
      <c r="Z55" s="23"/>
    </row>
    <row r="56" spans="1:26" ht="11.25">
      <c r="A56" s="15" t="s">
        <v>39</v>
      </c>
      <c r="B56" s="38">
        <v>0.14</v>
      </c>
      <c r="C56" s="38">
        <v>2.8</v>
      </c>
      <c r="D56" s="38">
        <v>0.24</v>
      </c>
      <c r="E56" s="38">
        <v>1.64</v>
      </c>
      <c r="F56" s="38">
        <v>11.17</v>
      </c>
      <c r="G56" s="38">
        <v>0.1</v>
      </c>
      <c r="H56" s="38">
        <v>0.1</v>
      </c>
      <c r="I56" s="38">
        <v>1.69</v>
      </c>
      <c r="J56" s="37"/>
      <c r="K56" s="17" t="s">
        <v>3</v>
      </c>
      <c r="L56" s="18">
        <v>19.1</v>
      </c>
      <c r="M56" s="17" t="s">
        <v>3</v>
      </c>
      <c r="N56" s="18"/>
      <c r="O56" s="17" t="s">
        <v>3</v>
      </c>
      <c r="P56" s="18"/>
      <c r="Q56" s="19" t="s">
        <v>3</v>
      </c>
      <c r="R56" s="23"/>
      <c r="S56" s="19" t="s">
        <v>3</v>
      </c>
      <c r="T56" s="23"/>
      <c r="U56" s="19" t="s">
        <v>3</v>
      </c>
      <c r="V56" s="23"/>
      <c r="W56" s="19" t="s">
        <v>3</v>
      </c>
      <c r="X56" s="23"/>
      <c r="Y56" s="19" t="s">
        <v>3</v>
      </c>
      <c r="Z56" s="23"/>
    </row>
    <row r="57" spans="1:26" ht="11.25">
      <c r="A57" s="15" t="s">
        <v>59</v>
      </c>
      <c r="B57" s="38">
        <v>0</v>
      </c>
      <c r="C57" s="38">
        <v>0.1</v>
      </c>
      <c r="D57" s="38">
        <v>0.01</v>
      </c>
      <c r="E57" s="38">
        <v>0.06</v>
      </c>
      <c r="F57" s="38">
        <v>0.38</v>
      </c>
      <c r="G57" s="38">
        <v>0</v>
      </c>
      <c r="H57" s="38">
        <v>0</v>
      </c>
      <c r="I57" s="38">
        <v>0.06</v>
      </c>
      <c r="J57" s="37"/>
      <c r="K57" s="17" t="s">
        <v>3</v>
      </c>
      <c r="L57" s="18">
        <v>0.65</v>
      </c>
      <c r="M57" s="17" t="s">
        <v>3</v>
      </c>
      <c r="N57" s="18"/>
      <c r="O57" s="17" t="s">
        <v>3</v>
      </c>
      <c r="P57" s="18"/>
      <c r="Q57" s="19" t="s">
        <v>3</v>
      </c>
      <c r="R57" s="23"/>
      <c r="S57" s="19" t="s">
        <v>3</v>
      </c>
      <c r="T57" s="23"/>
      <c r="U57" s="19" t="s">
        <v>3</v>
      </c>
      <c r="V57" s="23"/>
      <c r="W57" s="19" t="s">
        <v>3</v>
      </c>
      <c r="X57" s="23"/>
      <c r="Y57" s="19" t="s">
        <v>3</v>
      </c>
      <c r="Z57" s="23"/>
    </row>
    <row r="58" spans="1:26" ht="11.25">
      <c r="A58" s="15" t="s">
        <v>55</v>
      </c>
      <c r="B58" s="38">
        <v>0.3</v>
      </c>
      <c r="C58" s="38">
        <v>6.3</v>
      </c>
      <c r="D58" s="38">
        <v>0.54</v>
      </c>
      <c r="E58" s="38">
        <v>3.7</v>
      </c>
      <c r="F58" s="38">
        <v>25.11</v>
      </c>
      <c r="G58" s="38">
        <v>0.22</v>
      </c>
      <c r="H58" s="38">
        <v>0.22</v>
      </c>
      <c r="I58" s="38">
        <v>3.8</v>
      </c>
      <c r="J58" s="37"/>
      <c r="K58" s="17" t="s">
        <v>3</v>
      </c>
      <c r="L58" s="18">
        <v>42.92</v>
      </c>
      <c r="M58" s="17" t="s">
        <v>3</v>
      </c>
      <c r="N58" s="18"/>
      <c r="O58" s="17" t="s">
        <v>3</v>
      </c>
      <c r="P58" s="18"/>
      <c r="Q58" s="19" t="s">
        <v>3</v>
      </c>
      <c r="R58" s="23"/>
      <c r="S58" s="19" t="s">
        <v>3</v>
      </c>
      <c r="T58" s="23"/>
      <c r="U58" s="19" t="s">
        <v>3</v>
      </c>
      <c r="V58" s="23"/>
      <c r="W58" s="19" t="s">
        <v>3</v>
      </c>
      <c r="X58" s="23"/>
      <c r="Y58" s="19" t="s">
        <v>3</v>
      </c>
      <c r="Z58" s="23"/>
    </row>
    <row r="59" spans="1:26" ht="11.25">
      <c r="A59" s="15" t="s">
        <v>56</v>
      </c>
      <c r="B59" s="38">
        <v>0.18</v>
      </c>
      <c r="C59" s="38">
        <v>3.81</v>
      </c>
      <c r="D59" s="38">
        <v>0.32</v>
      </c>
      <c r="E59" s="38">
        <v>2.24</v>
      </c>
      <c r="F59" s="38">
        <v>15.2</v>
      </c>
      <c r="G59" s="38">
        <v>0.14</v>
      </c>
      <c r="H59" s="38">
        <v>0.14</v>
      </c>
      <c r="I59" s="38">
        <v>2.3</v>
      </c>
      <c r="J59" s="37"/>
      <c r="K59" s="17" t="s">
        <v>3</v>
      </c>
      <c r="L59" s="18">
        <v>25.98</v>
      </c>
      <c r="M59" s="17" t="s">
        <v>3</v>
      </c>
      <c r="N59" s="18"/>
      <c r="O59" s="17" t="s">
        <v>3</v>
      </c>
      <c r="P59" s="18"/>
      <c r="Q59" s="19" t="s">
        <v>3</v>
      </c>
      <c r="R59" s="23"/>
      <c r="S59" s="19" t="s">
        <v>3</v>
      </c>
      <c r="T59" s="23"/>
      <c r="U59" s="19" t="s">
        <v>3</v>
      </c>
      <c r="V59" s="23"/>
      <c r="W59" s="19" t="s">
        <v>3</v>
      </c>
      <c r="X59" s="23"/>
      <c r="Y59" s="19" t="s">
        <v>3</v>
      </c>
      <c r="Z59" s="23"/>
    </row>
    <row r="60" spans="1:26" ht="11.25">
      <c r="A60" s="15" t="s">
        <v>57</v>
      </c>
      <c r="B60" s="38" t="s">
        <v>4</v>
      </c>
      <c r="C60" s="38" t="s">
        <v>4</v>
      </c>
      <c r="D60" s="38" t="s">
        <v>4</v>
      </c>
      <c r="E60" s="38" t="s">
        <v>4</v>
      </c>
      <c r="F60" s="38" t="s">
        <v>4</v>
      </c>
      <c r="G60" s="38" t="s">
        <v>4</v>
      </c>
      <c r="H60" s="38" t="s">
        <v>4</v>
      </c>
      <c r="I60" s="38" t="s">
        <v>4</v>
      </c>
      <c r="J60" s="37"/>
      <c r="K60" s="17" t="s">
        <v>3</v>
      </c>
      <c r="L60" s="18">
        <v>0</v>
      </c>
      <c r="M60" s="17" t="s">
        <v>3</v>
      </c>
      <c r="N60" s="18"/>
      <c r="O60" s="17" t="s">
        <v>3</v>
      </c>
      <c r="P60" s="18"/>
      <c r="Q60" s="19" t="s">
        <v>3</v>
      </c>
      <c r="R60" s="23"/>
      <c r="S60" s="19" t="s">
        <v>3</v>
      </c>
      <c r="T60" s="23"/>
      <c r="U60" s="19" t="s">
        <v>3</v>
      </c>
      <c r="V60" s="23"/>
      <c r="W60" s="19" t="s">
        <v>3</v>
      </c>
      <c r="X60" s="23"/>
      <c r="Y60" s="19" t="s">
        <v>3</v>
      </c>
      <c r="Z60" s="23"/>
    </row>
    <row r="61" spans="1:26" ht="11.25">
      <c r="A61" s="15" t="s">
        <v>58</v>
      </c>
      <c r="B61" s="38">
        <v>0.02</v>
      </c>
      <c r="C61" s="38">
        <v>0.43</v>
      </c>
      <c r="D61" s="38">
        <v>0.04</v>
      </c>
      <c r="E61" s="38">
        <v>0.25</v>
      </c>
      <c r="F61" s="38">
        <v>1.73</v>
      </c>
      <c r="G61" s="38">
        <v>0.02</v>
      </c>
      <c r="H61" s="38">
        <v>0.02</v>
      </c>
      <c r="I61" s="38">
        <v>0.26</v>
      </c>
      <c r="J61" s="37"/>
      <c r="K61" s="17" t="s">
        <v>3</v>
      </c>
      <c r="L61" s="18">
        <v>2.96</v>
      </c>
      <c r="M61" s="17" t="s">
        <v>3</v>
      </c>
      <c r="N61" s="18"/>
      <c r="O61" s="17" t="s">
        <v>3</v>
      </c>
      <c r="P61" s="18"/>
      <c r="Q61" s="19" t="s">
        <v>3</v>
      </c>
      <c r="R61" s="23"/>
      <c r="S61" s="19" t="s">
        <v>3</v>
      </c>
      <c r="T61" s="23"/>
      <c r="U61" s="19" t="s">
        <v>3</v>
      </c>
      <c r="V61" s="23"/>
      <c r="W61" s="19" t="s">
        <v>3</v>
      </c>
      <c r="X61" s="23"/>
      <c r="Y61" s="19" t="s">
        <v>3</v>
      </c>
      <c r="Z61" s="23"/>
    </row>
    <row r="62" spans="1:26" ht="11.25">
      <c r="A62" s="15" t="s">
        <v>62</v>
      </c>
      <c r="B62" s="38">
        <v>0.14</v>
      </c>
      <c r="C62" s="38">
        <v>2.9</v>
      </c>
      <c r="D62" s="38">
        <v>0.25</v>
      </c>
      <c r="E62" s="38">
        <v>1.7</v>
      </c>
      <c r="F62" s="38">
        <v>11.56</v>
      </c>
      <c r="G62" s="38">
        <v>0.1</v>
      </c>
      <c r="H62" s="38">
        <v>0.1</v>
      </c>
      <c r="I62" s="38">
        <v>1.75</v>
      </c>
      <c r="J62" s="37"/>
      <c r="K62" s="17" t="s">
        <v>3</v>
      </c>
      <c r="L62" s="18">
        <v>19.76</v>
      </c>
      <c r="M62" s="17" t="s">
        <v>3</v>
      </c>
      <c r="N62" s="18"/>
      <c r="O62" s="17" t="s">
        <v>3</v>
      </c>
      <c r="P62" s="18">
        <v>433.87</v>
      </c>
      <c r="Q62" s="19" t="s">
        <v>3</v>
      </c>
      <c r="R62" s="23"/>
      <c r="S62" s="19" t="s">
        <v>3</v>
      </c>
      <c r="T62" s="39"/>
      <c r="U62" s="19" t="s">
        <v>3</v>
      </c>
      <c r="V62" s="23"/>
      <c r="W62" s="19" t="s">
        <v>3</v>
      </c>
      <c r="X62" s="39"/>
      <c r="Y62" s="19" t="s">
        <v>3</v>
      </c>
      <c r="Z62" s="39"/>
    </row>
    <row r="63" spans="1:26" ht="11.25">
      <c r="A63" s="15" t="s">
        <v>63</v>
      </c>
      <c r="B63" s="38">
        <v>0.06</v>
      </c>
      <c r="C63" s="38">
        <v>1.26</v>
      </c>
      <c r="D63" s="38">
        <v>0.11</v>
      </c>
      <c r="E63" s="38">
        <v>0.74</v>
      </c>
      <c r="F63" s="38">
        <v>5.02</v>
      </c>
      <c r="G63" s="38">
        <v>0.04</v>
      </c>
      <c r="H63" s="38">
        <v>0.04</v>
      </c>
      <c r="I63" s="38">
        <v>0.76</v>
      </c>
      <c r="J63" s="37"/>
      <c r="K63" s="17" t="s">
        <v>3</v>
      </c>
      <c r="L63" s="18">
        <v>8.58</v>
      </c>
      <c r="M63" s="17" t="s">
        <v>3</v>
      </c>
      <c r="N63" s="18"/>
      <c r="O63" s="17" t="s">
        <v>3</v>
      </c>
      <c r="P63" s="18">
        <v>396.92</v>
      </c>
      <c r="Q63" s="19" t="s">
        <v>3</v>
      </c>
      <c r="R63" s="23"/>
      <c r="S63" s="19" t="s">
        <v>3</v>
      </c>
      <c r="T63" s="39"/>
      <c r="U63" s="19" t="s">
        <v>3</v>
      </c>
      <c r="V63" s="23"/>
      <c r="W63" s="19" t="s">
        <v>3</v>
      </c>
      <c r="X63" s="39"/>
      <c r="Y63" s="19" t="s">
        <v>3</v>
      </c>
      <c r="Z63" s="39"/>
    </row>
    <row r="64" spans="1:26" ht="11.25">
      <c r="A64" s="15" t="s">
        <v>65</v>
      </c>
      <c r="B64" s="38">
        <v>0.08</v>
      </c>
      <c r="C64" s="38">
        <v>1.71</v>
      </c>
      <c r="D64" s="38">
        <v>0.15</v>
      </c>
      <c r="E64" s="38">
        <v>1</v>
      </c>
      <c r="F64" s="38">
        <v>6.81</v>
      </c>
      <c r="G64" s="38">
        <v>0.06</v>
      </c>
      <c r="H64" s="38">
        <v>0.06</v>
      </c>
      <c r="I64" s="38">
        <v>1.03</v>
      </c>
      <c r="J64" s="37"/>
      <c r="K64" s="17" t="s">
        <v>3</v>
      </c>
      <c r="L64" s="18">
        <v>11.64</v>
      </c>
      <c r="M64" s="17" t="s">
        <v>3</v>
      </c>
      <c r="N64" s="18"/>
      <c r="O64" s="17" t="s">
        <v>3</v>
      </c>
      <c r="P64" s="18">
        <v>220.36</v>
      </c>
      <c r="Q64" s="19" t="s">
        <v>3</v>
      </c>
      <c r="R64" s="23"/>
      <c r="S64" s="19" t="s">
        <v>3</v>
      </c>
      <c r="T64" s="39"/>
      <c r="U64" s="19" t="s">
        <v>3</v>
      </c>
      <c r="V64" s="23"/>
      <c r="W64" s="19" t="s">
        <v>3</v>
      </c>
      <c r="X64" s="39"/>
      <c r="Y64" s="19" t="s">
        <v>3</v>
      </c>
      <c r="Z64" s="39"/>
    </row>
    <row r="65" spans="1:26" ht="11.25">
      <c r="A65" s="15"/>
      <c r="B65" s="16" t="s">
        <v>4</v>
      </c>
      <c r="C65" s="16" t="s">
        <v>4</v>
      </c>
      <c r="D65" s="16" t="s">
        <v>4</v>
      </c>
      <c r="E65" s="16" t="s">
        <v>4</v>
      </c>
      <c r="F65" s="16" t="s">
        <v>4</v>
      </c>
      <c r="G65" s="16" t="s">
        <v>4</v>
      </c>
      <c r="H65" s="16" t="s">
        <v>4</v>
      </c>
      <c r="I65" s="16" t="s">
        <v>4</v>
      </c>
      <c r="J65" s="16" t="s">
        <v>4</v>
      </c>
      <c r="K65" s="17" t="s">
        <v>3</v>
      </c>
      <c r="L65" s="18"/>
      <c r="M65" s="17" t="s">
        <v>3</v>
      </c>
      <c r="N65" s="18"/>
      <c r="O65" s="17" t="s">
        <v>3</v>
      </c>
      <c r="P65" s="18"/>
      <c r="Q65" s="19" t="s">
        <v>3</v>
      </c>
      <c r="R65" s="39"/>
      <c r="S65" s="19" t="s">
        <v>3</v>
      </c>
      <c r="T65" s="39"/>
      <c r="U65" s="19" t="s">
        <v>3</v>
      </c>
      <c r="V65" s="23"/>
      <c r="W65" s="19" t="s">
        <v>3</v>
      </c>
      <c r="X65" s="39"/>
      <c r="Y65" s="19" t="s">
        <v>3</v>
      </c>
      <c r="Z65" s="39"/>
    </row>
    <row r="66" spans="1:26" ht="11.25">
      <c r="A66" s="15"/>
      <c r="B66" s="16" t="s">
        <v>4</v>
      </c>
      <c r="C66" s="16" t="s">
        <v>4</v>
      </c>
      <c r="D66" s="16" t="s">
        <v>4</v>
      </c>
      <c r="E66" s="16" t="s">
        <v>4</v>
      </c>
      <c r="F66" s="16" t="s">
        <v>4</v>
      </c>
      <c r="G66" s="16" t="s">
        <v>4</v>
      </c>
      <c r="H66" s="16" t="s">
        <v>4</v>
      </c>
      <c r="I66" s="16" t="s">
        <v>4</v>
      </c>
      <c r="J66" s="16" t="s">
        <v>4</v>
      </c>
      <c r="K66" s="17" t="s">
        <v>3</v>
      </c>
      <c r="L66" s="18"/>
      <c r="M66" s="17" t="s">
        <v>3</v>
      </c>
      <c r="N66" s="18"/>
      <c r="O66" s="17" t="s">
        <v>3</v>
      </c>
      <c r="P66" s="18"/>
      <c r="Q66" s="19" t="s">
        <v>3</v>
      </c>
      <c r="R66" s="39"/>
      <c r="S66" s="19" t="s">
        <v>3</v>
      </c>
      <c r="T66" s="39"/>
      <c r="U66" s="19" t="s">
        <v>3</v>
      </c>
      <c r="V66" s="23"/>
      <c r="W66" s="19" t="s">
        <v>3</v>
      </c>
      <c r="X66" s="39"/>
      <c r="Y66" s="19" t="s">
        <v>3</v>
      </c>
      <c r="Z66" s="39"/>
    </row>
    <row r="67" spans="1:26" ht="11.25">
      <c r="A67" s="4"/>
      <c r="B67" s="16" t="s">
        <v>4</v>
      </c>
      <c r="C67" s="16" t="s">
        <v>4</v>
      </c>
      <c r="D67" s="16" t="s">
        <v>4</v>
      </c>
      <c r="E67" s="16" t="s">
        <v>4</v>
      </c>
      <c r="F67" s="16" t="s">
        <v>4</v>
      </c>
      <c r="G67" s="16" t="s">
        <v>4</v>
      </c>
      <c r="H67" s="16" t="s">
        <v>4</v>
      </c>
      <c r="I67" s="16" t="s">
        <v>4</v>
      </c>
      <c r="J67" s="16" t="s">
        <v>4</v>
      </c>
      <c r="K67" s="17" t="s">
        <v>3</v>
      </c>
      <c r="L67" s="18"/>
      <c r="M67" s="17" t="s">
        <v>3</v>
      </c>
      <c r="N67" s="27"/>
      <c r="O67" s="17" t="s">
        <v>3</v>
      </c>
      <c r="P67" s="18"/>
      <c r="Q67" s="19" t="s">
        <v>3</v>
      </c>
      <c r="R67" s="39"/>
      <c r="S67" s="19" t="s">
        <v>3</v>
      </c>
      <c r="T67" s="39"/>
      <c r="U67" s="19" t="s">
        <v>3</v>
      </c>
      <c r="V67" s="23"/>
      <c r="W67" s="19" t="s">
        <v>3</v>
      </c>
      <c r="X67" s="39"/>
      <c r="Y67" s="19" t="s">
        <v>3</v>
      </c>
      <c r="Z67" s="39"/>
    </row>
    <row r="68" spans="1:26" ht="11.25">
      <c r="A68" s="23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23"/>
      <c r="R68" s="23"/>
      <c r="S68" s="15" t="s">
        <v>4</v>
      </c>
      <c r="T68" s="23"/>
      <c r="U68" s="23"/>
      <c r="V68" s="23"/>
      <c r="W68" s="23"/>
      <c r="X68" s="23"/>
      <c r="Y68" s="23"/>
      <c r="Z68" s="23"/>
    </row>
    <row r="69" spans="1:26" ht="11.25">
      <c r="A69" s="4"/>
      <c r="B69" s="28"/>
      <c r="C69" s="28"/>
      <c r="D69" s="28"/>
      <c r="E69" s="27"/>
      <c r="F69" s="28"/>
      <c r="G69" s="28"/>
      <c r="H69" s="28"/>
      <c r="I69" s="28"/>
      <c r="J69" s="27"/>
      <c r="K69" s="33" t="s">
        <v>3</v>
      </c>
      <c r="L69" s="30" t="s">
        <v>42</v>
      </c>
      <c r="M69" s="27"/>
      <c r="N69" s="27"/>
      <c r="O69" s="27"/>
      <c r="P69" s="27"/>
      <c r="Q69" s="34" t="s">
        <v>3</v>
      </c>
      <c r="R69" s="7" t="s">
        <v>45</v>
      </c>
      <c r="S69" s="4"/>
      <c r="T69" s="4"/>
      <c r="U69" s="34" t="s">
        <v>3</v>
      </c>
      <c r="V69" s="4"/>
      <c r="W69" s="23"/>
      <c r="X69" s="23"/>
      <c r="Y69" s="23"/>
      <c r="Z69" s="23"/>
    </row>
    <row r="70" spans="1:26" ht="11.25">
      <c r="A70" s="3" t="s">
        <v>46</v>
      </c>
      <c r="B70" s="31" t="s">
        <v>12</v>
      </c>
      <c r="C70" s="31" t="s">
        <v>13</v>
      </c>
      <c r="D70" s="31" t="s">
        <v>14</v>
      </c>
      <c r="E70" s="31" t="s">
        <v>15</v>
      </c>
      <c r="F70" s="31" t="s">
        <v>16</v>
      </c>
      <c r="G70" s="31" t="s">
        <v>17</v>
      </c>
      <c r="H70" s="31" t="s">
        <v>18</v>
      </c>
      <c r="I70" s="31" t="s">
        <v>60</v>
      </c>
      <c r="J70" s="31" t="s">
        <v>61</v>
      </c>
      <c r="K70" s="33" t="s">
        <v>3</v>
      </c>
      <c r="L70" s="30" t="s">
        <v>20</v>
      </c>
      <c r="M70" s="33" t="s">
        <v>3</v>
      </c>
      <c r="N70" s="30" t="s">
        <v>21</v>
      </c>
      <c r="O70" s="33" t="s">
        <v>3</v>
      </c>
      <c r="P70" s="30" t="s">
        <v>22</v>
      </c>
      <c r="Q70" s="34" t="s">
        <v>3</v>
      </c>
      <c r="R70" s="3" t="s">
        <v>20</v>
      </c>
      <c r="S70" s="34" t="s">
        <v>3</v>
      </c>
      <c r="T70" s="3" t="s">
        <v>21</v>
      </c>
      <c r="U70" s="34" t="s">
        <v>3</v>
      </c>
      <c r="V70" s="3" t="s">
        <v>22</v>
      </c>
      <c r="W70" s="23"/>
      <c r="X70" s="22"/>
      <c r="Y70" s="23"/>
      <c r="Z70" s="22"/>
    </row>
    <row r="71" spans="1:26" ht="11.25">
      <c r="A71" s="13" t="s">
        <v>24</v>
      </c>
      <c r="B71" s="32" t="s">
        <v>24</v>
      </c>
      <c r="C71" s="32" t="s">
        <v>24</v>
      </c>
      <c r="D71" s="32" t="s">
        <v>24</v>
      </c>
      <c r="E71" s="32" t="s">
        <v>24</v>
      </c>
      <c r="F71" s="32" t="s">
        <v>24</v>
      </c>
      <c r="G71" s="32" t="s">
        <v>24</v>
      </c>
      <c r="H71" s="32" t="s">
        <v>24</v>
      </c>
      <c r="I71" s="32" t="s">
        <v>24</v>
      </c>
      <c r="J71" s="32" t="s">
        <v>24</v>
      </c>
      <c r="K71" s="33" t="s">
        <v>3</v>
      </c>
      <c r="L71" s="32" t="s">
        <v>24</v>
      </c>
      <c r="M71" s="33" t="s">
        <v>3</v>
      </c>
      <c r="N71" s="32" t="s">
        <v>24</v>
      </c>
      <c r="O71" s="33" t="s">
        <v>3</v>
      </c>
      <c r="P71" s="32" t="s">
        <v>24</v>
      </c>
      <c r="Q71" s="34" t="s">
        <v>3</v>
      </c>
      <c r="R71" s="13" t="s">
        <v>24</v>
      </c>
      <c r="S71" s="34" t="s">
        <v>3</v>
      </c>
      <c r="T71" s="13" t="s">
        <v>24</v>
      </c>
      <c r="U71" s="34" t="s">
        <v>3</v>
      </c>
      <c r="V71" s="13" t="s">
        <v>24</v>
      </c>
      <c r="W71" s="23"/>
      <c r="X71" s="23"/>
      <c r="Y71" s="23"/>
      <c r="Z71" s="23"/>
    </row>
    <row r="72" spans="1:26" ht="11.25">
      <c r="A72" s="15" t="s">
        <v>25</v>
      </c>
      <c r="B72" s="38">
        <v>0</v>
      </c>
      <c r="C72" s="38">
        <v>0.1</v>
      </c>
      <c r="D72" s="38">
        <v>0.01</v>
      </c>
      <c r="E72" s="38">
        <v>0.06</v>
      </c>
      <c r="F72" s="38">
        <v>0.4</v>
      </c>
      <c r="G72" s="38">
        <v>0</v>
      </c>
      <c r="H72" s="38">
        <v>0</v>
      </c>
      <c r="I72" s="38">
        <v>0.06</v>
      </c>
      <c r="J72" s="38"/>
      <c r="K72" s="35" t="s">
        <v>3</v>
      </c>
      <c r="L72" s="18">
        <v>0.68</v>
      </c>
      <c r="M72" s="35" t="s">
        <v>3</v>
      </c>
      <c r="N72" s="18"/>
      <c r="O72" s="35" t="s">
        <v>3</v>
      </c>
      <c r="P72" s="18">
        <v>255.48</v>
      </c>
      <c r="Q72" s="36" t="s">
        <v>3</v>
      </c>
      <c r="R72" s="23"/>
      <c r="S72" s="36" t="s">
        <v>3</v>
      </c>
      <c r="T72" s="23"/>
      <c r="U72" s="36" t="s">
        <v>3</v>
      </c>
      <c r="V72" s="23">
        <v>52</v>
      </c>
      <c r="W72" s="23"/>
      <c r="X72" s="23"/>
      <c r="Y72" s="23"/>
      <c r="Z72" s="23"/>
    </row>
    <row r="73" spans="1:26" ht="11.25">
      <c r="A73" s="15" t="s">
        <v>26</v>
      </c>
      <c r="B73" s="38" t="s">
        <v>4</v>
      </c>
      <c r="C73" s="38" t="s">
        <v>4</v>
      </c>
      <c r="D73" s="38" t="s">
        <v>4</v>
      </c>
      <c r="E73" s="38" t="s">
        <v>4</v>
      </c>
      <c r="F73" s="38" t="s">
        <v>4</v>
      </c>
      <c r="G73" s="38" t="s">
        <v>4</v>
      </c>
      <c r="H73" s="38" t="s">
        <v>4</v>
      </c>
      <c r="I73" s="38" t="s">
        <v>4</v>
      </c>
      <c r="J73" s="38"/>
      <c r="K73" s="35" t="s">
        <v>3</v>
      </c>
      <c r="L73" s="18">
        <v>0</v>
      </c>
      <c r="M73" s="35" t="s">
        <v>3</v>
      </c>
      <c r="N73" s="18"/>
      <c r="O73" s="35" t="s">
        <v>3</v>
      </c>
      <c r="P73" s="18">
        <v>3.52</v>
      </c>
      <c r="Q73" s="36" t="s">
        <v>3</v>
      </c>
      <c r="R73" s="23"/>
      <c r="S73" s="36" t="s">
        <v>3</v>
      </c>
      <c r="T73" s="23"/>
      <c r="U73" s="36" t="s">
        <v>3</v>
      </c>
      <c r="V73" s="23">
        <v>1</v>
      </c>
      <c r="W73" s="23"/>
      <c r="X73" s="23"/>
      <c r="Y73" s="23"/>
      <c r="Z73" s="23"/>
    </row>
    <row r="74" spans="1:26" ht="11.25">
      <c r="A74" s="15" t="s">
        <v>27</v>
      </c>
      <c r="B74" s="38">
        <v>2.48</v>
      </c>
      <c r="C74" s="38">
        <v>51.27</v>
      </c>
      <c r="D74" s="38">
        <v>4.37</v>
      </c>
      <c r="E74" s="38">
        <v>30.07</v>
      </c>
      <c r="F74" s="38">
        <v>204.31</v>
      </c>
      <c r="G74" s="38">
        <v>1.82</v>
      </c>
      <c r="H74" s="38">
        <v>1.82</v>
      </c>
      <c r="I74" s="38">
        <v>30.94</v>
      </c>
      <c r="J74" s="38"/>
      <c r="K74" s="35" t="s">
        <v>3</v>
      </c>
      <c r="L74" s="18">
        <v>349.25</v>
      </c>
      <c r="M74" s="35" t="s">
        <v>3</v>
      </c>
      <c r="N74" s="18"/>
      <c r="O74" s="35" t="s">
        <v>3</v>
      </c>
      <c r="P74" s="18">
        <v>5199.89</v>
      </c>
      <c r="Q74" s="36" t="s">
        <v>3</v>
      </c>
      <c r="R74" s="23"/>
      <c r="S74" s="36" t="s">
        <v>3</v>
      </c>
      <c r="T74" s="23"/>
      <c r="U74" s="36" t="s">
        <v>3</v>
      </c>
      <c r="V74" s="23">
        <v>1981</v>
      </c>
      <c r="W74" s="23"/>
      <c r="X74" s="23"/>
      <c r="Y74" s="23"/>
      <c r="Z74" s="23"/>
    </row>
    <row r="75" spans="1:26" ht="11.25">
      <c r="A75" s="15" t="s">
        <v>28</v>
      </c>
      <c r="B75" s="38">
        <v>0.01</v>
      </c>
      <c r="C75" s="38">
        <v>0.25</v>
      </c>
      <c r="D75" s="38">
        <v>0.02</v>
      </c>
      <c r="E75" s="38">
        <v>0.15</v>
      </c>
      <c r="F75" s="38">
        <v>0.99</v>
      </c>
      <c r="G75" s="38">
        <v>0.01</v>
      </c>
      <c r="H75" s="38">
        <v>0.01</v>
      </c>
      <c r="I75" s="38">
        <v>0.15</v>
      </c>
      <c r="J75" s="38"/>
      <c r="K75" s="35" t="s">
        <v>3</v>
      </c>
      <c r="L75" s="18">
        <v>1.7</v>
      </c>
      <c r="M75" s="35" t="s">
        <v>3</v>
      </c>
      <c r="N75" s="18"/>
      <c r="O75" s="35" t="s">
        <v>3</v>
      </c>
      <c r="P75" s="18">
        <v>46.97</v>
      </c>
      <c r="Q75" s="36" t="s">
        <v>3</v>
      </c>
      <c r="R75" s="23"/>
      <c r="S75" s="36" t="s">
        <v>3</v>
      </c>
      <c r="T75" s="23"/>
      <c r="U75" s="36" t="s">
        <v>3</v>
      </c>
      <c r="V75" s="23">
        <v>44</v>
      </c>
      <c r="W75" s="23"/>
      <c r="X75" s="23"/>
      <c r="Y75" s="23"/>
      <c r="Z75" s="23"/>
    </row>
    <row r="76" spans="1:26" ht="11.25">
      <c r="A76" s="15" t="s">
        <v>64</v>
      </c>
      <c r="B76" s="38" t="s">
        <v>4</v>
      </c>
      <c r="C76" s="38" t="s">
        <v>4</v>
      </c>
      <c r="D76" s="38" t="s">
        <v>4</v>
      </c>
      <c r="E76" s="38" t="s">
        <v>4</v>
      </c>
      <c r="F76" s="38" t="s">
        <v>4</v>
      </c>
      <c r="G76" s="38" t="s">
        <v>4</v>
      </c>
      <c r="H76" s="38" t="s">
        <v>4</v>
      </c>
      <c r="I76" s="38" t="s">
        <v>4</v>
      </c>
      <c r="J76" s="38"/>
      <c r="K76" s="35" t="s">
        <v>3</v>
      </c>
      <c r="L76" s="18">
        <v>0</v>
      </c>
      <c r="M76" s="35" t="s">
        <v>3</v>
      </c>
      <c r="N76" s="18"/>
      <c r="O76" s="35" t="s">
        <v>3</v>
      </c>
      <c r="P76" s="18">
        <v>0</v>
      </c>
      <c r="Q76" s="36" t="s">
        <v>3</v>
      </c>
      <c r="R76" s="23"/>
      <c r="S76" s="36" t="s">
        <v>3</v>
      </c>
      <c r="T76" s="23"/>
      <c r="U76" s="36" t="s">
        <v>3</v>
      </c>
      <c r="V76" s="23">
        <v>0</v>
      </c>
      <c r="W76" s="23"/>
      <c r="X76" s="23"/>
      <c r="Y76" s="23"/>
      <c r="Z76" s="23"/>
    </row>
    <row r="77" spans="1:26" ht="11.25">
      <c r="A77" s="15" t="s">
        <v>29</v>
      </c>
      <c r="B77" s="38">
        <v>0.17</v>
      </c>
      <c r="C77" s="38">
        <v>3.56</v>
      </c>
      <c r="D77" s="38">
        <v>0.3</v>
      </c>
      <c r="E77" s="38">
        <v>2.09</v>
      </c>
      <c r="F77" s="38">
        <v>14.2</v>
      </c>
      <c r="G77" s="38">
        <v>0.13</v>
      </c>
      <c r="H77" s="38">
        <v>0.13</v>
      </c>
      <c r="I77" s="38">
        <v>2.15</v>
      </c>
      <c r="J77" s="38"/>
      <c r="K77" s="35" t="s">
        <v>3</v>
      </c>
      <c r="L77" s="18">
        <v>24.28</v>
      </c>
      <c r="M77" s="35" t="s">
        <v>3</v>
      </c>
      <c r="N77" s="18"/>
      <c r="O77" s="35" t="s">
        <v>3</v>
      </c>
      <c r="P77" s="18">
        <v>257.39</v>
      </c>
      <c r="Q77" s="36" t="s">
        <v>3</v>
      </c>
      <c r="R77" s="23"/>
      <c r="S77" s="36" t="s">
        <v>3</v>
      </c>
      <c r="T77" s="23"/>
      <c r="U77" s="36" t="s">
        <v>3</v>
      </c>
      <c r="V77" s="23">
        <v>221</v>
      </c>
      <c r="W77" s="23"/>
      <c r="X77" s="23"/>
      <c r="Y77" s="23"/>
      <c r="Z77" s="23"/>
    </row>
    <row r="78" spans="1:26" ht="11.25">
      <c r="A78" s="15" t="s">
        <v>30</v>
      </c>
      <c r="B78" s="38">
        <v>0.02</v>
      </c>
      <c r="C78" s="38">
        <v>0.46</v>
      </c>
      <c r="D78" s="38">
        <v>0.04</v>
      </c>
      <c r="E78" s="38">
        <v>0.27</v>
      </c>
      <c r="F78" s="38">
        <v>1.84</v>
      </c>
      <c r="G78" s="38">
        <v>0.02</v>
      </c>
      <c r="H78" s="38">
        <v>0.02</v>
      </c>
      <c r="I78" s="38">
        <v>0.28</v>
      </c>
      <c r="J78" s="38"/>
      <c r="K78" s="35" t="s">
        <v>3</v>
      </c>
      <c r="L78" s="18">
        <v>3.15</v>
      </c>
      <c r="M78" s="35" t="s">
        <v>3</v>
      </c>
      <c r="N78" s="18"/>
      <c r="O78" s="35" t="s">
        <v>3</v>
      </c>
      <c r="P78" s="18">
        <v>64.06</v>
      </c>
      <c r="Q78" s="36" t="s">
        <v>3</v>
      </c>
      <c r="R78" s="23"/>
      <c r="S78" s="36" t="s">
        <v>3</v>
      </c>
      <c r="T78" s="23"/>
      <c r="U78" s="36" t="s">
        <v>3</v>
      </c>
      <c r="V78" s="23">
        <v>15</v>
      </c>
      <c r="W78" s="23"/>
      <c r="X78" s="23"/>
      <c r="Y78" s="23"/>
      <c r="Z78" s="23"/>
    </row>
    <row r="79" spans="1:26" ht="11.25">
      <c r="A79" s="15" t="s">
        <v>51</v>
      </c>
      <c r="B79" s="38">
        <v>0.17</v>
      </c>
      <c r="C79" s="38">
        <v>3.53</v>
      </c>
      <c r="D79" s="38">
        <v>0.3</v>
      </c>
      <c r="E79" s="38">
        <v>2.07</v>
      </c>
      <c r="F79" s="38">
        <v>14.07</v>
      </c>
      <c r="G79" s="38">
        <v>0.13</v>
      </c>
      <c r="H79" s="38">
        <v>0.13</v>
      </c>
      <c r="I79" s="38">
        <v>2.13</v>
      </c>
      <c r="J79" s="38"/>
      <c r="K79" s="35" t="s">
        <v>3</v>
      </c>
      <c r="L79" s="18">
        <v>24.05</v>
      </c>
      <c r="M79" s="35" t="s">
        <v>3</v>
      </c>
      <c r="N79" s="18"/>
      <c r="O79" s="35" t="s">
        <v>3</v>
      </c>
      <c r="P79" s="18">
        <v>289.47</v>
      </c>
      <c r="Q79" s="36" t="s">
        <v>3</v>
      </c>
      <c r="R79" s="23"/>
      <c r="S79" s="36" t="s">
        <v>3</v>
      </c>
      <c r="T79" s="23"/>
      <c r="U79" s="36" t="s">
        <v>3</v>
      </c>
      <c r="V79" s="23">
        <v>103</v>
      </c>
      <c r="W79" s="23"/>
      <c r="X79" s="23"/>
      <c r="Y79" s="23"/>
      <c r="Z79" s="23"/>
    </row>
    <row r="80" spans="1:26" ht="11.25">
      <c r="A80" s="15" t="s">
        <v>31</v>
      </c>
      <c r="B80" s="38">
        <v>0.17</v>
      </c>
      <c r="C80" s="38">
        <v>3.57</v>
      </c>
      <c r="D80" s="38">
        <v>0.3</v>
      </c>
      <c r="E80" s="38">
        <v>2.1</v>
      </c>
      <c r="F80" s="38">
        <v>14.24</v>
      </c>
      <c r="G80" s="38">
        <v>0.13</v>
      </c>
      <c r="H80" s="38">
        <v>0.13</v>
      </c>
      <c r="I80" s="38">
        <v>2.16</v>
      </c>
      <c r="J80" s="38"/>
      <c r="K80" s="35" t="s">
        <v>3</v>
      </c>
      <c r="L80" s="18">
        <v>24.35</v>
      </c>
      <c r="M80" s="35" t="s">
        <v>3</v>
      </c>
      <c r="N80" s="18"/>
      <c r="O80" s="35" t="s">
        <v>3</v>
      </c>
      <c r="P80" s="18">
        <v>518.31</v>
      </c>
      <c r="Q80" s="36" t="s">
        <v>3</v>
      </c>
      <c r="R80" s="23"/>
      <c r="S80" s="36" t="s">
        <v>3</v>
      </c>
      <c r="T80" s="23"/>
      <c r="U80" s="36" t="s">
        <v>3</v>
      </c>
      <c r="V80" s="23">
        <v>442</v>
      </c>
      <c r="W80" s="23"/>
      <c r="X80" s="23"/>
      <c r="Y80" s="23"/>
      <c r="Z80" s="23"/>
    </row>
    <row r="81" spans="1:26" ht="11.25">
      <c r="A81" s="15" t="s">
        <v>32</v>
      </c>
      <c r="B81" s="38" t="s">
        <v>4</v>
      </c>
      <c r="C81" s="38" t="s">
        <v>4</v>
      </c>
      <c r="D81" s="38" t="s">
        <v>4</v>
      </c>
      <c r="E81" s="38" t="s">
        <v>4</v>
      </c>
      <c r="F81" s="38" t="s">
        <v>4</v>
      </c>
      <c r="G81" s="38" t="s">
        <v>4</v>
      </c>
      <c r="H81" s="38" t="s">
        <v>4</v>
      </c>
      <c r="I81" s="38" t="s">
        <v>4</v>
      </c>
      <c r="J81" s="38"/>
      <c r="K81" s="35" t="s">
        <v>3</v>
      </c>
      <c r="L81" s="18">
        <v>0</v>
      </c>
      <c r="M81" s="35" t="s">
        <v>3</v>
      </c>
      <c r="N81" s="18"/>
      <c r="O81" s="35" t="s">
        <v>3</v>
      </c>
      <c r="P81" s="18">
        <v>14.79</v>
      </c>
      <c r="Q81" s="36" t="s">
        <v>3</v>
      </c>
      <c r="R81" s="23"/>
      <c r="S81" s="36" t="s">
        <v>3</v>
      </c>
      <c r="T81" s="23"/>
      <c r="U81" s="36" t="s">
        <v>3</v>
      </c>
      <c r="V81" s="23">
        <v>5</v>
      </c>
      <c r="W81" s="23"/>
      <c r="X81" s="22"/>
      <c r="Y81" s="23"/>
      <c r="Z81" s="22"/>
    </row>
    <row r="82" spans="1:26" ht="11.25">
      <c r="A82" s="15" t="s">
        <v>33</v>
      </c>
      <c r="B82" s="38">
        <v>0.52</v>
      </c>
      <c r="C82" s="38">
        <v>10.75</v>
      </c>
      <c r="D82" s="38">
        <v>0.92</v>
      </c>
      <c r="E82" s="38">
        <v>6.31</v>
      </c>
      <c r="F82" s="38">
        <v>42.85</v>
      </c>
      <c r="G82" s="38">
        <v>0.38</v>
      </c>
      <c r="H82" s="38">
        <v>0.38</v>
      </c>
      <c r="I82" s="38">
        <v>6.49</v>
      </c>
      <c r="J82" s="38"/>
      <c r="K82" s="35" t="s">
        <v>3</v>
      </c>
      <c r="L82" s="18">
        <v>73.25</v>
      </c>
      <c r="M82" s="35" t="s">
        <v>3</v>
      </c>
      <c r="N82" s="18"/>
      <c r="O82" s="35" t="s">
        <v>3</v>
      </c>
      <c r="P82" s="18">
        <v>1347.51</v>
      </c>
      <c r="Q82" s="36" t="s">
        <v>3</v>
      </c>
      <c r="R82" s="23"/>
      <c r="S82" s="36" t="s">
        <v>3</v>
      </c>
      <c r="T82" s="23"/>
      <c r="U82" s="36" t="s">
        <v>3</v>
      </c>
      <c r="V82" s="23">
        <v>718</v>
      </c>
      <c r="W82" s="23"/>
      <c r="X82" s="22"/>
      <c r="Y82" s="23"/>
      <c r="Z82" s="22"/>
    </row>
    <row r="83" spans="1:26" ht="11.25">
      <c r="A83" s="15" t="s">
        <v>34</v>
      </c>
      <c r="B83" s="38">
        <v>0.02</v>
      </c>
      <c r="C83" s="38">
        <v>0.49</v>
      </c>
      <c r="D83" s="38">
        <v>0.04</v>
      </c>
      <c r="E83" s="38">
        <v>0.29</v>
      </c>
      <c r="F83" s="38">
        <v>1.95</v>
      </c>
      <c r="G83" s="38">
        <v>0.02</v>
      </c>
      <c r="H83" s="38">
        <v>0.02</v>
      </c>
      <c r="I83" s="38">
        <v>0.3</v>
      </c>
      <c r="J83" s="38"/>
      <c r="K83" s="35" t="s">
        <v>3</v>
      </c>
      <c r="L83" s="18">
        <v>3.33</v>
      </c>
      <c r="M83" s="35" t="s">
        <v>3</v>
      </c>
      <c r="N83" s="18"/>
      <c r="O83" s="35" t="s">
        <v>3</v>
      </c>
      <c r="P83" s="18">
        <v>127.83</v>
      </c>
      <c r="Q83" s="36" t="s">
        <v>3</v>
      </c>
      <c r="R83" s="23"/>
      <c r="S83" s="36" t="s">
        <v>3</v>
      </c>
      <c r="T83" s="23"/>
      <c r="U83" s="36" t="s">
        <v>3</v>
      </c>
      <c r="V83" s="23">
        <v>84</v>
      </c>
      <c r="W83" s="23"/>
      <c r="X83" s="22"/>
      <c r="Y83" s="23"/>
      <c r="Z83" s="22"/>
    </row>
    <row r="84" spans="1:26" ht="11.25">
      <c r="A84" s="15" t="s">
        <v>52</v>
      </c>
      <c r="B84" s="38">
        <v>0.13</v>
      </c>
      <c r="C84" s="38">
        <v>2.64</v>
      </c>
      <c r="D84" s="38">
        <v>0.22</v>
      </c>
      <c r="E84" s="38">
        <v>1.55</v>
      </c>
      <c r="F84" s="38">
        <v>10.5</v>
      </c>
      <c r="G84" s="38">
        <v>0.09</v>
      </c>
      <c r="H84" s="38">
        <v>0.09</v>
      </c>
      <c r="I84" s="38">
        <v>1.59</v>
      </c>
      <c r="J84" s="38"/>
      <c r="K84" s="35" t="s">
        <v>3</v>
      </c>
      <c r="L84" s="18">
        <v>17.95</v>
      </c>
      <c r="M84" s="35" t="s">
        <v>3</v>
      </c>
      <c r="N84" s="18"/>
      <c r="O84" s="35" t="s">
        <v>3</v>
      </c>
      <c r="P84" s="18">
        <v>223.47</v>
      </c>
      <c r="Q84" s="36" t="s">
        <v>3</v>
      </c>
      <c r="R84" s="23"/>
      <c r="S84" s="36" t="s">
        <v>3</v>
      </c>
      <c r="T84" s="23"/>
      <c r="U84" s="36" t="s">
        <v>3</v>
      </c>
      <c r="V84" s="23">
        <v>145</v>
      </c>
      <c r="W84" s="23"/>
      <c r="X84" s="22"/>
      <c r="Y84" s="23"/>
      <c r="Z84" s="22"/>
    </row>
    <row r="85" spans="1:26" ht="11.25">
      <c r="A85" s="15" t="s">
        <v>35</v>
      </c>
      <c r="B85" s="38">
        <v>0.01</v>
      </c>
      <c r="C85" s="38">
        <v>0.28</v>
      </c>
      <c r="D85" s="38">
        <v>0.02</v>
      </c>
      <c r="E85" s="38">
        <v>0.16</v>
      </c>
      <c r="F85" s="38">
        <v>1.1</v>
      </c>
      <c r="G85" s="38">
        <v>0.01</v>
      </c>
      <c r="H85" s="38">
        <v>0.01</v>
      </c>
      <c r="I85" s="38">
        <v>0.17</v>
      </c>
      <c r="J85" s="38"/>
      <c r="K85" s="35" t="s">
        <v>3</v>
      </c>
      <c r="L85" s="18">
        <v>1.88</v>
      </c>
      <c r="M85" s="35" t="s">
        <v>3</v>
      </c>
      <c r="N85" s="18"/>
      <c r="O85" s="35" t="s">
        <v>3</v>
      </c>
      <c r="P85" s="18">
        <v>78.46</v>
      </c>
      <c r="Q85" s="36" t="s">
        <v>3</v>
      </c>
      <c r="R85" s="23"/>
      <c r="S85" s="36" t="s">
        <v>3</v>
      </c>
      <c r="T85" s="23"/>
      <c r="U85" s="36" t="s">
        <v>3</v>
      </c>
      <c r="V85" s="23">
        <v>25</v>
      </c>
      <c r="W85" s="23"/>
      <c r="X85" s="22"/>
      <c r="Y85" s="23"/>
      <c r="Z85" s="22"/>
    </row>
    <row r="86" spans="1:26" ht="11.25">
      <c r="A86" s="15" t="s">
        <v>36</v>
      </c>
      <c r="B86" s="38">
        <v>0.16</v>
      </c>
      <c r="C86" s="38">
        <v>3.24</v>
      </c>
      <c r="D86" s="38">
        <v>0.28</v>
      </c>
      <c r="E86" s="38">
        <v>1.9</v>
      </c>
      <c r="F86" s="38">
        <v>12.9</v>
      </c>
      <c r="G86" s="38">
        <v>0.11</v>
      </c>
      <c r="H86" s="38">
        <v>0.11</v>
      </c>
      <c r="I86" s="38">
        <v>1.95</v>
      </c>
      <c r="J86" s="38"/>
      <c r="K86" s="35" t="s">
        <v>3</v>
      </c>
      <c r="L86" s="18">
        <v>22.05</v>
      </c>
      <c r="M86" s="35" t="s">
        <v>3</v>
      </c>
      <c r="N86" s="18"/>
      <c r="O86" s="35" t="s">
        <v>3</v>
      </c>
      <c r="P86" s="18">
        <v>463.42</v>
      </c>
      <c r="Q86" s="36" t="s">
        <v>3</v>
      </c>
      <c r="R86" s="22"/>
      <c r="S86" s="36" t="s">
        <v>3</v>
      </c>
      <c r="T86" s="22"/>
      <c r="U86" s="36" t="s">
        <v>3</v>
      </c>
      <c r="V86" s="23">
        <v>194</v>
      </c>
      <c r="W86" s="23"/>
      <c r="X86" s="22"/>
      <c r="Y86" s="23"/>
      <c r="Z86" s="22"/>
    </row>
    <row r="87" spans="1:26" ht="11.25">
      <c r="A87" s="15" t="s">
        <v>37</v>
      </c>
      <c r="B87" s="38">
        <v>0.02</v>
      </c>
      <c r="C87" s="38">
        <v>0.5</v>
      </c>
      <c r="D87" s="38">
        <v>0.04</v>
      </c>
      <c r="E87" s="38">
        <v>0.29</v>
      </c>
      <c r="F87" s="38">
        <v>1.99</v>
      </c>
      <c r="G87" s="38">
        <v>0.02</v>
      </c>
      <c r="H87" s="38">
        <v>0.02</v>
      </c>
      <c r="I87" s="38">
        <v>0.3</v>
      </c>
      <c r="J87" s="38"/>
      <c r="K87" s="35" t="s">
        <v>3</v>
      </c>
      <c r="L87" s="18">
        <v>3.4</v>
      </c>
      <c r="M87" s="35" t="s">
        <v>3</v>
      </c>
      <c r="N87" s="18"/>
      <c r="O87" s="35" t="s">
        <v>3</v>
      </c>
      <c r="P87" s="18">
        <v>94.54</v>
      </c>
      <c r="Q87" s="36" t="s">
        <v>3</v>
      </c>
      <c r="R87" s="23"/>
      <c r="S87" s="36" t="s">
        <v>3</v>
      </c>
      <c r="T87" s="23"/>
      <c r="U87" s="36" t="s">
        <v>3</v>
      </c>
      <c r="V87" s="23">
        <v>58</v>
      </c>
      <c r="W87" s="23"/>
      <c r="X87" s="22"/>
      <c r="Y87" s="23"/>
      <c r="Z87" s="22"/>
    </row>
    <row r="88" spans="1:26" ht="11.25">
      <c r="A88" s="15" t="s">
        <v>38</v>
      </c>
      <c r="B88" s="38">
        <v>0.22</v>
      </c>
      <c r="C88" s="38">
        <v>4.47</v>
      </c>
      <c r="D88" s="38">
        <v>0.38</v>
      </c>
      <c r="E88" s="38">
        <v>2.62</v>
      </c>
      <c r="F88" s="38">
        <v>17.83</v>
      </c>
      <c r="G88" s="38">
        <v>0.16</v>
      </c>
      <c r="H88" s="38">
        <v>0.16</v>
      </c>
      <c r="I88" s="38">
        <v>2.7</v>
      </c>
      <c r="J88" s="38"/>
      <c r="K88" s="35" t="s">
        <v>3</v>
      </c>
      <c r="L88" s="18">
        <v>30.48</v>
      </c>
      <c r="M88" s="35" t="s">
        <v>3</v>
      </c>
      <c r="N88" s="18"/>
      <c r="O88" s="35" t="s">
        <v>3</v>
      </c>
      <c r="P88" s="18">
        <v>367.83</v>
      </c>
      <c r="Q88" s="36" t="s">
        <v>3</v>
      </c>
      <c r="R88" s="23"/>
      <c r="S88" s="36" t="s">
        <v>3</v>
      </c>
      <c r="T88" s="23"/>
      <c r="U88" s="36" t="s">
        <v>3</v>
      </c>
      <c r="V88" s="23">
        <v>202</v>
      </c>
      <c r="W88" s="23"/>
      <c r="X88" s="22"/>
      <c r="Y88" s="23"/>
      <c r="Z88" s="22"/>
    </row>
    <row r="89" spans="1:26" ht="11.25">
      <c r="A89" s="15" t="s">
        <v>39</v>
      </c>
      <c r="B89" s="38">
        <v>1.12</v>
      </c>
      <c r="C89" s="38">
        <v>23.22</v>
      </c>
      <c r="D89" s="38">
        <v>1.98</v>
      </c>
      <c r="E89" s="38">
        <v>13.62</v>
      </c>
      <c r="F89" s="38">
        <v>92.55</v>
      </c>
      <c r="G89" s="38">
        <v>0.82</v>
      </c>
      <c r="H89" s="38">
        <v>0.82</v>
      </c>
      <c r="I89" s="38">
        <v>14.02</v>
      </c>
      <c r="J89" s="38"/>
      <c r="K89" s="35" t="s">
        <v>3</v>
      </c>
      <c r="L89" s="18">
        <v>158.2</v>
      </c>
      <c r="M89" s="35" t="s">
        <v>3</v>
      </c>
      <c r="N89" s="18"/>
      <c r="O89" s="35" t="s">
        <v>3</v>
      </c>
      <c r="P89" s="18">
        <v>2639.51</v>
      </c>
      <c r="Q89" s="36" t="s">
        <v>3</v>
      </c>
      <c r="R89" s="23"/>
      <c r="S89" s="36" t="s">
        <v>3</v>
      </c>
      <c r="T89" s="23"/>
      <c r="U89" s="36" t="s">
        <v>3</v>
      </c>
      <c r="V89" s="23">
        <v>984</v>
      </c>
      <c r="W89" s="23"/>
      <c r="X89" s="23"/>
      <c r="Y89" s="23"/>
      <c r="Z89" s="23"/>
    </row>
    <row r="90" spans="1:26" ht="11.25">
      <c r="A90" s="15" t="s">
        <v>40</v>
      </c>
      <c r="B90" s="38" t="s">
        <v>4</v>
      </c>
      <c r="C90" s="38" t="s">
        <v>4</v>
      </c>
      <c r="D90" s="38" t="s">
        <v>4</v>
      </c>
      <c r="E90" s="38" t="s">
        <v>4</v>
      </c>
      <c r="F90" s="38" t="s">
        <v>4</v>
      </c>
      <c r="G90" s="38" t="s">
        <v>4</v>
      </c>
      <c r="H90" s="38" t="s">
        <v>4</v>
      </c>
      <c r="I90" s="38" t="s">
        <v>4</v>
      </c>
      <c r="J90" s="38"/>
      <c r="K90" s="35" t="s">
        <v>3</v>
      </c>
      <c r="L90" s="18">
        <v>0</v>
      </c>
      <c r="M90" s="35" t="s">
        <v>3</v>
      </c>
      <c r="N90" s="18"/>
      <c r="O90" s="35" t="s">
        <v>3</v>
      </c>
      <c r="P90" s="18">
        <v>6.53</v>
      </c>
      <c r="Q90" s="36" t="s">
        <v>3</v>
      </c>
      <c r="R90" s="22"/>
      <c r="S90" s="36" t="s">
        <v>3</v>
      </c>
      <c r="T90" s="22"/>
      <c r="U90" s="36" t="s">
        <v>3</v>
      </c>
      <c r="V90" s="23">
        <v>3</v>
      </c>
      <c r="W90" s="23"/>
      <c r="X90" s="23"/>
      <c r="Y90" s="23"/>
      <c r="Z90" s="23"/>
    </row>
    <row r="91" spans="1:26" ht="11.25">
      <c r="A91" s="15" t="s">
        <v>53</v>
      </c>
      <c r="B91" s="38">
        <v>0.15</v>
      </c>
      <c r="C91" s="38">
        <v>3.01</v>
      </c>
      <c r="D91" s="38">
        <v>0.26</v>
      </c>
      <c r="E91" s="38">
        <v>1.76</v>
      </c>
      <c r="F91" s="38">
        <v>11.98</v>
      </c>
      <c r="G91" s="38">
        <v>0.11</v>
      </c>
      <c r="H91" s="38">
        <v>0.11</v>
      </c>
      <c r="I91" s="38">
        <v>1.81</v>
      </c>
      <c r="J91" s="38"/>
      <c r="K91" s="35" t="s">
        <v>3</v>
      </c>
      <c r="L91" s="18">
        <v>20.48</v>
      </c>
      <c r="M91" s="35" t="s">
        <v>3</v>
      </c>
      <c r="N91" s="18"/>
      <c r="O91" s="35" t="s">
        <v>3</v>
      </c>
      <c r="P91" s="18">
        <v>316.79</v>
      </c>
      <c r="Q91" s="36" t="s">
        <v>3</v>
      </c>
      <c r="R91" s="22"/>
      <c r="S91" s="36" t="s">
        <v>3</v>
      </c>
      <c r="T91" s="22"/>
      <c r="U91" s="36" t="s">
        <v>3</v>
      </c>
      <c r="V91" s="23">
        <v>301</v>
      </c>
      <c r="W91" s="23"/>
      <c r="X91" s="23"/>
      <c r="Y91" s="23"/>
      <c r="Z91" s="23"/>
    </row>
    <row r="92" spans="1:26" ht="11.25">
      <c r="A92" s="15" t="s">
        <v>54</v>
      </c>
      <c r="B92" s="38">
        <v>0.06</v>
      </c>
      <c r="C92" s="38">
        <v>1.24</v>
      </c>
      <c r="D92" s="38">
        <v>0.11</v>
      </c>
      <c r="E92" s="38">
        <v>0.73</v>
      </c>
      <c r="F92" s="38">
        <v>4.96</v>
      </c>
      <c r="G92" s="38">
        <v>0.04</v>
      </c>
      <c r="H92" s="38">
        <v>0.04</v>
      </c>
      <c r="I92" s="38">
        <v>0.75</v>
      </c>
      <c r="J92" s="38"/>
      <c r="K92" s="35" t="s">
        <v>3</v>
      </c>
      <c r="L92" s="18">
        <v>8.48</v>
      </c>
      <c r="M92" s="35" t="s">
        <v>3</v>
      </c>
      <c r="N92" s="18"/>
      <c r="O92" s="35" t="s">
        <v>3</v>
      </c>
      <c r="P92" s="18">
        <v>0</v>
      </c>
      <c r="Q92" s="36" t="s">
        <v>3</v>
      </c>
      <c r="R92" s="22"/>
      <c r="S92" s="36" t="s">
        <v>3</v>
      </c>
      <c r="T92" s="22"/>
      <c r="U92" s="36" t="s">
        <v>3</v>
      </c>
      <c r="V92" s="23">
        <v>0</v>
      </c>
      <c r="W92" s="23"/>
      <c r="X92" s="23"/>
      <c r="Y92" s="23"/>
      <c r="Z92" s="23"/>
    </row>
    <row r="93" spans="1:26" ht="11.25">
      <c r="A93" s="15" t="s">
        <v>55</v>
      </c>
      <c r="B93" s="38">
        <v>0.8</v>
      </c>
      <c r="C93" s="38">
        <v>16.64</v>
      </c>
      <c r="D93" s="38">
        <v>1.42</v>
      </c>
      <c r="E93" s="38">
        <v>9.76</v>
      </c>
      <c r="F93" s="38">
        <v>66.29</v>
      </c>
      <c r="G93" s="38">
        <v>0.59</v>
      </c>
      <c r="H93" s="38">
        <v>0.59</v>
      </c>
      <c r="I93" s="38">
        <v>10.04</v>
      </c>
      <c r="J93" s="38"/>
      <c r="K93" s="35" t="s">
        <v>3</v>
      </c>
      <c r="L93" s="18">
        <v>113.32</v>
      </c>
      <c r="M93" s="35" t="s">
        <v>3</v>
      </c>
      <c r="N93" s="18"/>
      <c r="O93" s="35" t="s">
        <v>3</v>
      </c>
      <c r="P93" s="18">
        <v>1296.57</v>
      </c>
      <c r="Q93" s="36" t="s">
        <v>3</v>
      </c>
      <c r="R93" s="22"/>
      <c r="S93" s="36" t="s">
        <v>3</v>
      </c>
      <c r="T93" s="22"/>
      <c r="U93" s="36" t="s">
        <v>3</v>
      </c>
      <c r="V93" s="23">
        <v>487</v>
      </c>
      <c r="W93" s="23"/>
      <c r="X93" s="23"/>
      <c r="Y93" s="23"/>
      <c r="Z93" s="23"/>
    </row>
    <row r="94" spans="1:26" ht="11.25">
      <c r="A94" s="15" t="s">
        <v>56</v>
      </c>
      <c r="B94" s="38">
        <v>0.15</v>
      </c>
      <c r="C94" s="38">
        <v>3.09</v>
      </c>
      <c r="D94" s="38">
        <v>0.26</v>
      </c>
      <c r="E94" s="38">
        <v>1.81</v>
      </c>
      <c r="F94" s="38">
        <v>12.31</v>
      </c>
      <c r="G94" s="38">
        <v>0.11</v>
      </c>
      <c r="H94" s="38">
        <v>0.11</v>
      </c>
      <c r="I94" s="38">
        <v>1.87</v>
      </c>
      <c r="J94" s="38"/>
      <c r="K94" s="35" t="s">
        <v>3</v>
      </c>
      <c r="L94" s="18">
        <v>21.05</v>
      </c>
      <c r="M94" s="35" t="s">
        <v>3</v>
      </c>
      <c r="N94" s="18"/>
      <c r="O94" s="35" t="s">
        <v>3</v>
      </c>
      <c r="P94" s="18">
        <v>343.88</v>
      </c>
      <c r="Q94" s="36" t="s">
        <v>3</v>
      </c>
      <c r="R94" s="22"/>
      <c r="S94" s="36" t="s">
        <v>3</v>
      </c>
      <c r="T94" s="22"/>
      <c r="U94" s="36" t="s">
        <v>3</v>
      </c>
      <c r="V94" s="23">
        <v>179</v>
      </c>
      <c r="W94" s="23"/>
      <c r="X94" s="23"/>
      <c r="Y94" s="23"/>
      <c r="Z94" s="23"/>
    </row>
    <row r="95" spans="1:26" ht="11.25">
      <c r="A95" s="15" t="s">
        <v>57</v>
      </c>
      <c r="B95" s="38">
        <v>0.11</v>
      </c>
      <c r="C95" s="38">
        <v>2.36</v>
      </c>
      <c r="D95" s="38">
        <v>0.2</v>
      </c>
      <c r="E95" s="38">
        <v>1.38</v>
      </c>
      <c r="F95" s="38">
        <v>9.4</v>
      </c>
      <c r="G95" s="38">
        <v>0.08</v>
      </c>
      <c r="H95" s="38">
        <v>0.08</v>
      </c>
      <c r="I95" s="38">
        <v>1.42</v>
      </c>
      <c r="J95" s="38"/>
      <c r="K95" s="35" t="s">
        <v>3</v>
      </c>
      <c r="L95" s="18">
        <v>16.06</v>
      </c>
      <c r="M95" s="35" t="s">
        <v>3</v>
      </c>
      <c r="N95" s="18"/>
      <c r="O95" s="35" t="s">
        <v>3</v>
      </c>
      <c r="P95" s="18">
        <v>120.25</v>
      </c>
      <c r="Q95" s="36" t="s">
        <v>3</v>
      </c>
      <c r="R95" s="22"/>
      <c r="S95" s="36" t="s">
        <v>3</v>
      </c>
      <c r="T95" s="22"/>
      <c r="U95" s="36" t="s">
        <v>3</v>
      </c>
      <c r="V95" s="23">
        <v>137</v>
      </c>
      <c r="W95" s="23"/>
      <c r="X95" s="23"/>
      <c r="Y95" s="23"/>
      <c r="Z95" s="23"/>
    </row>
    <row r="96" spans="1:26" ht="11.25">
      <c r="A96" s="15" t="s">
        <v>58</v>
      </c>
      <c r="B96" s="38">
        <v>0.25</v>
      </c>
      <c r="C96" s="38">
        <v>5.18</v>
      </c>
      <c r="D96" s="38">
        <v>0.44</v>
      </c>
      <c r="E96" s="38">
        <v>3.04</v>
      </c>
      <c r="F96" s="38">
        <v>20.65</v>
      </c>
      <c r="G96" s="38">
        <v>0.18</v>
      </c>
      <c r="H96" s="38">
        <v>0.18</v>
      </c>
      <c r="I96" s="38">
        <v>3.13</v>
      </c>
      <c r="J96" s="38"/>
      <c r="K96" s="35" t="s">
        <v>3</v>
      </c>
      <c r="L96" s="18">
        <v>35.3</v>
      </c>
      <c r="M96" s="35" t="s">
        <v>3</v>
      </c>
      <c r="N96" s="18"/>
      <c r="O96" s="35" t="s">
        <v>3</v>
      </c>
      <c r="P96" s="18">
        <v>207.63</v>
      </c>
      <c r="Q96" s="36" t="s">
        <v>3</v>
      </c>
      <c r="R96" s="22"/>
      <c r="S96" s="36" t="s">
        <v>3</v>
      </c>
      <c r="T96" s="22"/>
      <c r="U96" s="36" t="s">
        <v>3</v>
      </c>
      <c r="V96" s="23">
        <v>246</v>
      </c>
      <c r="W96" s="23"/>
      <c r="X96" s="23"/>
      <c r="Y96" s="23"/>
      <c r="Z96" s="23"/>
    </row>
    <row r="97" spans="1:26" ht="11.25">
      <c r="A97" s="15" t="s">
        <v>62</v>
      </c>
      <c r="B97" s="38">
        <v>0.26</v>
      </c>
      <c r="C97" s="38">
        <v>5.46</v>
      </c>
      <c r="D97" s="38">
        <v>0.47</v>
      </c>
      <c r="E97" s="38">
        <v>3.2</v>
      </c>
      <c r="F97" s="38">
        <v>21.77</v>
      </c>
      <c r="G97" s="38">
        <v>0.19</v>
      </c>
      <c r="H97" s="38">
        <v>0.19</v>
      </c>
      <c r="I97" s="38">
        <v>3.3</v>
      </c>
      <c r="J97" s="38"/>
      <c r="K97" s="35" t="s">
        <v>3</v>
      </c>
      <c r="L97" s="18">
        <v>37.21</v>
      </c>
      <c r="M97" s="35" t="s">
        <v>3</v>
      </c>
      <c r="N97" s="18"/>
      <c r="O97" s="35" t="s">
        <v>3</v>
      </c>
      <c r="P97" s="18">
        <v>442.57</v>
      </c>
      <c r="Q97" s="36" t="s">
        <v>3</v>
      </c>
      <c r="R97" s="22"/>
      <c r="S97" s="36" t="s">
        <v>3</v>
      </c>
      <c r="T97" s="22"/>
      <c r="U97" s="36" t="s">
        <v>3</v>
      </c>
      <c r="V97" s="23">
        <v>247</v>
      </c>
      <c r="W97" s="23"/>
      <c r="X97" s="23"/>
      <c r="Y97" s="23"/>
      <c r="Z97" s="23"/>
    </row>
    <row r="98" spans="1:26" ht="11.25">
      <c r="A98" s="15" t="s">
        <v>63</v>
      </c>
      <c r="B98" s="38">
        <v>0.25</v>
      </c>
      <c r="C98" s="38">
        <v>5.14</v>
      </c>
      <c r="D98" s="38">
        <v>0.44</v>
      </c>
      <c r="E98" s="38">
        <v>3.01</v>
      </c>
      <c r="F98" s="38">
        <v>20.46</v>
      </c>
      <c r="G98" s="38">
        <v>0.18</v>
      </c>
      <c r="H98" s="38">
        <v>0.18</v>
      </c>
      <c r="I98" s="38">
        <v>3.1</v>
      </c>
      <c r="J98" s="38"/>
      <c r="K98" s="35" t="s">
        <v>3</v>
      </c>
      <c r="L98" s="18">
        <v>34.98</v>
      </c>
      <c r="M98" s="35" t="s">
        <v>3</v>
      </c>
      <c r="N98" s="24"/>
      <c r="O98" s="35" t="s">
        <v>3</v>
      </c>
      <c r="P98" s="18">
        <v>683.64</v>
      </c>
      <c r="Q98" s="36" t="s">
        <v>3</v>
      </c>
      <c r="R98" s="25"/>
      <c r="S98" s="36" t="s">
        <v>3</v>
      </c>
      <c r="T98" s="25"/>
      <c r="U98" s="36" t="s">
        <v>3</v>
      </c>
      <c r="V98" s="23">
        <v>307</v>
      </c>
      <c r="W98" s="23"/>
      <c r="X98" s="23"/>
      <c r="Y98" s="23"/>
      <c r="Z98" s="23"/>
    </row>
    <row r="99" spans="1:26" ht="11.25">
      <c r="A99" s="15" t="s">
        <v>65</v>
      </c>
      <c r="B99" s="38">
        <v>0.52</v>
      </c>
      <c r="C99" s="38">
        <v>10.71</v>
      </c>
      <c r="D99" s="38">
        <v>0.91</v>
      </c>
      <c r="E99" s="38">
        <v>6.28</v>
      </c>
      <c r="F99" s="38">
        <v>42.66</v>
      </c>
      <c r="G99" s="38">
        <v>0.38</v>
      </c>
      <c r="H99" s="38">
        <v>0.38</v>
      </c>
      <c r="I99" s="38">
        <v>6.46</v>
      </c>
      <c r="J99" s="38"/>
      <c r="K99" s="35" t="s">
        <v>3</v>
      </c>
      <c r="L99" s="18">
        <v>72.93</v>
      </c>
      <c r="M99" s="35" t="s">
        <v>3</v>
      </c>
      <c r="N99" s="24"/>
      <c r="O99" s="35" t="s">
        <v>3</v>
      </c>
      <c r="P99" s="18">
        <v>1174.88</v>
      </c>
      <c r="Q99" s="36" t="s">
        <v>3</v>
      </c>
      <c r="R99" s="25"/>
      <c r="S99" s="36" t="s">
        <v>3</v>
      </c>
      <c r="T99" s="25"/>
      <c r="U99" s="36" t="s">
        <v>3</v>
      </c>
      <c r="V99" s="23">
        <v>536</v>
      </c>
      <c r="W99" s="23"/>
      <c r="X99" s="23"/>
      <c r="Y99" s="23"/>
      <c r="Z99" s="23"/>
    </row>
    <row r="100" spans="1:26" ht="11.25">
      <c r="A100" s="15"/>
      <c r="B100" s="16" t="str">
        <f>IF($L100&gt;0,ROUND(#REF!*$L100,2)," ")</f>
        <v> </v>
      </c>
      <c r="C100" s="16" t="str">
        <f>IF($L100&gt;0,ROUND(#REF!*$L100,2)," ")</f>
        <v> </v>
      </c>
      <c r="D100" s="16" t="str">
        <f>IF($L100&gt;0,ROUND(#REF!*$L100,2)," ")</f>
        <v> </v>
      </c>
      <c r="E100" s="16" t="str">
        <f>IF($L100&gt;0,ROUND(#REF!*$L100,2)," ")</f>
        <v> </v>
      </c>
      <c r="F100" s="16" t="str">
        <f>IF($L100&gt;0,ROUND(#REF!*$L100,2)," ")</f>
        <v> </v>
      </c>
      <c r="G100" s="16" t="str">
        <f>IF($L100&gt;0,ROUND(#REF!*$L100,2)," ")</f>
        <v> </v>
      </c>
      <c r="H100" s="16" t="str">
        <f>IF($L100&gt;0,ROUND(#REF!*$L100,2)," ")</f>
        <v> </v>
      </c>
      <c r="I100" s="16" t="str">
        <f>IF($L100&gt;0,ROUND(#REF!*$L100,2)," ")</f>
        <v> </v>
      </c>
      <c r="J100" s="16" t="str">
        <f>IF($L100&gt;0,ROUND(#REF!*$L100,2)," ")</f>
        <v> </v>
      </c>
      <c r="K100" s="35" t="s">
        <v>3</v>
      </c>
      <c r="L100" s="18"/>
      <c r="M100" s="35" t="s">
        <v>3</v>
      </c>
      <c r="N100" s="24"/>
      <c r="O100" s="35" t="s">
        <v>3</v>
      </c>
      <c r="P100" s="18"/>
      <c r="Q100" s="36" t="s">
        <v>3</v>
      </c>
      <c r="R100" s="25"/>
      <c r="S100" s="36" t="s">
        <v>3</v>
      </c>
      <c r="T100" s="25"/>
      <c r="U100" s="36" t="s">
        <v>3</v>
      </c>
      <c r="V100" s="23"/>
      <c r="W100" s="23"/>
      <c r="X100" s="23"/>
      <c r="Y100" s="23"/>
      <c r="Z100" s="23"/>
    </row>
    <row r="101" spans="1:26" ht="11.25">
      <c r="A101" s="15"/>
      <c r="B101" s="16" t="str">
        <f>IF($L101&gt;0,ROUND(#REF!*$L101,2)," ")</f>
        <v> </v>
      </c>
      <c r="C101" s="16" t="str">
        <f>IF($L101&gt;0,ROUND(#REF!*$L101,2)," ")</f>
        <v> </v>
      </c>
      <c r="D101" s="16" t="str">
        <f>IF($L101&gt;0,ROUND(#REF!*$L101,2)," ")</f>
        <v> </v>
      </c>
      <c r="E101" s="16" t="str">
        <f>IF($L101&gt;0,ROUND(#REF!*$L101,2)," ")</f>
        <v> </v>
      </c>
      <c r="F101" s="16" t="str">
        <f>IF($L101&gt;0,ROUND(#REF!*$L101,2)," ")</f>
        <v> </v>
      </c>
      <c r="G101" s="16" t="str">
        <f>IF($L101&gt;0,ROUND(#REF!*$L101,2)," ")</f>
        <v> </v>
      </c>
      <c r="H101" s="16" t="str">
        <f>IF($L101&gt;0,ROUND(#REF!*$L101,2)," ")</f>
        <v> </v>
      </c>
      <c r="I101" s="16" t="str">
        <f>IF($L101&gt;0,ROUND(#REF!*$L101,2)," ")</f>
        <v> </v>
      </c>
      <c r="J101" s="16" t="str">
        <f>IF($L101&gt;0,ROUND(#REF!*$L101,2)," ")</f>
        <v> </v>
      </c>
      <c r="K101" s="35" t="s">
        <v>3</v>
      </c>
      <c r="L101" s="18"/>
      <c r="M101" s="35" t="s">
        <v>3</v>
      </c>
      <c r="N101" s="18"/>
      <c r="O101" s="35" t="s">
        <v>3</v>
      </c>
      <c r="P101" s="18"/>
      <c r="Q101" s="36" t="s">
        <v>3</v>
      </c>
      <c r="R101" s="23"/>
      <c r="S101" s="36" t="s">
        <v>3</v>
      </c>
      <c r="T101" s="23"/>
      <c r="U101" s="36" t="s">
        <v>3</v>
      </c>
      <c r="V101" s="23"/>
      <c r="W101" s="23"/>
      <c r="X101" s="23"/>
      <c r="Y101" s="23"/>
      <c r="Z101" s="23"/>
    </row>
    <row r="102" spans="1:26" ht="11.25">
      <c r="A102" s="15"/>
      <c r="B102" s="16" t="str">
        <f>IF($L102&gt;0,ROUND(#REF!*$L102,2)," ")</f>
        <v> </v>
      </c>
      <c r="C102" s="16" t="str">
        <f>IF($L102&gt;0,ROUND(#REF!*$L102,2)," ")</f>
        <v> </v>
      </c>
      <c r="D102" s="16" t="str">
        <f>IF($L102&gt;0,ROUND(#REF!*$L102,2)," ")</f>
        <v> </v>
      </c>
      <c r="E102" s="16" t="str">
        <f>IF($L102&gt;0,ROUND(#REF!*$L102,2)," ")</f>
        <v> </v>
      </c>
      <c r="F102" s="16" t="str">
        <f>IF($L102&gt;0,ROUND(#REF!*$L102,2)," ")</f>
        <v> </v>
      </c>
      <c r="G102" s="16" t="str">
        <f>IF($L102&gt;0,ROUND(#REF!*$L102,2)," ")</f>
        <v> </v>
      </c>
      <c r="H102" s="16" t="str">
        <f>IF($L102&gt;0,ROUND(#REF!*$L102,2)," ")</f>
        <v> </v>
      </c>
      <c r="I102" s="16" t="str">
        <f>IF($L102&gt;0,ROUND(#REF!*$L102,2)," ")</f>
        <v> </v>
      </c>
      <c r="J102" s="16" t="str">
        <f>IF($L102&gt;0,ROUND(#REF!*$L102,2)," ")</f>
        <v> </v>
      </c>
      <c r="K102" s="35" t="s">
        <v>3</v>
      </c>
      <c r="L102" s="18"/>
      <c r="M102" s="35" t="s">
        <v>3</v>
      </c>
      <c r="N102" s="18"/>
      <c r="O102" s="35" t="s">
        <v>3</v>
      </c>
      <c r="P102" s="18"/>
      <c r="Q102" s="36" t="s">
        <v>3</v>
      </c>
      <c r="R102" s="23"/>
      <c r="S102" s="36" t="s">
        <v>3</v>
      </c>
      <c r="T102" s="23"/>
      <c r="U102" s="36" t="s">
        <v>3</v>
      </c>
      <c r="V102" s="23"/>
      <c r="W102" s="23"/>
      <c r="X102" s="23"/>
      <c r="Y102" s="23"/>
      <c r="Z102" s="23"/>
    </row>
  </sheetData>
  <printOptions horizontalCentered="1"/>
  <pageMargins left="0" right="0" top="0.25" bottom="0.45" header="0.5" footer="0.23"/>
  <pageSetup horizontalDpi="150" verticalDpi="150" orientation="landscape" scale="80" r:id="rId3"/>
  <headerFooter alignWithMargins="0">
    <oddFooter>&amp;L&amp;"Small Fonts,Regular"&amp;5C:\EXCEL\97RABCO\&amp;F, &amp;D, &amp;T&amp;RPage &amp;P of &amp;N</oddFooter>
  </headerFooter>
  <rowBreaks count="1" manualBreakCount="1">
    <brk id="6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5"/>
  <sheetViews>
    <sheetView workbookViewId="0" topLeftCell="A1">
      <pane ySplit="1020" topLeftCell="BM34" activePane="bottomLeft" state="split"/>
      <selection pane="topLeft" activeCell="A1" sqref="A1"/>
      <selection pane="bottomLeft" activeCell="M79" sqref="M79"/>
    </sheetView>
  </sheetViews>
  <sheetFormatPr defaultColWidth="9.33203125" defaultRowHeight="11.25"/>
  <cols>
    <col min="1" max="11" width="10.66015625" style="43" customWidth="1"/>
    <col min="12" max="12" width="12" style="43" customWidth="1"/>
    <col min="13" max="13" width="11.33203125" style="43" customWidth="1"/>
    <col min="14" max="16384" width="10.66015625" style="43" customWidth="1"/>
  </cols>
  <sheetData>
    <row r="1" ht="12.75">
      <c r="A1" s="42" t="s">
        <v>69</v>
      </c>
    </row>
    <row r="2" spans="12:14" ht="12.75">
      <c r="L2" s="44" t="s">
        <v>70</v>
      </c>
      <c r="M2" s="44" t="s">
        <v>71</v>
      </c>
      <c r="N2" s="42" t="s">
        <v>47</v>
      </c>
    </row>
    <row r="3" spans="2:14" ht="12.75">
      <c r="B3" s="45"/>
      <c r="C3" s="46" t="s">
        <v>72</v>
      </c>
      <c r="D3" s="46" t="s">
        <v>73</v>
      </c>
      <c r="E3" s="46" t="s">
        <v>74</v>
      </c>
      <c r="F3" s="46" t="s">
        <v>15</v>
      </c>
      <c r="G3" s="46" t="s">
        <v>16</v>
      </c>
      <c r="H3" s="46" t="s">
        <v>75</v>
      </c>
      <c r="I3" s="46" t="s">
        <v>18</v>
      </c>
      <c r="J3" s="46" t="s">
        <v>19</v>
      </c>
      <c r="K3" s="46" t="s">
        <v>50</v>
      </c>
      <c r="L3" s="46" t="s">
        <v>49</v>
      </c>
      <c r="M3" s="46" t="s">
        <v>76</v>
      </c>
      <c r="N3" s="46" t="s">
        <v>48</v>
      </c>
    </row>
    <row r="4" spans="2:12" ht="12.75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2:12" ht="12.75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4" ht="12.75">
      <c r="A6" s="47">
        <v>36526</v>
      </c>
      <c r="B6" s="48"/>
      <c r="C6" s="49">
        <f>0.03+0.47+0.04+0.16+0.15+0.9+0.86+2.48</f>
        <v>5.09</v>
      </c>
      <c r="D6" s="49">
        <f>0.43+7.46+0.56+2.57+2.4+14.33+13.83+39.72</f>
        <v>81.3</v>
      </c>
      <c r="E6" s="49">
        <f>0.06+0.97+0.07+0.34+0.31+1.87+1.81+5.19</f>
        <v>10.620000000000001</v>
      </c>
      <c r="F6" s="49">
        <f>0.66+11.55+0.87+3.97+3.72+22.17+21.4+61.47</f>
        <v>125.81</v>
      </c>
      <c r="G6" s="49">
        <f>2.23+39.03+2.93+13.41+12.57+74.91+72.3+207.68+34.66</f>
        <v>459.72</v>
      </c>
      <c r="H6" s="49">
        <f>0.03+0.61+0.05+0.21+0.2+1.16+1.12+3.22</f>
        <v>6.6</v>
      </c>
      <c r="I6" s="49">
        <f>0.03+0.61+0.05+0.21+0.2+1.16+1.12+3.22</f>
        <v>6.6</v>
      </c>
      <c r="J6" s="49">
        <f>0.4+6.98+0.52+2.4+2.25+12.92+37.13</f>
        <v>62.6</v>
      </c>
      <c r="K6" s="48"/>
      <c r="L6" s="49">
        <f aca="true" t="shared" si="0" ref="L6:L17">SUM(C6:K6)</f>
        <v>758.34</v>
      </c>
      <c r="N6" s="49">
        <f>6.94+79.63+14.61+85.96+24.68+286.09+176.74+640.6</f>
        <v>1315.25</v>
      </c>
    </row>
    <row r="7" spans="1:14" ht="12.75">
      <c r="A7" s="47">
        <v>36557</v>
      </c>
      <c r="B7" s="48"/>
      <c r="C7" s="49">
        <f>0.02+0.52+0.09+0.11+0.11+0.81+0.72+2.54</f>
        <v>4.92</v>
      </c>
      <c r="D7" s="49">
        <f>0.35+8.24+1.45+1.79+1.69+12.91+11.5+40.62</f>
        <v>78.55</v>
      </c>
      <c r="E7" s="49">
        <f>0.05+1.08+0.19+0.23+0.22+1.69+1.5+5.3</f>
        <v>10.26</v>
      </c>
      <c r="F7" s="49">
        <f>0.54+12.76+2.25+2.78+2.61+19.97+17.79+62.86</f>
        <v>121.56</v>
      </c>
      <c r="G7" s="49">
        <f>1.84+43.11+7.6+9.38+8.83+67.48+60.11+212.38+20.55</f>
        <v>431.28000000000003</v>
      </c>
      <c r="H7" s="49">
        <f>0.03+0.67+0.12+0.15+0.14+1.05+0.93+3.3</f>
        <v>6.390000000000001</v>
      </c>
      <c r="I7" s="49">
        <f>0.03+0.67+0.12+0.15+0.14+1.05+0.93+3.3</f>
        <v>6.390000000000001</v>
      </c>
      <c r="J7" s="49">
        <f>0.33+7.71+1.36+1.68+1.58+12.06+10.75+37.97</f>
        <v>73.44</v>
      </c>
      <c r="K7" s="48"/>
      <c r="L7" s="49">
        <f t="shared" si="0"/>
        <v>732.79</v>
      </c>
      <c r="N7" s="49">
        <f>6.03+71.54+13.11+76.98+22.25+264.46+163.94+597.04</f>
        <v>1215.35</v>
      </c>
    </row>
    <row r="8" spans="1:14" ht="12.75">
      <c r="A8" s="47">
        <v>36586</v>
      </c>
      <c r="B8" s="48"/>
      <c r="C8" s="49">
        <f>0.02+0.45+0.14+0.19+0.11+0.78+0.78+2.74</f>
        <v>5.21</v>
      </c>
      <c r="D8" s="49">
        <f>0.37+7.26+2.2+3.02+1.83+12.41+12.43+43.79</f>
        <v>83.31</v>
      </c>
      <c r="E8" s="49">
        <f>0.05+0.95+0.29+0.39+0.24+1.62+1.62+5.72</f>
        <v>10.879999999999999</v>
      </c>
      <c r="F8" s="49">
        <f>0.58+11.24+3.41+4.67+2.84+19.21+19.24+67.77</f>
        <v>128.95999999999998</v>
      </c>
      <c r="G8" s="49">
        <f>1.95+37.96+11.51+15.79+9.58+64.9+65+228.96+21.84</f>
        <v>457.48999999999995</v>
      </c>
      <c r="H8" s="49">
        <f>0.03+0.59+0.18+0.25+0.15+1.01+1.01+3.55</f>
        <v>6.77</v>
      </c>
      <c r="I8" s="49">
        <f>0.03+0.59+0.18+0.25+0.15+1.01+1.01+3.55</f>
        <v>6.77</v>
      </c>
      <c r="J8" s="49">
        <f>0.35+6.79+2.06+2.82+1.71+11.6+11.62+40.93</f>
        <v>77.88</v>
      </c>
      <c r="K8" s="48"/>
      <c r="L8" s="49">
        <f t="shared" si="0"/>
        <v>777.2699999999999</v>
      </c>
      <c r="N8" s="49">
        <f>6.76+78.79+14.44+84.32+24.77+295.76+183.02+668.51</f>
        <v>1356.37</v>
      </c>
    </row>
    <row r="9" spans="1:14" ht="12.75">
      <c r="A9" s="47">
        <v>36617</v>
      </c>
      <c r="B9" s="48"/>
      <c r="C9" s="49">
        <f>0.02+0.42+0.12+0.13+0.11+0.68+0.75+2.62</f>
        <v>4.85</v>
      </c>
      <c r="D9" s="49">
        <f>0.33+6.75+1.94+2.06+1.79+10.93+12.01+41.95</f>
        <v>77.76</v>
      </c>
      <c r="E9" s="49">
        <f>0.04+0.88+0.25+0.27+0.23+1.43+1.57+5.48</f>
        <v>10.15</v>
      </c>
      <c r="F9" s="49">
        <f>0.51+10.45+3+3.2+2.77+16.92+18.59+64.92</f>
        <v>120.36</v>
      </c>
      <c r="G9" s="49">
        <f>1.72+35.29+10.13+10.8+9.37+57.16+62.82+219.33+20.34</f>
        <v>426.96</v>
      </c>
      <c r="H9" s="49">
        <f>0.03+0.55+0.16+0.17+0.15+0.89+0.98+3.4</f>
        <v>6.33</v>
      </c>
      <c r="I9" s="49">
        <f>0.03+0.55+0.16+0.17+0.15+0.89+0.98+3.4</f>
        <v>6.33</v>
      </c>
      <c r="J9" s="49">
        <f>0.31+6.31+1.81+1.93+1.68+10.22+11.23+39.21</f>
        <v>72.69999999999999</v>
      </c>
      <c r="K9" s="48"/>
      <c r="L9" s="49">
        <f t="shared" si="0"/>
        <v>725.44</v>
      </c>
      <c r="N9" s="49">
        <f>6.34+71.61+11.87+73.15+22.15+266.41+164.95+601.55</f>
        <v>1218.03</v>
      </c>
    </row>
    <row r="10" spans="1:14" ht="12.75">
      <c r="A10" s="47">
        <v>36647</v>
      </c>
      <c r="B10" s="48"/>
      <c r="C10" s="49">
        <f>0.03+0.48+0.12+0.14+0.17+0.72+0.65+3.32</f>
        <v>5.63</v>
      </c>
      <c r="D10" s="49">
        <f>0.45+7.63+1.86+2.24+2.79+11.54+10.38+53.18</f>
        <v>90.07</v>
      </c>
      <c r="E10" s="49">
        <f>0.06+1+0.24+0.29+0.36+1.51+1.36+6.94</f>
        <v>11.760000000000002</v>
      </c>
      <c r="F10" s="49">
        <f>0.7+11.8+2.89+3.47+4.32+17.86+16.06+82.3</f>
        <v>139.39999999999998</v>
      </c>
      <c r="G10" s="49">
        <f>2.37+39.87+9.75+11.73+14.58+60.35+54.27+278.04+23.59</f>
        <v>494.55</v>
      </c>
      <c r="H10" s="49">
        <f>0.04+0.62+0.15+0.18+0.23+0.94+0.84+4.32</f>
        <v>7.32</v>
      </c>
      <c r="I10" s="49">
        <f>0.04+0.62+0.15+0.18+0.23+0.94+0.84+4.32</f>
        <v>7.32</v>
      </c>
      <c r="J10" s="49">
        <f>0.42+7.13+1.74+2.1+2.61+10.79+9.7+49.71</f>
        <v>84.19999999999999</v>
      </c>
      <c r="K10" s="48"/>
      <c r="L10" s="49">
        <f t="shared" si="0"/>
        <v>840.25</v>
      </c>
      <c r="N10" s="49">
        <f>7.51+85.29+14.22+87.04+26.4+316+195.27+715.6</f>
        <v>1447.33</v>
      </c>
    </row>
    <row r="11" spans="1:14" ht="12.75">
      <c r="A11" s="47">
        <v>36678</v>
      </c>
      <c r="B11" s="48"/>
      <c r="C11" s="49">
        <f>0.02+0.41+0.1+0.18+0.11+0.7+0.83+2.92</f>
        <v>5.27</v>
      </c>
      <c r="D11" s="49">
        <f>0.4+6.55+1.64+2.82+1.81+11.13+13.25+46.78</f>
        <v>84.38</v>
      </c>
      <c r="E11" s="49">
        <f>0.05+0.86+0.21+0.37+0.24+1.45+1.73+6.11</f>
        <v>11.02</v>
      </c>
      <c r="F11" s="49">
        <f>0.62+10.13+2.53+4.36+2.79+17.23+20.51+72.39</f>
        <v>130.56</v>
      </c>
      <c r="G11" s="49">
        <f>2.09+34.24+8.55+14.72+9.44+58.22+69.3+244.59+22.1</f>
        <v>463.25</v>
      </c>
      <c r="H11" s="49">
        <f>0.03+0.53+0.13+0.23+0.15+0.9+1.08+3.8</f>
        <v>6.85</v>
      </c>
      <c r="I11" s="49">
        <f>0.03+0.53+0.13+0.23+0.15+0.9+1.08+3.8</f>
        <v>6.85</v>
      </c>
      <c r="J11" s="49">
        <f>0.37+6.12+1.53+2.63+1.69+10.41+12.39+43.72</f>
        <v>78.86</v>
      </c>
      <c r="K11" s="48"/>
      <c r="L11" s="49">
        <f t="shared" si="0"/>
        <v>787.0400000000001</v>
      </c>
      <c r="N11" s="49">
        <f>7.44+84.13+14.33+86.22+26.82+314.65+193.63+713.14</f>
        <v>1440.36</v>
      </c>
    </row>
    <row r="12" spans="1:14" ht="12.75">
      <c r="A12" s="47">
        <v>36708</v>
      </c>
      <c r="B12" s="48"/>
      <c r="C12" s="49">
        <f>0.02+0.42+0.09+0.15+0.1+0.68+0.83+2.48</f>
        <v>4.77</v>
      </c>
      <c r="D12" s="49">
        <f>0.35+6.66+1.42+2.47+1.58+10.91+13.27+39.61</f>
        <v>76.27</v>
      </c>
      <c r="E12" s="49">
        <f>0.05+0.87+0.19+0.32+0.21+1.43+1.73+5.17</f>
        <v>9.97</v>
      </c>
      <c r="F12" s="49">
        <f>0.54+10.3+2.2+3.82+2.44+16.89+20.54+61.3</f>
        <v>118.03</v>
      </c>
      <c r="G12" s="49">
        <f>1.82+34.81+7.44+12.9+8.25+57.06+69.38+207.1+19.97</f>
        <v>418.73</v>
      </c>
      <c r="H12" s="49">
        <f>0.03+0.54+0.12+0.2+0.13+0.89+1.08+3.21</f>
        <v>6.2</v>
      </c>
      <c r="I12" s="49">
        <f>0.03+0.54+0.12+0.2+0.13+0.89+1.08+3.21</f>
        <v>6.2</v>
      </c>
      <c r="J12" s="49">
        <f>0.32+6.22+1.33+2.31+1.47+10.2+12.4+37.02</f>
        <v>71.27000000000001</v>
      </c>
      <c r="K12" s="48"/>
      <c r="L12" s="49">
        <f t="shared" si="0"/>
        <v>711.44</v>
      </c>
      <c r="N12" s="49">
        <f>7.17+80.36+13.62+82.48+25.19+300.06+183.5+675.27</f>
        <v>1367.65</v>
      </c>
    </row>
    <row r="13" spans="1:14" ht="12.75">
      <c r="A13" s="47">
        <v>36739</v>
      </c>
      <c r="B13" s="48"/>
      <c r="C13" s="49">
        <f>0.02+0.61+0.08+0.27+0.15+0.66+0.89+2.85</f>
        <v>5.53</v>
      </c>
      <c r="D13" s="49">
        <f>0.33+9.81+1.36+4.32+2.43+10.52+14.24+45.53</f>
        <v>88.53999999999999</v>
      </c>
      <c r="E13" s="49">
        <f>0.04+1.28+0.18+0.56+0.32+1.37+1.86+5.95</f>
        <v>11.56</v>
      </c>
      <c r="F13" s="49">
        <f>0.51+15.19+2.1+6.68+3.75+16.28+22.03+70.47</f>
        <v>137.01</v>
      </c>
      <c r="G13" s="49">
        <f>1.73+51.31+7.1+22.57+12.68+55.01+74.44+238.08+23.18</f>
        <v>486.1</v>
      </c>
      <c r="H13" s="49">
        <f>0.03+0.8+0.11+0.35+0.2+0.85+1.16+3.7</f>
        <v>7.2</v>
      </c>
      <c r="I13" s="49">
        <f>0.03+0.8+0.11+0.35+0.2+0.85+1.16+3.7</f>
        <v>7.2</v>
      </c>
      <c r="J13" s="49">
        <f>0.31+9.17+1.27+4.04+2.27+9.83+13.31+42.56</f>
        <v>82.76</v>
      </c>
      <c r="K13" s="48"/>
      <c r="L13" s="49">
        <f t="shared" si="0"/>
        <v>825.9000000000001</v>
      </c>
      <c r="N13" s="49">
        <f>8.06+87.89+15.1+90.38+27.4+325.2+201.92+739.73</f>
        <v>1495.6799999999998</v>
      </c>
    </row>
    <row r="14" spans="1:14" ht="12.75">
      <c r="A14" s="47">
        <v>36770</v>
      </c>
      <c r="B14" s="48"/>
      <c r="C14" s="49">
        <f>0.02+0.46+0.07+0.17+0.12+0.6+0.91+2.86</f>
        <v>5.21</v>
      </c>
      <c r="D14" s="49">
        <f>0.3+7.29+1.2+2.66+1.84+9.57+14.54+45.82</f>
        <v>83.22</v>
      </c>
      <c r="E14" s="49">
        <f>0.04+0.95+0.16+0.35+0.24+1.25+1.9+5.98</f>
        <v>10.870000000000001</v>
      </c>
      <c r="F14" s="49">
        <f>0.47+11.29+1.85+4.11+2.85+14.81+22.51+70.92</f>
        <v>128.81</v>
      </c>
      <c r="G14" s="49">
        <f>1.58+38.14+6.26+13.9+9.63+50.04+76.04+239.6+21.8</f>
        <v>456.98999999999995</v>
      </c>
      <c r="H14" s="49">
        <f>0.02+0.59+0.1+0.22+0.15+0.78+1.18+3.72</f>
        <v>6.76</v>
      </c>
      <c r="I14" s="49">
        <f>0.02+0.59+0.1+0.22+0.15+0.78+1.18+3.72</f>
        <v>6.76</v>
      </c>
      <c r="J14" s="49">
        <f>0.28+6.82+1.12+2.48+1.72+8.94+13.59+42.83</f>
        <v>77.78</v>
      </c>
      <c r="K14" s="48"/>
      <c r="L14" s="49">
        <f t="shared" si="0"/>
        <v>776.3999999999999</v>
      </c>
      <c r="N14" s="49">
        <f>7.18+76.73+13.36+79.53+24.49+290.92+181.01+661.86</f>
        <v>1335.08</v>
      </c>
    </row>
    <row r="15" spans="1:14" ht="12.75">
      <c r="A15" s="47">
        <v>36800</v>
      </c>
      <c r="B15" s="48"/>
      <c r="C15" s="49">
        <f>0.02+0.43+0.08+0.11+0.25+0.64+0.69+3.16</f>
        <v>5.38</v>
      </c>
      <c r="D15" s="49">
        <f>0.32+6.94+1.34+1.84+4.07+10.22+11.08+50.57</f>
        <v>86.38</v>
      </c>
      <c r="E15" s="49">
        <f>0.04+0.91+0.18+0.24+0.53+1.34+1.45+6.6</f>
        <v>11.29</v>
      </c>
      <c r="F15" s="49">
        <f>0.49+10.74+2.08+2.84+6.3+15.82+17.15+78.26</f>
        <v>133.68</v>
      </c>
      <c r="G15" s="49">
        <f>1.67+36.28+7.02+9.61+21.28+53.45+57.95+264.39+22.66</f>
        <v>474.31</v>
      </c>
      <c r="H15" s="49">
        <f>0.03+0.56+0.11+0.15+0.33+0.83+0.9+4.1</f>
        <v>7.01</v>
      </c>
      <c r="I15" s="49">
        <f>0.03+0.56+0.11+0.15+0.33+0.83+0.9+4.1</f>
        <v>7.01</v>
      </c>
      <c r="J15" s="49">
        <f>0.3+6.49+1.26+1.72+3.8+9.56+10.36+47.26</f>
        <v>80.75</v>
      </c>
      <c r="K15" s="48"/>
      <c r="L15" s="49">
        <f t="shared" si="0"/>
        <v>805.81</v>
      </c>
      <c r="N15" s="49">
        <f>6.99+75.53+13.19+78.48+24.15+287.18+178.25+650.63</f>
        <v>1314.4</v>
      </c>
    </row>
    <row r="16" spans="1:14" ht="12.75">
      <c r="A16" s="47">
        <v>36831</v>
      </c>
      <c r="B16" s="48"/>
      <c r="C16" s="49">
        <f>0.02+0.46+0.09+0.18+0.19+0.6+0.68+3.31</f>
        <v>5.53</v>
      </c>
      <c r="D16" s="49">
        <f>0.36+7.32+1.5+2.88+3.04+9.68+10.87+52.89</f>
        <v>88.53999999999999</v>
      </c>
      <c r="E16" s="49">
        <f>0.05+0.96+0.2+0.38+0.4+1.26+1.42+6.91</f>
        <v>11.58</v>
      </c>
      <c r="F16" s="49">
        <f>0.56+11.32+2.32+4.45+4.7+14.98+16.82+81.85</f>
        <v>137</v>
      </c>
      <c r="G16" s="49">
        <f>1.89+38.25+7.83+15.05+15.9+50.6+56.82+276.52+23.2</f>
        <v>486.06</v>
      </c>
      <c r="H16" s="49">
        <f>0.03+0.59+0.12+0.23+0.25+0.79+0.88+4.29</f>
        <v>7.18</v>
      </c>
      <c r="I16" s="49">
        <f>0.03+0.59+0.12+0.23+0.25+0.79+0.88+4.29</f>
        <v>7.18</v>
      </c>
      <c r="J16" s="49">
        <f>0.34+6.84+1.4+2.69+2.84+9.05+10.16+49.43</f>
        <v>82.75</v>
      </c>
      <c r="K16" s="48"/>
      <c r="L16" s="49">
        <f t="shared" si="0"/>
        <v>825.8199999999999</v>
      </c>
      <c r="N16" s="49">
        <f>7.2+77.98+13.32+81.3+24.5+291.95+181.67+663.71</f>
        <v>1341.63</v>
      </c>
    </row>
    <row r="17" spans="1:14" ht="12.75">
      <c r="A17" s="47">
        <v>36861</v>
      </c>
      <c r="B17" s="48"/>
      <c r="C17" s="49">
        <f>0.02+0.44+0.09+0.12+0.1+0.55+0.67+2.85</f>
        <v>4.84</v>
      </c>
      <c r="D17" s="49">
        <f>0.34+7.04+1.37+1.85+1.66+8.85+10.74+45.6</f>
        <v>77.45</v>
      </c>
      <c r="E17" s="49">
        <f>0.04+0.92+0.18+0.24+0.22+1.16+1.4+5.96</f>
        <v>10.120000000000001</v>
      </c>
      <c r="F17" s="49">
        <f>0.53+10.9+2.12+2.87+2.57+13.7+16.61+70.57</f>
        <v>119.86999999999999</v>
      </c>
      <c r="G17" s="49">
        <f>1.78+36.82+7.15+9.7+8.69+46.29+56.13+238.43+20.33</f>
        <v>425.32</v>
      </c>
      <c r="H17" s="49">
        <f>0.03+0.57+0.11+0.15+0.13+0.72+0.87+3.7</f>
        <v>6.28</v>
      </c>
      <c r="I17" s="49">
        <f>0.03+0.57+0.11+0.15+0.13+0.72+0.87+3.7</f>
        <v>6.28</v>
      </c>
      <c r="J17" s="49">
        <f>0.32+6.58+1.28+1.73+1.55+8.27+10.04+42.62</f>
        <v>72.39</v>
      </c>
      <c r="K17" s="48"/>
      <c r="L17" s="49">
        <f t="shared" si="0"/>
        <v>722.55</v>
      </c>
      <c r="N17" s="49">
        <f>6.72+75.78+12.69+79.17+23.64+278.84+171.72+635.43</f>
        <v>1283.9899999999998</v>
      </c>
    </row>
    <row r="18" spans="1:14" ht="12.75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9"/>
      <c r="N18" s="49"/>
    </row>
    <row r="19" spans="1:14" ht="12.75">
      <c r="A19" s="50" t="s">
        <v>77</v>
      </c>
      <c r="B19" s="48"/>
      <c r="C19" s="49">
        <f aca="true" t="shared" si="1" ref="C19:J19">SUM(C6:C17)</f>
        <v>62.230000000000004</v>
      </c>
      <c r="D19" s="49">
        <f t="shared" si="1"/>
        <v>995.77</v>
      </c>
      <c r="E19" s="49">
        <f t="shared" si="1"/>
        <v>130.07999999999998</v>
      </c>
      <c r="F19" s="49">
        <f t="shared" si="1"/>
        <v>1541.0499999999997</v>
      </c>
      <c r="G19" s="49">
        <f t="shared" si="1"/>
        <v>5480.76</v>
      </c>
      <c r="H19" s="49">
        <f t="shared" si="1"/>
        <v>80.89000000000001</v>
      </c>
      <c r="I19" s="49">
        <f t="shared" si="1"/>
        <v>80.89000000000001</v>
      </c>
      <c r="J19" s="49">
        <f t="shared" si="1"/>
        <v>917.38</v>
      </c>
      <c r="K19" s="48"/>
      <c r="L19" s="49">
        <f>SUM(C19:K19)</f>
        <v>9289.049999999997</v>
      </c>
      <c r="M19" s="49">
        <f>L19/12</f>
        <v>774.0874999999997</v>
      </c>
      <c r="N19" s="49">
        <f>SUM(N6:N17)</f>
        <v>16131.12</v>
      </c>
    </row>
    <row r="20" spans="1:14" ht="12.75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9"/>
      <c r="N20" s="49"/>
    </row>
    <row r="21" spans="1:14" ht="12.75">
      <c r="A21" s="47">
        <v>36892</v>
      </c>
      <c r="B21" s="48"/>
      <c r="C21" s="49">
        <f>0.02+0.59+0.07+0.17+0.1+0.37+0.92+3.24</f>
        <v>5.48</v>
      </c>
      <c r="D21" s="49">
        <f>0.27+9.45+1.13+2.72+1.63+5.99+14.67+51.76</f>
        <v>87.62</v>
      </c>
      <c r="E21" s="49">
        <f>0.04+1.23+0.15+0.36+0.21+0.78+1.92+6.76</f>
        <v>11.45</v>
      </c>
      <c r="F21" s="49">
        <f>0.42+14.62+1.76+4.21+2.52+9.27+22.7+80.1</f>
        <v>135.6</v>
      </c>
      <c r="G21" s="49">
        <f>1.43+49.4+5.93+14.23+8.51+31.32+76.69+270.64+22.97</f>
        <v>481.12</v>
      </c>
      <c r="H21" s="49">
        <f>0.02+0.77+0.09+0.22+0.13+0.49+1.19+4.2</f>
        <v>7.11</v>
      </c>
      <c r="I21" s="49">
        <f>0.02+0.77+0.09+0.22+0.13+0.49+1.19+4.2</f>
        <v>7.11</v>
      </c>
      <c r="J21" s="49">
        <f>0.26+8.83+1.06+2.54+1.52+5.6+13.71+48.38</f>
        <v>81.9</v>
      </c>
      <c r="K21" s="48"/>
      <c r="L21" s="49">
        <f aca="true" t="shared" si="2" ref="L21:L32">SUM(C21:K21)</f>
        <v>817.39</v>
      </c>
      <c r="N21" s="49">
        <f>7.35+80.96+13.6+85.63+25.71+304.34+187.38+690.27</f>
        <v>1395.2399999999998</v>
      </c>
    </row>
    <row r="22" spans="1:14" ht="12.75">
      <c r="A22" s="47">
        <v>36923</v>
      </c>
      <c r="B22" s="48"/>
      <c r="C22" s="49">
        <f>0.01+0.46+0.05+0.05+0.1+0.15+0.64+2.84</f>
        <v>4.3</v>
      </c>
      <c r="D22" s="49">
        <f>0.18+7.4+0.83+0.83+1.68+2.45+10.25+45.49</f>
        <v>69.11</v>
      </c>
      <c r="E22" s="49">
        <f>0.02+0.97+0.11+0.11+0.22+0.32+1.34+5.94</f>
        <v>9.030000000000001</v>
      </c>
      <c r="F22" s="49">
        <f>0.28+11.45+1.28+1.29+2.59+3.79+15.86+70.4</f>
        <v>106.94</v>
      </c>
      <c r="G22" s="49">
        <f>0.94+38.7+4.33+4.36+8.77+12.79+53.57+237.84+18.07</f>
        <v>379.36999999999995</v>
      </c>
      <c r="H22" s="49">
        <f>0.01+0.6+0.07+0.07+0.14+0.2+0.83+3.69</f>
        <v>5.609999999999999</v>
      </c>
      <c r="I22" s="49">
        <f>0.01+0.6+0.07+0.07+0.14+0.2+0.83+3.69</f>
        <v>5.609999999999999</v>
      </c>
      <c r="J22" s="49">
        <f>0.17+6.92+0.77+0.78+1.57+2.29+9.58+42.52</f>
        <v>64.6</v>
      </c>
      <c r="K22" s="48"/>
      <c r="L22" s="49">
        <f t="shared" si="2"/>
        <v>644.57</v>
      </c>
      <c r="N22" s="49">
        <f>6.09+66.73+11.07+68.98+20.72+253.8+25.05+577.39</f>
        <v>1029.83</v>
      </c>
    </row>
    <row r="23" spans="1:14" ht="12.75">
      <c r="A23" s="47">
        <v>36951</v>
      </c>
      <c r="B23" s="48"/>
      <c r="C23" s="49">
        <f>0.01+0.45+0.06+0.17+0.1+0.36+0.25+2.79</f>
        <v>4.1899999999999995</v>
      </c>
      <c r="D23" s="49">
        <f>0.23+7.15+0.98+2.71+1.63+5.72+4.04+44.6</f>
        <v>67.06</v>
      </c>
      <c r="E23" s="49">
        <f>0.03+0.93+0.13+0.35+0.21+0.75+0.53+5.82</f>
        <v>8.75</v>
      </c>
      <c r="F23" s="49">
        <f>0.36+11.07+1.52+4.19+2.52+8.85+6.25+69.02</f>
        <v>103.78</v>
      </c>
      <c r="G23" s="49">
        <f>0.21+37.4+5.13+14.17+8.51+29.89+21.11+233.18+18.57</f>
        <v>368.17</v>
      </c>
      <c r="H23" s="49">
        <f>0.02+0.58+0.08+0.22+0.13+0.46+0.33+3.62</f>
        <v>5.4399999999999995</v>
      </c>
      <c r="I23" s="49">
        <f>0.02+0.58+0.08+0.22+0.13+0.46+0.33+3.62</f>
        <v>5.4399999999999995</v>
      </c>
      <c r="J23" s="49">
        <f>0.22+6.69+0.92+2.53+1.52+5.34+3.77+41.69</f>
        <v>62.67999999999999</v>
      </c>
      <c r="K23" s="48"/>
      <c r="L23" s="49">
        <f t="shared" si="2"/>
        <v>625.5100000000001</v>
      </c>
      <c r="N23" s="49">
        <f>6.76+74.12+12.57+76.71+23.07+282.94+25.34+644.2</f>
        <v>1145.71</v>
      </c>
    </row>
    <row r="24" spans="1:14" ht="12.75">
      <c r="A24" s="47">
        <v>36982</v>
      </c>
      <c r="B24" s="48"/>
      <c r="C24" s="49">
        <f>0.01+0.37+0.06+0.17+0.16+0.27+0.29+2.71</f>
        <v>4.04</v>
      </c>
      <c r="D24" s="49">
        <f>0.21+5.84+0.93+2.69+2.54+4.28+4.7+43.39</f>
        <v>64.58</v>
      </c>
      <c r="E24" s="49">
        <f>0.03+0.76+0.12+0.35+0.33+0.56+0.61+5.67</f>
        <v>8.43</v>
      </c>
      <c r="F24" s="49">
        <f>0.33+9.04+1.44+4.16+3.93+6.63+7.28+67.15</f>
        <v>99.96000000000001</v>
      </c>
      <c r="G24" s="49">
        <f>1.11+30.56+4.85+14.07+13.27+22.39+24.58+226.88+16.93</f>
        <v>354.64</v>
      </c>
      <c r="H24" s="49">
        <f>0.02+0.47+0.08+0.22+0.21+0.35+0.38+3.52</f>
        <v>5.25</v>
      </c>
      <c r="I24" s="49">
        <f>0.02+0.47+0.08+0.22+0.21+0.35+0.38+3.52</f>
        <v>5.25</v>
      </c>
      <c r="J24" s="49">
        <f>0.2+5.46+0.87+2.52+2.37+4+4.39+40.56</f>
        <v>60.370000000000005</v>
      </c>
      <c r="K24" s="48"/>
      <c r="L24" s="49">
        <f t="shared" si="2"/>
        <v>602.52</v>
      </c>
      <c r="N24" s="49">
        <f>6.51+72.76+11.98+74.05+22.42+271.7+24.98+621.4</f>
        <v>1105.8</v>
      </c>
    </row>
    <row r="25" spans="1:14" ht="12.75">
      <c r="A25" s="47">
        <v>37012</v>
      </c>
      <c r="B25" s="48"/>
      <c r="C25" s="49">
        <f>0.02+0.42+0.07+0.11+0.14+0.26+0.37+3.39</f>
        <v>4.78</v>
      </c>
      <c r="D25" s="49">
        <f>0.25+6.7+1.09+1.73+2.28+4.23+5.9+54.19</f>
        <v>76.37</v>
      </c>
      <c r="E25" s="49">
        <f>0.03+0.88+0.14+0.23+0.3+0.55+0.77+7.08</f>
        <v>9.98</v>
      </c>
      <c r="F25" s="49">
        <f>0.39+10.37+1.68+2.67+3.53+6.55+9.13+83.86</f>
        <v>118.18</v>
      </c>
      <c r="G25" s="49">
        <f>1.33+35.05+5.68+9.03+11.92+22.14+30.84+283.33+20.03</f>
        <v>419.35</v>
      </c>
      <c r="H25" s="49">
        <f>0.02+0.54+0.09+0.14+0.18+0.34+0.48+4.4</f>
        <v>6.19</v>
      </c>
      <c r="I25" s="49">
        <f>0.02+0.54+0.09+0.14+0.18+0.34+0.48+4.4</f>
        <v>6.19</v>
      </c>
      <c r="J25" s="49">
        <f>0.24+6.27+1.02+1.61+2.13+3.96+5.51+50.65</f>
        <v>71.39</v>
      </c>
      <c r="K25" s="48"/>
      <c r="L25" s="49">
        <f t="shared" si="2"/>
        <v>712.4300000000002</v>
      </c>
      <c r="N25" s="49">
        <f>7.53+83.46+13.67+85.1+25.75+310.08+28.58+710.5</f>
        <v>1264.67</v>
      </c>
    </row>
    <row r="26" spans="1:14" ht="12.75">
      <c r="A26" s="47">
        <v>37043</v>
      </c>
      <c r="B26" s="48"/>
      <c r="C26" s="49">
        <f>0.01+0.24+0.06+0.24+0.1+0.16+0.26+3.61</f>
        <v>4.68</v>
      </c>
      <c r="D26" s="49">
        <f>0.2+3.78+0.99+3.79+1.59+2.63+4.22+57.84</f>
        <v>75.04</v>
      </c>
      <c r="E26" s="49">
        <f>0.03+0.49+0.13+0.5+0.21+0.34+0.55+7.55</f>
        <v>9.8</v>
      </c>
      <c r="F26" s="49">
        <f>0.31+5.85+1.53+5.87+2.47+4.08+6.52+89.51</f>
        <v>116.14</v>
      </c>
      <c r="G26" s="49">
        <f>1.04+19.77+5.17+19.82+8.33+13.77+22.04+302.4+19.68</f>
        <v>412.02</v>
      </c>
      <c r="H26" s="49">
        <f>0.02+0.31+0.08+0.31+0.13+0.21+0.34+4.69</f>
        <v>6.090000000000001</v>
      </c>
      <c r="I26" s="49">
        <f>0.02+0.31+0.08+0.31+0.13+0.21+0.34+4.69</f>
        <v>6.090000000000001</v>
      </c>
      <c r="J26" s="49">
        <f>0.19+3.54+0.92+3.54+1.49+2.46+3.94+54.06</f>
        <v>70.14</v>
      </c>
      <c r="K26" s="48"/>
      <c r="L26" s="49">
        <f t="shared" si="2"/>
        <v>700</v>
      </c>
      <c r="N26" s="49">
        <f>7.1+78.52+13.02+80.74+24.54+292.79+26.63+671.21</f>
        <v>1194.5500000000002</v>
      </c>
    </row>
    <row r="27" spans="1:14" ht="12.75">
      <c r="A27" s="47">
        <v>37073</v>
      </c>
      <c r="B27" s="48"/>
      <c r="C27" s="49">
        <f>0.01+0.27+0.07+0.3+0.09+0.17+0.31+3.43</f>
        <v>4.65</v>
      </c>
      <c r="D27" s="49">
        <f>0.22+4.34+1.08+4.86+1.51+2.76+4.9+54.83</f>
        <v>74.5</v>
      </c>
      <c r="E27" s="49">
        <f>0.03+0.57+0.14+0.63+0.2+0.36+0.64+7.16</f>
        <v>9.73</v>
      </c>
      <c r="F27" s="49">
        <f>0.34+6.72+1.67+7.52+2.34+4.27+7.59+84.86</f>
        <v>115.31</v>
      </c>
      <c r="G27" s="49">
        <f>0.14+22.71+5.64+25.41+7.89+14.41+25.64+286.7+20.54</f>
        <v>409.08</v>
      </c>
      <c r="H27" s="49">
        <f>0.02+0.35+0.09+0.39+0.12+0.22+0.4+4.45</f>
        <v>6.04</v>
      </c>
      <c r="I27" s="49">
        <f>0.02+0.35+0.09+0.39+0.12+0.22+0.4+4.45</f>
        <v>6.04</v>
      </c>
      <c r="J27" s="49">
        <f>0.2+4.06+1.01+4.54+1.41+2.58+4.58+51.25</f>
        <v>69.63</v>
      </c>
      <c r="K27" s="48"/>
      <c r="L27" s="49">
        <f t="shared" si="2"/>
        <v>694.9799999999999</v>
      </c>
      <c r="N27" s="49">
        <f>7.63+82.94+13.91+85.12+25.89+309.72+28.29+705.4</f>
        <v>1258.9</v>
      </c>
    </row>
    <row r="28" spans="1:14" ht="12.75">
      <c r="A28" s="47">
        <v>37104</v>
      </c>
      <c r="B28" s="48"/>
      <c r="C28" s="49">
        <f>0.02+0.25+0.08+0.39+0.11+0.27+0.24+3.58</f>
        <v>4.94</v>
      </c>
      <c r="D28" s="49">
        <f>0.32+3.93+1.24+6.16+1.69+4.38+3.89+57.26</f>
        <v>78.87</v>
      </c>
      <c r="E28" s="49">
        <f>0.04+0.51+0.16+0.8+0.22+0.57+0.51+7.48</f>
        <v>10.290000000000001</v>
      </c>
      <c r="F28" s="49">
        <f>0.49+6.08+1.92+9.54+2.61+6.78+6.02+88.61</f>
        <v>122.05</v>
      </c>
      <c r="G28" s="49">
        <f>1.66+20.54+6.48+32.22+8.81+22.91+20.34+299.36+20.6</f>
        <v>432.92</v>
      </c>
      <c r="H28" s="49">
        <f>0.03+0.32+0.1+0.5+0.14+0.36+0.32+4.65</f>
        <v>6.42</v>
      </c>
      <c r="I28" s="49">
        <f>0.03+0.32+0.1+0.5+0.14+0.36+0.32+4.65</f>
        <v>6.42</v>
      </c>
      <c r="J28" s="49">
        <f>0.3+3.67+1.16+5.76+1.58+4.1+3.64+53.52</f>
        <v>73.73</v>
      </c>
      <c r="K28" s="48"/>
      <c r="L28" s="49">
        <f t="shared" si="2"/>
        <v>735.64</v>
      </c>
      <c r="N28" s="49">
        <f>7.97+86.83+14.43+89.58+27.21+324.25+29.85+737.74</f>
        <v>1317.8600000000001</v>
      </c>
    </row>
    <row r="29" spans="1:14" ht="12.75">
      <c r="A29" s="47">
        <v>37135</v>
      </c>
      <c r="B29" s="48"/>
      <c r="C29" s="49">
        <f>0.01+0.18+0.06+0.25+0.09+0.06+0.23+3.31</f>
        <v>4.1899999999999995</v>
      </c>
      <c r="D29" s="49">
        <f>0.19+2.94+0.97+4+1.45+0.98+3.72+52.92</f>
        <v>67.17</v>
      </c>
      <c r="E29" s="49">
        <f>0.02+0.38+0.13+0.52+0.19+0.13+0.49+6.91</f>
        <v>8.77</v>
      </c>
      <c r="F29" s="49">
        <f>0.29+4.55+1.5+6.19+2.24+1.51+5.76+81.9</f>
        <v>103.94</v>
      </c>
      <c r="G29" s="49">
        <f>0.99+15.36+5.06+20.92+7.58+5.11+19.46+276.71+17.61</f>
        <v>368.79999999999995</v>
      </c>
      <c r="H29" s="49">
        <f>0.02+0.24+0.08+0.32+0.12+0.08+0.3+4.3</f>
        <v>5.46</v>
      </c>
      <c r="I29" s="49">
        <f>0.02+0.24+0.08+0.32+0.12+0.08+0.3+4.3</f>
        <v>5.46</v>
      </c>
      <c r="J29" s="49">
        <f>0.18+2.75+0.9+3.74+1.36+0.91+3.48+49.47</f>
        <v>62.79</v>
      </c>
      <c r="K29" s="48"/>
      <c r="L29" s="49">
        <f t="shared" si="2"/>
        <v>626.5799999999999</v>
      </c>
      <c r="N29" s="49">
        <f>6.72+72.88+12.23+75.71+22.98+277.22+25.24+599.4</f>
        <v>1092.38</v>
      </c>
    </row>
    <row r="30" spans="1:14" ht="12.75">
      <c r="A30" s="47">
        <v>37165</v>
      </c>
      <c r="B30" s="48"/>
      <c r="C30" s="49">
        <f>0.02+0.26+0.07+0.2+0.18+3.87</f>
        <v>4.6</v>
      </c>
      <c r="D30" s="49">
        <f>0.37+4.2+1.18+3.19+2.94+61.84</f>
        <v>73.72</v>
      </c>
      <c r="E30" s="49">
        <f>0.05+0.55+0.15+0.42+0.38+8.08</f>
        <v>9.63</v>
      </c>
      <c r="F30" s="49">
        <f>0.57+6.5+1.83+4.93+4.56+95.71</f>
        <v>114.1</v>
      </c>
      <c r="G30" s="49">
        <f>1.91+21.96+6.18+16.67+15.4+323.36+19.31</f>
        <v>404.79</v>
      </c>
      <c r="H30" s="49">
        <f>0.03+0.34+0.1+0.26+0.24+5.02</f>
        <v>5.989999999999999</v>
      </c>
      <c r="I30" s="49">
        <f>0.03+0.34+0.1+0.26+0.24+5.02</f>
        <v>5.989999999999999</v>
      </c>
      <c r="J30" s="49">
        <f>0.34+3.93+1.1+2.98+2.75+57.81</f>
        <v>68.91</v>
      </c>
      <c r="K30" s="48"/>
      <c r="L30" s="49">
        <f t="shared" si="2"/>
        <v>687.73</v>
      </c>
      <c r="N30" s="49">
        <f>8.33+88.5+15.04+91.33+28.32+337.58+31.05+713.75</f>
        <v>1313.8999999999999</v>
      </c>
    </row>
    <row r="31" spans="1:14" ht="12.75">
      <c r="A31" s="47">
        <v>37196</v>
      </c>
      <c r="B31" s="48"/>
      <c r="C31" s="49">
        <f>0.02+0.25+0.07+0.19+0.18+3.73</f>
        <v>4.4399999999999995</v>
      </c>
      <c r="D31" s="49">
        <f>0.35+4.06+1.14+3.08+2.84+59.72</f>
        <v>71.19</v>
      </c>
      <c r="E31" s="49">
        <f>0.05+0.53+0.15+0.4+0.37+7.8</f>
        <v>9.3</v>
      </c>
      <c r="F31" s="49">
        <f>0.55+6.28+1.77+4.76+4.4+92.41</f>
        <v>110.16999999999999</v>
      </c>
      <c r="G31" s="49">
        <f>1.84+21.2+5.96+16.1+14.86+312.23+18.65</f>
        <v>390.84</v>
      </c>
      <c r="H31" s="49">
        <f>0.03+0.33+0.09+0.25+0.23+4.85</f>
        <v>5.779999999999999</v>
      </c>
      <c r="I31" s="49">
        <f>0.03+0.33+0.09+0.25+0.23+4.85</f>
        <v>5.779999999999999</v>
      </c>
      <c r="J31" s="49">
        <f>0.33+3.79+1.07+2.88+2.66+55.82</f>
        <v>66.55</v>
      </c>
      <c r="K31" s="48"/>
      <c r="L31" s="49">
        <f t="shared" si="2"/>
        <v>664.0499999999998</v>
      </c>
      <c r="N31" s="49">
        <f>8.54+94.33+15.73+96.2+30.37+354.62+43.08+736.82</f>
        <v>1379.69</v>
      </c>
    </row>
    <row r="32" spans="1:14" ht="12.75">
      <c r="A32" s="47">
        <v>37226</v>
      </c>
      <c r="B32" s="48"/>
      <c r="C32" s="49">
        <f>0.02+0.25+0.07+0.19+0.17+3.65</f>
        <v>4.35</v>
      </c>
      <c r="D32" s="49">
        <f>0.35+3.96+1.11+3.01+2.78+58.37</f>
        <v>69.58</v>
      </c>
      <c r="E32" s="49">
        <f>0.05+0.52+0.15+0.39+0.36+7.62</f>
        <v>9.09</v>
      </c>
      <c r="F32" s="49">
        <f>0.53+6.13+1.73+4.66+4.3+90.33</f>
        <v>107.68</v>
      </c>
      <c r="G32" s="49">
        <f>1.8+20.73+5.83+15.73+14.53+305.17+18.23</f>
        <v>382.02000000000004</v>
      </c>
      <c r="H32" s="49">
        <f>0.03+0.32+0.09+0.24+0.23+4.74</f>
        <v>5.65</v>
      </c>
      <c r="I32" s="49">
        <f>0.03+0.32+0.09+0.24+0.23+4.74</f>
        <v>5.65</v>
      </c>
      <c r="J32" s="49">
        <f>0.32+3.71+1.04+2.81+2.6+54.55</f>
        <v>65.03</v>
      </c>
      <c r="K32" s="48"/>
      <c r="L32" s="49">
        <f t="shared" si="2"/>
        <v>649.05</v>
      </c>
      <c r="N32" s="49">
        <f>8.39+86.22+14.31+87.82+27.97+322.99+54.25+658.73</f>
        <v>1260.68</v>
      </c>
    </row>
    <row r="33" spans="1:14" ht="12.75">
      <c r="A33" s="48"/>
      <c r="B33" s="48"/>
      <c r="C33" s="49"/>
      <c r="D33" s="49"/>
      <c r="E33" s="49"/>
      <c r="F33" s="49"/>
      <c r="G33" s="49"/>
      <c r="H33" s="49"/>
      <c r="I33" s="49"/>
      <c r="J33" s="49"/>
      <c r="K33" s="48"/>
      <c r="L33" s="49"/>
      <c r="N33" s="49"/>
    </row>
    <row r="34" spans="1:14" ht="12.75">
      <c r="A34" s="51" t="s">
        <v>78</v>
      </c>
      <c r="B34" s="48"/>
      <c r="C34" s="49">
        <f aca="true" t="shared" si="3" ref="C34:J34">SUM(C21:C33)</f>
        <v>54.64</v>
      </c>
      <c r="D34" s="49">
        <f t="shared" si="3"/>
        <v>874.8100000000001</v>
      </c>
      <c r="E34" s="49">
        <f t="shared" si="3"/>
        <v>114.25</v>
      </c>
      <c r="F34" s="49">
        <f t="shared" si="3"/>
        <v>1353.8500000000001</v>
      </c>
      <c r="G34" s="49">
        <f t="shared" si="3"/>
        <v>4803.120000000001</v>
      </c>
      <c r="H34" s="49">
        <f t="shared" si="3"/>
        <v>71.03</v>
      </c>
      <c r="I34" s="49">
        <f t="shared" si="3"/>
        <v>71.03</v>
      </c>
      <c r="J34" s="49">
        <f t="shared" si="3"/>
        <v>817.7199999999998</v>
      </c>
      <c r="K34" s="48"/>
      <c r="L34" s="49">
        <f>SUM(C34:K34)</f>
        <v>8160.450000000001</v>
      </c>
      <c r="M34" s="49">
        <f>L34/12</f>
        <v>680.0375</v>
      </c>
      <c r="N34" s="49">
        <f>SUM(N21:N33)</f>
        <v>14759.210000000003</v>
      </c>
    </row>
    <row r="35" spans="1:14" ht="12.75">
      <c r="A35" s="48"/>
      <c r="B35" s="48"/>
      <c r="C35" s="49"/>
      <c r="D35" s="49"/>
      <c r="E35" s="49"/>
      <c r="F35" s="49"/>
      <c r="G35" s="49"/>
      <c r="H35" s="49"/>
      <c r="I35" s="49"/>
      <c r="J35" s="49"/>
      <c r="K35" s="48"/>
      <c r="L35" s="49"/>
      <c r="N35" s="49"/>
    </row>
    <row r="36" spans="1:14" ht="12.75">
      <c r="A36" s="47">
        <v>37257</v>
      </c>
      <c r="B36" s="48"/>
      <c r="C36" s="49">
        <f>0.02+0.26+0.07+0.2+0.23+3.85</f>
        <v>4.63</v>
      </c>
      <c r="D36" s="49">
        <f>0.36+4.18+1.18+3.18+3.7+61.59</f>
        <v>74.19</v>
      </c>
      <c r="E36" s="49">
        <f>0.05+0.55+0.15+0.41+0.48+8.04</f>
        <v>9.68</v>
      </c>
      <c r="F36" s="49">
        <f>0.56+6.48+1.82+4.91+5.72+95.32</f>
        <v>114.81</v>
      </c>
      <c r="G36" s="49">
        <f>1.91+21.88+6.15+16.6+19.33+322.05+19.44</f>
        <v>407.36</v>
      </c>
      <c r="H36" s="49">
        <f>0.03+0.34+0.1+0.26+0.3+5</f>
        <v>6.03</v>
      </c>
      <c r="I36" s="49">
        <f>0.03+0.34+0.1+0.26+0.3+5</f>
        <v>6.03</v>
      </c>
      <c r="J36" s="49">
        <f>0.34+3.91+1.1+2.97+3.45+57.57</f>
        <v>69.34</v>
      </c>
      <c r="K36" s="48"/>
      <c r="L36" s="49">
        <f aca="true" t="shared" si="4" ref="L36:L47">SUM(C36:K36)</f>
        <v>692.07</v>
      </c>
      <c r="N36" s="49">
        <f>9.15+92.09+15.54+94.69+29.49+348.71+0.63+692.18</f>
        <v>1282.48</v>
      </c>
    </row>
    <row r="37" spans="1:14" ht="12.75">
      <c r="A37" s="47">
        <v>37288</v>
      </c>
      <c r="B37" s="48"/>
      <c r="C37" s="49">
        <f>0.02+0.2+0.06+0.15+0.17+2.89</f>
        <v>3.49</v>
      </c>
      <c r="D37" s="49">
        <f>0.27+3.14+0.88+2.39+2.79+46.21</f>
        <v>55.68</v>
      </c>
      <c r="E37" s="49">
        <f>0.04+0.41+0.12+0.31+0.36+6.04</f>
        <v>7.279999999999999</v>
      </c>
      <c r="F37" s="49">
        <f>0.42+4.86+1.37+3.7+4.31+71.52</f>
        <v>86.17999999999999</v>
      </c>
      <c r="G37" s="49">
        <f>1.43+16.42+4.61+12.51+14.56+241.63+14.6</f>
        <v>305.76</v>
      </c>
      <c r="H37" s="49">
        <f>0.02+0.25+0.07+0.19+0.23+3.75</f>
        <v>4.51</v>
      </c>
      <c r="I37" s="49">
        <f>0.02+0.25+0.07+0.19+0.23+3.75</f>
        <v>4.51</v>
      </c>
      <c r="J37" s="49">
        <f>0.26+2.94+0.82+2.24+2.6+43.2</f>
        <v>52.06</v>
      </c>
      <c r="K37" s="48"/>
      <c r="L37" s="49">
        <f t="shared" si="4"/>
        <v>519.47</v>
      </c>
      <c r="N37" s="49">
        <f>7.45+75.04+12.68+76.74+24.09+283.63+564.24</f>
        <v>1043.87</v>
      </c>
    </row>
    <row r="38" spans="1:14" ht="12.75">
      <c r="A38" s="47">
        <v>37316</v>
      </c>
      <c r="B38" s="48"/>
      <c r="C38" s="49">
        <f>0.02+0.19+0.05+0.15+0.17+2.87</f>
        <v>3.45</v>
      </c>
      <c r="D38" s="49">
        <f>0.27+3.11+0.87+2.35+2.7+45.97</f>
        <v>55.269999999999996</v>
      </c>
      <c r="E38" s="49">
        <f>0.04+0.41+0.11+0.31+0.35+6</f>
        <v>7.22</v>
      </c>
      <c r="F38" s="49">
        <f>0.42+4.81+1.35+3.63+4.18+71.14</f>
        <v>85.53</v>
      </c>
      <c r="G38" s="49">
        <f>1.41+16.25+4.57+12.27+14.12+240.35+14.52</f>
        <v>303.48999999999995</v>
      </c>
      <c r="H38" s="49">
        <f>0.02+0.25+0.07+0.19+0.22+3.73</f>
        <v>4.48</v>
      </c>
      <c r="I38" s="49">
        <f>0.02+0.25+0.07+0.19+0.22+3.73</f>
        <v>4.48</v>
      </c>
      <c r="J38" s="49">
        <f>0.25+2.91+0.82+2.19+2.53+42.97</f>
        <v>51.67</v>
      </c>
      <c r="K38" s="48"/>
      <c r="L38" s="49">
        <f t="shared" si="4"/>
        <v>515.5899999999999</v>
      </c>
      <c r="N38" s="49">
        <f>7.61+77.89+13.61+79.93+24.97+297.63+588.94</f>
        <v>1090.58</v>
      </c>
    </row>
    <row r="39" spans="1:14" ht="12.75">
      <c r="A39" s="47">
        <v>37347</v>
      </c>
      <c r="B39" s="48"/>
      <c r="C39" s="49">
        <f>0.02+0.2+0.06+0.15+0.18+3.42</f>
        <v>4.03</v>
      </c>
      <c r="D39" s="49">
        <f>0.28+3.26+0.91+2.44+2.81+54.74</f>
        <v>64.44</v>
      </c>
      <c r="E39" s="49">
        <f>0.04+0.43+0.12+0.32+0.37+7.15</f>
        <v>8.43</v>
      </c>
      <c r="F39" s="49">
        <f>0.43+5.05+1.41+3.78+4.35+84.71</f>
        <v>99.72999999999999</v>
      </c>
      <c r="G39" s="49">
        <f>1.47+17.06+4.76+12.78+14.71+286.2+16.92</f>
        <v>353.90000000000003</v>
      </c>
      <c r="H39" s="49">
        <f>0.02+0.26+0.07+0.2+0.23+4.44</f>
        <v>5.220000000000001</v>
      </c>
      <c r="I39" s="49">
        <f>0.02+0.26+0.07+0.2+0.23+4.44</f>
        <v>5.220000000000001</v>
      </c>
      <c r="J39" s="49">
        <f>0.26+3.05+0.85+2.28+2.63+51.16</f>
        <v>60.23</v>
      </c>
      <c r="K39" s="48"/>
      <c r="L39" s="49">
        <f t="shared" si="4"/>
        <v>601.2</v>
      </c>
      <c r="N39" s="49">
        <f>8.08+84.81+14.74+87.81+27.1+323.07+634.64</f>
        <v>1180.25</v>
      </c>
    </row>
    <row r="40" spans="1:14" ht="12.75">
      <c r="A40" s="47">
        <v>37377</v>
      </c>
      <c r="B40" s="48"/>
      <c r="C40" s="49">
        <f>0.02+0.1+0.06+0.17+0.19+3.38</f>
        <v>3.92</v>
      </c>
      <c r="D40" s="49">
        <f>0.31+1.62+0.99+2.67+3.07+54.05</f>
        <v>62.709999999999994</v>
      </c>
      <c r="E40" s="49">
        <f>0.04+0.21+0.13+0.35+0.4+7.06</f>
        <v>8.19</v>
      </c>
      <c r="F40" s="49">
        <f>0.47+2.5+1.54+4.13+4.75+83.65</f>
        <v>97.04</v>
      </c>
      <c r="G40" s="49">
        <f>1.6+8.46+5.19+13.94+16.05+282.6+16.41</f>
        <v>344.25000000000006</v>
      </c>
      <c r="H40" s="49">
        <f>0.02+0.13+0.08+0.22+0.25+4.39</f>
        <v>5.09</v>
      </c>
      <c r="I40" s="49">
        <f>0.02+0.13+0.08+0.22+0.25+4.39</f>
        <v>5.09</v>
      </c>
      <c r="J40" s="49">
        <f>0.29+1.51+0.93+2.49+2.87+50.52</f>
        <v>58.61</v>
      </c>
      <c r="K40" s="48"/>
      <c r="L40" s="49">
        <f t="shared" si="4"/>
        <v>584.9000000000002</v>
      </c>
      <c r="N40" s="49">
        <f>8.25+90.59+15.9+94.15+29.56+338.61+669.52</f>
        <v>1246.58</v>
      </c>
    </row>
    <row r="41" spans="1:14" ht="12.75">
      <c r="A41" s="47">
        <v>37408</v>
      </c>
      <c r="B41" s="48"/>
      <c r="C41" s="49">
        <f>0.02+0.21+0.06+0.16+0.18+3.22</f>
        <v>3.85</v>
      </c>
      <c r="D41" s="49">
        <f>0.29+3.35+0.93+2.49+2.87+51.59</f>
        <v>61.52</v>
      </c>
      <c r="E41" s="49">
        <f>0.04+0.44+0.12+0.33+0.37+6.74</f>
        <v>8.04</v>
      </c>
      <c r="F41" s="49">
        <f>0.44+5.19+1.44+3.85+4.44+79.84</f>
        <v>95.2</v>
      </c>
      <c r="G41" s="49">
        <f>1.5+17.52+4.85+13.02+14.99+269.75+16.09</f>
        <v>337.71999999999997</v>
      </c>
      <c r="H41" s="49">
        <f>0.02+0.27+0.08+0.2+0.23+4.19</f>
        <v>4.99</v>
      </c>
      <c r="I41" s="49">
        <f>0.02+0.27+0.08+0.2+0.23+4.19</f>
        <v>4.99</v>
      </c>
      <c r="J41" s="49">
        <f>0.27+3.13+0.87+2.33+2.68+48.22</f>
        <v>57.5</v>
      </c>
      <c r="K41" s="48"/>
      <c r="L41" s="49">
        <f t="shared" si="4"/>
        <v>573.81</v>
      </c>
      <c r="N41" s="49">
        <f>7.73+86.22+15.71+90.44+27.8+329.08+645.93</f>
        <v>1202.9099999999999</v>
      </c>
    </row>
    <row r="42" spans="1:14" ht="12.75">
      <c r="A42" s="47">
        <v>37438</v>
      </c>
      <c r="B42" s="48"/>
      <c r="C42" s="49">
        <f>0.02+0.12+0.06+0.16+0.19+2.97</f>
        <v>3.5200000000000005</v>
      </c>
      <c r="D42" s="49">
        <f>0.3+1.95+0.96+2.57+2.96+47.54</f>
        <v>56.28</v>
      </c>
      <c r="E42" s="49">
        <f>0.04+0.25+0.13+0.34+0.39+6.21</f>
        <v>7.359999999999999</v>
      </c>
      <c r="F42" s="49">
        <f>0.46+3.02+1.48+3.98+4.59+73.57</f>
        <v>87.1</v>
      </c>
      <c r="G42" s="49">
        <f>1.55+10.2+5.01+13.46+15.49+248.56+14.74</f>
        <v>309.01</v>
      </c>
      <c r="H42" s="49">
        <f>0.02+0.16+0.08+0.21+0.24+3.86</f>
        <v>4.57</v>
      </c>
      <c r="I42" s="49">
        <f>0.02+0.16+0.08+0.21+0.24+3.86</f>
        <v>4.57</v>
      </c>
      <c r="J42" s="49">
        <f>0.28+1.82+0.9+2.41+2.77+44.44</f>
        <v>52.62</v>
      </c>
      <c r="K42" s="48"/>
      <c r="L42" s="49">
        <f t="shared" si="4"/>
        <v>525.03</v>
      </c>
      <c r="N42" s="49">
        <f>8.69+96.09+17.06+101.18+32.59+366.38+717.09</f>
        <v>1339.08</v>
      </c>
    </row>
    <row r="43" spans="1:14" ht="12.75">
      <c r="A43" s="47">
        <v>37469</v>
      </c>
      <c r="B43" s="48"/>
      <c r="C43" s="49">
        <f>0.02+0.2+0.06+0.16+0.18+2.96</f>
        <v>3.58</v>
      </c>
      <c r="D43" s="49">
        <f>0.29+3.15+0.94+2.52+2.9+47.41</f>
        <v>57.209999999999994</v>
      </c>
      <c r="E43" s="49">
        <f>0.04+0.41+0.12+0.33+0.38+6.19</f>
        <v>7.470000000000001</v>
      </c>
      <c r="F43" s="49">
        <f>0.45+4.88+1.45+3.9+4.48+73.37</f>
        <v>88.53</v>
      </c>
      <c r="G43" s="49">
        <f>1.51+16.48+4.9+13.16+15.14+247.9+14.96</f>
        <v>314.05</v>
      </c>
      <c r="H43" s="49">
        <f>0.02+0.26+0.08+0.2+0.24+3.85</f>
        <v>4.65</v>
      </c>
      <c r="I43" s="49">
        <f>0.02+0.26+0.08+0.2+0.24+3.85</f>
        <v>4.65</v>
      </c>
      <c r="J43" s="49">
        <f>0.27+2.95+0.88+2.35+2.71+44.32</f>
        <v>53.480000000000004</v>
      </c>
      <c r="K43" s="48"/>
      <c r="L43" s="49">
        <f t="shared" si="4"/>
        <v>533.62</v>
      </c>
      <c r="N43" s="49">
        <f>7.88+90.64+16.09+95.32+29.82+346.92+677.67</f>
        <v>1264.3400000000001</v>
      </c>
    </row>
    <row r="44" spans="1:14" ht="12.75">
      <c r="A44" s="47">
        <v>37500</v>
      </c>
      <c r="B44" s="48"/>
      <c r="C44" s="49">
        <f>0.03+0.21+0.08+0.16+0.09+3.08</f>
        <v>3.65</v>
      </c>
      <c r="D44" s="49">
        <f>0.54+3.38+1.32+2.51+1.45+49.21</f>
        <v>58.41</v>
      </c>
      <c r="E44" s="49">
        <f>0.07+0.44+0.17+0.33+0.19+6.43</f>
        <v>7.63</v>
      </c>
      <c r="F44" s="49">
        <f>0.84+5.22+2.04+3.89+2.24+76.16</f>
        <v>90.39</v>
      </c>
      <c r="G44" s="49">
        <f>2.83+17.65+6.89+13.13+7.57+257.3+15.3</f>
        <v>320.67</v>
      </c>
      <c r="H44" s="49">
        <f>0.04+0.27+0.11+0.2+0.12+3.99</f>
        <v>4.73</v>
      </c>
      <c r="I44" s="49">
        <f>0.04+0.27+0.11+0.2+0.12+3.99</f>
        <v>4.73</v>
      </c>
      <c r="J44" s="49">
        <f>0.51+3.16+1.23+2.35+1.35+46</f>
        <v>54.6</v>
      </c>
      <c r="K44" s="48"/>
      <c r="L44" s="49">
        <f t="shared" si="4"/>
        <v>544.8100000000001</v>
      </c>
      <c r="N44" s="49">
        <f>7.42+82.83+14.57+87.25+27.26+320.24+624.73</f>
        <v>1164.3</v>
      </c>
    </row>
    <row r="45" spans="1:14" ht="12.75">
      <c r="A45" s="47">
        <v>37530</v>
      </c>
      <c r="B45" s="48"/>
      <c r="C45" s="49">
        <f>0.03+0.15+0.11+0.22+0.16+3.45</f>
        <v>4.12</v>
      </c>
      <c r="D45" s="49">
        <f>0.45+2.33+1.82+3.46+2.63+55.2</f>
        <v>65.89</v>
      </c>
      <c r="E45" s="49">
        <f>0.06+0.3+0.24+0.45+0.34+7.21</f>
        <v>8.6</v>
      </c>
      <c r="F45" s="49">
        <f>0.69+3.61+2.82+5.36+4.06+85.42</f>
        <v>101.96000000000001</v>
      </c>
      <c r="G45" s="49">
        <f>2.34+12.19+9.52+18.12+13.73+288.59+17.26</f>
        <v>361.75</v>
      </c>
      <c r="H45" s="49">
        <f>0.04+0.19+0.15+0.28+0.21+4.48</f>
        <v>5.3500000000000005</v>
      </c>
      <c r="I45" s="49">
        <f>0.04+0.19+0.15+0.28+0.21+4.48</f>
        <v>5.3500000000000005</v>
      </c>
      <c r="J45" s="49">
        <f>0.42+2.18+1.7+3.24+2.45+51.59</f>
        <v>61.580000000000005</v>
      </c>
      <c r="K45" s="48"/>
      <c r="L45" s="49">
        <f t="shared" si="4"/>
        <v>614.6</v>
      </c>
      <c r="N45" s="49">
        <f>7.59+87.52+15.55+91.76+28.87+335.8+655.52</f>
        <v>1222.6100000000001</v>
      </c>
    </row>
    <row r="46" spans="1:14" ht="12.75">
      <c r="A46" s="47">
        <v>37561</v>
      </c>
      <c r="B46" s="48"/>
      <c r="C46" s="49">
        <f>0.04+0.18+0.07+0.12+0.13+3.29</f>
        <v>3.83</v>
      </c>
      <c r="D46" s="49">
        <f>0.6+2.81+1.04+1.98+2.01+52.61</f>
        <v>61.05</v>
      </c>
      <c r="E46" s="49">
        <f>0.08+0.37+0.14+0.26+0.26+6.87</f>
        <v>7.98</v>
      </c>
      <c r="F46" s="49">
        <f>0.93+4.34+1.61+3.07+3.11+81.42</f>
        <v>94.48</v>
      </c>
      <c r="G46" s="49">
        <f>3.13+14.67+5.45+10.36+10.51+275.07+16.01</f>
        <v>335.2</v>
      </c>
      <c r="H46" s="49">
        <f>0.05+0.23+0.08+0.16+0.16+4.27</f>
        <v>4.949999999999999</v>
      </c>
      <c r="I46" s="49">
        <f>0.05+0.23+0.08+0.16+0.16+4.27</f>
        <v>4.949999999999999</v>
      </c>
      <c r="J46" s="49">
        <f>0.56+2.62+0.97+1.85+1.88+49.17</f>
        <v>57.050000000000004</v>
      </c>
      <c r="K46" s="48"/>
      <c r="L46" s="49">
        <f t="shared" si="4"/>
        <v>569.4899999999999</v>
      </c>
      <c r="N46" s="49">
        <f>7.4+85.22+14.83+88.71+28.15+325.49+634.14</f>
        <v>1183.94</v>
      </c>
    </row>
    <row r="47" spans="1:14" ht="12.75">
      <c r="A47" s="47">
        <v>37591</v>
      </c>
      <c r="B47" s="48"/>
      <c r="C47" s="49">
        <f>0.04+0.16+0.09+0.17+0.1+3.04</f>
        <v>3.6</v>
      </c>
      <c r="D47" s="49">
        <f>0.63+2.52+1.4+2.67+1.6+48.56</f>
        <v>57.38</v>
      </c>
      <c r="E47" s="49">
        <f>0.08+0.33+0.18+0.35+0.21+6.34</f>
        <v>7.49</v>
      </c>
      <c r="F47" s="49">
        <f>0.97+3.9+2.17+4.14+2.47+75.16</f>
        <v>88.81</v>
      </c>
      <c r="G47" s="49">
        <f>3.28+13.18+7.34+13.97+8.34+253.92+15.04</f>
        <v>315.07</v>
      </c>
      <c r="H47" s="49">
        <f>0.05+0.2+0.11+0.22+0.13+3.94</f>
        <v>4.65</v>
      </c>
      <c r="I47" s="49">
        <f>0.05+0.2+0.11+0.22+0.13+3.94</f>
        <v>4.65</v>
      </c>
      <c r="J47" s="49">
        <f>0.59+2.36+1.31+2.5+1.49+45.39</f>
        <v>53.64</v>
      </c>
      <c r="K47" s="48"/>
      <c r="L47" s="49">
        <f t="shared" si="4"/>
        <v>535.29</v>
      </c>
      <c r="N47" s="49">
        <f>7.61+86.48+15.34+91.44+28.71+336.9+652.86</f>
        <v>1219.3400000000001</v>
      </c>
    </row>
    <row r="48" spans="1:14" ht="12.75">
      <c r="A48" s="47"/>
      <c r="B48" s="48"/>
      <c r="C48" s="49"/>
      <c r="D48" s="49"/>
      <c r="E48" s="49"/>
      <c r="F48" s="49"/>
      <c r="G48" s="49"/>
      <c r="H48" s="49"/>
      <c r="I48" s="49"/>
      <c r="J48" s="49"/>
      <c r="K48" s="48"/>
      <c r="L48" s="49"/>
      <c r="N48" s="49"/>
    </row>
    <row r="49" spans="1:14" ht="12.75">
      <c r="A49" s="50" t="s">
        <v>79</v>
      </c>
      <c r="B49" s="48"/>
      <c r="C49" s="49">
        <f aca="true" t="shared" si="5" ref="C49:J49">SUM(C36:C48)</f>
        <v>45.67</v>
      </c>
      <c r="D49" s="49">
        <f t="shared" si="5"/>
        <v>730.0299999999999</v>
      </c>
      <c r="E49" s="49">
        <f t="shared" si="5"/>
        <v>95.36999999999999</v>
      </c>
      <c r="F49" s="49">
        <f t="shared" si="5"/>
        <v>1129.76</v>
      </c>
      <c r="G49" s="49">
        <f t="shared" si="5"/>
        <v>4008.23</v>
      </c>
      <c r="H49" s="49">
        <f t="shared" si="5"/>
        <v>59.21999999999999</v>
      </c>
      <c r="I49" s="49">
        <f t="shared" si="5"/>
        <v>59.21999999999999</v>
      </c>
      <c r="J49" s="49">
        <f t="shared" si="5"/>
        <v>682.38</v>
      </c>
      <c r="K49" s="48"/>
      <c r="L49" s="49">
        <f>SUM(C49:K49)</f>
        <v>6809.88</v>
      </c>
      <c r="M49" s="49">
        <f>L49/12</f>
        <v>567.49</v>
      </c>
      <c r="N49" s="49">
        <f>SUM(N36:N48)</f>
        <v>14440.28</v>
      </c>
    </row>
    <row r="50" spans="1:14" ht="12.75">
      <c r="A50" s="47"/>
      <c r="B50" s="48"/>
      <c r="C50" s="49"/>
      <c r="D50" s="49"/>
      <c r="E50" s="49"/>
      <c r="F50" s="49"/>
      <c r="G50" s="49"/>
      <c r="H50" s="49"/>
      <c r="I50" s="49"/>
      <c r="J50" s="49"/>
      <c r="K50" s="48"/>
      <c r="L50" s="49"/>
      <c r="N50" s="49"/>
    </row>
    <row r="51" spans="1:14" ht="12.75">
      <c r="A51" s="47">
        <v>37622</v>
      </c>
      <c r="B51" s="48"/>
      <c r="C51" s="49">
        <f>0.03+0.22+0.09+0.18+0.16+3.94</f>
        <v>4.62</v>
      </c>
      <c r="D51" s="49">
        <f>0.59+3.99+1.71+3.26+2.89+72.39</f>
        <v>84.83</v>
      </c>
      <c r="E51" s="49">
        <f>0.04+0.3+0.13+0.24+0.21+5.39</f>
        <v>6.31</v>
      </c>
      <c r="F51" s="49">
        <f>0.34+2.27+0.98+1.86+1.64+41.22</f>
        <v>48.31</v>
      </c>
      <c r="G51" s="49">
        <f>2.32+15.57+6.69+12.73+11.26+282.58-0.22</f>
        <v>330.92999999999995</v>
      </c>
      <c r="H51" s="49">
        <f>0.03+0.17+0.08+0.14+0.13+3.17</f>
        <v>3.7199999999999998</v>
      </c>
      <c r="I51" s="49">
        <f>0.03+0.17+0.08+0.14+0.13+3.17</f>
        <v>3.7199999999999998</v>
      </c>
      <c r="J51" s="49">
        <f>0.51+3.43+1.47+2.8+2.48+62.24</f>
        <v>72.93</v>
      </c>
      <c r="K51" s="48">
        <f>0.06+0.39+0.17+0.32+0.28+7.07</f>
        <v>8.290000000000001</v>
      </c>
      <c r="L51" s="49">
        <f aca="true" t="shared" si="6" ref="L51:L64">SUM(C51:K51)</f>
        <v>563.66</v>
      </c>
      <c r="N51" s="49">
        <f>7.87+91.31+15.84+95.61+30.14+352.66+683.13</f>
        <v>1276.56</v>
      </c>
    </row>
    <row r="52" spans="1:14" ht="12.75">
      <c r="A52" s="47">
        <v>37653</v>
      </c>
      <c r="B52" s="48"/>
      <c r="C52" s="49">
        <f>0.03+0.12+0.07+0.13+0.11+3.45</f>
        <v>3.91</v>
      </c>
      <c r="D52" s="49">
        <f>0.58+2.27+1.21+2.3+2.08+63.33</f>
        <v>71.77</v>
      </c>
      <c r="E52" s="49">
        <f>0.04+0.17+0.09+0.17+0.16+4.71</f>
        <v>5.34</v>
      </c>
      <c r="F52" s="49">
        <f>0.33+1.29+0.69+1.31+1.19+36.06</f>
        <v>40.870000000000005</v>
      </c>
      <c r="G52" s="49">
        <f>2.27+8.85+4.71+8.97+8.14+247.02</f>
        <v>279.96000000000004</v>
      </c>
      <c r="H52" s="49">
        <f>0.03+0.1+0.05+0.1+0.09+2.78</f>
        <v>3.15</v>
      </c>
      <c r="I52" s="49">
        <f>0.03+0.1+0.05+0.1+0.09+2.78</f>
        <v>3.15</v>
      </c>
      <c r="J52" s="49">
        <f>0.5+1.95+1.04+1.97+1.79+54.45</f>
        <v>61.7</v>
      </c>
      <c r="K52" s="48">
        <f>0.06+0.22+0.12+0.22+0.2+6.19</f>
        <v>7.010000000000001</v>
      </c>
      <c r="L52" s="49">
        <f t="shared" si="6"/>
        <v>476.85999999999996</v>
      </c>
      <c r="N52" s="49">
        <f>6.11+71.11+12.44+74.28+23.47+275.13+538.06</f>
        <v>1000.5999999999999</v>
      </c>
    </row>
    <row r="53" spans="1:14" ht="12.75">
      <c r="A53" s="47">
        <v>37681</v>
      </c>
      <c r="B53" s="48"/>
      <c r="C53" s="49">
        <f>0.04+0.19+0.08+0.16+0.14+3.44</f>
        <v>4.05</v>
      </c>
      <c r="D53" s="49">
        <f>0.72+3.6+1.57+3+2.6+64.83</f>
        <v>76.32</v>
      </c>
      <c r="E53" s="49">
        <f>0.05+0.25+0.11+0.21+0.18+4.59</f>
        <v>5.39</v>
      </c>
      <c r="F53" s="49">
        <f>0.4+2.02+0.89+1.69+1.46+36.45</f>
        <v>42.910000000000004</v>
      </c>
      <c r="G53" s="49">
        <f>2.72+13.7+5.99+11.41+9.91+246.76-3.33</f>
        <v>287.16</v>
      </c>
      <c r="H53" s="49">
        <f>0.03+0.16+0.07+0.13+0.11+2.8</f>
        <v>3.3</v>
      </c>
      <c r="I53" s="49">
        <f>0.03+0.16+0.07+0.13+0.11+2.8</f>
        <v>3.3</v>
      </c>
      <c r="J53" s="49">
        <f>0.63+3.16+1.38+2.63+2.28+56.85</f>
        <v>66.93</v>
      </c>
      <c r="K53" s="49">
        <f>0.1+0.51+0.22+0.42+0.37+9.18</f>
        <v>10.8</v>
      </c>
      <c r="L53" s="49">
        <f t="shared" si="6"/>
        <v>500.1600000000001</v>
      </c>
      <c r="N53" s="49">
        <f>6.56+75.35+13.24+79.89+25.29+296.3+575.5</f>
        <v>1072.13</v>
      </c>
    </row>
    <row r="54" spans="1:14" ht="12.75">
      <c r="A54" s="47">
        <v>37712</v>
      </c>
      <c r="B54" s="48"/>
      <c r="C54" s="49">
        <f>0.03+0.18+0.08+0.15+0.18+4.05</f>
        <v>4.67</v>
      </c>
      <c r="D54" s="49">
        <f>0.62+3.32+1.49+2.84+3.41+76.25</f>
        <v>87.93</v>
      </c>
      <c r="E54" s="49">
        <f>0.04+0.23+0.11+0.2+0.24+5.4</f>
        <v>6.220000000000001</v>
      </c>
      <c r="F54" s="49">
        <f>0.35+1.87+0.84+1.59+1.92+42.87</f>
        <v>49.44</v>
      </c>
      <c r="G54" s="49">
        <f>2.35+12.63+5.67+10.79+12.99+290.23-3.86</f>
        <v>330.8</v>
      </c>
      <c r="H54" s="49">
        <f>0.03+0.14+0.06+0.12+0.15+3.3</f>
        <v>3.8</v>
      </c>
      <c r="I54" s="49">
        <f>0.03+0.14+0.06+0.12+0.15+3.3</f>
        <v>3.8</v>
      </c>
      <c r="J54" s="49">
        <f>0.54+2.91+1.31+2.49+2.99+66.86</f>
        <v>77.1</v>
      </c>
      <c r="K54" s="49">
        <f>0.09+0.47+0.21+0.4+0.48+10.79</f>
        <v>12.44</v>
      </c>
      <c r="L54" s="49">
        <f t="shared" si="6"/>
        <v>576.2</v>
      </c>
      <c r="N54" s="49">
        <f>7.4+82.59+14.7+86.5+27.64+324.26+627.4</f>
        <v>1170.4899999999998</v>
      </c>
    </row>
    <row r="55" spans="1:14" ht="12.75">
      <c r="A55" s="47">
        <v>37742</v>
      </c>
      <c r="B55" s="48"/>
      <c r="C55" s="49">
        <f>0.03+0.29+0.1+0.19+0.1+3.41</f>
        <v>4.12</v>
      </c>
      <c r="D55" s="49">
        <f>0.64+5.87+2.06+3.91+2.14+69.69</f>
        <v>84.31</v>
      </c>
      <c r="E55" s="49">
        <f>0.05+0.49+0.17+0.33+0.18+5.82</f>
        <v>7.04</v>
      </c>
      <c r="F55" s="49">
        <f>0.37+3.42+1.2+2.28+1.25+40.55</f>
        <v>49.06999999999999</v>
      </c>
      <c r="G55" s="49">
        <f>2.53+23.17+8.12+15.45+8.46+275.11+12.64</f>
        <v>345.48</v>
      </c>
      <c r="H55" s="49">
        <f>0.03+0.29+0.1+0.19+0.1+3.41</f>
        <v>4.12</v>
      </c>
      <c r="I55" s="49">
        <f>0.03+0.29+0.1+0.19+0.1+3.41</f>
        <v>4.12</v>
      </c>
      <c r="J55" s="49">
        <f>0.42+3.85+1.35+2.57+1.4+45.7</f>
        <v>55.290000000000006</v>
      </c>
      <c r="K55" s="48">
        <f>0.14+1.31+0.46+0.87+0.48+15.57</f>
        <v>18.830000000000002</v>
      </c>
      <c r="L55" s="49">
        <f t="shared" si="6"/>
        <v>572.3800000000001</v>
      </c>
      <c r="N55" s="49">
        <f>7.54+86.81+15.09+91.47+28.95+336.28+649.89</f>
        <v>1216.03</v>
      </c>
    </row>
    <row r="56" spans="1:14" ht="12.75">
      <c r="A56" s="47">
        <v>37773</v>
      </c>
      <c r="B56" s="48"/>
      <c r="C56" s="49">
        <f>0.04+0.29+0.09+0.17+0.12+3.21</f>
        <v>3.92</v>
      </c>
      <c r="D56" s="49">
        <f>0.9+5.93+1.81+3.44+2.47+65.71</f>
        <v>80.25999999999999</v>
      </c>
      <c r="E56" s="49">
        <f>0.07+0.49+0.15+0.28+0.2+5.43</f>
        <v>6.62</v>
      </c>
      <c r="F56" s="49">
        <f>0.52+3.43+1.05+1.99+1.43+37.97</f>
        <v>46.39</v>
      </c>
      <c r="G56" s="49">
        <f>3.56+23.38+7.13+13.57+9.74+258.88+11.97</f>
        <v>328.23</v>
      </c>
      <c r="H56" s="49">
        <f>0.04+0.29+0.09+0.17+0.12+3.21</f>
        <v>3.92</v>
      </c>
      <c r="I56" s="49">
        <f>0.04+0.29+0.09+0.17+0.12+3.21</f>
        <v>3.92</v>
      </c>
      <c r="J56" s="49">
        <f>0.6+3.91+1.19+2.27+1.63+43.27</f>
        <v>52.870000000000005</v>
      </c>
      <c r="K56" s="48">
        <f>0.2+1.31+0.4+0.76+0.55+14.51</f>
        <v>17.73</v>
      </c>
      <c r="L56" s="49">
        <f t="shared" si="6"/>
        <v>543.8600000000001</v>
      </c>
      <c r="N56" s="49">
        <f>7.5+85.48+14.81+88.66+28.53+330.72+640.32</f>
        <v>1196.02</v>
      </c>
    </row>
    <row r="57" spans="1:14" ht="12.75">
      <c r="A57" s="47">
        <v>37803</v>
      </c>
      <c r="B57" s="48"/>
      <c r="C57" s="49">
        <f>0.03+0.13+0.08+0.15+0.13+2.29+0.88</f>
        <v>3.69</v>
      </c>
      <c r="D57" s="49">
        <f>0.71+2.73+1.67+3.17+2.72+47+18.12</f>
        <v>76.12</v>
      </c>
      <c r="E57" s="49">
        <f>0.06+0.23+0.14+0.26+0.22+3.88+1.5</f>
        <v>6.29</v>
      </c>
      <c r="F57" s="49">
        <f>0.41+1.58+0.96+1.83+1.57+27.16+10.47</f>
        <v>43.98</v>
      </c>
      <c r="G57" s="49">
        <f>2.79+10.75+6.57+12.49+10.72+185.16+8.68+71.39+2.72</f>
        <v>311.27000000000004</v>
      </c>
      <c r="H57" s="49">
        <f>0.03+0.13+0.08+0.15+0.13+2.29+0.88</f>
        <v>3.69</v>
      </c>
      <c r="I57" s="49">
        <f>0.03+0.13+0.08+0.15+0.13+2.29+0.88</f>
        <v>3.69</v>
      </c>
      <c r="J57" s="49">
        <f>0.47+1.8+1.1+2.09+1.79+30.95+11.93</f>
        <v>50.13</v>
      </c>
      <c r="K57" s="48">
        <f>0.16+0.6+0.37+0.7+0.6+10.38+4</f>
        <v>16.810000000000002</v>
      </c>
      <c r="L57" s="49">
        <f t="shared" si="6"/>
        <v>515.6700000000001</v>
      </c>
      <c r="N57" s="49">
        <f>8.17+92.92+16.4+96.65+31.44+356.97+689.5</f>
        <v>1292.0500000000002</v>
      </c>
    </row>
    <row r="58" spans="1:14" ht="12.75">
      <c r="A58" s="47">
        <v>37834</v>
      </c>
      <c r="B58" s="48"/>
      <c r="C58" s="49">
        <f>0.04+0.14+0.1+0.18+0.16+2.33+0.61</f>
        <v>3.56</v>
      </c>
      <c r="D58" s="49">
        <f>0.77+2.9+1.97+3.75+3.25+47.79+12.44</f>
        <v>72.87</v>
      </c>
      <c r="E58" s="49">
        <f>0.06+0.24+0.16+0.31+0.27+3.95+1.03</f>
        <v>6.0200000000000005</v>
      </c>
      <c r="F58" s="49">
        <f>0.45+1.67+1.14+2.17+1.88+27.62+7.19</f>
        <v>42.12</v>
      </c>
      <c r="G58" s="49">
        <f>3.04+11.41+7.77+14.79+12.8+188.26+9.01+49.01+1.84</f>
        <v>297.92999999999995</v>
      </c>
      <c r="H58" s="49">
        <f>0.04+0.14+0.1+0.18+0.16+2.33+0.61</f>
        <v>3.56</v>
      </c>
      <c r="I58" s="49">
        <f>0.04+0.14+0.1+0.18+0.16+2.33+0.61</f>
        <v>3.56</v>
      </c>
      <c r="J58" s="49">
        <f>0.51+1.91+1.3+2.47+2.14+31.47+8.19</f>
        <v>47.989999999999995</v>
      </c>
      <c r="K58" s="48">
        <f>0.17+0.64+0.44+0.83+0.72+10.55+2.75</f>
        <v>16.1</v>
      </c>
      <c r="L58" s="49">
        <f t="shared" si="6"/>
        <v>493.71</v>
      </c>
      <c r="N58" s="49">
        <f>7.59+86.05+14.71+88.83+28.68+328.86+638.06</f>
        <v>1192.78</v>
      </c>
    </row>
    <row r="59" spans="1:14" ht="12.75">
      <c r="A59" s="47">
        <v>37865</v>
      </c>
      <c r="B59" s="48"/>
      <c r="C59" s="49">
        <f>0.04+0.12+0.12+0.23+0.12+0.73+2.74</f>
        <v>4.1</v>
      </c>
      <c r="D59" s="49">
        <f>1.15+3.27+3.27+6.23+3.12+19.46+73.23</f>
        <v>109.73</v>
      </c>
      <c r="E59" s="49">
        <f>0.08+0.23+0.23+0.45+0.22+1.4+5.25</f>
        <v>7.859999999999999</v>
      </c>
      <c r="F59" s="49">
        <f>0.56+1.59+1.59+3.03+1.52+9.47+35.64</f>
        <v>53.4</v>
      </c>
      <c r="G59" s="49">
        <f>3.74+10.65+10.65+20.28+10.16+63.34+238.34-0.03</f>
        <v>357.13000000000005</v>
      </c>
      <c r="H59" s="49">
        <v>3.84</v>
      </c>
      <c r="I59" s="49">
        <v>3.84</v>
      </c>
      <c r="J59" s="49">
        <f>0.34+0.96+0.96+1.82+0.91+5.69+21.4</f>
        <v>32.08</v>
      </c>
      <c r="K59" s="48">
        <f>0.25+0.72+0.72+1.37+0.69+4.27+16.07</f>
        <v>24.09</v>
      </c>
      <c r="L59" s="49">
        <f t="shared" si="6"/>
        <v>596.0700000000002</v>
      </c>
      <c r="N59" s="49">
        <f>8.03+88.06+15.32+92.05+29.59+343.82+667.81</f>
        <v>1244.6799999999998</v>
      </c>
    </row>
    <row r="60" spans="1:14" ht="12.75">
      <c r="A60" s="47">
        <v>37895</v>
      </c>
      <c r="B60" s="48"/>
      <c r="C60" s="49">
        <f>0.04+0.22+0.09+0.17+0.12+0.59+3.04</f>
        <v>4.27</v>
      </c>
      <c r="D60" s="49">
        <f>0.94+5.39+2.16+4.11+2.9+14.46+75.16</f>
        <v>105.12</v>
      </c>
      <c r="E60" s="49">
        <f>0.07+0.39+0.16+0.3+0.21+1.04+5.4</f>
        <v>7.57</v>
      </c>
      <c r="F60" s="49">
        <f>0.46+2.64+1.06+2.02+1.42+7.09+36.87</f>
        <v>51.559999999999995</v>
      </c>
      <c r="G60" s="49">
        <f>3.15+17.97+7.2+13.71+9.68+48.22+250.68+0.08</f>
        <v>350.69</v>
      </c>
      <c r="H60" s="49">
        <f>0.03+0.16+0.06+0.12+0.09+0.42+2.21</f>
        <v>3.09</v>
      </c>
      <c r="I60" s="49">
        <f>0.03+0.16+0.06+0.12+0.09+0.42+2.21</f>
        <v>3.09</v>
      </c>
      <c r="J60" s="49">
        <f>0.48+2.75+1.1+2.1+1.48+7.37+38.33</f>
        <v>53.61</v>
      </c>
      <c r="K60" s="48">
        <f>0.19+1.06+0.42+0.81+0.57+2.84+14.75</f>
        <v>20.64</v>
      </c>
      <c r="L60" s="49">
        <f t="shared" si="6"/>
        <v>599.6400000000001</v>
      </c>
      <c r="N60" s="49">
        <v>1256.2</v>
      </c>
    </row>
    <row r="61" spans="1:14" ht="12.75">
      <c r="A61" s="47">
        <v>37926</v>
      </c>
      <c r="B61" s="48"/>
      <c r="C61" s="49">
        <f>0.05+0.19+0.1+0.19+0.11+0.71+2.52</f>
        <v>3.87</v>
      </c>
      <c r="D61" s="49">
        <f>1.32+4.81+2.43+4.62+2.72+17.63+62.69</f>
        <v>96.22</v>
      </c>
      <c r="E61" s="49">
        <f>0.09+0.34+0.17+0.32+0.19+1.24+4.41</f>
        <v>6.76</v>
      </c>
      <c r="F61" s="49">
        <f>0.65+2.35+1.19+2.26+1.33+8.62+30.65</f>
        <v>47.05</v>
      </c>
      <c r="G61" s="49">
        <f>4.39+15.96+8.05+15.33+9.01+58.53+208.09+0.03</f>
        <v>319.39</v>
      </c>
      <c r="H61" s="49">
        <f>0.04+0.14+0.07+0.14+0.08+0.52+1.85</f>
        <v>2.84</v>
      </c>
      <c r="I61" s="49">
        <f>0.04+0.14+0.07+0.14+0.08+0.52+1.85</f>
        <v>2.84</v>
      </c>
      <c r="J61" s="49">
        <f>0.66+2.4+1.21+2.31+1.36+8.81+31.33</f>
        <v>48.08</v>
      </c>
      <c r="K61" s="48">
        <f>0.26+0.93+0.47+0.9+0.53+3.42+12.16</f>
        <v>18.67</v>
      </c>
      <c r="L61" s="49">
        <f t="shared" si="6"/>
        <v>545.7199999999999</v>
      </c>
      <c r="N61" s="49">
        <v>1106.09</v>
      </c>
    </row>
    <row r="62" spans="1:14" ht="12.75">
      <c r="A62" s="47">
        <v>37956</v>
      </c>
      <c r="B62" s="48"/>
      <c r="C62" s="49">
        <v>4.56</v>
      </c>
      <c r="D62" s="49">
        <v>94.22</v>
      </c>
      <c r="E62" s="49">
        <v>8.04</v>
      </c>
      <c r="F62" s="49">
        <v>55.2</v>
      </c>
      <c r="G62" s="49">
        <v>375.52</v>
      </c>
      <c r="H62" s="49">
        <v>3.29</v>
      </c>
      <c r="I62" s="49">
        <v>3.29</v>
      </c>
      <c r="J62" s="49">
        <v>56.87</v>
      </c>
      <c r="K62" s="48">
        <v>40.84</v>
      </c>
      <c r="L62" s="49">
        <f t="shared" si="6"/>
        <v>641.8299999999999</v>
      </c>
      <c r="N62" s="49">
        <v>1298.21</v>
      </c>
    </row>
    <row r="63" spans="1:14" ht="12.75">
      <c r="A63" s="48"/>
      <c r="B63" s="48"/>
      <c r="C63" s="49"/>
      <c r="D63" s="49"/>
      <c r="E63" s="49"/>
      <c r="F63" s="49"/>
      <c r="G63" s="49"/>
      <c r="H63" s="49"/>
      <c r="I63" s="49"/>
      <c r="J63" s="49"/>
      <c r="K63" s="48"/>
      <c r="L63" s="49">
        <f t="shared" si="6"/>
        <v>0</v>
      </c>
      <c r="N63" s="49"/>
    </row>
    <row r="64" spans="1:14" ht="12.75">
      <c r="A64" s="51" t="s">
        <v>80</v>
      </c>
      <c r="B64" s="48"/>
      <c r="C64" s="49">
        <f aca="true" t="shared" si="7" ref="C64:K64">SUM(C51:C63)</f>
        <v>49.339999999999996</v>
      </c>
      <c r="D64" s="49">
        <f t="shared" si="7"/>
        <v>1039.7</v>
      </c>
      <c r="E64" s="49">
        <f t="shared" si="7"/>
        <v>79.46000000000001</v>
      </c>
      <c r="F64" s="49">
        <f t="shared" si="7"/>
        <v>570.3000000000001</v>
      </c>
      <c r="G64" s="49">
        <f t="shared" si="7"/>
        <v>3914.49</v>
      </c>
      <c r="H64" s="49">
        <f t="shared" si="7"/>
        <v>42.32</v>
      </c>
      <c r="I64" s="49">
        <f t="shared" si="7"/>
        <v>42.32</v>
      </c>
      <c r="J64" s="49">
        <f t="shared" si="7"/>
        <v>675.58</v>
      </c>
      <c r="K64" s="49">
        <f t="shared" si="7"/>
        <v>212.25000000000003</v>
      </c>
      <c r="L64" s="49">
        <f t="shared" si="6"/>
        <v>6625.759999999999</v>
      </c>
      <c r="M64" s="49">
        <f>L64/12</f>
        <v>552.1466666666666</v>
      </c>
      <c r="N64" s="49">
        <f>SUM(N51:N63)</f>
        <v>14321.840000000004</v>
      </c>
    </row>
    <row r="65" spans="1:12" ht="12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9"/>
    </row>
    <row r="66" spans="1:14" ht="12.75">
      <c r="A66" s="47">
        <v>37987</v>
      </c>
      <c r="B66" s="48"/>
      <c r="C66" s="49">
        <v>4.12</v>
      </c>
      <c r="D66" s="49">
        <v>85.59</v>
      </c>
      <c r="E66" s="49">
        <v>7.22</v>
      </c>
      <c r="F66" s="49">
        <v>50.01</v>
      </c>
      <c r="G66" s="49">
        <v>340.44</v>
      </c>
      <c r="H66" s="49">
        <v>3.01</v>
      </c>
      <c r="I66" s="49">
        <v>3.01</v>
      </c>
      <c r="J66" s="49">
        <v>51.29</v>
      </c>
      <c r="K66" s="48">
        <v>36.82</v>
      </c>
      <c r="L66" s="49">
        <f aca="true" t="shared" si="8" ref="L66:L77">SUM(C66:K66)</f>
        <v>581.51</v>
      </c>
      <c r="N66" s="49">
        <v>1230.65</v>
      </c>
    </row>
    <row r="67" spans="1:14" ht="12.75">
      <c r="A67" s="47">
        <v>38018</v>
      </c>
      <c r="B67" s="48"/>
      <c r="C67" s="49">
        <v>3.63</v>
      </c>
      <c r="D67" s="49">
        <v>74.87</v>
      </c>
      <c r="E67" s="49">
        <v>6.38</v>
      </c>
      <c r="F67" s="49">
        <v>43.91</v>
      </c>
      <c r="G67" s="49">
        <v>298.17</v>
      </c>
      <c r="H67" s="49">
        <v>2.63</v>
      </c>
      <c r="I67" s="49">
        <v>2.63</v>
      </c>
      <c r="J67" s="49">
        <v>45.54</v>
      </c>
      <c r="K67" s="48">
        <v>32.2</v>
      </c>
      <c r="L67" s="49">
        <f t="shared" si="8"/>
        <v>509.96000000000004</v>
      </c>
      <c r="N67" s="49">
        <v>1023.14</v>
      </c>
    </row>
    <row r="68" spans="1:14" ht="12.75">
      <c r="A68" s="47">
        <v>38047</v>
      </c>
      <c r="B68" s="48"/>
      <c r="C68" s="49">
        <v>4.33</v>
      </c>
      <c r="D68" s="49">
        <v>89.65</v>
      </c>
      <c r="E68" s="49">
        <v>7.63</v>
      </c>
      <c r="F68" s="49">
        <v>52.61</v>
      </c>
      <c r="G68" s="49">
        <v>356.9</v>
      </c>
      <c r="H68" s="49">
        <v>3.14</v>
      </c>
      <c r="I68" s="49">
        <v>3.14</v>
      </c>
      <c r="J68" s="49">
        <v>54.31</v>
      </c>
      <c r="K68" s="49">
        <v>38.58</v>
      </c>
      <c r="L68" s="49">
        <f t="shared" si="8"/>
        <v>610.2900000000001</v>
      </c>
      <c r="N68" s="49">
        <v>1210.43</v>
      </c>
    </row>
    <row r="69" spans="1:14" ht="12.75">
      <c r="A69" s="47">
        <v>38078</v>
      </c>
      <c r="B69" s="48"/>
      <c r="C69" s="49">
        <f>0.03+0.17+0.07+0.13+0.11+0.73+2.79</f>
        <v>4.03</v>
      </c>
      <c r="D69" s="49">
        <f>0.59+3.43+1.44+2.73+2.34+14.84+57.02</f>
        <v>82.39</v>
      </c>
      <c r="E69" s="49">
        <f>0.05+0.29+0.12+0.23+0.2+1.26+4.85</f>
        <v>7</v>
      </c>
      <c r="F69" s="49">
        <f>0.34+2.01+0.84+1.6+1.37+8.7+33.42</f>
        <v>48.28</v>
      </c>
      <c r="G69" s="49">
        <f>2.34+13.65+5.72+10.88+9.34+59.11+227.12</f>
        <v>328.16</v>
      </c>
      <c r="H69" s="49">
        <f>0.02+0.12+0.05+0.1+0.08+0.53+2.02</f>
        <v>2.92</v>
      </c>
      <c r="I69" s="49">
        <v>2.92</v>
      </c>
      <c r="J69" s="49">
        <f>0.35+2.06+0.87+1.65+1.41+8.94+34.35</f>
        <v>49.63</v>
      </c>
      <c r="K69" s="49">
        <v>35.54</v>
      </c>
      <c r="L69" s="49">
        <f t="shared" si="8"/>
        <v>560.87</v>
      </c>
      <c r="N69" s="49">
        <v>1196.17</v>
      </c>
    </row>
    <row r="70" spans="1:14" ht="12.75">
      <c r="A70" s="47">
        <v>38108</v>
      </c>
      <c r="B70" s="48"/>
      <c r="C70" s="49">
        <f>0.04+0.11+0.06+0.12+0.13+0.78+2.58</f>
        <v>3.8200000000000003</v>
      </c>
      <c r="D70" s="49">
        <f>0.75+2.25+1.33+2.53+2.61+16.07+53.35</f>
        <v>78.89</v>
      </c>
      <c r="E70" s="49">
        <f>0.06+0.19+0.11+0.22+0.22+1.37+4.54</f>
        <v>6.71</v>
      </c>
      <c r="F70" s="49">
        <f>0.44+1.32+0.78+1.48+1.53+9.43+31.29</f>
        <v>46.269999999999996</v>
      </c>
      <c r="G70" s="49">
        <f>2.98+8.98+5.29+10.07+10.38+64.04+212.6</f>
        <v>314.34000000000003</v>
      </c>
      <c r="H70" s="49">
        <f>0.03+0.08+0.05+0.09+0.09+0.57+1.89</f>
        <v>2.8</v>
      </c>
      <c r="I70" s="49">
        <f>0.03+0.08+0.05+0.09+0.09+0.57+1.89</f>
        <v>2.8</v>
      </c>
      <c r="J70" s="49">
        <f>0.45+1.36+0.8+1.53+1.57+9.7+32.2</f>
        <v>47.61</v>
      </c>
      <c r="K70" s="48">
        <f>0.32+0.97+0.57+1.09+1.13+6.94+23.04+0.05</f>
        <v>34.11</v>
      </c>
      <c r="L70" s="49">
        <f t="shared" si="8"/>
        <v>537.35</v>
      </c>
      <c r="N70" s="49">
        <v>1160.47</v>
      </c>
    </row>
    <row r="71" spans="1:14" ht="12.75">
      <c r="A71" s="47">
        <v>38139</v>
      </c>
      <c r="B71" s="48"/>
      <c r="C71" s="49"/>
      <c r="D71" s="49"/>
      <c r="E71" s="49"/>
      <c r="F71" s="49"/>
      <c r="G71" s="49"/>
      <c r="H71" s="49"/>
      <c r="I71" s="49"/>
      <c r="J71" s="49"/>
      <c r="K71" s="48"/>
      <c r="L71" s="49">
        <f t="shared" si="8"/>
        <v>0</v>
      </c>
      <c r="N71" s="49"/>
    </row>
    <row r="72" spans="1:14" ht="12.75">
      <c r="A72" s="47">
        <v>38169</v>
      </c>
      <c r="B72" s="48"/>
      <c r="C72" s="49"/>
      <c r="D72" s="49"/>
      <c r="E72" s="49"/>
      <c r="F72" s="49"/>
      <c r="G72" s="49"/>
      <c r="H72" s="49"/>
      <c r="I72" s="49"/>
      <c r="J72" s="49"/>
      <c r="K72" s="48"/>
      <c r="L72" s="49">
        <f t="shared" si="8"/>
        <v>0</v>
      </c>
      <c r="N72" s="49"/>
    </row>
    <row r="73" spans="1:14" ht="12.75">
      <c r="A73" s="47">
        <v>38200</v>
      </c>
      <c r="B73" s="48"/>
      <c r="C73" s="49"/>
      <c r="D73" s="49"/>
      <c r="E73" s="49"/>
      <c r="F73" s="49"/>
      <c r="G73" s="49"/>
      <c r="H73" s="49"/>
      <c r="I73" s="49"/>
      <c r="J73" s="49"/>
      <c r="K73" s="48"/>
      <c r="L73" s="49">
        <f t="shared" si="8"/>
        <v>0</v>
      </c>
      <c r="N73" s="49"/>
    </row>
    <row r="74" spans="1:14" ht="12.75">
      <c r="A74" s="47">
        <v>38231</v>
      </c>
      <c r="B74" s="48"/>
      <c r="C74" s="49"/>
      <c r="D74" s="49"/>
      <c r="E74" s="49"/>
      <c r="F74" s="49"/>
      <c r="G74" s="49"/>
      <c r="H74" s="49"/>
      <c r="I74" s="49"/>
      <c r="J74" s="49"/>
      <c r="K74" s="48"/>
      <c r="L74" s="49">
        <f t="shared" si="8"/>
        <v>0</v>
      </c>
      <c r="N74" s="49"/>
    </row>
    <row r="75" spans="1:14" ht="12.75">
      <c r="A75" s="47">
        <v>38261</v>
      </c>
      <c r="B75" s="48"/>
      <c r="C75" s="49"/>
      <c r="D75" s="49"/>
      <c r="E75" s="49"/>
      <c r="F75" s="49"/>
      <c r="G75" s="49"/>
      <c r="H75" s="49"/>
      <c r="I75" s="49"/>
      <c r="J75" s="49"/>
      <c r="K75" s="48"/>
      <c r="L75" s="49">
        <f t="shared" si="8"/>
        <v>0</v>
      </c>
      <c r="N75" s="49"/>
    </row>
    <row r="76" spans="1:14" ht="12.75">
      <c r="A76" s="47">
        <v>38292</v>
      </c>
      <c r="B76" s="48"/>
      <c r="C76" s="49"/>
      <c r="D76" s="49"/>
      <c r="E76" s="49"/>
      <c r="F76" s="49"/>
      <c r="G76" s="49"/>
      <c r="H76" s="49"/>
      <c r="I76" s="49"/>
      <c r="J76" s="49"/>
      <c r="K76" s="48"/>
      <c r="L76" s="49">
        <f t="shared" si="8"/>
        <v>0</v>
      </c>
      <c r="N76" s="49"/>
    </row>
    <row r="77" spans="1:14" ht="12.75">
      <c r="A77" s="47">
        <v>38322</v>
      </c>
      <c r="B77" s="48"/>
      <c r="C77" s="49"/>
      <c r="D77" s="49"/>
      <c r="E77" s="49"/>
      <c r="F77" s="49"/>
      <c r="G77" s="49"/>
      <c r="H77" s="49"/>
      <c r="I77" s="49"/>
      <c r="J77" s="49"/>
      <c r="K77" s="48"/>
      <c r="L77" s="49">
        <f t="shared" si="8"/>
        <v>0</v>
      </c>
      <c r="N77" s="49"/>
    </row>
    <row r="78" spans="1:14" ht="12.75">
      <c r="A78" s="48"/>
      <c r="B78" s="48"/>
      <c r="C78" s="49"/>
      <c r="D78" s="49"/>
      <c r="E78" s="49"/>
      <c r="F78" s="49"/>
      <c r="G78" s="49"/>
      <c r="H78" s="49"/>
      <c r="I78" s="49"/>
      <c r="J78" s="49"/>
      <c r="K78" s="48"/>
      <c r="L78" s="49"/>
      <c r="N78" s="49"/>
    </row>
    <row r="79" spans="1:14" ht="12.75">
      <c r="A79" s="51" t="s">
        <v>80</v>
      </c>
      <c r="B79" s="48"/>
      <c r="C79" s="49">
        <f aca="true" t="shared" si="9" ref="C79:K79">SUM(C66:C78)</f>
        <v>19.93</v>
      </c>
      <c r="D79" s="49">
        <f t="shared" si="9"/>
        <v>411.39</v>
      </c>
      <c r="E79" s="49">
        <f t="shared" si="9"/>
        <v>34.94</v>
      </c>
      <c r="F79" s="49">
        <f t="shared" si="9"/>
        <v>241.07999999999998</v>
      </c>
      <c r="G79" s="49">
        <f t="shared" si="9"/>
        <v>1638.0100000000002</v>
      </c>
      <c r="H79" s="49">
        <f t="shared" si="9"/>
        <v>14.5</v>
      </c>
      <c r="I79" s="49">
        <f t="shared" si="9"/>
        <v>14.5</v>
      </c>
      <c r="J79" s="49">
        <f t="shared" si="9"/>
        <v>248.38</v>
      </c>
      <c r="K79" s="49">
        <f t="shared" si="9"/>
        <v>177.25</v>
      </c>
      <c r="L79" s="49">
        <f>SUM(C79:K79)</f>
        <v>2799.9800000000005</v>
      </c>
      <c r="M79" s="49">
        <f>L79/5</f>
        <v>559.9960000000001</v>
      </c>
      <c r="N79" s="49">
        <f>SUM(N66:N78)</f>
        <v>5820.860000000001</v>
      </c>
    </row>
    <row r="80" spans="1:12" ht="12.7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1:12" ht="12.7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</row>
    <row r="82" spans="1:12" ht="12.7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</row>
    <row r="83" spans="1:12" ht="12.7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4" spans="1:12" ht="12.7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</row>
    <row r="85" spans="1:12" ht="12.7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</row>
    <row r="86" spans="1:12" ht="12.7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</row>
    <row r="87" spans="1:12" ht="12.7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ht="12.7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</row>
    <row r="89" spans="1:12" ht="12.7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</row>
    <row r="90" spans="1:12" ht="12.7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</row>
    <row r="91" spans="1:12" ht="12.7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</row>
    <row r="92" spans="1:12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</row>
    <row r="93" spans="1:12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</row>
    <row r="94" spans="1:12" ht="12.7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</row>
    <row r="95" spans="1:12" ht="12.7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</row>
    <row r="96" spans="1:12" ht="12.7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</row>
    <row r="97" spans="1:12" ht="12.7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</row>
    <row r="98" spans="1:12" ht="12.7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</row>
    <row r="99" spans="1:12" ht="12.7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</row>
    <row r="100" spans="1:12" ht="12.7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</row>
    <row r="101" spans="1:12" ht="12.7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</row>
    <row r="102" spans="1:12" ht="12.7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</row>
    <row r="103" spans="1:12" ht="12.7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</row>
    <row r="104" spans="1:12" ht="12.7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 ht="12.7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</row>
    <row r="106" spans="1:12" ht="12.7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</row>
    <row r="107" spans="1:12" ht="12.7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</row>
    <row r="108" spans="1:12" ht="12.7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</row>
    <row r="109" spans="1:12" ht="12.7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</row>
    <row r="110" spans="1:12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</row>
    <row r="111" spans="1:12" ht="12.7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</row>
    <row r="112" spans="1:12" ht="12.7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</row>
    <row r="113" spans="1:12" ht="12.7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</row>
    <row r="114" spans="1:12" ht="12.7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</row>
    <row r="115" spans="1:12" ht="12.7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</row>
    <row r="116" spans="1:12" ht="12.7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</row>
    <row r="117" spans="1:12" ht="12.7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</row>
    <row r="118" spans="1:12" ht="12.7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</row>
    <row r="119" spans="1:12" ht="12.7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</row>
    <row r="120" spans="1:12" ht="12.7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</row>
    <row r="121" spans="1:12" ht="12.7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</row>
    <row r="122" spans="1:12" ht="12.7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</row>
    <row r="123" spans="1:12" ht="12.7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</row>
    <row r="124" spans="1:12" ht="12.7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</row>
    <row r="125" spans="1:12" ht="12.7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  <row r="126" spans="1:12" ht="12.7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</row>
    <row r="127" spans="1:12" ht="12.7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</row>
    <row r="128" spans="1:12" ht="12.7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</row>
    <row r="129" spans="1:12" ht="12.7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</row>
    <row r="130" spans="1:12" ht="12.7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</row>
    <row r="131" spans="1:12" ht="12.7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</row>
    <row r="132" spans="1:12" ht="12.7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</row>
    <row r="133" spans="1:12" ht="12.7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</row>
    <row r="134" spans="1:12" ht="12.7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</row>
    <row r="135" spans="1:12" ht="12.7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</row>
    <row r="136" spans="1:12" ht="12.7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</row>
    <row r="137" spans="1:12" ht="12.7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</row>
    <row r="138" spans="1:12" ht="12.7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</row>
    <row r="139" spans="1:12" ht="12.7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</row>
    <row r="140" spans="1:12" ht="12.7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</row>
    <row r="141" spans="1:12" ht="12.7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</row>
    <row r="142" spans="1:12" ht="12.7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</row>
    <row r="143" spans="1:12" ht="12.7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</row>
    <row r="144" spans="1:12" ht="12.7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</row>
    <row r="145" spans="1:12" ht="12.7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</row>
    <row r="146" spans="1:12" ht="12.7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</row>
    <row r="147" spans="1:12" ht="12.7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</row>
    <row r="148" spans="1:12" ht="12.7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</row>
    <row r="149" spans="1:12" ht="12.7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</row>
    <row r="150" spans="1:12" ht="12.7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</row>
    <row r="151" spans="1:12" ht="12.7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</row>
    <row r="152" spans="1:12" ht="12.7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</row>
    <row r="153" spans="1:12" ht="12.7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</row>
    <row r="154" spans="1:12" ht="12.7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</row>
    <row r="155" spans="1:12" ht="12.7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</row>
    <row r="156" spans="1:12" ht="12.7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</row>
    <row r="157" spans="1:12" ht="12.7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</row>
    <row r="158" spans="1:12" ht="12.7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</row>
    <row r="159" spans="1:12" ht="12.7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</row>
    <row r="160" spans="1:12" ht="12.7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</row>
    <row r="161" spans="1:12" ht="12.7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</row>
    <row r="162" spans="1:12" ht="12.7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</row>
    <row r="163" spans="1:12" ht="12.75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</row>
    <row r="164" spans="1:12" ht="12.7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</row>
    <row r="165" spans="1:12" ht="12.7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</row>
  </sheetData>
  <printOptions/>
  <pageMargins left="0" right="0" top="0.25" bottom="0.25" header="0.5" footer="0.5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5"/>
  <sheetViews>
    <sheetView workbookViewId="0" topLeftCell="E49">
      <selection activeCell="M80" sqref="M80"/>
    </sheetView>
  </sheetViews>
  <sheetFormatPr defaultColWidth="9.33203125" defaultRowHeight="11.25"/>
  <cols>
    <col min="1" max="12" width="10.66015625" style="53" customWidth="1"/>
    <col min="13" max="13" width="11.66015625" style="53" bestFit="1" customWidth="1"/>
    <col min="14" max="16384" width="10.66015625" style="53" customWidth="1"/>
  </cols>
  <sheetData>
    <row r="1" ht="12.75">
      <c r="A1" s="52" t="s">
        <v>84</v>
      </c>
    </row>
    <row r="2" spans="13:14" ht="12.75">
      <c r="M2" s="54" t="s">
        <v>85</v>
      </c>
      <c r="N2" s="54" t="s">
        <v>86</v>
      </c>
    </row>
    <row r="3" spans="2:14" ht="12.75">
      <c r="B3" s="55"/>
      <c r="C3" s="56" t="s">
        <v>72</v>
      </c>
      <c r="D3" s="56" t="s">
        <v>73</v>
      </c>
      <c r="E3" s="56" t="s">
        <v>74</v>
      </c>
      <c r="F3" s="56" t="s">
        <v>15</v>
      </c>
      <c r="G3" s="56" t="s">
        <v>16</v>
      </c>
      <c r="H3" s="56" t="s">
        <v>75</v>
      </c>
      <c r="I3" s="56" t="s">
        <v>18</v>
      </c>
      <c r="J3" s="56" t="s">
        <v>19</v>
      </c>
      <c r="K3" s="56" t="s">
        <v>50</v>
      </c>
      <c r="L3" s="56" t="s">
        <v>49</v>
      </c>
      <c r="M3" s="56" t="s">
        <v>87</v>
      </c>
      <c r="N3" s="56" t="s">
        <v>48</v>
      </c>
    </row>
    <row r="4" spans="2:12" ht="12.7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2:12" ht="12.7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2.75">
      <c r="A6" s="57">
        <v>36526</v>
      </c>
      <c r="B6" s="58"/>
      <c r="C6" s="59">
        <f>0.03+0.47+0.04+0.16+0.15+0.9+0.86+2.48</f>
        <v>5.09</v>
      </c>
      <c r="D6" s="59">
        <f>0.43+7.46+0.56+2.57+2.4+14.33+13.83+39.72</f>
        <v>81.3</v>
      </c>
      <c r="E6" s="59">
        <f>0.06+0.97+0.07+0.34+0.31+1.87+1.81+5.19</f>
        <v>10.620000000000001</v>
      </c>
      <c r="F6" s="59">
        <f>0.66+11.55+0.87+3.97+3.72+22.17+21.4+61.47</f>
        <v>125.81</v>
      </c>
      <c r="G6" s="59">
        <f>2.23+39.03+2.93+13.41+12.57+74.91+72.3+207.68+34.66</f>
        <v>459.72</v>
      </c>
      <c r="H6" s="59">
        <f>0.03+0.61+0.05+0.21+0.2+1.16+1.12+3.22</f>
        <v>6.6</v>
      </c>
      <c r="I6" s="59">
        <f>0.03+0.61+0.05+0.21+0.2+1.16+1.12+3.22</f>
        <v>6.6</v>
      </c>
      <c r="J6" s="59">
        <f>0.4+6.98+0.52+2.4+2.25+12.92+37.13</f>
        <v>62.6</v>
      </c>
      <c r="K6" s="58"/>
      <c r="L6" s="59">
        <f aca="true" t="shared" si="0" ref="L6:L17">SUM(C6:K6)</f>
        <v>758.34</v>
      </c>
    </row>
    <row r="7" spans="1:12" ht="12.75">
      <c r="A7" s="57">
        <v>36557</v>
      </c>
      <c r="B7" s="58"/>
      <c r="C7" s="59">
        <f>0.02+0.52+0.09+0.11+0.11+0.81+0.72+2.54</f>
        <v>4.92</v>
      </c>
      <c r="D7" s="59">
        <f>0.35+8.24+1.45+1.79+1.69+12.91+11.5+40.62</f>
        <v>78.55</v>
      </c>
      <c r="E7" s="59">
        <f>0.05+1.08+0.19+0.23+0.22+1.69+1.5+5.3</f>
        <v>10.26</v>
      </c>
      <c r="F7" s="59">
        <f>0.54+12.76+2.25+2.78+2.61+19.97+17.79+62.86</f>
        <v>121.56</v>
      </c>
      <c r="G7" s="59">
        <f>1.84+43.11+7.6+9.38+8.83+67.48+60.11+212.38+20.55</f>
        <v>431.28000000000003</v>
      </c>
      <c r="H7" s="59">
        <f>0.03+0.67+0.12+0.15+0.14+1.05+0.93+3.3</f>
        <v>6.390000000000001</v>
      </c>
      <c r="I7" s="59">
        <f>0.03+0.67+0.12+0.15+0.14+1.05+0.93+3.3</f>
        <v>6.390000000000001</v>
      </c>
      <c r="J7" s="59">
        <f>0.33+7.71+1.36+1.68+1.58+12.06+10.75+37.97</f>
        <v>73.44</v>
      </c>
      <c r="K7" s="58"/>
      <c r="L7" s="59">
        <f t="shared" si="0"/>
        <v>732.79</v>
      </c>
    </row>
    <row r="8" spans="1:12" ht="12.75">
      <c r="A8" s="57">
        <v>36586</v>
      </c>
      <c r="B8" s="58"/>
      <c r="C8" s="59">
        <f>0.02+0.45+0.14+0.19+0.11+0.78+0.78+2.74</f>
        <v>5.21</v>
      </c>
      <c r="D8" s="59">
        <f>0.37+7.26+2.2+3.02+1.83+12.41+12.43+43.79</f>
        <v>83.31</v>
      </c>
      <c r="E8" s="59">
        <f>0.05+0.95+0.29+0.39+0.24+1.62+1.62+5.72</f>
        <v>10.879999999999999</v>
      </c>
      <c r="F8" s="59">
        <f>0.58+11.24+3.41+4.67+2.84+19.21+19.24+67.77</f>
        <v>128.95999999999998</v>
      </c>
      <c r="G8" s="59">
        <f>1.95+37.96+11.51+15.79+9.58+64.9+65+228.96+21.84</f>
        <v>457.48999999999995</v>
      </c>
      <c r="H8" s="59">
        <f>0.03+0.59+0.18+0.25+0.15+1.01+1.01+3.55</f>
        <v>6.77</v>
      </c>
      <c r="I8" s="59">
        <f>0.03+0.59+0.18+0.25+0.15+1.01+1.01+3.55</f>
        <v>6.77</v>
      </c>
      <c r="J8" s="59">
        <f>0.35+6.79+2.06+2.82+1.71+11.6+11.62+40.93</f>
        <v>77.88</v>
      </c>
      <c r="K8" s="58"/>
      <c r="L8" s="59">
        <f t="shared" si="0"/>
        <v>777.2699999999999</v>
      </c>
    </row>
    <row r="9" spans="1:12" ht="12.75">
      <c r="A9" s="57">
        <v>36617</v>
      </c>
      <c r="B9" s="58"/>
      <c r="C9" s="59">
        <f>0.02+0.42+0.12+0.13+0.11+0.68+0.75+2.62</f>
        <v>4.85</v>
      </c>
      <c r="D9" s="59">
        <f>0.33+6.75+1.94+2.06+1.79+10.93+12.01+41.95</f>
        <v>77.76</v>
      </c>
      <c r="E9" s="59">
        <f>0.04+0.88+0.25+0.27+0.23+1.43+1.57+5.48</f>
        <v>10.15</v>
      </c>
      <c r="F9" s="59">
        <f>0.51+10.45+3+3.2+2.77+16.92+18.59+64.92</f>
        <v>120.36</v>
      </c>
      <c r="G9" s="59">
        <f>1.72+35.29+10.13+10.8+9.37+57.16+62.82+219.33+20.34</f>
        <v>426.96</v>
      </c>
      <c r="H9" s="59">
        <f>0.03+0.55+0.16+0.17+0.15+0.89+0.98+3.4</f>
        <v>6.33</v>
      </c>
      <c r="I9" s="59">
        <f>0.03+0.55+0.16+0.17+0.15+0.89+0.98+3.4</f>
        <v>6.33</v>
      </c>
      <c r="J9" s="59">
        <f>0.31+6.31+1.81+1.93+1.68+10.22+11.23+39.21</f>
        <v>72.69999999999999</v>
      </c>
      <c r="K9" s="58"/>
      <c r="L9" s="59">
        <f t="shared" si="0"/>
        <v>725.44</v>
      </c>
    </row>
    <row r="10" spans="1:12" ht="12.75">
      <c r="A10" s="57">
        <v>36647</v>
      </c>
      <c r="B10" s="58"/>
      <c r="C10" s="59">
        <f>0.03+0.48+0.12+0.14+0.17+0.72+0.65+3.32</f>
        <v>5.63</v>
      </c>
      <c r="D10" s="59">
        <f>0.45+7.63+1.86+2.24+2.79+11.54+10.38+53.18</f>
        <v>90.07</v>
      </c>
      <c r="E10" s="59">
        <f>0.06+1+0.24+0.29+0.36+1.51+1.36+6.94</f>
        <v>11.760000000000002</v>
      </c>
      <c r="F10" s="59">
        <f>0.7+11.8+2.89+3.47+4.32+17.86+16.06+82.3</f>
        <v>139.39999999999998</v>
      </c>
      <c r="G10" s="59">
        <f>2.37+39.87+9.75+11.73+14.58+60.35+54.27+278.04+23.59</f>
        <v>494.55</v>
      </c>
      <c r="H10" s="59">
        <f>0.04+0.62+0.15+0.18+0.23+0.94+0.84+4.32</f>
        <v>7.32</v>
      </c>
      <c r="I10" s="59">
        <f>0.04+0.62+0.15+0.18+0.23+0.94+0.84+4.32</f>
        <v>7.32</v>
      </c>
      <c r="J10" s="59">
        <f>0.42+7.13+1.74+2.1+2.61+10.79+9.7+49.71</f>
        <v>84.19999999999999</v>
      </c>
      <c r="K10" s="58"/>
      <c r="L10" s="59">
        <f t="shared" si="0"/>
        <v>840.25</v>
      </c>
    </row>
    <row r="11" spans="1:12" ht="12.75">
      <c r="A11" s="57">
        <v>36678</v>
      </c>
      <c r="B11" s="58"/>
      <c r="C11" s="59">
        <f>0.02+0.41+0.1+0.18+0.11+0.7+0.83+2.92</f>
        <v>5.27</v>
      </c>
      <c r="D11" s="59">
        <f>0.4+6.55+1.64+2.82+1.81+11.13+13.25+46.78</f>
        <v>84.38</v>
      </c>
      <c r="E11" s="59">
        <f>0.05+0.86+0.21+0.37+0.24+1.45+1.73+6.11</f>
        <v>11.02</v>
      </c>
      <c r="F11" s="59">
        <f>0.62+10.13+2.53+4.36+2.79+17.23+20.51+72.39</f>
        <v>130.56</v>
      </c>
      <c r="G11" s="59">
        <f>2.09+34.24+8.55+14.72+9.44+58.22+69.3+244.59+22.1</f>
        <v>463.25</v>
      </c>
      <c r="H11" s="59">
        <f>0.03+0.53+0.13+0.23+0.15+0.9+1.08+3.8</f>
        <v>6.85</v>
      </c>
      <c r="I11" s="59">
        <f>0.03+0.53+0.13+0.23+0.15+0.9+1.08+3.8</f>
        <v>6.85</v>
      </c>
      <c r="J11" s="59">
        <f>0.37+6.12+1.53+2.63+1.69+10.41+12.39+43.72</f>
        <v>78.86</v>
      </c>
      <c r="K11" s="58"/>
      <c r="L11" s="59">
        <f t="shared" si="0"/>
        <v>787.0400000000001</v>
      </c>
    </row>
    <row r="12" spans="1:12" ht="12.75">
      <c r="A12" s="57">
        <v>36708</v>
      </c>
      <c r="B12" s="58"/>
      <c r="C12" s="59">
        <f>0.02+0.42+0.09+0.15+0.1+0.68+0.83+2.48</f>
        <v>4.77</v>
      </c>
      <c r="D12" s="59">
        <f>0.35+6.66+1.42+2.47+1.58+10.91+13.27+39.61</f>
        <v>76.27</v>
      </c>
      <c r="E12" s="59">
        <f>0.05+0.87+0.19+0.32+0.21+1.43+1.73+5.17</f>
        <v>9.97</v>
      </c>
      <c r="F12" s="59">
        <f>0.54+10.3+2.2+3.82+2.44+16.89+20.54+61.3</f>
        <v>118.03</v>
      </c>
      <c r="G12" s="59">
        <f>1.82+34.81+7.44+12.9+8.25+57.06+69.38+207.1+19.97</f>
        <v>418.73</v>
      </c>
      <c r="H12" s="59">
        <f>0.03+0.54+0.12+0.2+0.13+0.89+1.08+3.21</f>
        <v>6.2</v>
      </c>
      <c r="I12" s="59">
        <f>0.03+0.54+0.12+0.2+0.13+0.89+1.08+3.21</f>
        <v>6.2</v>
      </c>
      <c r="J12" s="59">
        <f>0.32+6.22+1.33+2.31+1.47+10.2+12.4+37.02</f>
        <v>71.27000000000001</v>
      </c>
      <c r="K12" s="58"/>
      <c r="L12" s="59">
        <f t="shared" si="0"/>
        <v>711.44</v>
      </c>
    </row>
    <row r="13" spans="1:12" ht="12.75">
      <c r="A13" s="57">
        <v>36739</v>
      </c>
      <c r="B13" s="58"/>
      <c r="C13" s="59">
        <f>0.02+0.61+0.08+0.27+0.15+0.66+0.89+2.85</f>
        <v>5.53</v>
      </c>
      <c r="D13" s="59">
        <f>0.33+9.81+1.36+4.32+2.43+10.52+14.24+45.53</f>
        <v>88.53999999999999</v>
      </c>
      <c r="E13" s="59">
        <f>0.04+1.28+0.18+0.56+0.32+1.37+1.86+5.95</f>
        <v>11.56</v>
      </c>
      <c r="F13" s="59">
        <f>0.51+15.19+2.1+6.68+3.75+16.28+22.03+70.47</f>
        <v>137.01</v>
      </c>
      <c r="G13" s="59">
        <f>1.73+51.31+7.1+22.57+12.68+55.01+74.44+238.08+23.18</f>
        <v>486.1</v>
      </c>
      <c r="H13" s="59">
        <f>0.03+0.8+0.11+0.35+0.2+0.85+1.16+3.7</f>
        <v>7.2</v>
      </c>
      <c r="I13" s="59">
        <f>0.03+0.8+0.11+0.35+0.2+0.85+1.16+3.7</f>
        <v>7.2</v>
      </c>
      <c r="J13" s="59">
        <f>0.31+9.17+1.27+4.04+2.27+9.83+13.31+42.56</f>
        <v>82.76</v>
      </c>
      <c r="K13" s="58"/>
      <c r="L13" s="59">
        <f t="shared" si="0"/>
        <v>825.9000000000001</v>
      </c>
    </row>
    <row r="14" spans="1:12" ht="12.75">
      <c r="A14" s="57">
        <v>36770</v>
      </c>
      <c r="B14" s="58"/>
      <c r="C14" s="59">
        <f>0.02+0.46+0.07+0.17+0.12+0.6+0.91+2.86</f>
        <v>5.21</v>
      </c>
      <c r="D14" s="59">
        <f>0.3+7.29+1.2+2.66+1.84+9.57+14.54+45.82</f>
        <v>83.22</v>
      </c>
      <c r="E14" s="59">
        <f>0.04+0.95+0.16+0.35+0.24+1.25+1.9+5.98</f>
        <v>10.870000000000001</v>
      </c>
      <c r="F14" s="59">
        <f>0.47+11.29+1.85+4.11+2.85+14.81+22.51+70.92</f>
        <v>128.81</v>
      </c>
      <c r="G14" s="59">
        <f>1.58+38.14+6.26+13.9+9.63+50.04+76.04+239.6+21.8</f>
        <v>456.98999999999995</v>
      </c>
      <c r="H14" s="59">
        <f>0.02+0.59+0.1+0.22+0.15+0.78+1.18+3.72</f>
        <v>6.76</v>
      </c>
      <c r="I14" s="59">
        <f>0.02+0.59+0.1+0.22+0.15+0.78+1.18+3.72</f>
        <v>6.76</v>
      </c>
      <c r="J14" s="59">
        <f>0.28+6.82+1.12+2.48+1.72+8.94+13.59+42.83</f>
        <v>77.78</v>
      </c>
      <c r="K14" s="58"/>
      <c r="L14" s="59">
        <f t="shared" si="0"/>
        <v>776.3999999999999</v>
      </c>
    </row>
    <row r="15" spans="1:12" ht="12.75">
      <c r="A15" s="57">
        <v>36800</v>
      </c>
      <c r="B15" s="58"/>
      <c r="C15" s="59">
        <f>0.02+0.43+0.08+0.11+0.25+0.64+0.69+3.16</f>
        <v>5.38</v>
      </c>
      <c r="D15" s="59">
        <f>0.32+6.94+1.34+1.84+4.07+10.22+11.08+50.57</f>
        <v>86.38</v>
      </c>
      <c r="E15" s="59">
        <f>0.04+0.91+0.18+0.24+0.53+1.34+1.45+6.6</f>
        <v>11.29</v>
      </c>
      <c r="F15" s="59">
        <f>0.49+10.74+2.08+2.84+6.3+15.82+17.15+78.26</f>
        <v>133.68</v>
      </c>
      <c r="G15" s="59">
        <f>1.67+36.28+7.02+9.61+21.28+53.45+57.95+264.39+22.66</f>
        <v>474.31</v>
      </c>
      <c r="H15" s="59">
        <f>0.03+0.56+0.11+0.15+0.33+0.83+0.9+4.1</f>
        <v>7.01</v>
      </c>
      <c r="I15" s="59">
        <f>0.03+0.56+0.11+0.15+0.33+0.83+0.9+4.1</f>
        <v>7.01</v>
      </c>
      <c r="J15" s="59">
        <f>0.3+6.49+1.26+1.72+3.8+9.56+10.36+47.26</f>
        <v>80.75</v>
      </c>
      <c r="K15" s="58"/>
      <c r="L15" s="59">
        <f t="shared" si="0"/>
        <v>805.81</v>
      </c>
    </row>
    <row r="16" spans="1:12" ht="12.75">
      <c r="A16" s="57">
        <v>36831</v>
      </c>
      <c r="B16" s="58"/>
      <c r="C16" s="59">
        <f>0.02+0.46+0.09+0.18+0.19+0.6+0.68+3.31</f>
        <v>5.53</v>
      </c>
      <c r="D16" s="59">
        <f>0.36+7.32+1.5+2.88+3.04+9.68+10.87+52.89</f>
        <v>88.53999999999999</v>
      </c>
      <c r="E16" s="59">
        <f>0.05+0.96+0.2+0.38+0.4+1.26+1.42+6.91</f>
        <v>11.58</v>
      </c>
      <c r="F16" s="59">
        <f>0.56+11.32+2.32+4.45+4.7+14.98+16.82+81.85</f>
        <v>137</v>
      </c>
      <c r="G16" s="59">
        <f>1.89+38.25+7.83+15.05+15.9+50.6+56.82+276.52+23.2</f>
        <v>486.06</v>
      </c>
      <c r="H16" s="59">
        <f>0.03+0.59+0.12+0.23+0.25+0.79+0.88+4.29</f>
        <v>7.18</v>
      </c>
      <c r="I16" s="59">
        <f>0.03+0.59+0.12+0.23+0.25+0.79+0.88+4.29</f>
        <v>7.18</v>
      </c>
      <c r="J16" s="59">
        <f>0.34+6.84+1.4+2.69+2.84+9.05+10.16+49.43</f>
        <v>82.75</v>
      </c>
      <c r="K16" s="58"/>
      <c r="L16" s="59">
        <f t="shared" si="0"/>
        <v>825.8199999999999</v>
      </c>
    </row>
    <row r="17" spans="1:12" ht="12.75">
      <c r="A17" s="57">
        <v>36861</v>
      </c>
      <c r="B17" s="58"/>
      <c r="C17" s="59">
        <f>0.02+0.44+0.09+0.12+0.1+0.55+0.67+2.85</f>
        <v>4.84</v>
      </c>
      <c r="D17" s="59">
        <f>0.34+7.04+1.37+1.85+1.66+8.85+10.74+45.6</f>
        <v>77.45</v>
      </c>
      <c r="E17" s="59">
        <f>0.04+0.92+0.18+0.24+0.22+1.16+1.4+5.96</f>
        <v>10.120000000000001</v>
      </c>
      <c r="F17" s="59">
        <f>0.53+10.9+2.12+2.87+2.57+13.7+16.61+70.57</f>
        <v>119.86999999999999</v>
      </c>
      <c r="G17" s="59">
        <f>1.78+36.82+7.15+9.7+8.69+46.29+56.13+238.43+20.33</f>
        <v>425.32</v>
      </c>
      <c r="H17" s="59">
        <f>0.03+0.57+0.11+0.15+0.13+0.72+0.87+3.7</f>
        <v>6.28</v>
      </c>
      <c r="I17" s="59">
        <f>0.03+0.57+0.11+0.15+0.13+0.72+0.87+3.7</f>
        <v>6.28</v>
      </c>
      <c r="J17" s="59">
        <f>0.32+6.58+1.28+1.73+1.55+8.27+10.04+42.62</f>
        <v>72.39</v>
      </c>
      <c r="K17" s="58"/>
      <c r="L17" s="59">
        <f t="shared" si="0"/>
        <v>722.55</v>
      </c>
    </row>
    <row r="18" spans="1:12" ht="12.75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9"/>
    </row>
    <row r="19" spans="1:13" ht="12.75">
      <c r="A19" s="60" t="s">
        <v>77</v>
      </c>
      <c r="B19" s="58"/>
      <c r="C19" s="59">
        <f aca="true" t="shared" si="1" ref="C19:J19">SUM(C6:C17)</f>
        <v>62.230000000000004</v>
      </c>
      <c r="D19" s="59">
        <f t="shared" si="1"/>
        <v>995.77</v>
      </c>
      <c r="E19" s="59">
        <f t="shared" si="1"/>
        <v>130.07999999999998</v>
      </c>
      <c r="F19" s="59">
        <f t="shared" si="1"/>
        <v>1541.0499999999997</v>
      </c>
      <c r="G19" s="59">
        <f t="shared" si="1"/>
        <v>5480.76</v>
      </c>
      <c r="H19" s="59">
        <f t="shared" si="1"/>
        <v>80.89000000000001</v>
      </c>
      <c r="I19" s="59">
        <f t="shared" si="1"/>
        <v>80.89000000000001</v>
      </c>
      <c r="J19" s="59">
        <f t="shared" si="1"/>
        <v>917.38</v>
      </c>
      <c r="K19" s="58"/>
      <c r="L19" s="61">
        <f>SUM(C19:K19)</f>
        <v>9289.049999999997</v>
      </c>
      <c r="M19" s="59">
        <f>L19/12</f>
        <v>774.0874999999997</v>
      </c>
    </row>
    <row r="20" spans="1:12" ht="12.75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9"/>
    </row>
    <row r="21" spans="1:14" ht="12.75">
      <c r="A21" s="57">
        <v>36892</v>
      </c>
      <c r="B21" s="58"/>
      <c r="C21" s="59">
        <f>0.02+0.59+0.07+0.17+0.1+0.37+0.92+3.24</f>
        <v>5.48</v>
      </c>
      <c r="D21" s="59">
        <f>0.27+9.45+1.13+2.72+1.63+5.99+14.67+51.76</f>
        <v>87.62</v>
      </c>
      <c r="E21" s="59">
        <f>0.04+1.23+0.15+0.36+0.21+0.78+1.92+6.76</f>
        <v>11.45</v>
      </c>
      <c r="F21" s="59">
        <f>0.42+14.62+1.76+4.21+2.52+9.27+22.7+80.1</f>
        <v>135.6</v>
      </c>
      <c r="G21" s="59">
        <f>1.43+49.4+5.93+14.23+8.51+31.32+76.69+270.64+22.97</f>
        <v>481.12</v>
      </c>
      <c r="H21" s="59">
        <f>0.02+0.77+0.09+0.22+0.13+0.49+1.19+4.2</f>
        <v>7.11</v>
      </c>
      <c r="I21" s="59">
        <f>0.02+0.77+0.09+0.22+0.13+0.49+1.19+4.2</f>
        <v>7.11</v>
      </c>
      <c r="J21" s="59">
        <f>0.26+8.83+1.06+2.54+1.52+5.6+13.71+48.38</f>
        <v>81.9</v>
      </c>
      <c r="K21" s="58"/>
      <c r="L21" s="59">
        <f aca="true" t="shared" si="2" ref="L21:L32">SUM(C21:K21)</f>
        <v>817.39</v>
      </c>
      <c r="N21" s="61">
        <v>617.47</v>
      </c>
    </row>
    <row r="22" spans="1:14" ht="12.75">
      <c r="A22" s="57">
        <v>36923</v>
      </c>
      <c r="B22" s="58"/>
      <c r="C22" s="59">
        <f>0.01+0.46+0.05+0.05+0.1+0.15+0.64+2.84</f>
        <v>4.3</v>
      </c>
      <c r="D22" s="59">
        <f>0.18+7.4+0.83+0.83+1.68+2.45+10.25+45.49</f>
        <v>69.11</v>
      </c>
      <c r="E22" s="59">
        <f>0.02+0.97+0.11+0.11+0.22+0.32+1.34+5.94</f>
        <v>9.030000000000001</v>
      </c>
      <c r="F22" s="59">
        <f>0.28+11.45+1.28+1.29+2.59+3.79+15.86+70.4</f>
        <v>106.94</v>
      </c>
      <c r="G22" s="59">
        <f>0.94+38.7+4.33+4.36+8.77+12.79+53.57+237.84+18.07</f>
        <v>379.36999999999995</v>
      </c>
      <c r="H22" s="59">
        <f>0.01+0.6+0.07+0.07+0.14+0.2+0.83+3.69</f>
        <v>5.609999999999999</v>
      </c>
      <c r="I22" s="59">
        <f>0.01+0.6+0.07+0.07+0.14+0.2+0.83+3.69</f>
        <v>5.609999999999999</v>
      </c>
      <c r="J22" s="59">
        <f>0.17+6.92+0.77+0.78+1.57+2.29+9.58+42.52</f>
        <v>64.6</v>
      </c>
      <c r="K22" s="58"/>
      <c r="L22" s="59">
        <f t="shared" si="2"/>
        <v>644.57</v>
      </c>
      <c r="N22" s="61">
        <v>480.55</v>
      </c>
    </row>
    <row r="23" spans="1:14" ht="12.75">
      <c r="A23" s="57">
        <v>36951</v>
      </c>
      <c r="B23" s="58"/>
      <c r="C23" s="59">
        <f>0.01+0.45+0.06+0.17+0.1+0.36+0.25+2.79</f>
        <v>4.1899999999999995</v>
      </c>
      <c r="D23" s="59">
        <f>0.23+7.15+0.98+2.71+1.63+5.72+4.04+44.6</f>
        <v>67.06</v>
      </c>
      <c r="E23" s="59">
        <f>0.03+0.93+0.13+0.35+0.21+0.75+0.53+5.82</f>
        <v>8.75</v>
      </c>
      <c r="F23" s="59">
        <f>0.36+11.07+1.52+4.19+2.52+8.85+6.25+69.02</f>
        <v>103.78</v>
      </c>
      <c r="G23" s="59">
        <f>0.21+37.4+5.13+14.17+8.51+29.89+21.11+233.18+18.57</f>
        <v>368.17</v>
      </c>
      <c r="H23" s="59">
        <f>0.02+0.58+0.08+0.22+0.13+0.46+0.33+3.62</f>
        <v>5.4399999999999995</v>
      </c>
      <c r="I23" s="59">
        <f>0.02+0.58+0.08+0.22+0.13+0.46+0.33+3.62</f>
        <v>5.4399999999999995</v>
      </c>
      <c r="J23" s="59">
        <f>0.22+6.69+0.92+2.53+1.52+5.34+3.77+41.69</f>
        <v>62.67999999999999</v>
      </c>
      <c r="K23" s="58"/>
      <c r="L23" s="59">
        <f t="shared" si="2"/>
        <v>625.5100000000001</v>
      </c>
      <c r="N23" s="61">
        <v>593.08</v>
      </c>
    </row>
    <row r="24" spans="1:14" ht="12.75">
      <c r="A24" s="57">
        <v>36982</v>
      </c>
      <c r="B24" s="58"/>
      <c r="C24" s="59">
        <f>0.01+0.37+0.06+0.17+0.16+0.27+0.29+2.71</f>
        <v>4.04</v>
      </c>
      <c r="D24" s="59">
        <f>0.21+5.84+0.93+2.69+2.54+4.28+4.7+43.39</f>
        <v>64.58</v>
      </c>
      <c r="E24" s="59">
        <f>0.03+0.76+0.12+0.35+0.33+0.56+0.61+5.67</f>
        <v>8.43</v>
      </c>
      <c r="F24" s="59">
        <f>0.33+9.04+1.44+4.16+3.93+6.63+7.28+67.15</f>
        <v>99.96000000000001</v>
      </c>
      <c r="G24" s="59">
        <f>1.11+30.56+4.85+14.07+13.27+22.39+24.58+226.88+16.93</f>
        <v>354.64</v>
      </c>
      <c r="H24" s="59">
        <f>0.02+0.47+0.08+0.22+0.21+0.35+0.38+3.52</f>
        <v>5.25</v>
      </c>
      <c r="I24" s="59">
        <f>0.02+0.47+0.08+0.22+0.21+0.35+0.38+3.52</f>
        <v>5.25</v>
      </c>
      <c r="J24" s="59">
        <f>0.2+5.46+0.87+2.52+2.37+4+4.39+40.56</f>
        <v>60.370000000000005</v>
      </c>
      <c r="K24" s="58"/>
      <c r="L24" s="59">
        <f t="shared" si="2"/>
        <v>602.52</v>
      </c>
      <c r="N24" s="61">
        <v>565.9</v>
      </c>
    </row>
    <row r="25" spans="1:14" ht="12.75">
      <c r="A25" s="57">
        <v>37012</v>
      </c>
      <c r="B25" s="58"/>
      <c r="C25" s="59">
        <f>0.02+0.42+0.07+0.11+0.14+0.26+0.37+3.39</f>
        <v>4.78</v>
      </c>
      <c r="D25" s="59">
        <f>0.25+6.7+1.09+1.73+2.28+4.23+5.9+54.19</f>
        <v>76.37</v>
      </c>
      <c r="E25" s="59">
        <f>0.03+0.88+0.14+0.23+0.3+0.55+0.77+7.08</f>
        <v>9.98</v>
      </c>
      <c r="F25" s="59">
        <f>0.39+10.37+1.68+2.67+3.53+6.55+9.13+83.86</f>
        <v>118.18</v>
      </c>
      <c r="G25" s="59">
        <f>1.33+35.05+5.68+9.03+11.92+22.14+30.84+283.33+20.03</f>
        <v>419.35</v>
      </c>
      <c r="H25" s="59">
        <f>0.02+0.54+0.09+0.14+0.18+0.34+0.48+4.4</f>
        <v>6.19</v>
      </c>
      <c r="I25" s="59">
        <f>0.02+0.54+0.09+0.14+0.18+0.34+0.48+4.4</f>
        <v>6.19</v>
      </c>
      <c r="J25" s="59">
        <f>0.24+6.27+1.02+1.61+2.13+3.96+5.51+50.65</f>
        <v>71.39</v>
      </c>
      <c r="K25" s="58"/>
      <c r="L25" s="59">
        <f t="shared" si="2"/>
        <v>712.4300000000002</v>
      </c>
      <c r="N25" s="61">
        <v>595.52</v>
      </c>
    </row>
    <row r="26" spans="1:14" ht="12.75">
      <c r="A26" s="57">
        <v>37043</v>
      </c>
      <c r="B26" s="58"/>
      <c r="C26" s="59">
        <f>0.01+0.24+0.06+0.24+0.1+0.16+0.26+3.61</f>
        <v>4.68</v>
      </c>
      <c r="D26" s="59">
        <f>0.2+3.78+0.99+3.79+1.59+2.63+4.22+57.84</f>
        <v>75.04</v>
      </c>
      <c r="E26" s="59">
        <f>0.03+0.49+0.13+0.5+0.21+0.34+0.55+7.55</f>
        <v>9.8</v>
      </c>
      <c r="F26" s="59">
        <f>0.31+5.85+1.53+5.87+2.47+4.08+6.52+89.51</f>
        <v>116.14</v>
      </c>
      <c r="G26" s="59">
        <f>1.04+19.77+5.17+19.82+8.33+13.77+22.04+302.4+19.68</f>
        <v>412.02</v>
      </c>
      <c r="H26" s="59">
        <f>0.02+0.31+0.08+0.31+0.13+0.21+0.34+4.69</f>
        <v>6.090000000000001</v>
      </c>
      <c r="I26" s="59">
        <f>0.02+0.31+0.08+0.31+0.13+0.21+0.34+4.69</f>
        <v>6.090000000000001</v>
      </c>
      <c r="J26" s="59">
        <f>0.19+3.54+0.92+3.54+1.49+2.46+3.94+54.06</f>
        <v>70.14</v>
      </c>
      <c r="K26" s="58"/>
      <c r="L26" s="59">
        <f t="shared" si="2"/>
        <v>700</v>
      </c>
      <c r="N26" s="61">
        <v>620.49</v>
      </c>
    </row>
    <row r="27" spans="1:14" ht="12.75">
      <c r="A27" s="57">
        <v>37073</v>
      </c>
      <c r="B27" s="58"/>
      <c r="C27" s="59">
        <f>0.01+0.27+0.07+0.3+0.09+0.17+0.31+3.43</f>
        <v>4.65</v>
      </c>
      <c r="D27" s="59">
        <f>0.22+4.34+1.08+4.86+1.51+2.76+4.9+54.83</f>
        <v>74.5</v>
      </c>
      <c r="E27" s="59">
        <f>0.03+0.57+0.14+0.63+0.2+0.36+0.64+7.16</f>
        <v>9.73</v>
      </c>
      <c r="F27" s="59">
        <f>0.34+6.72+1.67+7.52+2.34+4.27+7.59+84.86</f>
        <v>115.31</v>
      </c>
      <c r="G27" s="59">
        <f>0.14+22.71+5.64+25.41+7.89+14.41+25.64+286.7+20.54</f>
        <v>409.08</v>
      </c>
      <c r="H27" s="59">
        <f>0.02+0.35+0.09+0.39+0.12+0.22+0.4+4.45</f>
        <v>6.04</v>
      </c>
      <c r="I27" s="59">
        <f>0.02+0.35+0.09+0.39+0.12+0.22+0.4+4.45</f>
        <v>6.04</v>
      </c>
      <c r="J27" s="59">
        <f>0.2+4.06+1.01+4.54+1.41+2.58+4.58+51.25</f>
        <v>69.63</v>
      </c>
      <c r="K27" s="58"/>
      <c r="L27" s="59">
        <f t="shared" si="2"/>
        <v>694.9799999999999</v>
      </c>
      <c r="N27" s="61">
        <v>613.76</v>
      </c>
    </row>
    <row r="28" spans="1:14" ht="12.75">
      <c r="A28" s="57">
        <v>37104</v>
      </c>
      <c r="B28" s="58"/>
      <c r="C28" s="59">
        <f>0.02+0.25+0.08+0.39+0.11+0.27+0.24+3.58</f>
        <v>4.94</v>
      </c>
      <c r="D28" s="59">
        <f>0.32+3.93+1.24+6.16+1.69+4.38+3.89+57.26</f>
        <v>78.87</v>
      </c>
      <c r="E28" s="59">
        <f>0.04+0.51+0.16+0.8+0.22+0.57+0.51+7.48</f>
        <v>10.290000000000001</v>
      </c>
      <c r="F28" s="59">
        <f>0.49+6.08+1.92+9.54+2.61+6.78+6.02+88.61</f>
        <v>122.05</v>
      </c>
      <c r="G28" s="59">
        <f>1.66+20.54+6.48+32.22+8.81+22.91+20.34+299.36+20.6</f>
        <v>432.92</v>
      </c>
      <c r="H28" s="59">
        <f>0.03+0.32+0.1+0.5+0.14+0.36+0.32+4.65</f>
        <v>6.42</v>
      </c>
      <c r="I28" s="59">
        <f>0.03+0.32+0.1+0.5+0.14+0.36+0.32+4.65</f>
        <v>6.42</v>
      </c>
      <c r="J28" s="59">
        <f>0.3+3.67+1.16+5.76+1.58+4.1+3.64+53.52</f>
        <v>73.73</v>
      </c>
      <c r="K28" s="58"/>
      <c r="L28" s="59">
        <f t="shared" si="2"/>
        <v>735.64</v>
      </c>
      <c r="N28" s="61">
        <v>674.23</v>
      </c>
    </row>
    <row r="29" spans="1:14" ht="12.75">
      <c r="A29" s="57">
        <v>37135</v>
      </c>
      <c r="B29" s="58"/>
      <c r="C29" s="59">
        <f>0.01+0.18+0.06+0.25+0.09+0.06+0.23+3.31</f>
        <v>4.1899999999999995</v>
      </c>
      <c r="D29" s="59">
        <f>0.19+2.94+0.97+4+1.45+0.98+3.72+52.92</f>
        <v>67.17</v>
      </c>
      <c r="E29" s="59">
        <f>0.02+0.38+0.13+0.52+0.19+0.13+0.49+6.91</f>
        <v>8.77</v>
      </c>
      <c r="F29" s="59">
        <f>0.29+4.55+1.5+6.19+2.24+1.51+5.76+81.9</f>
        <v>103.94</v>
      </c>
      <c r="G29" s="59">
        <f>0.99+15.36+5.06+20.92+7.58+5.11+19.46+276.71+17.61</f>
        <v>368.79999999999995</v>
      </c>
      <c r="H29" s="59">
        <f>0.02+0.24+0.08+0.32+0.12+0.08+0.3+4.3</f>
        <v>5.46</v>
      </c>
      <c r="I29" s="59">
        <f>0.02+0.24+0.08+0.32+0.12+0.08+0.3+4.3</f>
        <v>5.46</v>
      </c>
      <c r="J29" s="59">
        <f>0.18+2.75+0.9+3.74+1.36+0.91+3.48+49.47</f>
        <v>62.79</v>
      </c>
      <c r="K29" s="58"/>
      <c r="L29" s="59">
        <f t="shared" si="2"/>
        <v>626.5799999999999</v>
      </c>
      <c r="N29" s="61">
        <v>587.43</v>
      </c>
    </row>
    <row r="30" spans="1:14" ht="12.75">
      <c r="A30" s="57">
        <v>37165</v>
      </c>
      <c r="B30" s="58"/>
      <c r="C30" s="59">
        <f>0.02+0.26+0.07+0.2+0.18+3.87</f>
        <v>4.6</v>
      </c>
      <c r="D30" s="59">
        <f>0.37+4.2+1.18+3.19+2.94+61.84</f>
        <v>73.72</v>
      </c>
      <c r="E30" s="59">
        <f>0.05+0.55+0.15+0.42+0.38+8.08</f>
        <v>9.63</v>
      </c>
      <c r="F30" s="59">
        <f>0.57+6.5+1.83+4.93+4.56+95.71</f>
        <v>114.1</v>
      </c>
      <c r="G30" s="59">
        <f>1.91+21.96+6.18+16.67+15.4+323.36+19.31</f>
        <v>404.79</v>
      </c>
      <c r="H30" s="59">
        <f>0.03+0.34+0.1+0.26+0.24+5.02</f>
        <v>5.989999999999999</v>
      </c>
      <c r="I30" s="59">
        <f>0.03+0.34+0.1+0.26+0.24+5.02</f>
        <v>5.989999999999999</v>
      </c>
      <c r="J30" s="59">
        <f>0.34+3.93+1.1+2.98+2.75+57.81</f>
        <v>68.91</v>
      </c>
      <c r="K30" s="58"/>
      <c r="L30" s="59">
        <f t="shared" si="2"/>
        <v>687.73</v>
      </c>
      <c r="N30" s="61">
        <v>595.18</v>
      </c>
    </row>
    <row r="31" spans="1:14" ht="12.75">
      <c r="A31" s="57">
        <v>37196</v>
      </c>
      <c r="B31" s="58"/>
      <c r="C31" s="59">
        <f>0.02+0.25+0.07+0.19+0.18+3.73</f>
        <v>4.4399999999999995</v>
      </c>
      <c r="D31" s="59">
        <f>0.35+4.06+1.14+3.08+2.84+59.72</f>
        <v>71.19</v>
      </c>
      <c r="E31" s="59">
        <f>0.05+0.53+0.15+0.4+0.37+7.8</f>
        <v>9.3</v>
      </c>
      <c r="F31" s="59">
        <f>0.55+6.28+1.77+4.76+4.4+92.41</f>
        <v>110.16999999999999</v>
      </c>
      <c r="G31" s="59">
        <f>1.84+21.2+5.96+16.1+14.86+312.23+18.65</f>
        <v>390.84</v>
      </c>
      <c r="H31" s="59">
        <f>0.03+0.33+0.09+0.25+0.23+4.85</f>
        <v>5.779999999999999</v>
      </c>
      <c r="I31" s="59">
        <f>0.03+0.33+0.09+0.25+0.23+4.85</f>
        <v>5.779999999999999</v>
      </c>
      <c r="J31" s="59">
        <f>0.33+3.79+1.07+2.88+2.66+55.82</f>
        <v>66.55</v>
      </c>
      <c r="K31" s="58"/>
      <c r="L31" s="59">
        <f t="shared" si="2"/>
        <v>664.0499999999998</v>
      </c>
      <c r="N31" s="61">
        <v>596.68</v>
      </c>
    </row>
    <row r="32" spans="1:14" ht="12.75">
      <c r="A32" s="57">
        <v>37226</v>
      </c>
      <c r="B32" s="58"/>
      <c r="C32" s="59">
        <f>0.02+0.25+0.07+0.19+0.17+3.65</f>
        <v>4.35</v>
      </c>
      <c r="D32" s="59">
        <f>0.35+3.96+1.11+3.01+2.78+58.37</f>
        <v>69.58</v>
      </c>
      <c r="E32" s="59">
        <f>0.05+0.52+0.15+0.39+0.36+7.62</f>
        <v>9.09</v>
      </c>
      <c r="F32" s="59">
        <f>0.53+6.13+1.73+4.66+4.3+90.33</f>
        <v>107.68</v>
      </c>
      <c r="G32" s="59">
        <f>1.8+20.73+5.83+15.73+14.53+305.17+18.23</f>
        <v>382.02000000000004</v>
      </c>
      <c r="H32" s="59">
        <f>0.03+0.32+0.09+0.24+0.23+4.74</f>
        <v>5.65</v>
      </c>
      <c r="I32" s="59">
        <f>0.03+0.32+0.09+0.24+0.23+4.74</f>
        <v>5.65</v>
      </c>
      <c r="J32" s="59">
        <f>0.32+3.71+1.04+2.81+2.6+54.55</f>
        <v>65.03</v>
      </c>
      <c r="K32" s="58"/>
      <c r="L32" s="59">
        <f t="shared" si="2"/>
        <v>649.05</v>
      </c>
      <c r="N32" s="61">
        <v>567.96</v>
      </c>
    </row>
    <row r="33" spans="1:14" ht="12.75">
      <c r="A33" s="58"/>
      <c r="B33" s="58"/>
      <c r="C33" s="59"/>
      <c r="D33" s="59"/>
      <c r="E33" s="59"/>
      <c r="F33" s="59"/>
      <c r="G33" s="59"/>
      <c r="H33" s="59"/>
      <c r="I33" s="59"/>
      <c r="J33" s="59"/>
      <c r="K33" s="58"/>
      <c r="L33" s="59"/>
      <c r="N33" s="61"/>
    </row>
    <row r="34" spans="1:14" ht="12.75">
      <c r="A34" s="62" t="s">
        <v>78</v>
      </c>
      <c r="B34" s="58"/>
      <c r="C34" s="59">
        <f aca="true" t="shared" si="3" ref="C34:J34">SUM(C21:C33)</f>
        <v>54.64</v>
      </c>
      <c r="D34" s="59">
        <f t="shared" si="3"/>
        <v>874.8100000000001</v>
      </c>
      <c r="E34" s="59">
        <f t="shared" si="3"/>
        <v>114.25</v>
      </c>
      <c r="F34" s="59">
        <f t="shared" si="3"/>
        <v>1353.8500000000001</v>
      </c>
      <c r="G34" s="59">
        <f t="shared" si="3"/>
        <v>4803.120000000001</v>
      </c>
      <c r="H34" s="59">
        <f t="shared" si="3"/>
        <v>71.03</v>
      </c>
      <c r="I34" s="59">
        <f t="shared" si="3"/>
        <v>71.03</v>
      </c>
      <c r="J34" s="59">
        <f t="shared" si="3"/>
        <v>817.7199999999998</v>
      </c>
      <c r="K34" s="58"/>
      <c r="L34" s="61">
        <f>SUM(C34:K34)</f>
        <v>8160.450000000001</v>
      </c>
      <c r="M34" s="59">
        <f>L34/12</f>
        <v>680.0375</v>
      </c>
      <c r="N34" s="61">
        <f>SUM(N21:N33)</f>
        <v>7108.250000000001</v>
      </c>
    </row>
    <row r="35" spans="1:12" ht="12.75">
      <c r="A35" s="58"/>
      <c r="B35" s="58"/>
      <c r="C35" s="59"/>
      <c r="D35" s="59"/>
      <c r="E35" s="59"/>
      <c r="F35" s="59"/>
      <c r="G35" s="59"/>
      <c r="H35" s="59"/>
      <c r="I35" s="59"/>
      <c r="J35" s="59"/>
      <c r="K35" s="58"/>
      <c r="L35" s="59"/>
    </row>
    <row r="36" spans="1:14" ht="12.75">
      <c r="A36" s="57">
        <v>37257</v>
      </c>
      <c r="B36" s="58"/>
      <c r="C36" s="59">
        <f>0.02+0.26+0.07+0.2+0.23+3.85</f>
        <v>4.63</v>
      </c>
      <c r="D36" s="59">
        <f>0.36+4.18+1.18+3.18+3.7+61.59</f>
        <v>74.19</v>
      </c>
      <c r="E36" s="59">
        <f>0.05+0.55+0.15+0.41+0.48+8.04</f>
        <v>9.68</v>
      </c>
      <c r="F36" s="59">
        <f>0.56+6.48+1.82+4.91+5.72+95.32</f>
        <v>114.81</v>
      </c>
      <c r="G36" s="59">
        <f>1.91+21.88+6.15+16.6+19.33+322.05+19.44</f>
        <v>407.36</v>
      </c>
      <c r="H36" s="59">
        <f>0.03+0.34+0.1+0.26+0.3+5</f>
        <v>6.03</v>
      </c>
      <c r="I36" s="59">
        <f>0.03+0.34+0.1+0.26+0.3+5</f>
        <v>6.03</v>
      </c>
      <c r="J36" s="59">
        <f>0.34+3.91+1.1+2.97+3.45+57.57</f>
        <v>69.34</v>
      </c>
      <c r="K36" s="58"/>
      <c r="L36" s="59">
        <f aca="true" t="shared" si="4" ref="L36:L47">SUM(C36:K36)</f>
        <v>692.07</v>
      </c>
      <c r="N36" s="58">
        <v>627.76</v>
      </c>
    </row>
    <row r="37" spans="1:14" ht="12.75">
      <c r="A37" s="57">
        <v>37288</v>
      </c>
      <c r="B37" s="58"/>
      <c r="C37" s="59">
        <f>0.02+0.2+0.06+0.15+0.17+2.89</f>
        <v>3.49</v>
      </c>
      <c r="D37" s="59">
        <f>0.27+3.14+0.88+2.39+2.79+46.21</f>
        <v>55.68</v>
      </c>
      <c r="E37" s="59">
        <f>0.04+0.41+0.12+0.31+0.36+6.04</f>
        <v>7.279999999999999</v>
      </c>
      <c r="F37" s="59">
        <f>0.42+4.86+1.37+3.7+4.31+71.52</f>
        <v>86.17999999999999</v>
      </c>
      <c r="G37" s="59">
        <f>1.43+16.42+4.61+12.51+14.56+241.63+14.6</f>
        <v>305.76</v>
      </c>
      <c r="H37" s="59">
        <f>0.02+0.25+0.07+0.19+0.23+3.75</f>
        <v>4.51</v>
      </c>
      <c r="I37" s="59">
        <f>0.02+0.25+0.07+0.19+0.23+3.75</f>
        <v>4.51</v>
      </c>
      <c r="J37" s="59">
        <f>0.26+2.94+0.82+2.24+2.6+43.2</f>
        <v>52.06</v>
      </c>
      <c r="K37" s="58"/>
      <c r="L37" s="59">
        <f t="shared" si="4"/>
        <v>519.47</v>
      </c>
      <c r="N37" s="58">
        <v>516.63</v>
      </c>
    </row>
    <row r="38" spans="1:14" ht="12.75">
      <c r="A38" s="57">
        <v>37316</v>
      </c>
      <c r="B38" s="58"/>
      <c r="C38" s="59">
        <f>0.02+0.19+0.05+0.15+0.17+2.87</f>
        <v>3.45</v>
      </c>
      <c r="D38" s="59">
        <f>0.27+3.11+0.87+2.35+2.7+45.97</f>
        <v>55.269999999999996</v>
      </c>
      <c r="E38" s="59">
        <f>0.04+0.41+0.11+0.31+0.35+6</f>
        <v>7.22</v>
      </c>
      <c r="F38" s="59">
        <f>0.42+4.81+1.35+3.63+4.18+71.14</f>
        <v>85.53</v>
      </c>
      <c r="G38" s="59">
        <f>1.41+16.25+4.57+12.27+14.12+240.35+14.52</f>
        <v>303.48999999999995</v>
      </c>
      <c r="H38" s="59">
        <f>0.02+0.25+0.07+0.19+0.22+3.73</f>
        <v>4.48</v>
      </c>
      <c r="I38" s="59">
        <f>0.02+0.25+0.07+0.19+0.22+3.73</f>
        <v>4.48</v>
      </c>
      <c r="J38" s="59">
        <f>0.25+2.91+0.82+2.19+2.53+42.97</f>
        <v>51.67</v>
      </c>
      <c r="K38" s="58"/>
      <c r="L38" s="59">
        <f t="shared" si="4"/>
        <v>515.5899999999999</v>
      </c>
      <c r="N38" s="58">
        <v>532.94</v>
      </c>
    </row>
    <row r="39" spans="1:14" ht="12.75">
      <c r="A39" s="57">
        <v>37347</v>
      </c>
      <c r="B39" s="58"/>
      <c r="C39" s="59">
        <f>0.02+0.2+0.06+0.15+0.18+3.42</f>
        <v>4.03</v>
      </c>
      <c r="D39" s="59">
        <f>0.28+3.26+0.91+2.44+2.81+54.74</f>
        <v>64.44</v>
      </c>
      <c r="E39" s="59">
        <f>0.04+0.43+0.12+0.32+0.37+7.15</f>
        <v>8.43</v>
      </c>
      <c r="F39" s="59">
        <f>0.43+5.05+1.41+3.78+4.35+84.71</f>
        <v>99.72999999999999</v>
      </c>
      <c r="G39" s="59">
        <f>1.47+17.06+4.76+12.78+14.71+286.2+16.92</f>
        <v>353.90000000000003</v>
      </c>
      <c r="H39" s="59">
        <f>0.02+0.26+0.07+0.2+0.23+4.44</f>
        <v>5.220000000000001</v>
      </c>
      <c r="I39" s="59">
        <f>0.02+0.26+0.07+0.2+0.23+4.44</f>
        <v>5.220000000000001</v>
      </c>
      <c r="J39" s="59">
        <f>0.26+3.05+0.85+2.28+2.63+51.16</f>
        <v>60.23</v>
      </c>
      <c r="K39" s="58"/>
      <c r="L39" s="59">
        <f t="shared" si="4"/>
        <v>601.2</v>
      </c>
      <c r="N39" s="58">
        <v>634.67</v>
      </c>
    </row>
    <row r="40" spans="1:14" ht="12.75">
      <c r="A40" s="57">
        <v>37377</v>
      </c>
      <c r="B40" s="58"/>
      <c r="C40" s="59">
        <f>0.02+0.1+0.06+0.17+0.19+3.38</f>
        <v>3.92</v>
      </c>
      <c r="D40" s="59">
        <f>0.31+1.62+0.99+2.67+3.07+54.05</f>
        <v>62.709999999999994</v>
      </c>
      <c r="E40" s="59">
        <f>0.04+0.21+0.13+0.35+0.4+7.06</f>
        <v>8.19</v>
      </c>
      <c r="F40" s="59">
        <f>0.47+2.5+1.54+4.13+4.75+83.65</f>
        <v>97.04</v>
      </c>
      <c r="G40" s="59">
        <f>1.6+8.46+5.19+13.94+16.05+282.6+16.41</f>
        <v>344.25000000000006</v>
      </c>
      <c r="H40" s="59">
        <f>0.02+0.13+0.08+0.22+0.25+4.39</f>
        <v>5.09</v>
      </c>
      <c r="I40" s="59">
        <f>0.02+0.13+0.08+0.22+0.25+4.39</f>
        <v>5.09</v>
      </c>
      <c r="J40" s="59">
        <f>0.29+1.51+0.93+2.49+2.87+50.52</f>
        <v>58.61</v>
      </c>
      <c r="K40" s="58"/>
      <c r="L40" s="59">
        <f t="shared" si="4"/>
        <v>584.9000000000002</v>
      </c>
      <c r="N40" s="58">
        <v>679.72</v>
      </c>
    </row>
    <row r="41" spans="1:14" ht="12.75">
      <c r="A41" s="57">
        <v>37408</v>
      </c>
      <c r="B41" s="58"/>
      <c r="C41" s="59">
        <f>0.02+0.21+0.06+0.16+0.18+3.22</f>
        <v>3.85</v>
      </c>
      <c r="D41" s="59">
        <f>0.29+3.35+0.93+2.49+2.87+51.59</f>
        <v>61.52</v>
      </c>
      <c r="E41" s="59">
        <f>0.04+0.44+0.12+0.33+0.37+6.74</f>
        <v>8.04</v>
      </c>
      <c r="F41" s="59">
        <f>0.44+5.19+1.44+3.85+4.44+79.84</f>
        <v>95.2</v>
      </c>
      <c r="G41" s="59">
        <f>1.5+17.52+4.85+13.02+14.99+269.75+16.09</f>
        <v>337.71999999999997</v>
      </c>
      <c r="H41" s="59">
        <f>0.02+0.27+0.08+0.2+0.23+4.19</f>
        <v>4.99</v>
      </c>
      <c r="I41" s="59">
        <f>0.02+0.27+0.08+0.2+0.23+4.19</f>
        <v>4.99</v>
      </c>
      <c r="J41" s="59">
        <f>0.27+3.13+0.87+2.33+2.68+48.22</f>
        <v>57.5</v>
      </c>
      <c r="K41" s="58"/>
      <c r="L41" s="59">
        <f t="shared" si="4"/>
        <v>573.81</v>
      </c>
      <c r="N41" s="59">
        <v>591.1</v>
      </c>
    </row>
    <row r="42" spans="1:14" ht="12.75">
      <c r="A42" s="57">
        <v>37438</v>
      </c>
      <c r="B42" s="58"/>
      <c r="C42" s="59">
        <f>0.02+0.12+0.06+0.16+0.19+2.97</f>
        <v>3.5200000000000005</v>
      </c>
      <c r="D42" s="59">
        <f>0.3+1.95+0.96+2.57+2.96+47.54</f>
        <v>56.28</v>
      </c>
      <c r="E42" s="59">
        <f>0.04+0.25+0.13+0.34+0.39+6.21</f>
        <v>7.359999999999999</v>
      </c>
      <c r="F42" s="59">
        <f>0.46+3.02+1.48+3.98+4.59+73.57</f>
        <v>87.1</v>
      </c>
      <c r="G42" s="59">
        <f>1.55+10.2+5.01+13.46+15.49+248.56+14.74</f>
        <v>309.01</v>
      </c>
      <c r="H42" s="59">
        <f>0.02+0.16+0.08+0.21+0.24+3.86</f>
        <v>4.57</v>
      </c>
      <c r="I42" s="59">
        <f>0.02+0.16+0.08+0.21+0.24+3.86</f>
        <v>4.57</v>
      </c>
      <c r="J42" s="59">
        <f>0.28+1.82+0.9+2.41+2.77+44.44</f>
        <v>52.62</v>
      </c>
      <c r="K42" s="58"/>
      <c r="L42" s="59">
        <f t="shared" si="4"/>
        <v>525.03</v>
      </c>
      <c r="N42" s="58">
        <v>652.23</v>
      </c>
    </row>
    <row r="43" spans="1:14" ht="12.75">
      <c r="A43" s="57">
        <v>37469</v>
      </c>
      <c r="B43" s="58"/>
      <c r="C43" s="59">
        <f>0.02+0.2+0.06+0.16+0.18+2.96</f>
        <v>3.58</v>
      </c>
      <c r="D43" s="59">
        <f>0.29+3.15+0.94+2.52+2.9+47.41</f>
        <v>57.209999999999994</v>
      </c>
      <c r="E43" s="59">
        <f>0.04+0.41+0.12+0.33+0.38+6.19</f>
        <v>7.470000000000001</v>
      </c>
      <c r="F43" s="59">
        <f>0.45+4.88+1.45+3.9+4.48+73.37</f>
        <v>88.53</v>
      </c>
      <c r="G43" s="59">
        <f>1.51+16.48+4.9+13.16+15.14+247.9+14.96</f>
        <v>314.05</v>
      </c>
      <c r="H43" s="59">
        <f>0.02+0.26+0.08+0.2+0.24+3.85</f>
        <v>4.65</v>
      </c>
      <c r="I43" s="59">
        <f>0.02+0.26+0.08+0.2+0.24+3.85</f>
        <v>4.65</v>
      </c>
      <c r="J43" s="59">
        <f>0.27+2.95+0.88+2.35+2.71+44.32</f>
        <v>53.480000000000004</v>
      </c>
      <c r="K43" s="58"/>
      <c r="L43" s="59">
        <f t="shared" si="4"/>
        <v>533.62</v>
      </c>
      <c r="N43" s="58">
        <v>615.31</v>
      </c>
    </row>
    <row r="44" spans="1:14" ht="12.75">
      <c r="A44" s="57">
        <v>37500</v>
      </c>
      <c r="B44" s="58"/>
      <c r="C44" s="59">
        <f>0.03+0.21+0.08+0.16+0.09+3.08</f>
        <v>3.65</v>
      </c>
      <c r="D44" s="59">
        <f>0.54+3.38+1.32+2.51+1.45+49.21</f>
        <v>58.41</v>
      </c>
      <c r="E44" s="59">
        <f>0.07+0.44+0.17+0.33+0.19+6.43</f>
        <v>7.63</v>
      </c>
      <c r="F44" s="59">
        <f>0.84+5.22+2.04+3.89+2.24+76.16</f>
        <v>90.39</v>
      </c>
      <c r="G44" s="59">
        <f>2.83+17.65+6.89+13.13+7.57+257.3+15.3</f>
        <v>320.67</v>
      </c>
      <c r="H44" s="59">
        <f>0.04+0.27+0.11+0.2+0.12+3.99</f>
        <v>4.73</v>
      </c>
      <c r="I44" s="59">
        <f>0.04+0.27+0.11+0.2+0.12+3.99</f>
        <v>4.73</v>
      </c>
      <c r="J44" s="59">
        <f>0.51+3.16+1.23+2.35+1.35+46</f>
        <v>54.6</v>
      </c>
      <c r="K44" s="58"/>
      <c r="L44" s="59">
        <f t="shared" si="4"/>
        <v>544.8100000000001</v>
      </c>
      <c r="N44" s="58">
        <v>603.77</v>
      </c>
    </row>
    <row r="45" spans="1:14" ht="12.75">
      <c r="A45" s="57">
        <v>37530</v>
      </c>
      <c r="B45" s="58"/>
      <c r="C45" s="59">
        <f>0.03+0.15+0.11+0.22+0.16+3.45</f>
        <v>4.12</v>
      </c>
      <c r="D45" s="59">
        <f>0.45+2.33+1.82+3.46+2.63+55.2</f>
        <v>65.89</v>
      </c>
      <c r="E45" s="59">
        <f>0.06+0.3+0.24+0.45+0.34+7.21</f>
        <v>8.6</v>
      </c>
      <c r="F45" s="59">
        <f>0.69+3.61+2.82+5.36+4.06+85.42</f>
        <v>101.96000000000001</v>
      </c>
      <c r="G45" s="59">
        <f>2.34+12.19+9.52+18.12+13.73+288.59+17.26</f>
        <v>361.75</v>
      </c>
      <c r="H45" s="59">
        <f>0.04+0.19+0.15+0.28+0.21+4.48</f>
        <v>5.3500000000000005</v>
      </c>
      <c r="I45" s="59">
        <f>0.04+0.19+0.15+0.28+0.21+4.48</f>
        <v>5.3500000000000005</v>
      </c>
      <c r="J45" s="59">
        <f>0.42+2.18+1.7+3.24+2.45+51.59</f>
        <v>61.580000000000005</v>
      </c>
      <c r="K45" s="58"/>
      <c r="L45" s="59">
        <f t="shared" si="4"/>
        <v>614.6</v>
      </c>
      <c r="N45" s="58">
        <f>612.49+35.74</f>
        <v>648.23</v>
      </c>
    </row>
    <row r="46" spans="1:14" ht="12.75">
      <c r="A46" s="57">
        <v>37561</v>
      </c>
      <c r="B46" s="58"/>
      <c r="C46" s="59">
        <f>0.04+0.18+0.07+0.12+0.13+3.29</f>
        <v>3.83</v>
      </c>
      <c r="D46" s="59">
        <f>0.6+2.81+1.04+1.98+2.01+52.61</f>
        <v>61.05</v>
      </c>
      <c r="E46" s="59">
        <f>0.08+0.37+0.14+0.26+0.26+6.87</f>
        <v>7.98</v>
      </c>
      <c r="F46" s="59">
        <f>0.93+4.34+1.61+3.07+3.11+81.42</f>
        <v>94.48</v>
      </c>
      <c r="G46" s="59">
        <f>3.13+14.67+5.45+10.36+10.51+275.07+16.01</f>
        <v>335.2</v>
      </c>
      <c r="H46" s="59">
        <f>0.05+0.23+0.08+0.16+0.16+4.27</f>
        <v>4.949999999999999</v>
      </c>
      <c r="I46" s="59">
        <f>0.05+0.23+0.08+0.16+0.16+4.27</f>
        <v>4.949999999999999</v>
      </c>
      <c r="J46" s="59">
        <f>0.56+2.62+0.97+1.85+1.88+49.17</f>
        <v>57.050000000000004</v>
      </c>
      <c r="K46" s="58"/>
      <c r="L46" s="59">
        <f t="shared" si="4"/>
        <v>569.4899999999999</v>
      </c>
      <c r="N46" s="58">
        <f>576.76+34.75</f>
        <v>611.51</v>
      </c>
    </row>
    <row r="47" spans="1:14" ht="12.75">
      <c r="A47" s="57">
        <v>37591</v>
      </c>
      <c r="B47" s="58"/>
      <c r="C47" s="59">
        <f>0.04+0.16+0.09+0.17+0.1+3.04</f>
        <v>3.6</v>
      </c>
      <c r="D47" s="59">
        <f>0.63+2.52+1.4+2.67+1.6+48.56</f>
        <v>57.38</v>
      </c>
      <c r="E47" s="59">
        <f>0.08+0.33+0.18+0.35+0.21+6.34</f>
        <v>7.49</v>
      </c>
      <c r="F47" s="59">
        <f>0.97+3.9+2.17+4.14+2.47+75.16</f>
        <v>88.81</v>
      </c>
      <c r="G47" s="59">
        <f>3.28+13.18+7.34+13.97+8.34+253.92+15.04</f>
        <v>315.07</v>
      </c>
      <c r="H47" s="59">
        <f>0.05+0.2+0.11+0.22+0.13+3.94</f>
        <v>4.65</v>
      </c>
      <c r="I47" s="59">
        <f>0.05+0.2+0.11+0.22+0.13+3.94</f>
        <v>4.65</v>
      </c>
      <c r="J47" s="59">
        <f>0.59+2.36+1.31+2.5+1.49+45.39</f>
        <v>53.64</v>
      </c>
      <c r="K47" s="58"/>
      <c r="L47" s="59">
        <f t="shared" si="4"/>
        <v>535.29</v>
      </c>
      <c r="N47" s="58">
        <f>664.01+36.02</f>
        <v>700.03</v>
      </c>
    </row>
    <row r="48" spans="1:12" ht="12.75">
      <c r="A48" s="57"/>
      <c r="B48" s="58"/>
      <c r="C48" s="59"/>
      <c r="D48" s="59"/>
      <c r="E48" s="59"/>
      <c r="F48" s="59"/>
      <c r="G48" s="59"/>
      <c r="H48" s="59"/>
      <c r="I48" s="59"/>
      <c r="J48" s="59"/>
      <c r="K48" s="58"/>
      <c r="L48" s="59"/>
    </row>
    <row r="49" spans="1:14" ht="12.75">
      <c r="A49" s="60" t="s">
        <v>79</v>
      </c>
      <c r="B49" s="58"/>
      <c r="C49" s="59">
        <f aca="true" t="shared" si="5" ref="C49:J49">SUM(C36:C48)</f>
        <v>45.67</v>
      </c>
      <c r="D49" s="59">
        <f t="shared" si="5"/>
        <v>730.0299999999999</v>
      </c>
      <c r="E49" s="59">
        <f t="shared" si="5"/>
        <v>95.36999999999999</v>
      </c>
      <c r="F49" s="59">
        <f t="shared" si="5"/>
        <v>1129.76</v>
      </c>
      <c r="G49" s="59">
        <f t="shared" si="5"/>
        <v>4008.23</v>
      </c>
      <c r="H49" s="59">
        <f t="shared" si="5"/>
        <v>59.21999999999999</v>
      </c>
      <c r="I49" s="59">
        <f t="shared" si="5"/>
        <v>59.21999999999999</v>
      </c>
      <c r="J49" s="59">
        <f t="shared" si="5"/>
        <v>682.38</v>
      </c>
      <c r="K49" s="58"/>
      <c r="L49" s="61">
        <f>SUM(C49:K49)</f>
        <v>6809.88</v>
      </c>
      <c r="M49" s="59">
        <f>L49/12</f>
        <v>567.49</v>
      </c>
      <c r="N49" s="61">
        <f>SUM(N36:N48)</f>
        <v>7413.900000000001</v>
      </c>
    </row>
    <row r="50" spans="1:12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8"/>
      <c r="L50" s="59"/>
    </row>
    <row r="51" spans="1:14" ht="12.75">
      <c r="A51" s="57">
        <v>37622</v>
      </c>
      <c r="B51" s="58"/>
      <c r="C51" s="59">
        <f>0.03+0.22+0.09+0.18+0.16+3.94</f>
        <v>4.62</v>
      </c>
      <c r="D51" s="59">
        <f>0.59+3.99+1.71+3.26+2.89+72.39</f>
        <v>84.83</v>
      </c>
      <c r="E51" s="59">
        <f>0.04+0.3+0.13+0.24+0.21+5.39</f>
        <v>6.31</v>
      </c>
      <c r="F51" s="59">
        <f>0.34+2.27+0.98+1.86+1.64+41.22</f>
        <v>48.31</v>
      </c>
      <c r="G51" s="59">
        <f>2.32+15.57+6.69+12.73+11.26+282.58-0.22</f>
        <v>330.92999999999995</v>
      </c>
      <c r="H51" s="59">
        <f>0.03+0.17+0.08+0.14+0.13+3.17</f>
        <v>3.7199999999999998</v>
      </c>
      <c r="I51" s="59">
        <f>0.03+0.17+0.08+0.14+0.13+3.17</f>
        <v>3.7199999999999998</v>
      </c>
      <c r="J51" s="59">
        <f>0.51+3.43+1.47+2.8+2.48+62.24</f>
        <v>72.93</v>
      </c>
      <c r="K51" s="58">
        <f>0.06+0.39+0.17+0.32+0.28+7.07</f>
        <v>8.290000000000001</v>
      </c>
      <c r="L51" s="59">
        <f aca="true" t="shared" si="6" ref="L51:L64">SUM(C51:K51)</f>
        <v>563.66</v>
      </c>
      <c r="N51" s="58">
        <f>572.4+36.69</f>
        <v>609.0899999999999</v>
      </c>
    </row>
    <row r="52" spans="1:14" ht="12.75">
      <c r="A52" s="57">
        <v>37653</v>
      </c>
      <c r="B52" s="58"/>
      <c r="C52" s="59">
        <f>0.03+0.12+0.07+0.13+0.11+3.45</f>
        <v>3.91</v>
      </c>
      <c r="D52" s="59">
        <f>0.58+2.27+1.21+2.3+2.08+63.33</f>
        <v>71.77</v>
      </c>
      <c r="E52" s="59">
        <f>0.04+0.17+0.09+0.17+0.16+4.71</f>
        <v>5.34</v>
      </c>
      <c r="F52" s="59">
        <f>0.33+1.29+0.69+1.31+1.19+36.06</f>
        <v>40.870000000000005</v>
      </c>
      <c r="G52" s="59">
        <f>2.27+8.85+4.71+8.97+8.14+247.02</f>
        <v>279.96000000000004</v>
      </c>
      <c r="H52" s="59">
        <f>0.03+0.1+0.05+0.1+0.09+2.78</f>
        <v>3.15</v>
      </c>
      <c r="I52" s="59">
        <f>0.03+0.1+0.05+0.1+0.09+2.78</f>
        <v>3.15</v>
      </c>
      <c r="J52" s="59">
        <f>0.5+1.95+1.04+1.97+1.79+54.45</f>
        <v>61.7</v>
      </c>
      <c r="K52" s="58">
        <f>0.06+0.22+0.12+0.22+0.2+6.19</f>
        <v>7.010000000000001</v>
      </c>
      <c r="L52" s="59">
        <f t="shared" si="6"/>
        <v>476.85999999999996</v>
      </c>
      <c r="N52" s="58">
        <f>516.58+28.73</f>
        <v>545.3100000000001</v>
      </c>
    </row>
    <row r="53" spans="1:14" ht="12.75">
      <c r="A53" s="57">
        <v>37681</v>
      </c>
      <c r="B53" s="58"/>
      <c r="C53" s="59">
        <f>0.04+0.19+0.08+0.16+0.14+3.44</f>
        <v>4.05</v>
      </c>
      <c r="D53" s="59">
        <f>0.72+3.6+1.57+3+2.6+64.83</f>
        <v>76.32</v>
      </c>
      <c r="E53" s="59">
        <f>0.05+0.25+0.11+0.21+0.18+4.59</f>
        <v>5.39</v>
      </c>
      <c r="F53" s="59">
        <f>0.4+2.02+0.89+1.69+1.46+36.45</f>
        <v>42.910000000000004</v>
      </c>
      <c r="G53" s="59">
        <f>2.72+13.7+5.99+11.41+9.91+246.76-3.33</f>
        <v>287.16</v>
      </c>
      <c r="H53" s="59">
        <f>0.03+0.16+0.07+0.13+0.11+2.8</f>
        <v>3.3</v>
      </c>
      <c r="I53" s="59">
        <f>0.03+0.16+0.07+0.13+0.11+2.8</f>
        <v>3.3</v>
      </c>
      <c r="J53" s="59">
        <f>0.63+3.16+1.38+2.63+2.28+56.85</f>
        <v>66.93</v>
      </c>
      <c r="K53" s="59">
        <f>0.1+0.51+0.22+0.42+0.37+9.18</f>
        <v>10.8</v>
      </c>
      <c r="L53" s="59">
        <f t="shared" si="6"/>
        <v>500.1600000000001</v>
      </c>
      <c r="N53" s="58">
        <f>481.26+30.79</f>
        <v>512.05</v>
      </c>
    </row>
    <row r="54" spans="1:14" ht="12.75">
      <c r="A54" s="57">
        <v>37712</v>
      </c>
      <c r="B54" s="58"/>
      <c r="C54" s="59">
        <f>0.03+0.18+0.08+0.15+0.18+4.05</f>
        <v>4.67</v>
      </c>
      <c r="D54" s="59">
        <f>0.62+3.32+1.49+2.84+3.41+76.25</f>
        <v>87.93</v>
      </c>
      <c r="E54" s="59">
        <f>0.04+0.23+0.11+0.2+0.24+5.4</f>
        <v>6.220000000000001</v>
      </c>
      <c r="F54" s="59">
        <f>0.35+1.87+0.84+1.59+1.92+42.87</f>
        <v>49.44</v>
      </c>
      <c r="G54" s="59">
        <f>2.35+12.63+5.67+10.79+12.99+290.23-3.86</f>
        <v>330.8</v>
      </c>
      <c r="H54" s="59">
        <f>0.03+0.14+0.06+0.12+0.15+3.3</f>
        <v>3.8</v>
      </c>
      <c r="I54" s="59">
        <f>0.03+0.14+0.06+0.12+0.15+3.3</f>
        <v>3.8</v>
      </c>
      <c r="J54" s="59">
        <f>0.54+2.91+1.31+2.49+2.99+66.86</f>
        <v>77.1</v>
      </c>
      <c r="K54" s="59">
        <f>0.09+0.47+0.21+0.4+0.48+10.79</f>
        <v>12.44</v>
      </c>
      <c r="L54" s="59">
        <f t="shared" si="6"/>
        <v>576.2</v>
      </c>
      <c r="N54" s="58">
        <f>526.89+34.14</f>
        <v>561.03</v>
      </c>
    </row>
    <row r="55" spans="1:14" ht="12.75">
      <c r="A55" s="57">
        <v>37742</v>
      </c>
      <c r="B55" s="58"/>
      <c r="C55" s="59">
        <f>0.03+0.29+0.1+0.19+0.1+3.41</f>
        <v>4.12</v>
      </c>
      <c r="D55" s="59">
        <f>0.64+5.87+2.06+3.91+2.14+69.69</f>
        <v>84.31</v>
      </c>
      <c r="E55" s="59">
        <f>0.05+0.49+0.17+0.33+0.18+5.82</f>
        <v>7.04</v>
      </c>
      <c r="F55" s="59">
        <f>0.37+3.42+1.2+2.28+1.25+40.55</f>
        <v>49.06999999999999</v>
      </c>
      <c r="G55" s="59">
        <f>2.53+23.17+8.12+15.45+8.46+275.11+12.64</f>
        <v>345.48</v>
      </c>
      <c r="H55" s="59">
        <f>0.03+0.29+0.1+0.19+0.1+3.41</f>
        <v>4.12</v>
      </c>
      <c r="I55" s="59">
        <f>0.03+0.29+0.1+0.19+0.1+3.41</f>
        <v>4.12</v>
      </c>
      <c r="J55" s="59">
        <f>0.42+3.85+1.35+2.57+1.4+45.7</f>
        <v>55.290000000000006</v>
      </c>
      <c r="K55" s="58">
        <f>0.14+1.31+0.46+0.87+0.48+15.57</f>
        <v>18.830000000000002</v>
      </c>
      <c r="L55" s="59">
        <f t="shared" si="6"/>
        <v>572.3800000000001</v>
      </c>
      <c r="N55" s="58">
        <f>604.25+36.09</f>
        <v>640.34</v>
      </c>
    </row>
    <row r="56" spans="1:14" ht="12.75">
      <c r="A56" s="57">
        <v>37773</v>
      </c>
      <c r="B56" s="58"/>
      <c r="C56" s="59">
        <f>0.04+0.29+0.09+0.17+0.12+3.21</f>
        <v>3.92</v>
      </c>
      <c r="D56" s="59">
        <f>0.9+5.93+1.81+3.44+2.47+65.71</f>
        <v>80.25999999999999</v>
      </c>
      <c r="E56" s="59">
        <f>0.07+0.49+0.15+0.28+0.2+5.43</f>
        <v>6.62</v>
      </c>
      <c r="F56" s="59">
        <f>0.52+3.43+1.05+1.99+1.43+37.97</f>
        <v>46.39</v>
      </c>
      <c r="G56" s="59">
        <f>3.56+23.38+7.13+13.57+9.74+258.88+11.97</f>
        <v>328.23</v>
      </c>
      <c r="H56" s="59">
        <f>0.04+0.29+0.09+0.17+0.12+3.21</f>
        <v>3.92</v>
      </c>
      <c r="I56" s="59">
        <f>0.04+0.29+0.09+0.17+0.12+3.21</f>
        <v>3.92</v>
      </c>
      <c r="J56" s="59">
        <f>0.6+3.91+1.19+2.27+1.63+43.27</f>
        <v>52.870000000000005</v>
      </c>
      <c r="K56" s="58">
        <f>0.2+1.31+0.4+0.76+0.55+14.51</f>
        <v>17.73</v>
      </c>
      <c r="L56" s="59">
        <f t="shared" si="6"/>
        <v>543.8600000000001</v>
      </c>
      <c r="N56" s="58">
        <f>543.29+35.56</f>
        <v>578.8499999999999</v>
      </c>
    </row>
    <row r="57" spans="1:14" ht="12.75">
      <c r="A57" s="57">
        <v>37803</v>
      </c>
      <c r="B57" s="58"/>
      <c r="C57" s="59">
        <f>0.03+0.13+0.08+0.15+0.13+2.29+0.88</f>
        <v>3.69</v>
      </c>
      <c r="D57" s="59">
        <f>0.71+2.73+1.67+3.17+2.72+47+18.12</f>
        <v>76.12</v>
      </c>
      <c r="E57" s="59">
        <f>0.06+0.23+0.14+0.26+0.22+3.88+1.5</f>
        <v>6.29</v>
      </c>
      <c r="F57" s="59">
        <f>0.41+1.58+0.96+1.83+1.57+27.16+10.47</f>
        <v>43.98</v>
      </c>
      <c r="G57" s="59">
        <f>2.79+10.75+6.57+12.49+10.72+185.16+8.68+71.39+2.72</f>
        <v>311.27000000000004</v>
      </c>
      <c r="H57" s="59">
        <f>0.03+0.13+0.08+0.15+0.13+2.29+0.88</f>
        <v>3.69</v>
      </c>
      <c r="I57" s="59">
        <f>0.03+0.13+0.08+0.15+0.13+2.29+0.88</f>
        <v>3.69</v>
      </c>
      <c r="J57" s="59">
        <f>0.47+1.8+1.1+2.09+1.79+30.95+11.93</f>
        <v>50.13</v>
      </c>
      <c r="K57" s="58">
        <f>0.16+0.6+0.37+0.7+0.6+10.38+4</f>
        <v>16.810000000000002</v>
      </c>
      <c r="L57" s="59">
        <f t="shared" si="6"/>
        <v>515.6700000000001</v>
      </c>
      <c r="N57" s="58">
        <f>581.72+38.29</f>
        <v>620.01</v>
      </c>
    </row>
    <row r="58" spans="1:14" ht="12.75">
      <c r="A58" s="57">
        <v>37834</v>
      </c>
      <c r="B58" s="58"/>
      <c r="C58" s="59">
        <f>0.04+0.14+0.1+0.18+0.16+2.33+0.61</f>
        <v>3.56</v>
      </c>
      <c r="D58" s="59">
        <f>0.77+2.9+1.97+3.75+3.25+47.79+12.44</f>
        <v>72.87</v>
      </c>
      <c r="E58" s="59">
        <f>0.06+0.24+0.16+0.31+0.27+3.95+1.03</f>
        <v>6.0200000000000005</v>
      </c>
      <c r="F58" s="59">
        <f>0.45+1.67+1.14+2.17+1.88+27.62+7.19</f>
        <v>42.12</v>
      </c>
      <c r="G58" s="59">
        <f>3.04+11.41+7.77+14.79+12.8+188.26+9.01+49.01+1.84</f>
        <v>297.92999999999995</v>
      </c>
      <c r="H58" s="59">
        <f>0.04+0.14+0.1+0.18+0.16+2.33+0.61</f>
        <v>3.56</v>
      </c>
      <c r="I58" s="59">
        <f>0.04+0.14+0.1+0.18+0.16+2.33+0.61</f>
        <v>3.56</v>
      </c>
      <c r="J58" s="59">
        <f>0.51+1.91+1.3+2.47+2.14+31.47+8.19</f>
        <v>47.989999999999995</v>
      </c>
      <c r="K58" s="58">
        <f>0.17+0.64+0.44+0.83+0.72+10.55+2.75</f>
        <v>16.1</v>
      </c>
      <c r="L58" s="59">
        <f t="shared" si="6"/>
        <v>493.71</v>
      </c>
      <c r="N58" s="58">
        <f>545.36+34.93</f>
        <v>580.29</v>
      </c>
    </row>
    <row r="59" spans="1:14" ht="12.75">
      <c r="A59" s="57">
        <v>37865</v>
      </c>
      <c r="B59" s="58"/>
      <c r="C59" s="59">
        <f>0.04+0.12+0.12+0.23+0.12+0.73+2.74</f>
        <v>4.1</v>
      </c>
      <c r="D59" s="59">
        <f>1.15+3.27+3.27+6.23+3.12+19.46+73.23</f>
        <v>109.73</v>
      </c>
      <c r="E59" s="59">
        <f>0.08+0.23+0.23+0.45+0.22+1.4+5.25</f>
        <v>7.859999999999999</v>
      </c>
      <c r="F59" s="59">
        <f>0.56+1.59+1.59+3.03+1.52+9.47+35.64</f>
        <v>53.4</v>
      </c>
      <c r="G59" s="59">
        <f>3.74+10.65+10.65+20.28+10.16+63.34+238.34-0.03</f>
        <v>357.13000000000005</v>
      </c>
      <c r="H59" s="59">
        <v>3.84</v>
      </c>
      <c r="I59" s="59">
        <v>3.84</v>
      </c>
      <c r="J59" s="59">
        <f>0.34+0.96+0.96+1.82+0.91+5.69+21.4</f>
        <v>32.08</v>
      </c>
      <c r="K59" s="58">
        <f>0.25+0.72+0.72+1.37+0.69+4.27+16.07</f>
        <v>24.09</v>
      </c>
      <c r="L59" s="59">
        <f t="shared" si="6"/>
        <v>596.0700000000002</v>
      </c>
      <c r="N59" s="58">
        <f>573.81+36.34</f>
        <v>610.15</v>
      </c>
    </row>
    <row r="60" spans="1:14" ht="12.75">
      <c r="A60" s="57">
        <v>37895</v>
      </c>
      <c r="B60" s="58"/>
      <c r="C60" s="59">
        <f>2.55+0.19</f>
        <v>2.7399999999999998</v>
      </c>
      <c r="D60" s="59">
        <f>62.91+4.58</f>
        <v>67.49</v>
      </c>
      <c r="E60" s="59">
        <f>4.52+0.33</f>
        <v>4.85</v>
      </c>
      <c r="F60" s="59">
        <f>30.86+2.25</f>
        <v>33.11</v>
      </c>
      <c r="G60" s="59">
        <f>209.84+15.29</f>
        <v>225.13</v>
      </c>
      <c r="H60" s="59">
        <f>1.85+0.13</f>
        <v>1.98</v>
      </c>
      <c r="I60" s="59">
        <v>1.98</v>
      </c>
      <c r="J60" s="59">
        <f>32.08+2.34</f>
        <v>34.42</v>
      </c>
      <c r="K60" s="58">
        <v>13.33</v>
      </c>
      <c r="L60" s="59">
        <f t="shared" si="6"/>
        <v>385.03000000000003</v>
      </c>
      <c r="N60" s="58">
        <f>579.17+36.46</f>
        <v>615.63</v>
      </c>
    </row>
    <row r="61" spans="1:14" ht="12.75">
      <c r="A61" s="57">
        <v>37926</v>
      </c>
      <c r="B61" s="58"/>
      <c r="C61" s="59">
        <f>2.28+0.15</f>
        <v>2.4299999999999997</v>
      </c>
      <c r="D61" s="59">
        <f>56.72+3.75</f>
        <v>60.47</v>
      </c>
      <c r="E61" s="59">
        <f>3.99+0.26</f>
        <v>4.25</v>
      </c>
      <c r="F61" s="59">
        <f>27.73+1.83</f>
        <v>29.560000000000002</v>
      </c>
      <c r="G61" s="59">
        <f>188.28+12.44</f>
        <v>200.72</v>
      </c>
      <c r="H61" s="59">
        <f>1.67+0.11</f>
        <v>1.78</v>
      </c>
      <c r="I61" s="59">
        <v>1.78</v>
      </c>
      <c r="J61" s="59">
        <f>28.34+1.87</f>
        <v>30.21</v>
      </c>
      <c r="K61" s="58">
        <v>11.78</v>
      </c>
      <c r="L61" s="59">
        <f t="shared" si="6"/>
        <v>342.9799999999999</v>
      </c>
      <c r="N61" s="58">
        <f>513.29+33.09</f>
        <v>546.38</v>
      </c>
    </row>
    <row r="62" spans="1:14" ht="12.75">
      <c r="A62" s="57">
        <v>37956</v>
      </c>
      <c r="B62" s="58"/>
      <c r="C62" s="59">
        <f>2.71+0.27</f>
        <v>2.98</v>
      </c>
      <c r="D62" s="59">
        <f>56.05+5.68</f>
        <v>61.73</v>
      </c>
      <c r="E62" s="59">
        <f>4.77+0.48</f>
        <v>5.25</v>
      </c>
      <c r="F62" s="59">
        <f>32.84+3.33</f>
        <v>36.17</v>
      </c>
      <c r="G62" s="59">
        <f>223.4+22.64</f>
        <v>246.04000000000002</v>
      </c>
      <c r="H62" s="59">
        <f>1.97+0.2</f>
        <v>2.17</v>
      </c>
      <c r="I62" s="59">
        <v>2.17</v>
      </c>
      <c r="J62" s="59">
        <f>33.83+3.43</f>
        <v>37.26</v>
      </c>
      <c r="K62" s="58">
        <v>26.74</v>
      </c>
      <c r="L62" s="59">
        <f t="shared" si="6"/>
        <v>420.51000000000005</v>
      </c>
      <c r="N62" s="58">
        <f>614.34+39.72</f>
        <v>654.0600000000001</v>
      </c>
    </row>
    <row r="63" spans="1:14" ht="12.75">
      <c r="A63" s="58"/>
      <c r="B63" s="58"/>
      <c r="C63" s="59"/>
      <c r="D63" s="59"/>
      <c r="E63" s="59"/>
      <c r="F63" s="59"/>
      <c r="G63" s="59"/>
      <c r="H63" s="59"/>
      <c r="I63" s="59"/>
      <c r="J63" s="59"/>
      <c r="K63" s="58"/>
      <c r="L63" s="59">
        <f t="shared" si="6"/>
        <v>0</v>
      </c>
      <c r="N63" s="58"/>
    </row>
    <row r="64" spans="1:14" ht="12.75">
      <c r="A64" s="62" t="s">
        <v>80</v>
      </c>
      <c r="B64" s="58"/>
      <c r="C64" s="59">
        <f aca="true" t="shared" si="7" ref="C64:K64">SUM(C51:C63)</f>
        <v>44.79</v>
      </c>
      <c r="D64" s="59">
        <f t="shared" si="7"/>
        <v>933.83</v>
      </c>
      <c r="E64" s="59">
        <f t="shared" si="7"/>
        <v>71.44</v>
      </c>
      <c r="F64" s="59">
        <f t="shared" si="7"/>
        <v>515.33</v>
      </c>
      <c r="G64" s="59">
        <f t="shared" si="7"/>
        <v>3540.7799999999997</v>
      </c>
      <c r="H64" s="59">
        <f t="shared" si="7"/>
        <v>39.029999999999994</v>
      </c>
      <c r="I64" s="59">
        <f t="shared" si="7"/>
        <v>39.029999999999994</v>
      </c>
      <c r="J64" s="59">
        <f t="shared" si="7"/>
        <v>618.91</v>
      </c>
      <c r="K64" s="59">
        <f t="shared" si="7"/>
        <v>183.95000000000005</v>
      </c>
      <c r="L64" s="61">
        <f t="shared" si="6"/>
        <v>5987.089999999999</v>
      </c>
      <c r="M64" s="59">
        <f>L64/12</f>
        <v>498.9241666666666</v>
      </c>
      <c r="N64" s="61">
        <f>SUM(N51:N63)</f>
        <v>7073.1900000000005</v>
      </c>
    </row>
    <row r="65" spans="1:14" ht="12.7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9"/>
      <c r="N65" s="58"/>
    </row>
    <row r="66" spans="1:14" ht="12.75">
      <c r="A66" s="57">
        <v>37987</v>
      </c>
      <c r="B66" s="58"/>
      <c r="C66" s="59">
        <f>2.65+0.24</f>
        <v>2.8899999999999997</v>
      </c>
      <c r="D66" s="59">
        <f>54.96+4.97</f>
        <v>59.93</v>
      </c>
      <c r="E66" s="59">
        <f>4.63+0.42</f>
        <v>5.05</v>
      </c>
      <c r="F66" s="59">
        <f>32.11+2.91</f>
        <v>35.019999999999996</v>
      </c>
      <c r="G66" s="59">
        <f>218.59+19.77</f>
        <v>238.36</v>
      </c>
      <c r="H66" s="59">
        <f>1.94+0.18</f>
        <v>2.12</v>
      </c>
      <c r="I66" s="59">
        <v>2.12</v>
      </c>
      <c r="J66" s="59">
        <f>32.93+2.98</f>
        <v>35.91</v>
      </c>
      <c r="K66" s="58">
        <f>23.64+2.14</f>
        <v>25.78</v>
      </c>
      <c r="L66" s="59">
        <f aca="true" t="shared" si="8" ref="L66:L79">SUM(C66:K66)</f>
        <v>407.17999999999995</v>
      </c>
      <c r="N66" s="58">
        <f>587.36+36.55</f>
        <v>623.91</v>
      </c>
    </row>
    <row r="67" spans="1:14" ht="12.75">
      <c r="A67" s="57">
        <v>38018</v>
      </c>
      <c r="B67" s="58"/>
      <c r="C67" s="59">
        <f>2.01+0.24</f>
        <v>2.25</v>
      </c>
      <c r="D67" s="59">
        <f>41.46+5</f>
        <v>46.46</v>
      </c>
      <c r="E67" s="59">
        <f>3.53+0.43</f>
        <v>3.96</v>
      </c>
      <c r="F67" s="59">
        <f>24.32+2.94</f>
        <v>27.26</v>
      </c>
      <c r="G67" s="59">
        <f>165.15+19.93</f>
        <v>185.08</v>
      </c>
      <c r="H67" s="59">
        <f>1.45+0.18</f>
        <v>1.63</v>
      </c>
      <c r="I67" s="59">
        <v>1.63</v>
      </c>
      <c r="J67" s="59">
        <f>25.22+3.04</f>
        <v>28.259999999999998</v>
      </c>
      <c r="K67" s="58">
        <v>20.01</v>
      </c>
      <c r="L67" s="59">
        <f t="shared" si="8"/>
        <v>316.53999999999996</v>
      </c>
      <c r="N67" s="58">
        <f>484.67+30.41</f>
        <v>515.08</v>
      </c>
    </row>
    <row r="68" spans="1:14" ht="12.75">
      <c r="A68" s="57">
        <v>38047</v>
      </c>
      <c r="B68" s="58"/>
      <c r="C68" s="59">
        <f>2.37+0.25</f>
        <v>2.62</v>
      </c>
      <c r="D68" s="59">
        <f>48.96+5.21</f>
        <v>54.17</v>
      </c>
      <c r="E68" s="59">
        <f>4.17+0.44</f>
        <v>4.61</v>
      </c>
      <c r="F68" s="59">
        <f>28.73+3.06</f>
        <v>31.79</v>
      </c>
      <c r="G68" s="59">
        <f>194.89+20.75</f>
        <v>215.64</v>
      </c>
      <c r="H68" s="59">
        <f>1.72+0.18</f>
        <v>1.9</v>
      </c>
      <c r="I68" s="59">
        <v>1.9</v>
      </c>
      <c r="J68" s="59">
        <f>29.66+3.16</f>
        <v>32.82</v>
      </c>
      <c r="K68" s="59">
        <f>21.06+2.24</f>
        <v>23.299999999999997</v>
      </c>
      <c r="L68" s="59">
        <f t="shared" si="8"/>
        <v>368.74999999999994</v>
      </c>
      <c r="N68" s="58">
        <f>579.35+36</f>
        <v>615.35</v>
      </c>
    </row>
    <row r="69" spans="1:14" ht="12.75">
      <c r="A69" s="57">
        <v>38078</v>
      </c>
      <c r="B69" s="58"/>
      <c r="C69" s="59">
        <v>2.2</v>
      </c>
      <c r="D69" s="59">
        <v>44.96</v>
      </c>
      <c r="E69" s="59">
        <v>3.83</v>
      </c>
      <c r="F69" s="59">
        <v>26.35</v>
      </c>
      <c r="G69" s="59">
        <v>179.06</v>
      </c>
      <c r="H69" s="59">
        <v>1.59</v>
      </c>
      <c r="I69" s="59">
        <v>1.59</v>
      </c>
      <c r="J69" s="59">
        <v>27.08</v>
      </c>
      <c r="K69" s="59">
        <v>19.37</v>
      </c>
      <c r="L69" s="59">
        <f t="shared" si="8"/>
        <v>306.0299999999999</v>
      </c>
      <c r="N69" s="58">
        <v>571.65</v>
      </c>
    </row>
    <row r="70" spans="1:14" ht="12.75">
      <c r="A70" s="57">
        <v>38108</v>
      </c>
      <c r="B70" s="58"/>
      <c r="C70" s="59">
        <f>0.24+2.32</f>
        <v>2.5599999999999996</v>
      </c>
      <c r="D70" s="59">
        <f>4.95+47.91</f>
        <v>52.86</v>
      </c>
      <c r="E70" s="59">
        <f>0.42+4.08</f>
        <v>4.5</v>
      </c>
      <c r="F70" s="59">
        <f>2.91+28.1</f>
        <v>31.01</v>
      </c>
      <c r="G70" s="59">
        <f>19.74+190.9</f>
        <v>210.64000000000001</v>
      </c>
      <c r="H70" s="59">
        <f>0.18+1.7</f>
        <v>1.88</v>
      </c>
      <c r="I70" s="59">
        <f>0.18+1.7</f>
        <v>1.88</v>
      </c>
      <c r="J70" s="59">
        <f>2.99+28.91</f>
        <v>31.9</v>
      </c>
      <c r="K70" s="58">
        <f>2.14+20.69+0.02</f>
        <v>22.85</v>
      </c>
      <c r="L70" s="59">
        <f t="shared" si="8"/>
        <v>360.08000000000004</v>
      </c>
      <c r="N70" s="58">
        <v>592.58</v>
      </c>
    </row>
    <row r="71" spans="1:14" ht="12.75">
      <c r="A71" s="57">
        <v>38139</v>
      </c>
      <c r="B71" s="58"/>
      <c r="C71" s="59"/>
      <c r="D71" s="59"/>
      <c r="E71" s="59"/>
      <c r="F71" s="59"/>
      <c r="G71" s="59"/>
      <c r="H71" s="59"/>
      <c r="I71" s="59"/>
      <c r="J71" s="59"/>
      <c r="K71" s="58"/>
      <c r="L71" s="59">
        <f t="shared" si="8"/>
        <v>0</v>
      </c>
      <c r="N71" s="58"/>
    </row>
    <row r="72" spans="1:14" ht="12.75">
      <c r="A72" s="57">
        <v>38169</v>
      </c>
      <c r="B72" s="58"/>
      <c r="C72" s="59"/>
      <c r="D72" s="59"/>
      <c r="E72" s="59"/>
      <c r="F72" s="59"/>
      <c r="G72" s="59"/>
      <c r="H72" s="59"/>
      <c r="I72" s="59"/>
      <c r="J72" s="59"/>
      <c r="K72" s="58"/>
      <c r="L72" s="59">
        <f t="shared" si="8"/>
        <v>0</v>
      </c>
      <c r="N72" s="58"/>
    </row>
    <row r="73" spans="1:14" ht="12.75">
      <c r="A73" s="57">
        <v>38200</v>
      </c>
      <c r="B73" s="58"/>
      <c r="C73" s="59"/>
      <c r="D73" s="59"/>
      <c r="E73" s="59"/>
      <c r="F73" s="59"/>
      <c r="G73" s="59"/>
      <c r="H73" s="59"/>
      <c r="I73" s="59"/>
      <c r="J73" s="59"/>
      <c r="K73" s="58"/>
      <c r="L73" s="59">
        <f t="shared" si="8"/>
        <v>0</v>
      </c>
      <c r="N73" s="58"/>
    </row>
    <row r="74" spans="1:14" ht="12.75">
      <c r="A74" s="57">
        <v>38231</v>
      </c>
      <c r="B74" s="58"/>
      <c r="C74" s="59"/>
      <c r="D74" s="59"/>
      <c r="E74" s="59"/>
      <c r="F74" s="59"/>
      <c r="G74" s="59"/>
      <c r="H74" s="59"/>
      <c r="I74" s="59"/>
      <c r="J74" s="59"/>
      <c r="K74" s="58"/>
      <c r="L74" s="59">
        <f t="shared" si="8"/>
        <v>0</v>
      </c>
      <c r="N74" s="58"/>
    </row>
    <row r="75" spans="1:14" ht="12.75">
      <c r="A75" s="57">
        <v>38261</v>
      </c>
      <c r="B75" s="58"/>
      <c r="C75" s="59"/>
      <c r="D75" s="59"/>
      <c r="E75" s="59"/>
      <c r="F75" s="59"/>
      <c r="G75" s="59"/>
      <c r="H75" s="59"/>
      <c r="I75" s="59"/>
      <c r="J75" s="59"/>
      <c r="K75" s="58"/>
      <c r="L75" s="59">
        <f t="shared" si="8"/>
        <v>0</v>
      </c>
      <c r="N75" s="58"/>
    </row>
    <row r="76" spans="1:14" ht="12.75">
      <c r="A76" s="57">
        <v>38292</v>
      </c>
      <c r="B76" s="58"/>
      <c r="C76" s="59"/>
      <c r="D76" s="59"/>
      <c r="E76" s="59"/>
      <c r="F76" s="59"/>
      <c r="G76" s="59"/>
      <c r="H76" s="59"/>
      <c r="I76" s="59"/>
      <c r="J76" s="59"/>
      <c r="K76" s="58"/>
      <c r="L76" s="59">
        <f t="shared" si="8"/>
        <v>0</v>
      </c>
      <c r="N76" s="58"/>
    </row>
    <row r="77" spans="1:14" ht="12.75">
      <c r="A77" s="57">
        <v>38322</v>
      </c>
      <c r="B77" s="58"/>
      <c r="C77" s="59"/>
      <c r="D77" s="59"/>
      <c r="E77" s="59"/>
      <c r="F77" s="59"/>
      <c r="G77" s="59"/>
      <c r="H77" s="59"/>
      <c r="I77" s="59"/>
      <c r="J77" s="59"/>
      <c r="K77" s="58"/>
      <c r="L77" s="59">
        <f t="shared" si="8"/>
        <v>0</v>
      </c>
      <c r="N77" s="58"/>
    </row>
    <row r="78" spans="1:12" ht="12.75">
      <c r="A78" s="58"/>
      <c r="B78" s="58"/>
      <c r="C78" s="59"/>
      <c r="D78" s="59"/>
      <c r="E78" s="59"/>
      <c r="F78" s="59"/>
      <c r="G78" s="59"/>
      <c r="H78" s="59"/>
      <c r="I78" s="59"/>
      <c r="J78" s="59"/>
      <c r="K78" s="58"/>
      <c r="L78" s="59">
        <f t="shared" si="8"/>
        <v>0</v>
      </c>
    </row>
    <row r="79" spans="1:14" ht="12.75">
      <c r="A79" s="62" t="s">
        <v>88</v>
      </c>
      <c r="B79" s="58"/>
      <c r="C79" s="59">
        <f aca="true" t="shared" si="9" ref="C79:K79">SUM(C66:C78)</f>
        <v>12.52</v>
      </c>
      <c r="D79" s="59">
        <f t="shared" si="9"/>
        <v>258.38</v>
      </c>
      <c r="E79" s="59">
        <f t="shared" si="9"/>
        <v>21.950000000000003</v>
      </c>
      <c r="F79" s="59">
        <f t="shared" si="9"/>
        <v>151.42999999999998</v>
      </c>
      <c r="G79" s="59">
        <f t="shared" si="9"/>
        <v>1028.7800000000002</v>
      </c>
      <c r="H79" s="59">
        <f t="shared" si="9"/>
        <v>9.120000000000001</v>
      </c>
      <c r="I79" s="59">
        <f t="shared" si="9"/>
        <v>9.120000000000001</v>
      </c>
      <c r="J79" s="59">
        <f t="shared" si="9"/>
        <v>155.96999999999997</v>
      </c>
      <c r="K79" s="59">
        <f t="shared" si="9"/>
        <v>111.31</v>
      </c>
      <c r="L79" s="61">
        <f t="shared" si="8"/>
        <v>1758.58</v>
      </c>
      <c r="M79" s="59">
        <f>L79/5</f>
        <v>351.716</v>
      </c>
      <c r="N79" s="61">
        <f>SUM(N66:N78)</f>
        <v>2918.57</v>
      </c>
    </row>
    <row r="80" spans="1:12" ht="12.7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</row>
    <row r="81" spans="1:12" ht="12.7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</row>
    <row r="82" spans="1:12" ht="12.7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</row>
    <row r="83" spans="1:12" ht="12.7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</row>
    <row r="84" spans="1:12" ht="12.7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</row>
    <row r="85" spans="1:12" ht="12.7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</row>
    <row r="86" spans="1:12" ht="12.7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</row>
    <row r="87" spans="1:12" ht="12.7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</row>
    <row r="88" spans="1:12" ht="12.7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</row>
    <row r="89" spans="1:12" ht="12.7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</row>
    <row r="90" spans="1:12" ht="12.7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</row>
    <row r="91" spans="1:12" ht="12.7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</row>
    <row r="92" spans="1:12" ht="12.7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</row>
    <row r="93" spans="1:12" ht="12.7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</row>
    <row r="94" spans="1:12" ht="12.7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</row>
    <row r="95" spans="1:12" ht="12.7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</row>
    <row r="96" spans="1:12" ht="12.7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</row>
    <row r="97" spans="1:12" ht="12.7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</row>
    <row r="98" spans="1:12" ht="12.7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</row>
    <row r="99" spans="1:12" ht="12.7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</row>
    <row r="100" spans="1:12" ht="12.7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</row>
    <row r="101" spans="1:12" ht="12.7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</row>
    <row r="102" spans="1:12" ht="12.7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</row>
    <row r="103" spans="1:12" ht="12.7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</row>
    <row r="104" spans="1:12" ht="12.7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</row>
    <row r="105" spans="1:12" ht="12.7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</row>
    <row r="106" spans="1:12" ht="12.7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</row>
    <row r="107" spans="1:12" ht="12.7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</row>
    <row r="108" spans="1:12" ht="12.7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</row>
    <row r="109" spans="1:12" ht="12.7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</row>
    <row r="110" spans="1:12" ht="12.7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</row>
    <row r="111" spans="1:12" ht="12.7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</row>
    <row r="112" spans="1:12" ht="12.7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</row>
    <row r="113" spans="1:12" ht="12.7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</row>
    <row r="114" spans="1:12" ht="12.7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</row>
    <row r="115" spans="1:12" ht="12.7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</row>
    <row r="116" spans="1:12" ht="12.7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</row>
    <row r="117" spans="1:12" ht="12.7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</row>
    <row r="118" spans="1:12" ht="12.7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</row>
    <row r="119" spans="1:12" ht="12.7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</row>
    <row r="120" spans="1:12" ht="12.7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</row>
    <row r="121" spans="1:12" ht="12.7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</row>
    <row r="122" spans="1:12" ht="12.7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</row>
    <row r="123" spans="1:12" ht="12.75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</row>
    <row r="124" spans="1:12" ht="12.75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</row>
    <row r="125" spans="1:12" ht="12.7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</row>
    <row r="126" spans="1:12" ht="12.75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</row>
    <row r="127" spans="1:12" ht="12.75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</row>
    <row r="128" spans="1:12" ht="12.75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</row>
    <row r="129" spans="1:12" ht="12.75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</row>
    <row r="130" spans="1:12" ht="12.75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</row>
    <row r="131" spans="1:12" ht="12.75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</row>
    <row r="132" spans="1:12" ht="12.75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</row>
    <row r="133" spans="1:12" ht="12.75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</row>
    <row r="134" spans="1:12" ht="12.75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</row>
    <row r="135" spans="1:12" ht="12.75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</row>
    <row r="136" spans="1:12" ht="12.75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</row>
    <row r="137" spans="1:12" ht="12.75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</row>
    <row r="138" spans="1:12" ht="12.75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</row>
    <row r="139" spans="1:12" ht="12.75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</row>
    <row r="140" spans="1:12" ht="12.75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</row>
    <row r="141" spans="1:12" ht="12.75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</row>
    <row r="142" spans="1:12" ht="12.75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</row>
    <row r="143" spans="1:12" ht="12.75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</row>
    <row r="144" spans="1:12" ht="12.75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</row>
    <row r="145" spans="1:12" ht="12.75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</row>
    <row r="146" spans="1:12" ht="12.75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</row>
    <row r="147" spans="1:12" ht="12.7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</row>
    <row r="148" spans="1:12" ht="12.75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</row>
    <row r="149" spans="1:12" ht="12.75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</row>
    <row r="150" spans="1:12" ht="12.75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</row>
    <row r="151" spans="1:12" ht="12.75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</row>
    <row r="152" spans="1:12" ht="12.75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</row>
    <row r="153" spans="1:12" ht="12.75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</row>
    <row r="154" spans="1:12" ht="12.75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</row>
    <row r="155" spans="1:12" ht="12.7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</row>
    <row r="156" spans="1:12" ht="12.75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</row>
    <row r="157" spans="1:12" ht="12.75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</row>
    <row r="158" spans="1:12" ht="12.75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</row>
    <row r="159" spans="1:12" ht="12.75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</row>
    <row r="160" spans="1:12" ht="12.75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</row>
    <row r="161" spans="1:12" ht="12.75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</row>
    <row r="162" spans="1:12" ht="12.75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</row>
    <row r="163" spans="1:12" ht="12.75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</row>
    <row r="164" spans="1:12" ht="12.75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</row>
    <row r="165" spans="1:12" ht="12.75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</row>
  </sheetData>
  <printOptions/>
  <pageMargins left="0" right="0" top="0.25" bottom="0.25" header="0.5" footer="0.5"/>
  <pageSetup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1">
      <pane ySplit="1020" topLeftCell="BM1" activePane="bottomLeft" state="split"/>
      <selection pane="topLeft" activeCell="A1" sqref="A1"/>
      <selection pane="bottomLeft" activeCell="D62" sqref="D62"/>
    </sheetView>
  </sheetViews>
  <sheetFormatPr defaultColWidth="10.66015625" defaultRowHeight="11.25"/>
  <cols>
    <col min="1" max="16384" width="10.66015625" style="43" customWidth="1"/>
  </cols>
  <sheetData>
    <row r="1" ht="12.75">
      <c r="A1" s="42" t="s">
        <v>81</v>
      </c>
    </row>
    <row r="3" spans="2:5" ht="12.75">
      <c r="B3" s="45"/>
      <c r="C3" s="46" t="s">
        <v>15</v>
      </c>
      <c r="D3" s="46" t="s">
        <v>82</v>
      </c>
      <c r="E3" s="46" t="s">
        <v>83</v>
      </c>
    </row>
    <row r="5" spans="1:6" ht="12.75">
      <c r="A5" s="47">
        <v>36526</v>
      </c>
      <c r="C5" s="49">
        <v>85.5</v>
      </c>
      <c r="D5" s="49">
        <v>65.17</v>
      </c>
      <c r="E5" s="49">
        <v>30.09</v>
      </c>
      <c r="F5" s="49"/>
    </row>
    <row r="6" spans="1:6" ht="12.75">
      <c r="A6" s="47">
        <v>36557</v>
      </c>
      <c r="C6" s="49">
        <v>97.24</v>
      </c>
      <c r="D6" s="49">
        <v>69.3</v>
      </c>
      <c r="E6" s="49">
        <v>-2.5</v>
      </c>
      <c r="F6" s="49"/>
    </row>
    <row r="7" spans="1:6" ht="12.75">
      <c r="A7" s="47">
        <v>36586</v>
      </c>
      <c r="C7" s="49">
        <v>108</v>
      </c>
      <c r="D7" s="49">
        <v>77.53</v>
      </c>
      <c r="E7" s="49">
        <v>-1.95</v>
      </c>
      <c r="F7" s="49"/>
    </row>
    <row r="8" spans="1:6" ht="12.75">
      <c r="A8" s="47">
        <v>36617</v>
      </c>
      <c r="C8" s="49">
        <v>123.77</v>
      </c>
      <c r="D8" s="49">
        <v>89.21</v>
      </c>
      <c r="E8" s="49">
        <v>-3.55</v>
      </c>
      <c r="F8" s="49"/>
    </row>
    <row r="9" spans="1:6" ht="12.75">
      <c r="A9" s="47">
        <v>36647</v>
      </c>
      <c r="C9" s="49">
        <v>130.5</v>
      </c>
      <c r="D9" s="49">
        <v>90.4</v>
      </c>
      <c r="E9" s="49">
        <v>16.94</v>
      </c>
      <c r="F9" s="49"/>
    </row>
    <row r="10" spans="1:6" ht="12.75">
      <c r="A10" s="47">
        <v>36678</v>
      </c>
      <c r="C10" s="49">
        <v>121.5</v>
      </c>
      <c r="D10" s="49">
        <v>79.12</v>
      </c>
      <c r="E10" s="49">
        <v>27.13</v>
      </c>
      <c r="F10" s="49"/>
    </row>
    <row r="11" spans="1:6" ht="12.75">
      <c r="A11" s="47">
        <v>36708</v>
      </c>
      <c r="C11" s="49">
        <v>121.5</v>
      </c>
      <c r="D11" s="49">
        <v>51.44</v>
      </c>
      <c r="E11" s="49">
        <v>16.14</v>
      </c>
      <c r="F11" s="49"/>
    </row>
    <row r="12" spans="1:6" ht="12.75">
      <c r="A12" s="47">
        <v>36739</v>
      </c>
      <c r="C12" s="49">
        <v>108.9</v>
      </c>
      <c r="D12" s="49">
        <v>60.35</v>
      </c>
      <c r="E12" s="49">
        <v>16.52</v>
      </c>
      <c r="F12" s="49"/>
    </row>
    <row r="13" spans="1:6" ht="12.75">
      <c r="A13" s="47">
        <v>36770</v>
      </c>
      <c r="C13" s="49">
        <v>94.5</v>
      </c>
      <c r="D13" s="49">
        <v>63.64</v>
      </c>
      <c r="E13" s="49">
        <v>16.42</v>
      </c>
      <c r="F13" s="49"/>
    </row>
    <row r="14" spans="1:6" ht="12.75">
      <c r="A14" s="47">
        <v>36800</v>
      </c>
      <c r="C14" s="49">
        <v>107.06</v>
      </c>
      <c r="D14" s="49">
        <v>65.65</v>
      </c>
      <c r="E14" s="49">
        <v>14.73</v>
      </c>
      <c r="F14" s="49"/>
    </row>
    <row r="15" spans="1:6" ht="12.75">
      <c r="A15" s="47">
        <v>36831</v>
      </c>
      <c r="C15" s="49">
        <v>103.5</v>
      </c>
      <c r="D15" s="49">
        <v>56.35</v>
      </c>
      <c r="E15" s="49">
        <v>11.78</v>
      </c>
      <c r="F15" s="49"/>
    </row>
    <row r="16" spans="1:6" ht="12.75">
      <c r="A16" s="47">
        <v>36861</v>
      </c>
      <c r="C16" s="49">
        <v>85.5</v>
      </c>
      <c r="D16" s="49">
        <v>28.77</v>
      </c>
      <c r="E16" s="49">
        <v>11.5</v>
      </c>
      <c r="F16" s="49"/>
    </row>
    <row r="18" spans="1:6" ht="12.75">
      <c r="A18" s="47">
        <v>36892</v>
      </c>
      <c r="C18" s="49">
        <v>81</v>
      </c>
      <c r="D18" s="49">
        <v>32.82</v>
      </c>
      <c r="E18" s="49">
        <v>12.38</v>
      </c>
      <c r="F18" s="49"/>
    </row>
    <row r="19" spans="1:6" ht="12.75">
      <c r="A19" s="47">
        <v>36923</v>
      </c>
      <c r="C19" s="49">
        <v>81</v>
      </c>
      <c r="D19" s="49">
        <v>32.82</v>
      </c>
      <c r="E19" s="49">
        <v>12.38</v>
      </c>
      <c r="F19" s="49"/>
    </row>
    <row r="20" spans="1:6" ht="12.75">
      <c r="A20" s="47">
        <v>36951</v>
      </c>
      <c r="C20" s="49">
        <v>81</v>
      </c>
      <c r="D20" s="49">
        <v>45.27</v>
      </c>
      <c r="E20" s="49">
        <v>12.17</v>
      </c>
      <c r="F20" s="49"/>
    </row>
    <row r="21" spans="1:6" ht="12.75">
      <c r="A21" s="47">
        <v>36982</v>
      </c>
      <c r="C21" s="49">
        <v>81</v>
      </c>
      <c r="D21" s="49">
        <v>42.94</v>
      </c>
      <c r="E21" s="49">
        <v>11.06</v>
      </c>
      <c r="F21" s="49"/>
    </row>
    <row r="22" spans="1:6" ht="12.75">
      <c r="A22" s="47">
        <v>37012</v>
      </c>
      <c r="C22" s="49">
        <v>81</v>
      </c>
      <c r="D22" s="49">
        <v>42.94</v>
      </c>
      <c r="E22" s="49">
        <v>11.09</v>
      </c>
      <c r="F22" s="49"/>
    </row>
    <row r="23" spans="1:6" ht="12.75">
      <c r="A23" s="47">
        <v>37043</v>
      </c>
      <c r="C23" s="49">
        <v>76.5</v>
      </c>
      <c r="D23" s="49">
        <v>42.94</v>
      </c>
      <c r="E23" s="49">
        <v>8.09</v>
      </c>
      <c r="F23" s="49"/>
    </row>
    <row r="24" spans="1:6" ht="12.75">
      <c r="A24" s="47">
        <v>37073</v>
      </c>
      <c r="C24" s="49">
        <v>76.5</v>
      </c>
      <c r="D24" s="49">
        <v>36.61</v>
      </c>
      <c r="E24" s="49">
        <v>9.28</v>
      </c>
      <c r="F24" s="49"/>
    </row>
    <row r="25" spans="1:6" ht="12.75">
      <c r="A25" s="47">
        <v>37104</v>
      </c>
      <c r="C25" s="49">
        <v>70.2</v>
      </c>
      <c r="D25" s="49">
        <v>36.95</v>
      </c>
      <c r="E25" s="49">
        <v>9.33</v>
      </c>
      <c r="F25" s="49"/>
    </row>
    <row r="26" spans="1:6" ht="12.75">
      <c r="A26" s="47">
        <v>37135</v>
      </c>
      <c r="C26" s="49">
        <v>75.56</v>
      </c>
      <c r="D26" s="49">
        <v>39.03</v>
      </c>
      <c r="E26" s="49">
        <v>8.3</v>
      </c>
      <c r="F26" s="49"/>
    </row>
    <row r="27" spans="1:6" ht="12.75">
      <c r="A27" s="47">
        <v>37165</v>
      </c>
      <c r="C27" s="49">
        <v>72</v>
      </c>
      <c r="D27" s="49">
        <v>40.29</v>
      </c>
      <c r="E27" s="49">
        <v>6.25</v>
      </c>
      <c r="F27" s="49"/>
    </row>
    <row r="28" spans="1:6" ht="12.75">
      <c r="A28" s="47">
        <v>37196</v>
      </c>
      <c r="C28" s="49">
        <v>72.23</v>
      </c>
      <c r="D28" s="49">
        <v>42.35</v>
      </c>
      <c r="E28" s="49">
        <v>5.72</v>
      </c>
      <c r="F28" s="49"/>
    </row>
    <row r="29" spans="1:6" ht="12.75">
      <c r="A29" s="47">
        <v>37226</v>
      </c>
      <c r="C29" s="49">
        <v>79.43</v>
      </c>
      <c r="D29" s="49">
        <v>42.94</v>
      </c>
      <c r="E29" s="49">
        <v>6.52</v>
      </c>
      <c r="F29" s="49"/>
    </row>
    <row r="31" spans="1:6" ht="12.75">
      <c r="A31" s="47">
        <v>37258</v>
      </c>
      <c r="C31" s="49">
        <v>72</v>
      </c>
      <c r="D31" s="49">
        <v>42.37</v>
      </c>
      <c r="E31" s="49">
        <v>7.5</v>
      </c>
      <c r="F31" s="49"/>
    </row>
    <row r="32" spans="1:6" ht="12.75">
      <c r="A32" s="47">
        <v>37289</v>
      </c>
      <c r="C32" s="49">
        <v>72</v>
      </c>
      <c r="D32" s="49">
        <v>36.43</v>
      </c>
      <c r="E32" s="49">
        <v>6.73</v>
      </c>
      <c r="F32" s="49"/>
    </row>
    <row r="33" spans="1:6" ht="12.75">
      <c r="A33" s="47">
        <v>37317</v>
      </c>
      <c r="C33" s="49">
        <v>72.3</v>
      </c>
      <c r="D33" s="49">
        <v>34.42</v>
      </c>
      <c r="E33" s="49">
        <v>8.14</v>
      </c>
      <c r="F33" s="49"/>
    </row>
    <row r="34" spans="1:6" ht="12.75">
      <c r="A34" s="47">
        <v>37348</v>
      </c>
      <c r="C34" s="49">
        <v>72</v>
      </c>
      <c r="D34" s="49">
        <v>40.4</v>
      </c>
      <c r="E34" s="49">
        <v>4.39</v>
      </c>
      <c r="F34" s="49"/>
    </row>
    <row r="35" spans="1:6" ht="12.75">
      <c r="A35" s="47">
        <v>37378</v>
      </c>
      <c r="C35" s="49">
        <v>72</v>
      </c>
      <c r="D35" s="49">
        <v>49.5</v>
      </c>
      <c r="E35" s="49">
        <v>3.38</v>
      </c>
      <c r="F35" s="49"/>
    </row>
    <row r="36" spans="1:6" ht="12.75">
      <c r="A36" s="47">
        <v>37409</v>
      </c>
      <c r="C36" s="49">
        <v>81</v>
      </c>
      <c r="D36" s="49">
        <v>60.74</v>
      </c>
      <c r="E36" s="49">
        <v>3.95</v>
      </c>
      <c r="F36" s="49"/>
    </row>
    <row r="37" spans="1:6" ht="12.75">
      <c r="A37" s="47">
        <v>37439</v>
      </c>
      <c r="C37" s="49">
        <v>81</v>
      </c>
      <c r="D37" s="49">
        <v>53.11</v>
      </c>
      <c r="E37" s="49">
        <v>3.26</v>
      </c>
      <c r="F37" s="49"/>
    </row>
    <row r="38" spans="1:6" ht="12.75">
      <c r="A38" s="47">
        <v>37470</v>
      </c>
      <c r="C38" s="49">
        <v>90</v>
      </c>
      <c r="D38" s="49">
        <v>44.82</v>
      </c>
      <c r="E38" s="49">
        <v>-4.21</v>
      </c>
      <c r="F38" s="49"/>
    </row>
    <row r="39" spans="1:6" ht="12.75">
      <c r="A39" s="47">
        <v>37501</v>
      </c>
      <c r="C39" s="49">
        <v>90</v>
      </c>
      <c r="D39" s="49">
        <v>49.73</v>
      </c>
      <c r="E39" s="49">
        <v>1.5</v>
      </c>
      <c r="F39" s="49"/>
    </row>
    <row r="40" spans="1:6" ht="12.75">
      <c r="A40" s="47">
        <v>37531</v>
      </c>
      <c r="C40" s="49">
        <v>90</v>
      </c>
      <c r="D40" s="49">
        <v>58.33</v>
      </c>
      <c r="E40" s="49">
        <v>2.6</v>
      </c>
      <c r="F40" s="49"/>
    </row>
    <row r="41" spans="1:6" ht="12.75">
      <c r="A41" s="47">
        <v>37562</v>
      </c>
      <c r="C41" s="49">
        <v>85.5</v>
      </c>
      <c r="D41" s="49">
        <v>57.36</v>
      </c>
      <c r="E41" s="49">
        <v>4.09</v>
      </c>
      <c r="F41" s="49"/>
    </row>
    <row r="42" spans="1:6" ht="12.75">
      <c r="A42" s="47">
        <v>37592</v>
      </c>
      <c r="C42" s="49">
        <v>83.4</v>
      </c>
      <c r="D42" s="49">
        <v>60.67</v>
      </c>
      <c r="E42" s="49">
        <v>6.65</v>
      </c>
      <c r="F42" s="49"/>
    </row>
    <row r="44" spans="1:6" ht="12.75">
      <c r="A44" s="47">
        <v>37622</v>
      </c>
      <c r="C44" s="49">
        <v>77.64</v>
      </c>
      <c r="D44" s="49">
        <v>66.34</v>
      </c>
      <c r="E44" s="49">
        <v>2.57</v>
      </c>
      <c r="F44" s="49"/>
    </row>
    <row r="45" spans="1:6" ht="12.75">
      <c r="A45" s="47">
        <v>37653</v>
      </c>
      <c r="C45" s="49">
        <v>79.44</v>
      </c>
      <c r="D45" s="49">
        <v>71.99</v>
      </c>
      <c r="E45" s="49">
        <v>4.51</v>
      </c>
      <c r="F45" s="49"/>
    </row>
    <row r="46" spans="1:6" ht="12.75">
      <c r="A46" s="47">
        <v>37681</v>
      </c>
      <c r="C46" s="49">
        <v>85.94</v>
      </c>
      <c r="D46" s="49">
        <v>79.1</v>
      </c>
      <c r="E46" s="49">
        <v>5.61</v>
      </c>
      <c r="F46" s="49"/>
    </row>
    <row r="47" spans="1:6" ht="12.75">
      <c r="A47" s="47">
        <v>37712</v>
      </c>
      <c r="C47" s="49">
        <v>83.94</v>
      </c>
      <c r="D47" s="49">
        <v>67.85</v>
      </c>
      <c r="E47" s="49">
        <v>2.3</v>
      </c>
      <c r="F47" s="49"/>
    </row>
    <row r="48" spans="1:6" ht="12.75">
      <c r="A48" s="47">
        <v>37742</v>
      </c>
      <c r="C48" s="49">
        <v>69.53</v>
      </c>
      <c r="D48" s="49">
        <v>62.64</v>
      </c>
      <c r="E48" s="49">
        <v>-3.43</v>
      </c>
      <c r="F48" s="49"/>
    </row>
    <row r="49" spans="1:6" ht="12.75">
      <c r="A49" s="47">
        <v>37773</v>
      </c>
      <c r="C49" s="49">
        <v>75.41</v>
      </c>
      <c r="D49" s="49">
        <v>62.12</v>
      </c>
      <c r="E49" s="49">
        <v>-4.13</v>
      </c>
      <c r="F49" s="49"/>
    </row>
    <row r="50" spans="1:6" ht="12.75">
      <c r="A50" s="47">
        <v>37803</v>
      </c>
      <c r="C50" s="49">
        <v>69.62</v>
      </c>
      <c r="D50" s="49">
        <v>60.6</v>
      </c>
      <c r="E50" s="49">
        <v>-1.63</v>
      </c>
      <c r="F50" s="49"/>
    </row>
    <row r="51" spans="1:6" ht="12.75">
      <c r="A51" s="47">
        <v>37834</v>
      </c>
      <c r="C51" s="49">
        <v>72.9</v>
      </c>
      <c r="D51" s="49">
        <v>66.68</v>
      </c>
      <c r="E51" s="49">
        <v>-2.61</v>
      </c>
      <c r="F51" s="49"/>
    </row>
    <row r="52" spans="1:6" ht="12.75">
      <c r="A52" s="47">
        <v>37865</v>
      </c>
      <c r="C52" s="49">
        <v>77.31</v>
      </c>
      <c r="D52" s="49">
        <v>68.01</v>
      </c>
      <c r="E52" s="49">
        <v>-2.71</v>
      </c>
      <c r="F52" s="49"/>
    </row>
    <row r="53" spans="1:5" ht="12.75">
      <c r="A53" s="47">
        <v>37895</v>
      </c>
      <c r="C53" s="49">
        <v>84.09</v>
      </c>
      <c r="D53" s="49">
        <v>68.81</v>
      </c>
      <c r="E53" s="49">
        <v>-1.05</v>
      </c>
    </row>
    <row r="54" spans="1:5" ht="12.75">
      <c r="A54" s="47">
        <v>37926</v>
      </c>
      <c r="C54" s="49">
        <v>87.33</v>
      </c>
      <c r="D54" s="49">
        <v>71.74</v>
      </c>
      <c r="E54" s="49">
        <v>0.33</v>
      </c>
    </row>
    <row r="55" spans="1:5" ht="12.75">
      <c r="A55" s="47">
        <v>37956</v>
      </c>
      <c r="C55" s="49">
        <v>84</v>
      </c>
      <c r="D55" s="49">
        <v>70.46</v>
      </c>
      <c r="E55" s="49">
        <v>1.27</v>
      </c>
    </row>
    <row r="57" spans="1:5" ht="12.75">
      <c r="A57" s="47">
        <v>37987</v>
      </c>
      <c r="C57" s="48">
        <v>84.64</v>
      </c>
      <c r="D57" s="49">
        <v>71.2</v>
      </c>
      <c r="E57" s="48">
        <v>3.16</v>
      </c>
    </row>
    <row r="58" spans="1:5" ht="12.75">
      <c r="A58" s="47">
        <v>38018</v>
      </c>
      <c r="C58" s="48">
        <v>88.56</v>
      </c>
      <c r="D58" s="48">
        <v>75.98</v>
      </c>
      <c r="E58" s="48">
        <v>2.66</v>
      </c>
    </row>
    <row r="59" spans="1:5" ht="12.75">
      <c r="A59" s="47">
        <v>38047</v>
      </c>
      <c r="C59" s="48">
        <v>87.51</v>
      </c>
      <c r="D59" s="48">
        <v>75.48</v>
      </c>
      <c r="E59" s="48">
        <v>4.76</v>
      </c>
    </row>
    <row r="60" spans="1:5" ht="12.75">
      <c r="A60" s="47">
        <v>38078</v>
      </c>
      <c r="C60" s="48">
        <v>87.81</v>
      </c>
      <c r="D60" s="48">
        <v>71.56</v>
      </c>
      <c r="E60" s="48">
        <v>2.25</v>
      </c>
    </row>
    <row r="61" spans="1:5" ht="12.75">
      <c r="A61" s="47">
        <v>38108</v>
      </c>
      <c r="C61" s="48">
        <v>88.76</v>
      </c>
      <c r="D61" s="48">
        <v>76.16</v>
      </c>
      <c r="E61" s="48">
        <v>-1.16</v>
      </c>
    </row>
    <row r="62" spans="1:5" ht="12.75">
      <c r="A62" s="47">
        <v>38139</v>
      </c>
      <c r="C62" s="48"/>
      <c r="D62" s="48"/>
      <c r="E62" s="48"/>
    </row>
    <row r="63" spans="1:5" ht="12.75">
      <c r="A63" s="47">
        <v>38169</v>
      </c>
      <c r="C63" s="48"/>
      <c r="D63" s="48"/>
      <c r="E63" s="48"/>
    </row>
    <row r="64" spans="1:5" ht="12.75">
      <c r="A64" s="47">
        <v>38200</v>
      </c>
      <c r="C64" s="48"/>
      <c r="D64" s="48"/>
      <c r="E64" s="48"/>
    </row>
    <row r="65" spans="1:5" ht="12.75">
      <c r="A65" s="47">
        <v>38231</v>
      </c>
      <c r="C65" s="48"/>
      <c r="D65" s="48"/>
      <c r="E65" s="48"/>
    </row>
    <row r="66" spans="1:5" ht="12.75">
      <c r="A66" s="47">
        <v>38261</v>
      </c>
      <c r="C66" s="48"/>
      <c r="D66" s="48"/>
      <c r="E66" s="48"/>
    </row>
    <row r="67" spans="1:5" ht="12.75">
      <c r="A67" s="47">
        <v>38292</v>
      </c>
      <c r="C67" s="48"/>
      <c r="D67" s="48"/>
      <c r="E67" s="48"/>
    </row>
    <row r="68" spans="1:5" ht="12.75">
      <c r="A68" s="47">
        <v>38322</v>
      </c>
      <c r="C68" s="48"/>
      <c r="D68" s="48"/>
      <c r="E68" s="48"/>
    </row>
  </sheetData>
  <printOptions/>
  <pageMargins left="0.75" right="0.75" top="0.25" bottom="0.25" header="0.5" footer="0.5"/>
  <pageSetup horizontalDpi="600" verticalDpi="6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0"/>
  <sheetViews>
    <sheetView workbookViewId="0" topLeftCell="A7">
      <selection activeCell="N11" sqref="N11"/>
    </sheetView>
  </sheetViews>
  <sheetFormatPr defaultColWidth="9.33203125" defaultRowHeight="11.25"/>
  <cols>
    <col min="1" max="1" width="18.33203125" style="63" customWidth="1"/>
    <col min="2" max="5" width="7" style="63" customWidth="1"/>
    <col min="6" max="13" width="7" style="63" hidden="1" customWidth="1"/>
    <col min="14" max="14" width="7" style="63" customWidth="1"/>
    <col min="15" max="16384" width="10.66015625" style="63" customWidth="1"/>
  </cols>
  <sheetData>
    <row r="2" ht="11.25">
      <c r="A2" s="63" t="s">
        <v>89</v>
      </c>
    </row>
    <row r="4" spans="2:14" ht="11.25">
      <c r="B4" s="65" t="s">
        <v>112</v>
      </c>
      <c r="C4" s="65" t="s">
        <v>113</v>
      </c>
      <c r="D4" s="65" t="s">
        <v>114</v>
      </c>
      <c r="E4" s="65" t="s">
        <v>115</v>
      </c>
      <c r="F4" s="65"/>
      <c r="G4" s="65"/>
      <c r="H4" s="65"/>
      <c r="I4" s="65"/>
      <c r="J4" s="65"/>
      <c r="K4" s="65"/>
      <c r="L4" s="65"/>
      <c r="M4" s="65"/>
      <c r="N4" s="65" t="s">
        <v>116</v>
      </c>
    </row>
    <row r="6" spans="1:14" ht="11.25">
      <c r="A6" s="63" t="s">
        <v>90</v>
      </c>
      <c r="B6" s="64">
        <v>187</v>
      </c>
      <c r="C6" s="64">
        <v>189</v>
      </c>
      <c r="D6" s="64">
        <v>190</v>
      </c>
      <c r="E6" s="64">
        <v>190</v>
      </c>
      <c r="F6" s="64">
        <f>'[2]ES04TONS'!G114-'[2]ES04TONS'!G445-'[2]ES04TONS'!G565</f>
        <v>0</v>
      </c>
      <c r="G6" s="64">
        <f>'[2]ES04TONS'!H114-'[2]ES04TONS'!H445-'[2]ES04TONS'!H565</f>
        <v>0</v>
      </c>
      <c r="H6" s="64">
        <f>'[2]ES04TONS'!I114-'[2]ES04TONS'!I445-'[2]ES04TONS'!I565</f>
        <v>0</v>
      </c>
      <c r="I6" s="64">
        <f>'[2]ES04TONS'!J114-'[2]ES04TONS'!J445-'[2]ES04TONS'!J565</f>
        <v>0</v>
      </c>
      <c r="J6" s="64">
        <f>'[2]ES04TONS'!K114-'[2]ES04TONS'!K445-'[2]ES04TONS'!K565</f>
        <v>0</v>
      </c>
      <c r="K6" s="64">
        <f>'[2]ES04TONS'!L114-'[2]ES04TONS'!L445-'[2]ES04TONS'!L565</f>
        <v>0</v>
      </c>
      <c r="L6" s="64">
        <f>'[2]ES04TONS'!M114-'[2]ES04TONS'!M445-'[2]ES04TONS'!M565</f>
        <v>0</v>
      </c>
      <c r="M6" s="64">
        <f>'[2]ES04TONS'!N114-'[2]ES04TONS'!N445-'[2]ES04TONS'!N565</f>
        <v>0</v>
      </c>
      <c r="N6" s="63">
        <v>190</v>
      </c>
    </row>
    <row r="7" spans="1:14" ht="11.25">
      <c r="A7" s="63" t="s">
        <v>91</v>
      </c>
      <c r="B7" s="64">
        <v>0</v>
      </c>
      <c r="C7" s="64">
        <v>0</v>
      </c>
      <c r="D7" s="64">
        <v>0</v>
      </c>
      <c r="E7" s="64">
        <v>0</v>
      </c>
      <c r="F7" s="64">
        <f>'[2]ES04TONS'!G115-'[2]ES04TONS'!G446-'[2]ES04TONS'!G566</f>
        <v>0</v>
      </c>
      <c r="G7" s="64">
        <f>'[2]ES04TONS'!H115-'[2]ES04TONS'!H446-'[2]ES04TONS'!H566</f>
        <v>0</v>
      </c>
      <c r="H7" s="64">
        <f>'[2]ES04TONS'!I115-'[2]ES04TONS'!I446-'[2]ES04TONS'!I566</f>
        <v>0</v>
      </c>
      <c r="I7" s="64">
        <f>'[2]ES04TONS'!J115-'[2]ES04TONS'!J446-'[2]ES04TONS'!J566</f>
        <v>0</v>
      </c>
      <c r="J7" s="64">
        <f>'[2]ES04TONS'!K115-'[2]ES04TONS'!K446-'[2]ES04TONS'!K566</f>
        <v>0</v>
      </c>
      <c r="K7" s="64">
        <f>'[2]ES04TONS'!L115-'[2]ES04TONS'!L446-'[2]ES04TONS'!L566</f>
        <v>0</v>
      </c>
      <c r="L7" s="64">
        <f>'[2]ES04TONS'!M115-'[2]ES04TONS'!M446-'[2]ES04TONS'!M566</f>
        <v>0</v>
      </c>
      <c r="M7" s="64">
        <f>'[2]ES04TONS'!N115-'[2]ES04TONS'!N446-'[2]ES04TONS'!N566</f>
        <v>0</v>
      </c>
      <c r="N7" s="63">
        <v>0</v>
      </c>
    </row>
    <row r="8" spans="1:14" ht="11.25">
      <c r="A8" s="63" t="s">
        <v>92</v>
      </c>
      <c r="B8" s="64">
        <v>566</v>
      </c>
      <c r="C8" s="64">
        <v>561</v>
      </c>
      <c r="D8" s="64">
        <v>563</v>
      </c>
      <c r="E8" s="64">
        <v>572</v>
      </c>
      <c r="F8" s="64">
        <f>'[2]ES04TONS'!G116-'[2]ES04TONS'!G447-'[2]ES04TONS'!G567</f>
        <v>0</v>
      </c>
      <c r="G8" s="64">
        <f>'[2]ES04TONS'!H116-'[2]ES04TONS'!H447-'[2]ES04TONS'!H567</f>
        <v>0</v>
      </c>
      <c r="H8" s="64">
        <f>'[2]ES04TONS'!I116-'[2]ES04TONS'!I447-'[2]ES04TONS'!I567</f>
        <v>0</v>
      </c>
      <c r="I8" s="64">
        <f>'[2]ES04TONS'!J116-'[2]ES04TONS'!J447-'[2]ES04TONS'!J567</f>
        <v>0</v>
      </c>
      <c r="J8" s="64">
        <f>'[2]ES04TONS'!K116-'[2]ES04TONS'!K447-'[2]ES04TONS'!K567</f>
        <v>0</v>
      </c>
      <c r="K8" s="64">
        <f>'[2]ES04TONS'!L116-'[2]ES04TONS'!L447-'[2]ES04TONS'!L567</f>
        <v>0</v>
      </c>
      <c r="L8" s="64">
        <f>'[2]ES04TONS'!M116-'[2]ES04TONS'!M447-'[2]ES04TONS'!M567</f>
        <v>0</v>
      </c>
      <c r="M8" s="64">
        <f>'[2]ES04TONS'!N116-'[2]ES04TONS'!N447-'[2]ES04TONS'!N567</f>
        <v>0</v>
      </c>
      <c r="N8" s="63">
        <v>569</v>
      </c>
    </row>
    <row r="9" spans="1:14" ht="11.25">
      <c r="A9" s="63" t="s">
        <v>93</v>
      </c>
      <c r="B9" s="64">
        <v>0</v>
      </c>
      <c r="C9" s="64">
        <v>0</v>
      </c>
      <c r="D9" s="64">
        <v>0</v>
      </c>
      <c r="E9" s="64">
        <v>0</v>
      </c>
      <c r="F9" s="64">
        <f>'[2]ES04TONS'!G117-'[2]ES04TONS'!G448-'[2]ES04TONS'!G568</f>
        <v>0</v>
      </c>
      <c r="G9" s="64">
        <f>'[2]ES04TONS'!H117-'[2]ES04TONS'!H448-'[2]ES04TONS'!H568</f>
        <v>0</v>
      </c>
      <c r="H9" s="64">
        <f>'[2]ES04TONS'!I117-'[2]ES04TONS'!I448-'[2]ES04TONS'!I568</f>
        <v>0</v>
      </c>
      <c r="I9" s="64">
        <f>'[2]ES04TONS'!J117-'[2]ES04TONS'!J448-'[2]ES04TONS'!J568</f>
        <v>0</v>
      </c>
      <c r="J9" s="64">
        <f>'[2]ES04TONS'!K117-'[2]ES04TONS'!K448-'[2]ES04TONS'!K568</f>
        <v>0</v>
      </c>
      <c r="K9" s="64">
        <f>'[2]ES04TONS'!L117-'[2]ES04TONS'!L448-'[2]ES04TONS'!L568</f>
        <v>0</v>
      </c>
      <c r="L9" s="64">
        <f>'[2]ES04TONS'!M117-'[2]ES04TONS'!M448-'[2]ES04TONS'!M568</f>
        <v>0</v>
      </c>
      <c r="M9" s="64">
        <f>'[2]ES04TONS'!N117-'[2]ES04TONS'!N448-'[2]ES04TONS'!N568</f>
        <v>0</v>
      </c>
      <c r="N9" s="63">
        <v>0</v>
      </c>
    </row>
    <row r="10" spans="1:14" ht="11.25">
      <c r="A10" s="63" t="s">
        <v>94</v>
      </c>
      <c r="B10" s="64">
        <v>4861</v>
      </c>
      <c r="C10" s="64">
        <v>4858</v>
      </c>
      <c r="D10" s="64">
        <v>4881</v>
      </c>
      <c r="E10" s="64">
        <v>4921</v>
      </c>
      <c r="F10" s="64">
        <f>'[2]ES04TONS'!G118-'[2]ES04TONS'!G449-'[2]ES04TONS'!G569</f>
        <v>0</v>
      </c>
      <c r="G10" s="64">
        <f>'[2]ES04TONS'!H118-'[2]ES04TONS'!H449-'[2]ES04TONS'!H569</f>
        <v>0</v>
      </c>
      <c r="H10" s="64">
        <f>'[2]ES04TONS'!I118-'[2]ES04TONS'!I449-'[2]ES04TONS'!I569</f>
        <v>0</v>
      </c>
      <c r="I10" s="64">
        <f>'[2]ES04TONS'!J118-'[2]ES04TONS'!J449-'[2]ES04TONS'!J569</f>
        <v>0</v>
      </c>
      <c r="J10" s="64">
        <f>'[2]ES04TONS'!K118-'[2]ES04TONS'!K449-'[2]ES04TONS'!K569</f>
        <v>0</v>
      </c>
      <c r="K10" s="64">
        <f>'[2]ES04TONS'!L118-'[2]ES04TONS'!L449-'[2]ES04TONS'!L569</f>
        <v>0</v>
      </c>
      <c r="L10" s="64">
        <f>'[2]ES04TONS'!M118-'[2]ES04TONS'!M449-'[2]ES04TONS'!M569</f>
        <v>0</v>
      </c>
      <c r="M10" s="64">
        <f>'[2]ES04TONS'!N118-'[2]ES04TONS'!N449-'[2]ES04TONS'!N569</f>
        <v>0</v>
      </c>
      <c r="N10" s="63">
        <v>4940</v>
      </c>
    </row>
    <row r="11" spans="1:14" ht="11.25">
      <c r="A11" s="63" t="s">
        <v>95</v>
      </c>
      <c r="B11" s="64">
        <v>441</v>
      </c>
      <c r="C11" s="64">
        <v>443</v>
      </c>
      <c r="D11" s="64">
        <v>443</v>
      </c>
      <c r="E11" s="64">
        <v>450</v>
      </c>
      <c r="F11" s="64">
        <f>'[2]ES04TONS'!G119-'[2]ES04TONS'!G450-'[2]ES04TONS'!G570</f>
        <v>0</v>
      </c>
      <c r="G11" s="64">
        <f>'[2]ES04TONS'!H119-'[2]ES04TONS'!H450-'[2]ES04TONS'!H570</f>
        <v>0</v>
      </c>
      <c r="H11" s="64">
        <f>'[2]ES04TONS'!I119-'[2]ES04TONS'!I450-'[2]ES04TONS'!I570</f>
        <v>0</v>
      </c>
      <c r="I11" s="64">
        <f>'[2]ES04TONS'!J119-'[2]ES04TONS'!J450-'[2]ES04TONS'!J570</f>
        <v>0</v>
      </c>
      <c r="J11" s="64">
        <f>'[2]ES04TONS'!K119-'[2]ES04TONS'!K450-'[2]ES04TONS'!K570</f>
        <v>0</v>
      </c>
      <c r="K11" s="64">
        <f>'[2]ES04TONS'!L119-'[2]ES04TONS'!L450-'[2]ES04TONS'!L570</f>
        <v>0</v>
      </c>
      <c r="L11" s="64">
        <f>'[2]ES04TONS'!M119-'[2]ES04TONS'!M450-'[2]ES04TONS'!M570</f>
        <v>0</v>
      </c>
      <c r="M11" s="64">
        <f>'[2]ES04TONS'!N119-'[2]ES04TONS'!N450-'[2]ES04TONS'!N570</f>
        <v>0</v>
      </c>
      <c r="N11" s="63">
        <v>452</v>
      </c>
    </row>
    <row r="12" spans="1:14" ht="11.25">
      <c r="A12" s="63" t="s">
        <v>96</v>
      </c>
      <c r="B12" s="64">
        <v>10</v>
      </c>
      <c r="C12" s="64">
        <v>10</v>
      </c>
      <c r="D12" s="64">
        <v>9</v>
      </c>
      <c r="E12" s="64">
        <v>9</v>
      </c>
      <c r="F12" s="64">
        <f>'[2]ES04TONS'!G120-'[2]ES04TONS'!G451-'[2]ES04TONS'!G571</f>
        <v>0</v>
      </c>
      <c r="G12" s="64">
        <f>'[2]ES04TONS'!H120-'[2]ES04TONS'!H451-'[2]ES04TONS'!H571</f>
        <v>0</v>
      </c>
      <c r="H12" s="64">
        <f>'[2]ES04TONS'!I120-'[2]ES04TONS'!I451-'[2]ES04TONS'!I571</f>
        <v>0</v>
      </c>
      <c r="I12" s="64">
        <f>'[2]ES04TONS'!J120-'[2]ES04TONS'!J451-'[2]ES04TONS'!J571</f>
        <v>0</v>
      </c>
      <c r="J12" s="64">
        <f>'[2]ES04TONS'!K120-'[2]ES04TONS'!K451-'[2]ES04TONS'!K571</f>
        <v>0</v>
      </c>
      <c r="K12" s="64">
        <f>'[2]ES04TONS'!L120-'[2]ES04TONS'!L451-'[2]ES04TONS'!L571</f>
        <v>0</v>
      </c>
      <c r="L12" s="64">
        <f>'[2]ES04TONS'!M120-'[2]ES04TONS'!M451-'[2]ES04TONS'!M571</f>
        <v>0</v>
      </c>
      <c r="M12" s="64">
        <f>'[2]ES04TONS'!N120-'[2]ES04TONS'!N451-'[2]ES04TONS'!N571</f>
        <v>0</v>
      </c>
      <c r="N12" s="63">
        <v>10</v>
      </c>
    </row>
    <row r="13" spans="1:14" ht="11.25">
      <c r="A13" s="63" t="s">
        <v>97</v>
      </c>
      <c r="B13" s="64">
        <v>4</v>
      </c>
      <c r="C13" s="64">
        <v>4</v>
      </c>
      <c r="D13" s="64">
        <v>4</v>
      </c>
      <c r="E13" s="64">
        <v>4</v>
      </c>
      <c r="F13" s="64">
        <f>'[2]ES04TONS'!G121-'[2]ES04TONS'!G452-'[2]ES04TONS'!G572</f>
        <v>0</v>
      </c>
      <c r="G13" s="64">
        <f>'[2]ES04TONS'!H121-'[2]ES04TONS'!H452-'[2]ES04TONS'!H572</f>
        <v>0</v>
      </c>
      <c r="H13" s="64">
        <f>'[2]ES04TONS'!I121-'[2]ES04TONS'!I452-'[2]ES04TONS'!I572</f>
        <v>0</v>
      </c>
      <c r="I13" s="64">
        <f>'[2]ES04TONS'!J121-'[2]ES04TONS'!J452-'[2]ES04TONS'!J572</f>
        <v>0</v>
      </c>
      <c r="J13" s="64">
        <f>'[2]ES04TONS'!K121-'[2]ES04TONS'!K452-'[2]ES04TONS'!K572</f>
        <v>0</v>
      </c>
      <c r="K13" s="64">
        <f>'[2]ES04TONS'!L121-'[2]ES04TONS'!L452-'[2]ES04TONS'!L572</f>
        <v>0</v>
      </c>
      <c r="L13" s="64">
        <f>'[2]ES04TONS'!M121-'[2]ES04TONS'!M452-'[2]ES04TONS'!M572</f>
        <v>0</v>
      </c>
      <c r="M13" s="64">
        <f>'[2]ES04TONS'!N121-'[2]ES04TONS'!N452-'[2]ES04TONS'!N572</f>
        <v>0</v>
      </c>
      <c r="N13" s="63">
        <v>4</v>
      </c>
    </row>
    <row r="14" spans="1:14" ht="11.25">
      <c r="A14" s="63" t="s">
        <v>98</v>
      </c>
      <c r="B14" s="64">
        <v>0</v>
      </c>
      <c r="C14" s="64">
        <v>0</v>
      </c>
      <c r="D14" s="64">
        <v>0</v>
      </c>
      <c r="E14" s="64">
        <v>0</v>
      </c>
      <c r="F14" s="64">
        <f>'[2]ES04TONS'!G122-'[2]ES04TONS'!G453-'[2]ES04TONS'!G573</f>
        <v>0</v>
      </c>
      <c r="G14" s="64">
        <f>'[2]ES04TONS'!H122-'[2]ES04TONS'!H453-'[2]ES04TONS'!H573</f>
        <v>0</v>
      </c>
      <c r="H14" s="64">
        <f>'[2]ES04TONS'!I122-'[2]ES04TONS'!I453-'[2]ES04TONS'!I573</f>
        <v>0</v>
      </c>
      <c r="I14" s="64">
        <f>'[2]ES04TONS'!J122-'[2]ES04TONS'!J453-'[2]ES04TONS'!J573</f>
        <v>0</v>
      </c>
      <c r="J14" s="64">
        <f>'[2]ES04TONS'!K122-'[2]ES04TONS'!K453-'[2]ES04TONS'!K573</f>
        <v>0</v>
      </c>
      <c r="K14" s="64">
        <f>'[2]ES04TONS'!L122-'[2]ES04TONS'!L453-'[2]ES04TONS'!L573</f>
        <v>0</v>
      </c>
      <c r="L14" s="64">
        <f>'[2]ES04TONS'!M122-'[2]ES04TONS'!M453-'[2]ES04TONS'!M573</f>
        <v>0</v>
      </c>
      <c r="M14" s="64">
        <f>'[2]ES04TONS'!N122-'[2]ES04TONS'!N453-'[2]ES04TONS'!N573</f>
        <v>0</v>
      </c>
      <c r="N14" s="63">
        <v>0</v>
      </c>
    </row>
    <row r="15" spans="1:14" ht="11.25">
      <c r="A15" s="63" t="s">
        <v>99</v>
      </c>
      <c r="B15" s="64">
        <v>0</v>
      </c>
      <c r="C15" s="64">
        <v>0</v>
      </c>
      <c r="D15" s="64">
        <v>0</v>
      </c>
      <c r="E15" s="64">
        <v>0</v>
      </c>
      <c r="F15" s="64">
        <f>'[2]ES04TONS'!G123-'[2]ES04TONS'!G454-'[2]ES04TONS'!G574</f>
        <v>0</v>
      </c>
      <c r="G15" s="64">
        <f>'[2]ES04TONS'!H123-'[2]ES04TONS'!H454-'[2]ES04TONS'!H574</f>
        <v>0</v>
      </c>
      <c r="H15" s="64">
        <f>'[2]ES04TONS'!I123-'[2]ES04TONS'!I454-'[2]ES04TONS'!I574</f>
        <v>0</v>
      </c>
      <c r="I15" s="64">
        <f>'[2]ES04TONS'!J123-'[2]ES04TONS'!J454-'[2]ES04TONS'!J574</f>
        <v>0</v>
      </c>
      <c r="J15" s="64">
        <f>'[2]ES04TONS'!K123-'[2]ES04TONS'!K454-'[2]ES04TONS'!K574</f>
        <v>0</v>
      </c>
      <c r="K15" s="64">
        <f>'[2]ES04TONS'!L123-'[2]ES04TONS'!L454-'[2]ES04TONS'!L574</f>
        <v>0</v>
      </c>
      <c r="L15" s="64">
        <f>'[2]ES04TONS'!M123-'[2]ES04TONS'!M454-'[2]ES04TONS'!M574</f>
        <v>0</v>
      </c>
      <c r="M15" s="64">
        <f>'[2]ES04TONS'!N123-'[2]ES04TONS'!N454-'[2]ES04TONS'!N574</f>
        <v>0</v>
      </c>
      <c r="N15" s="63">
        <v>0</v>
      </c>
    </row>
    <row r="16" spans="1:14" ht="11.25">
      <c r="A16" s="63" t="s">
        <v>100</v>
      </c>
      <c r="B16" s="64">
        <v>0</v>
      </c>
      <c r="C16" s="64">
        <v>0</v>
      </c>
      <c r="D16" s="64">
        <v>0</v>
      </c>
      <c r="E16" s="64">
        <v>0</v>
      </c>
      <c r="F16" s="64">
        <f>'[2]ES04TONS'!G124-'[2]ES04TONS'!G455-'[2]ES04TONS'!G575</f>
        <v>0</v>
      </c>
      <c r="G16" s="64">
        <f>'[2]ES04TONS'!H124-'[2]ES04TONS'!H455-'[2]ES04TONS'!H575</f>
        <v>0</v>
      </c>
      <c r="H16" s="64">
        <f>'[2]ES04TONS'!I124-'[2]ES04TONS'!I455-'[2]ES04TONS'!I575</f>
        <v>0</v>
      </c>
      <c r="I16" s="64">
        <f>'[2]ES04TONS'!J124-'[2]ES04TONS'!J455-'[2]ES04TONS'!J575</f>
        <v>0</v>
      </c>
      <c r="J16" s="64">
        <f>'[2]ES04TONS'!K124-'[2]ES04TONS'!K455-'[2]ES04TONS'!K575</f>
        <v>0</v>
      </c>
      <c r="K16" s="64">
        <f>'[2]ES04TONS'!L124-'[2]ES04TONS'!L455-'[2]ES04TONS'!L575</f>
        <v>0</v>
      </c>
      <c r="L16" s="64">
        <f>'[2]ES04TONS'!M124-'[2]ES04TONS'!M455-'[2]ES04TONS'!M575</f>
        <v>0</v>
      </c>
      <c r="M16" s="64">
        <f>'[2]ES04TONS'!N124-'[2]ES04TONS'!N455-'[2]ES04TONS'!N575</f>
        <v>0</v>
      </c>
      <c r="N16" s="63">
        <v>0</v>
      </c>
    </row>
    <row r="17" spans="1:14" ht="11.25">
      <c r="A17" s="63" t="s">
        <v>101</v>
      </c>
      <c r="B17" s="64">
        <v>1641</v>
      </c>
      <c r="C17" s="64">
        <v>1616</v>
      </c>
      <c r="D17" s="64">
        <v>1606</v>
      </c>
      <c r="E17" s="64">
        <v>1600</v>
      </c>
      <c r="F17" s="64">
        <f>'[2]ES04TONS'!G125-'[2]ES04TONS'!G456-'[2]ES04TONS'!G576</f>
        <v>0</v>
      </c>
      <c r="G17" s="64">
        <f>'[2]ES04TONS'!H125-'[2]ES04TONS'!H456-'[2]ES04TONS'!H576</f>
        <v>0</v>
      </c>
      <c r="H17" s="64">
        <f>'[2]ES04TONS'!I125-'[2]ES04TONS'!I456-'[2]ES04TONS'!I576</f>
        <v>0</v>
      </c>
      <c r="I17" s="64">
        <f>'[2]ES04TONS'!J125-'[2]ES04TONS'!J456-'[2]ES04TONS'!J576</f>
        <v>0</v>
      </c>
      <c r="J17" s="64">
        <f>'[2]ES04TONS'!K125-'[2]ES04TONS'!K456-'[2]ES04TONS'!K576</f>
        <v>0</v>
      </c>
      <c r="K17" s="64">
        <f>'[2]ES04TONS'!L125-'[2]ES04TONS'!L456-'[2]ES04TONS'!L576</f>
        <v>0</v>
      </c>
      <c r="L17" s="64">
        <f>'[2]ES04TONS'!M125-'[2]ES04TONS'!M456-'[2]ES04TONS'!M576</f>
        <v>0</v>
      </c>
      <c r="M17" s="64">
        <f>'[2]ES04TONS'!N125-'[2]ES04TONS'!N456-'[2]ES04TONS'!N576</f>
        <v>0</v>
      </c>
      <c r="N17" s="63">
        <v>1589</v>
      </c>
    </row>
    <row r="18" spans="1:14" ht="11.25">
      <c r="A18" s="63" t="s">
        <v>102</v>
      </c>
      <c r="B18" s="64">
        <v>0</v>
      </c>
      <c r="C18" s="64">
        <v>0</v>
      </c>
      <c r="D18" s="64">
        <v>0</v>
      </c>
      <c r="E18" s="64">
        <v>0</v>
      </c>
      <c r="F18" s="64">
        <f>'[2]ES04TONS'!G126-'[2]ES04TONS'!G457-'[2]ES04TONS'!G577</f>
        <v>0</v>
      </c>
      <c r="G18" s="64">
        <f>'[2]ES04TONS'!H126-'[2]ES04TONS'!H457-'[2]ES04TONS'!H577</f>
        <v>0</v>
      </c>
      <c r="H18" s="64">
        <f>'[2]ES04TONS'!I126-'[2]ES04TONS'!I457-'[2]ES04TONS'!I577</f>
        <v>0</v>
      </c>
      <c r="I18" s="64">
        <f>'[2]ES04TONS'!J126-'[2]ES04TONS'!J457-'[2]ES04TONS'!J577</f>
        <v>0</v>
      </c>
      <c r="J18" s="64">
        <f>'[2]ES04TONS'!K126-'[2]ES04TONS'!K457-'[2]ES04TONS'!K577</f>
        <v>0</v>
      </c>
      <c r="K18" s="64">
        <f>'[2]ES04TONS'!L126-'[2]ES04TONS'!L457-'[2]ES04TONS'!L577</f>
        <v>0</v>
      </c>
      <c r="L18" s="64">
        <f>'[2]ES04TONS'!M126-'[2]ES04TONS'!M457-'[2]ES04TONS'!M577</f>
        <v>0</v>
      </c>
      <c r="M18" s="64">
        <f>'[2]ES04TONS'!N126-'[2]ES04TONS'!N457-'[2]ES04TONS'!N577</f>
        <v>0</v>
      </c>
      <c r="N18" s="63">
        <v>0</v>
      </c>
    </row>
    <row r="19" spans="1:14" ht="11.25">
      <c r="A19" s="63" t="s">
        <v>103</v>
      </c>
      <c r="B19" s="64">
        <v>5170</v>
      </c>
      <c r="C19" s="64">
        <v>5175</v>
      </c>
      <c r="D19" s="64">
        <v>5189</v>
      </c>
      <c r="E19" s="64">
        <v>5201</v>
      </c>
      <c r="F19" s="64">
        <f>'[2]ES04TONS'!G127-'[2]ES04TONS'!G458-'[2]ES04TONS'!G578</f>
        <v>0</v>
      </c>
      <c r="G19" s="64">
        <f>'[2]ES04TONS'!H127-'[2]ES04TONS'!H458-'[2]ES04TONS'!H578</f>
        <v>0</v>
      </c>
      <c r="H19" s="64">
        <f>'[2]ES04TONS'!I127-'[2]ES04TONS'!I458-'[2]ES04TONS'!I578</f>
        <v>0</v>
      </c>
      <c r="I19" s="64">
        <f>'[2]ES04TONS'!J127-'[2]ES04TONS'!J458-'[2]ES04TONS'!J578</f>
        <v>0</v>
      </c>
      <c r="J19" s="64">
        <f>'[2]ES04TONS'!K127-'[2]ES04TONS'!K458-'[2]ES04TONS'!K578</f>
        <v>0</v>
      </c>
      <c r="K19" s="64">
        <f>'[2]ES04TONS'!L127-'[2]ES04TONS'!L458-'[2]ES04TONS'!L578</f>
        <v>0</v>
      </c>
      <c r="L19" s="64">
        <f>'[2]ES04TONS'!M127-'[2]ES04TONS'!M458-'[2]ES04TONS'!M578</f>
        <v>0</v>
      </c>
      <c r="M19" s="64">
        <f>'[2]ES04TONS'!N127-'[2]ES04TONS'!N458-'[2]ES04TONS'!N578</f>
        <v>0</v>
      </c>
      <c r="N19" s="63">
        <v>5205</v>
      </c>
    </row>
    <row r="20" spans="1:14" ht="11.25">
      <c r="A20" s="63" t="s">
        <v>104</v>
      </c>
      <c r="B20" s="64">
        <v>0</v>
      </c>
      <c r="C20" s="64">
        <v>1</v>
      </c>
      <c r="D20" s="64">
        <v>1</v>
      </c>
      <c r="E20" s="64">
        <v>0</v>
      </c>
      <c r="F20" s="64">
        <f>'[2]ES04TONS'!G128-'[2]ES04TONS'!G459-'[2]ES04TONS'!G579</f>
        <v>0</v>
      </c>
      <c r="G20" s="64">
        <f>'[2]ES04TONS'!H128-'[2]ES04TONS'!H459-'[2]ES04TONS'!H579</f>
        <v>0</v>
      </c>
      <c r="H20" s="64">
        <f>'[2]ES04TONS'!I128-'[2]ES04TONS'!I459-'[2]ES04TONS'!I579</f>
        <v>0</v>
      </c>
      <c r="I20" s="64">
        <f>'[2]ES04TONS'!J128-'[2]ES04TONS'!J459-'[2]ES04TONS'!J579</f>
        <v>0</v>
      </c>
      <c r="J20" s="64">
        <f>'[2]ES04TONS'!K128-'[2]ES04TONS'!K459-'[2]ES04TONS'!K579</f>
        <v>0</v>
      </c>
      <c r="K20" s="64">
        <f>'[2]ES04TONS'!L128-'[2]ES04TONS'!L459-'[2]ES04TONS'!L579</f>
        <v>0</v>
      </c>
      <c r="L20" s="64">
        <f>'[2]ES04TONS'!M128-'[2]ES04TONS'!M459-'[2]ES04TONS'!M579</f>
        <v>0</v>
      </c>
      <c r="M20" s="64">
        <f>'[2]ES04TONS'!N128-'[2]ES04TONS'!N459-'[2]ES04TONS'!N579</f>
        <v>0</v>
      </c>
      <c r="N20" s="63">
        <v>0</v>
      </c>
    </row>
    <row r="21" spans="1:14" ht="11.25">
      <c r="A21" s="63" t="s">
        <v>105</v>
      </c>
      <c r="B21" s="64">
        <v>0</v>
      </c>
      <c r="C21" s="64">
        <v>0</v>
      </c>
      <c r="D21" s="64">
        <v>0</v>
      </c>
      <c r="E21" s="64">
        <v>0</v>
      </c>
      <c r="F21" s="64">
        <f>'[2]ES04TONS'!G129-'[2]ES04TONS'!G460-'[2]ES04TONS'!G580</f>
        <v>0</v>
      </c>
      <c r="G21" s="64">
        <f>'[2]ES04TONS'!H129-'[2]ES04TONS'!H460-'[2]ES04TONS'!H580</f>
        <v>0</v>
      </c>
      <c r="H21" s="64">
        <f>'[2]ES04TONS'!I129-'[2]ES04TONS'!I460-'[2]ES04TONS'!I580</f>
        <v>0</v>
      </c>
      <c r="I21" s="64">
        <f>'[2]ES04TONS'!J129-'[2]ES04TONS'!J460-'[2]ES04TONS'!J580</f>
        <v>0</v>
      </c>
      <c r="J21" s="64">
        <f>'[2]ES04TONS'!K129-'[2]ES04TONS'!K460-'[2]ES04TONS'!K580</f>
        <v>0</v>
      </c>
      <c r="K21" s="64">
        <f>'[2]ES04TONS'!L129-'[2]ES04TONS'!L460-'[2]ES04TONS'!L580</f>
        <v>0</v>
      </c>
      <c r="L21" s="64">
        <f>'[2]ES04TONS'!M129-'[2]ES04TONS'!M460-'[2]ES04TONS'!M580</f>
        <v>0</v>
      </c>
      <c r="M21" s="64">
        <f>'[2]ES04TONS'!N129-'[2]ES04TONS'!N460-'[2]ES04TONS'!N580</f>
        <v>0</v>
      </c>
      <c r="N21" s="63">
        <v>0</v>
      </c>
    </row>
    <row r="22" spans="1:14" ht="11.25">
      <c r="A22" s="63" t="s">
        <v>106</v>
      </c>
      <c r="B22" s="64">
        <v>0</v>
      </c>
      <c r="C22" s="64">
        <v>0</v>
      </c>
      <c r="D22" s="64">
        <v>0</v>
      </c>
      <c r="E22" s="64">
        <v>0</v>
      </c>
      <c r="F22" s="64">
        <f>'[2]ES04TONS'!G130-'[2]ES04TONS'!G461-'[2]ES04TONS'!G581</f>
        <v>0</v>
      </c>
      <c r="G22" s="64">
        <f>'[2]ES04TONS'!H130-'[2]ES04TONS'!H461-'[2]ES04TONS'!H581</f>
        <v>0</v>
      </c>
      <c r="H22" s="64">
        <f>'[2]ES04TONS'!I130-'[2]ES04TONS'!I461-'[2]ES04TONS'!I581</f>
        <v>0</v>
      </c>
      <c r="I22" s="64">
        <f>'[2]ES04TONS'!J130-'[2]ES04TONS'!J461-'[2]ES04TONS'!J581</f>
        <v>0</v>
      </c>
      <c r="J22" s="64">
        <f>'[2]ES04TONS'!K130-'[2]ES04TONS'!K461-'[2]ES04TONS'!K581</f>
        <v>0</v>
      </c>
      <c r="K22" s="64">
        <f>'[2]ES04TONS'!L130-'[2]ES04TONS'!L461-'[2]ES04TONS'!L581</f>
        <v>0</v>
      </c>
      <c r="L22" s="64">
        <f>'[2]ES04TONS'!M130-'[2]ES04TONS'!M461-'[2]ES04TONS'!M581</f>
        <v>0</v>
      </c>
      <c r="M22" s="64">
        <f>'[2]ES04TONS'!N130-'[2]ES04TONS'!N461-'[2]ES04TONS'!N581</f>
        <v>0</v>
      </c>
      <c r="N22" s="63">
        <v>0</v>
      </c>
    </row>
    <row r="23" spans="1:14" ht="11.25">
      <c r="A23" s="63" t="s">
        <v>107</v>
      </c>
      <c r="B23" s="64">
        <v>3537</v>
      </c>
      <c r="C23" s="64">
        <v>3516</v>
      </c>
      <c r="D23" s="64">
        <v>3527</v>
      </c>
      <c r="E23" s="64">
        <v>3546</v>
      </c>
      <c r="F23" s="64">
        <f>'[2]ES04TONS'!G131-'[2]ES04TONS'!G462-'[2]ES04TONS'!G582</f>
        <v>0</v>
      </c>
      <c r="G23" s="64">
        <f>'[2]ES04TONS'!H131-'[2]ES04TONS'!H462-'[2]ES04TONS'!H582</f>
        <v>0</v>
      </c>
      <c r="H23" s="64">
        <f>'[2]ES04TONS'!I131-'[2]ES04TONS'!I462-'[2]ES04TONS'!I582</f>
        <v>0</v>
      </c>
      <c r="I23" s="64">
        <f>'[2]ES04TONS'!J131-'[2]ES04TONS'!J462-'[2]ES04TONS'!J582</f>
        <v>0</v>
      </c>
      <c r="J23" s="64">
        <f>'[2]ES04TONS'!K131-'[2]ES04TONS'!K462-'[2]ES04TONS'!K582</f>
        <v>0</v>
      </c>
      <c r="K23" s="64">
        <f>'[2]ES04TONS'!L131-'[2]ES04TONS'!L462-'[2]ES04TONS'!L582</f>
        <v>0</v>
      </c>
      <c r="L23" s="64">
        <f>'[2]ES04TONS'!M131-'[2]ES04TONS'!M462-'[2]ES04TONS'!M582</f>
        <v>0</v>
      </c>
      <c r="M23" s="64">
        <f>'[2]ES04TONS'!N131-'[2]ES04TONS'!N462-'[2]ES04TONS'!N582</f>
        <v>0</v>
      </c>
      <c r="N23" s="63">
        <v>3540</v>
      </c>
    </row>
    <row r="24" spans="1:14" ht="11.25">
      <c r="A24" s="63" t="s">
        <v>108</v>
      </c>
      <c r="B24" s="64">
        <v>0</v>
      </c>
      <c r="C24" s="64">
        <v>1</v>
      </c>
      <c r="D24" s="64">
        <v>1</v>
      </c>
      <c r="E24" s="64">
        <v>0</v>
      </c>
      <c r="F24" s="64">
        <f>'[2]ES04TONS'!G132-'[2]ES04TONS'!G463-'[2]ES04TONS'!G583</f>
        <v>0</v>
      </c>
      <c r="G24" s="64">
        <f>'[2]ES04TONS'!H132-'[2]ES04TONS'!H463-'[2]ES04TONS'!H583</f>
        <v>0</v>
      </c>
      <c r="H24" s="64">
        <f>'[2]ES04TONS'!I132-'[2]ES04TONS'!I463-'[2]ES04TONS'!I583</f>
        <v>0</v>
      </c>
      <c r="I24" s="64">
        <f>'[2]ES04TONS'!J132-'[2]ES04TONS'!J463-'[2]ES04TONS'!J583</f>
        <v>0</v>
      </c>
      <c r="J24" s="64">
        <f>'[2]ES04TONS'!K132-'[2]ES04TONS'!K463-'[2]ES04TONS'!K583</f>
        <v>0</v>
      </c>
      <c r="K24" s="64">
        <f>'[2]ES04TONS'!L132-'[2]ES04TONS'!L463-'[2]ES04TONS'!L583</f>
        <v>0</v>
      </c>
      <c r="L24" s="64">
        <f>'[2]ES04TONS'!M132-'[2]ES04TONS'!M463-'[2]ES04TONS'!M583</f>
        <v>0</v>
      </c>
      <c r="M24" s="64">
        <f>'[2]ES04TONS'!N132-'[2]ES04TONS'!N463-'[2]ES04TONS'!N583</f>
        <v>0</v>
      </c>
      <c r="N24" s="63">
        <v>0</v>
      </c>
    </row>
    <row r="25" spans="1:14" ht="11.25">
      <c r="A25" s="63" t="s">
        <v>109</v>
      </c>
      <c r="B25" s="64">
        <v>0</v>
      </c>
      <c r="C25" s="64">
        <v>0</v>
      </c>
      <c r="D25" s="64">
        <v>0</v>
      </c>
      <c r="E25" s="64">
        <v>0</v>
      </c>
      <c r="F25" s="64">
        <f>'[2]ES04TONS'!G133-'[2]ES04TONS'!G464-'[2]ES04TONS'!G584</f>
        <v>0</v>
      </c>
      <c r="G25" s="64">
        <f>'[2]ES04TONS'!H133-'[2]ES04TONS'!H464-'[2]ES04TONS'!H584</f>
        <v>0</v>
      </c>
      <c r="H25" s="64">
        <f>'[2]ES04TONS'!I133-'[2]ES04TONS'!I464-'[2]ES04TONS'!I584</f>
        <v>0</v>
      </c>
      <c r="I25" s="64">
        <f>'[2]ES04TONS'!J133-'[2]ES04TONS'!J464-'[2]ES04TONS'!J584</f>
        <v>0</v>
      </c>
      <c r="J25" s="64">
        <f>'[2]ES04TONS'!K133-'[2]ES04TONS'!K464-'[2]ES04TONS'!K584</f>
        <v>0</v>
      </c>
      <c r="K25" s="64">
        <f>'[2]ES04TONS'!L133-'[2]ES04TONS'!L464-'[2]ES04TONS'!L584</f>
        <v>0</v>
      </c>
      <c r="L25" s="64">
        <f>'[2]ES04TONS'!M133-'[2]ES04TONS'!M464-'[2]ES04TONS'!M584</f>
        <v>0</v>
      </c>
      <c r="M25" s="64">
        <f>'[2]ES04TONS'!N133-'[2]ES04TONS'!N464-'[2]ES04TONS'!N584</f>
        <v>0</v>
      </c>
      <c r="N25" s="63">
        <v>0</v>
      </c>
    </row>
    <row r="26" spans="1:14" ht="11.25">
      <c r="A26" s="63" t="s">
        <v>110</v>
      </c>
      <c r="B26" s="64">
        <v>0</v>
      </c>
      <c r="C26" s="64">
        <v>0</v>
      </c>
      <c r="D26" s="64">
        <v>0</v>
      </c>
      <c r="E26" s="64">
        <v>0</v>
      </c>
      <c r="F26" s="64">
        <f>'[2]ES04TONS'!G134-'[2]ES04TONS'!G465-'[2]ES04TONS'!G585</f>
        <v>0</v>
      </c>
      <c r="G26" s="64">
        <f>'[2]ES04TONS'!H134-'[2]ES04TONS'!H465-'[2]ES04TONS'!H585</f>
        <v>0</v>
      </c>
      <c r="H26" s="64">
        <f>'[2]ES04TONS'!I134-'[2]ES04TONS'!I465-'[2]ES04TONS'!I585</f>
        <v>0</v>
      </c>
      <c r="I26" s="64">
        <f>'[2]ES04TONS'!J134-'[2]ES04TONS'!J465-'[2]ES04TONS'!J585</f>
        <v>0</v>
      </c>
      <c r="J26" s="64">
        <f>'[2]ES04TONS'!K134-'[2]ES04TONS'!K465-'[2]ES04TONS'!K585</f>
        <v>0</v>
      </c>
      <c r="K26" s="64">
        <f>'[2]ES04TONS'!L134-'[2]ES04TONS'!L465-'[2]ES04TONS'!L585</f>
        <v>0</v>
      </c>
      <c r="L26" s="64">
        <f>'[2]ES04TONS'!M134-'[2]ES04TONS'!M465-'[2]ES04TONS'!M585</f>
        <v>0</v>
      </c>
      <c r="M26" s="64">
        <f>'[2]ES04TONS'!N134-'[2]ES04TONS'!N465-'[2]ES04TONS'!N585</f>
        <v>0</v>
      </c>
      <c r="N26" s="63">
        <v>0</v>
      </c>
    </row>
    <row r="27" spans="1:14" ht="11.25">
      <c r="A27" s="63" t="s">
        <v>111</v>
      </c>
      <c r="B27" s="64">
        <v>2322</v>
      </c>
      <c r="C27" s="64">
        <v>2254</v>
      </c>
      <c r="D27" s="64">
        <v>2438</v>
      </c>
      <c r="E27" s="64">
        <v>2261</v>
      </c>
      <c r="F27" s="64">
        <f>'[2]ES04TONS'!G135-'[2]ES04TONS'!G466-'[2]ES04TONS'!G586</f>
        <v>0</v>
      </c>
      <c r="G27" s="64">
        <f>'[2]ES04TONS'!H135-'[2]ES04TONS'!H466-'[2]ES04TONS'!H586</f>
        <v>0</v>
      </c>
      <c r="H27" s="64">
        <f>'[2]ES04TONS'!I135-'[2]ES04TONS'!I466-'[2]ES04TONS'!I586</f>
        <v>0</v>
      </c>
      <c r="I27" s="64">
        <f>'[2]ES04TONS'!J135-'[2]ES04TONS'!J466-'[2]ES04TONS'!J586</f>
        <v>0</v>
      </c>
      <c r="J27" s="64">
        <f>'[2]ES04TONS'!K135-'[2]ES04TONS'!K466-'[2]ES04TONS'!K586</f>
        <v>0</v>
      </c>
      <c r="K27" s="64">
        <f>'[2]ES04TONS'!L135-'[2]ES04TONS'!L466-'[2]ES04TONS'!L586</f>
        <v>0</v>
      </c>
      <c r="L27" s="64">
        <f>'[2]ES04TONS'!M135-'[2]ES04TONS'!M466-'[2]ES04TONS'!M586</f>
        <v>0</v>
      </c>
      <c r="M27" s="64">
        <f>'[2]ES04TONS'!N135-'[2]ES04TONS'!N466-'[2]ES04TONS'!N586</f>
        <v>0</v>
      </c>
      <c r="N27" s="63">
        <v>2111</v>
      </c>
    </row>
    <row r="30" spans="1:14" ht="11.25">
      <c r="A30" s="63" t="s">
        <v>49</v>
      </c>
      <c r="B30" s="64">
        <f>SUM(B6:B26)</f>
        <v>16417</v>
      </c>
      <c r="C30" s="64">
        <f>SUM(C6:C26)</f>
        <v>16374</v>
      </c>
      <c r="D30" s="64">
        <f>SUM(D6:D26)</f>
        <v>16414</v>
      </c>
      <c r="E30" s="64">
        <f>SUM(E6:E26)</f>
        <v>16493</v>
      </c>
      <c r="F30" s="64">
        <f aca="true" t="shared" si="0" ref="F30:N30">SUM(F6:F26)</f>
        <v>0</v>
      </c>
      <c r="G30" s="64">
        <f t="shared" si="0"/>
        <v>0</v>
      </c>
      <c r="H30" s="64">
        <f t="shared" si="0"/>
        <v>0</v>
      </c>
      <c r="I30" s="64">
        <f t="shared" si="0"/>
        <v>0</v>
      </c>
      <c r="J30" s="64">
        <f t="shared" si="0"/>
        <v>0</v>
      </c>
      <c r="K30" s="64">
        <f t="shared" si="0"/>
        <v>0</v>
      </c>
      <c r="L30" s="64">
        <f t="shared" si="0"/>
        <v>0</v>
      </c>
      <c r="M30" s="64">
        <f t="shared" si="0"/>
        <v>0</v>
      </c>
      <c r="N30" s="64">
        <f t="shared" si="0"/>
        <v>16499</v>
      </c>
    </row>
  </sheetData>
  <printOptions/>
  <pageMargins left="0.75" right="0.75" top="1" bottom="1" header="0.5" footer="0.5"/>
  <pageSetup horizontalDpi="400" verticalDpi="4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Rabanco</dc:creator>
  <cp:keywords/>
  <dc:description/>
  <cp:lastModifiedBy>Allied Waste</cp:lastModifiedBy>
  <cp:lastPrinted>2004-07-01T20:51:30Z</cp:lastPrinted>
  <dcterms:created xsi:type="dcterms:W3CDTF">1997-05-23T07:36:40Z</dcterms:created>
  <dcterms:modified xsi:type="dcterms:W3CDTF">2004-08-06T17:54:38Z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Document</vt:lpwstr>
  </property>
  <property fmtid="{D5CDD505-2E9C-101B-9397-08002B2CF9AE}" pid="4" name="IsHighlyConfidenti">
    <vt:lpwstr>0</vt:lpwstr>
  </property>
  <property fmtid="{D5CDD505-2E9C-101B-9397-08002B2CF9AE}" pid="5" name="DocketNumb">
    <vt:lpwstr>031947</vt:lpwstr>
  </property>
  <property fmtid="{D5CDD505-2E9C-101B-9397-08002B2CF9AE}" pid="6" name="IsConfidenti">
    <vt:lpwstr>0</vt:lpwstr>
  </property>
  <property fmtid="{D5CDD505-2E9C-101B-9397-08002B2CF9AE}" pid="7" name="Dat">
    <vt:lpwstr>2004-08-06T00:00:00Z</vt:lpwstr>
  </property>
  <property fmtid="{D5CDD505-2E9C-101B-9397-08002B2CF9AE}" pid="8" name="CaseTy">
    <vt:lpwstr>Petition</vt:lpwstr>
  </property>
  <property fmtid="{D5CDD505-2E9C-101B-9397-08002B2CF9AE}" pid="9" name="OpenedDa">
    <vt:lpwstr>2003-11-24T00:00:00Z</vt:lpwstr>
  </property>
  <property fmtid="{D5CDD505-2E9C-101B-9397-08002B2CF9AE}" pid="10" name="Pref">
    <vt:lpwstr>TG</vt:lpwstr>
  </property>
  <property fmtid="{D5CDD505-2E9C-101B-9397-08002B2CF9AE}" pid="11" name="CaseCompanyNam">
    <vt:lpwstr>RABANCO LTD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