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0"/>
  </bookViews>
  <sheets>
    <sheet name="20.08 Tenaska Reg Asset" sheetId="1" r:id="rId1"/>
    <sheet name="Test Year Balances" sheetId="2" r:id="rId2"/>
    <sheet name="JHS 7.06 Exh D" sheetId="3" r:id="rId3"/>
    <sheet name="Tenaska 2006 GRC" sheetId="4" r:id="rId4"/>
    <sheet name="Tenaska.Backup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_123Graph_ECURRENT" localSheetId="2" hidden="1">'[2]ConsolidatingPL'!#REF!</definedName>
    <definedName name="__123Graph_ECURRENT" localSheetId="3" hidden="1">'[2]ConsolidatingPL'!#REF!</definedName>
    <definedName name="__123Graph_ECURRENT" localSheetId="4" hidden="1">'[2]ConsolidatingPL'!#REF!</definedName>
    <definedName name="__123Graph_ECURRENT" hidden="1">#N/A</definedName>
    <definedName name="_Fill" hidden="1">#REF!</definedName>
    <definedName name="_Order1" hidden="1">255</definedName>
    <definedName name="_Order2" hidden="1">255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4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4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4" hidden="1">{#N/A,#N/A,FALSE,"Coversheet";#N/A,#N/A,FALSE,"QA"}</definedName>
    <definedName name="DFIT" hidden="1">{#N/A,#N/A,FALSE,"Coversheet";#N/A,#N/A,FALSE,"QA"}</definedName>
    <definedName name="DocketNumber">'[5]JHS-4'!$AZ$2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IT">'[1]2.08-2.48'!$HA$20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4" hidden="1">{#N/A,#N/A,FALSE,"Summ";#N/A,#N/A,FALSE,"General"}</definedName>
    <definedName name="new" hidden="1">{#N/A,#N/A,FALSE,"Summ";#N/A,#N/A,FALSE,"General"}</definedName>
    <definedName name="O_M_Input">'[4]MiscItems(Input)'!$B$5:$AO$8,'[4]MiscItems(Input)'!$B$13:$AO$13,'[4]MiscItems(Input)'!$B$15:$B$17,'[4]MiscItems(Input)'!$B$17:$AO$17,'[4]MiscItems(Input)'!$B$15:$AO$15</definedName>
    <definedName name="Plant_Input">'[4]Plant(Input)'!$B$7:$AP$9,'[4]Plant(Input)'!$B$11,'[4]Plant(Input)'!$B$15:$AP$15,'[4]Plant(Input)'!$B$18,'[4]Plant(Input)'!$B$20:$AP$20</definedName>
    <definedName name="PPE797act">[0]!PPE797act</definedName>
    <definedName name="ppe797sum">[0]!ppe797sum</definedName>
    <definedName name="_xlnm.Print_Area" localSheetId="0">'20.08 Tenaska Reg Asset'!$A$1:$E$40</definedName>
    <definedName name="_xlnm.Print_Area" localSheetId="2">'JHS 7.06 Exh D'!$A$1:$O$263</definedName>
    <definedName name="_xlnm.Print_Titles" localSheetId="2">'JHS 7.06 Exh D'!$1:$7</definedName>
    <definedName name="qqq" localSheetId="2" hidden="1">{#N/A,#N/A,FALSE,"schA"}</definedName>
    <definedName name="qqq" localSheetId="3" hidden="1">{#N/A,#N/A,FALSE,"schA"}</definedName>
    <definedName name="qqq" localSheetId="4" hidden="1">{#N/A,#N/A,FALSE,"schA"}</definedName>
    <definedName name="qqq" hidden="1">{#N/A,#N/A,FALSE,"schA"}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2" hidden="1">{#N/A,#N/A,FALSE,"CRPT";#N/A,#N/A,FALSE,"TREND";#N/A,#N/A,FALSE,"%Curve"}</definedName>
    <definedName name="six6" localSheetId="3" hidden="1">{#N/A,#N/A,FALSE,"CRPT";#N/A,#N/A,FALSE,"TREND";#N/A,#N/A,FALSE,"%Curve"}</definedName>
    <definedName name="six6" localSheetId="4" hidden="1">{#N/A,#N/A,FALSE,"CRPT";#N/A,#N/A,FALSE,"TREND";#N/A,#N/A,FALSE,"%Curve"}</definedName>
    <definedName name="six6" hidden="1">{#N/A,#N/A,FALSE,"CRPT";#N/A,#N/A,FALSE,"TREND";#N/A,#N/A,FALSE,"%Curve"}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STYEAR">'[1]2.08-2.48'!$A$7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4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localSheetId="4" hidden="1">{#N/A,#N/A,FALSE,"Coversheet";#N/A,#N/A,FALSE,"QA"}</definedName>
    <definedName name="v" hidden="1">{#N/A,#N/A,FALSE,"Coversheet";#N/A,#N/A,FALSE,"QA"}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3" hidden="1">{#N/A,#N/A,FALSE,"schA"}</definedName>
    <definedName name="wrn.ECR." localSheetId="4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3" hidden="1">{#N/A,#N/A,FALSE,"schA"}</definedName>
    <definedName name="www" localSheetId="4" hidden="1">{#N/A,#N/A,FALSE,"schA"}</definedName>
    <definedName name="www" hidden="1">{#N/A,#N/A,FALSE,"schA"}</definedName>
    <definedName name="www1" localSheetId="2" hidden="1">{#N/A,#N/A,FALSE,"schA"}</definedName>
    <definedName name="www1" localSheetId="3" hidden="1">{#N/A,#N/A,FALSE,"schA"}</definedName>
    <definedName name="www1" localSheetId="4" hidden="1">{#N/A,#N/A,FALSE,"schA"}</definedName>
    <definedName name="www1" hidden="1">{#N/A,#N/A,FALSE,"schA"}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localSheetId="4" hidden="1">{#N/A,#N/A,FALSE,"Coversheet";#N/A,#N/A,FALSE,"QA"}</definedName>
    <definedName name="x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localSheetId="4" hidden="1">{#N/A,#N/A,FALSE,"Coversheet";#N/A,#N/A,FALSE,"QA"}</definedName>
    <definedName name="z" hidden="1">{#N/A,#N/A,FALSE,"Coversheet";#N/A,#N/A,FALSE,"QA"}</definedName>
    <definedName name="Z_03B5CB54_D950_4809_9BFA_B5E91687BDB2_.wvu.Cols" localSheetId="2" hidden="1">'JHS 7.06 Exh D'!#REF!</definedName>
    <definedName name="Z_03B5CB54_D950_4809_9BFA_B5E91687BDB2_.wvu.PrintArea" localSheetId="2" hidden="1">'JHS 7.06 Exh D'!$A$1:$N$112</definedName>
    <definedName name="Z_109A6FD5_7A38_487C_9B51_9E942A2A6DF7_.wvu.Cols" localSheetId="2" hidden="1">'JHS 7.06 Exh D'!#REF!</definedName>
    <definedName name="Z_109A6FD5_7A38_487C_9B51_9E942A2A6DF7_.wvu.PrintArea" localSheetId="2" hidden="1">'JHS 7.06 Exh D'!$A$1:$N$112</definedName>
    <definedName name="Z_2396DC2C_402A_4916_91F9_9FDB5C342408_.wvu.Cols" localSheetId="2" hidden="1">'JHS 7.06 Exh D'!#REF!</definedName>
    <definedName name="Z_2396DC2C_402A_4916_91F9_9FDB5C342408_.wvu.PrintArea" localSheetId="2" hidden="1">'JHS 7.06 Exh D'!$A$1:$N$112</definedName>
    <definedName name="Z_30171EF4_8F5E_4A73_A7BD_AC361852ECC0_.wvu.Cols" localSheetId="2" hidden="1">'JHS 7.06 Exh D'!#REF!</definedName>
    <definedName name="Z_30171EF4_8F5E_4A73_A7BD_AC361852ECC0_.wvu.PrintArea" localSheetId="2" hidden="1">'JHS 7.06 Exh D'!$A$1:$N$112</definedName>
    <definedName name="Z_323B199E_96B9_4DC6_8637_E126F9BA7C08_.wvu.Cols" localSheetId="2" hidden="1">'JHS 7.06 Exh D'!#REF!</definedName>
    <definedName name="Z_323B199E_96B9_4DC6_8637_E126F9BA7C08_.wvu.PrintArea" localSheetId="2" hidden="1">'JHS 7.06 Exh D'!$A$1:$N$112</definedName>
    <definedName name="Z_481D4E2E_20D4_45AB_AA2C_B34407716074_.wvu.Cols" localSheetId="2" hidden="1">'JHS 7.06 Exh D'!#REF!</definedName>
    <definedName name="Z_481D4E2E_20D4_45AB_AA2C_B34407716074_.wvu.PrintArea" localSheetId="2" hidden="1">'JHS 7.06 Exh D'!$A$1:$N$112</definedName>
    <definedName name="Z_663C3115_7A87_49DA_9260_EF1A41B87728_.wvu.Cols" localSheetId="2" hidden="1">'JHS 7.06 Exh D'!#REF!</definedName>
    <definedName name="Z_663C3115_7A87_49DA_9260_EF1A41B87728_.wvu.PrintArea" localSheetId="2" hidden="1">'JHS 7.06 Exh D'!$A$1:$N$112</definedName>
    <definedName name="Z_6BE2AA00_D0CA_4793_8091_7BAABD0B030C_.wvu.Cols" localSheetId="2" hidden="1">'JHS 7.06 Exh D'!#REF!</definedName>
    <definedName name="Z_6BE2AA00_D0CA_4793_8091_7BAABD0B030C_.wvu.PrintArea" localSheetId="2" hidden="1">'JHS 7.06 Exh D'!$A$1:$N$112</definedName>
    <definedName name="Z_6C054A84_7F92_45EC_B53F_EAC86C7019C4_.wvu.Cols" localSheetId="2" hidden="1">'JHS 7.06 Exh D'!#REF!</definedName>
    <definedName name="Z_6C054A84_7F92_45EC_B53F_EAC86C7019C4_.wvu.PrintArea" localSheetId="2" hidden="1">'JHS 7.06 Exh D'!$A$1:$N$112</definedName>
    <definedName name="Z_6CCD15FF_0E65_46C3_9881_A9AD5C3EA28A_.wvu.Cols" localSheetId="2" hidden="1">'JHS 7.06 Exh D'!#REF!</definedName>
    <definedName name="Z_6CCD15FF_0E65_46C3_9881_A9AD5C3EA28A_.wvu.PrintArea" localSheetId="2" hidden="1">'JHS 7.06 Exh D'!$A$1:$N$112</definedName>
    <definedName name="Z_7765C09D_9D61_4D8B_A0C4_7C6D784C2592_.wvu.Cols" localSheetId="2" hidden="1">'JHS 7.06 Exh D'!#REF!</definedName>
    <definedName name="Z_7765C09D_9D61_4D8B_A0C4_7C6D784C2592_.wvu.PrintArea" localSheetId="2" hidden="1">'JHS 7.06 Exh D'!$A$1:$N$112</definedName>
    <definedName name="Z_7B9E46E5_DE40_4DE3_A131_6EB2A495D794_.wvu.Cols" localSheetId="2" hidden="1">'JHS 7.06 Exh D'!#REF!</definedName>
    <definedName name="Z_7B9E46E5_DE40_4DE3_A131_6EB2A495D794_.wvu.PrintArea" localSheetId="2" hidden="1">'JHS 7.06 Exh D'!$A$1:$N$112</definedName>
    <definedName name="Z_84213CFC_D8F9_4E4C_B010_08EF5E3F8AD7_.wvu.Cols" localSheetId="2" hidden="1">'JHS 7.06 Exh D'!#REF!</definedName>
    <definedName name="Z_84213CFC_D8F9_4E4C_B010_08EF5E3F8AD7_.wvu.PrintArea" localSheetId="2" hidden="1">'JHS 7.06 Exh D'!$A$1:$N$112</definedName>
    <definedName name="Z_A5386FC6_060C_4FF8_9754_8F41ED24E370_.wvu.Cols" localSheetId="2" hidden="1">'JHS 7.06 Exh D'!#REF!</definedName>
    <definedName name="Z_A5386FC6_060C_4FF8_9754_8F41ED24E370_.wvu.PrintArea" localSheetId="2" hidden="1">'JHS 7.06 Exh D'!$A$1:$N$112</definedName>
    <definedName name="Z_A68D84AC_3459_4B1A_A82C_09666110CF77_.wvu.Cols" localSheetId="2" hidden="1">'JHS 7.06 Exh D'!#REF!</definedName>
    <definedName name="Z_A68D84AC_3459_4B1A_A82C_09666110CF77_.wvu.PrintArea" localSheetId="2" hidden="1">'JHS 7.06 Exh D'!$A$1:$N$112</definedName>
    <definedName name="Z_AD88DA1E_4535_4A0F_86F8_39D7812ED88C_.wvu.Cols" localSheetId="2" hidden="1">'JHS 7.06 Exh D'!#REF!</definedName>
    <definedName name="Z_AD88DA1E_4535_4A0F_86F8_39D7812ED88C_.wvu.PrintArea" localSheetId="2" hidden="1">'JHS 7.06 Exh D'!$A$1:$N$112</definedName>
    <definedName name="Z_B1F8DC23_D716_49D3_B2ED_6AD79DCC127D_.wvu.Cols" localSheetId="2" hidden="1">'JHS 7.06 Exh D'!#REF!</definedName>
    <definedName name="Z_B1F8DC23_D716_49D3_B2ED_6AD79DCC127D_.wvu.PrintArea" localSheetId="2" hidden="1">'JHS 7.06 Exh D'!$A$1:$N$112</definedName>
    <definedName name="Z_B645129D_C5C8_4408_A211_8D284ED241D4_.wvu.Cols" localSheetId="2" hidden="1">'JHS 7.06 Exh D'!#REF!</definedName>
    <definedName name="Z_B645129D_C5C8_4408_A211_8D284ED241D4_.wvu.PrintArea" localSheetId="2" hidden="1">'JHS 7.06 Exh D'!$A$1:$N$112</definedName>
    <definedName name="Z_BFF4269F_5159_4FE7_8C1B_7EF258D66D6C_.wvu.Cols" localSheetId="2" hidden="1">'JHS 7.06 Exh D'!#REF!</definedName>
    <definedName name="Z_BFF4269F_5159_4FE7_8C1B_7EF258D66D6C_.wvu.PrintArea" localSheetId="2" hidden="1">'JHS 7.06 Exh D'!$A$1:$N$112</definedName>
    <definedName name="Z_C4883C13_F396_4F7E_A779_FD99A50836F3_.wvu.Cols" localSheetId="2" hidden="1">'JHS 7.06 Exh D'!#REF!</definedName>
    <definedName name="Z_C4883C13_F396_4F7E_A779_FD99A50836F3_.wvu.PrintArea" localSheetId="2" hidden="1">'JHS 7.06 Exh D'!$A$1:$N$112</definedName>
    <definedName name="Z_D15D6F26_DA6E_456D_B7F5_850E9F3039F7_.wvu.Cols" localSheetId="2" hidden="1">'JHS 7.06 Exh D'!#REF!</definedName>
    <definedName name="Z_D15D6F26_DA6E_456D_B7F5_850E9F3039F7_.wvu.PrintArea" localSheetId="2" hidden="1">'JHS 7.06 Exh D'!$A$1:$N$112</definedName>
    <definedName name="Z_DA82D128_5452_45C5_914D_4ECF8FABD1C5_.wvu.Cols" localSheetId="2" hidden="1">'JHS 7.06 Exh D'!#REF!</definedName>
    <definedName name="Z_DA82D128_5452_45C5_914D_4ECF8FABD1C5_.wvu.PrintArea" localSheetId="2" hidden="1">'JHS 7.06 Exh D'!$A$1:$N$112</definedName>
    <definedName name="Z_E289851B_405E_4A98_8191_445F20CA287E_.wvu.Cols" localSheetId="2" hidden="1">'JHS 7.06 Exh D'!#REF!</definedName>
    <definedName name="Z_E289851B_405E_4A98_8191_445F20CA287E_.wvu.PrintArea" localSheetId="2" hidden="1">'JHS 7.06 Exh D'!$A$1:$N$112</definedName>
    <definedName name="Z_EE559E07_5B41_4877_A4D7_2B8A63F8CFFE_.wvu.Cols" localSheetId="2" hidden="1">'JHS 7.06 Exh D'!#REF!</definedName>
    <definedName name="Z_EE559E07_5B41_4877_A4D7_2B8A63F8CFFE_.wvu.PrintArea" localSheetId="2" hidden="1">'JHS 7.06 Exh D'!$A$1:$N$112</definedName>
  </definedNames>
  <calcPr fullCalcOnLoad="1"/>
</workbook>
</file>

<file path=xl/comments3.xml><?xml version="1.0" encoding="utf-8"?>
<comments xmlns="http://schemas.openxmlformats.org/spreadsheetml/2006/main">
  <authors>
    <author>akello</author>
    <author>sfree</author>
  </authors>
  <commentList>
    <comment ref="B160" authorId="0">
      <text>
        <r>
          <rPr>
            <b/>
            <sz val="8"/>
            <rFont val="Tahoma"/>
            <family val="2"/>
          </rPr>
          <t>akello:</t>
        </r>
        <r>
          <rPr>
            <sz val="8"/>
            <rFont val="Tahoma"/>
            <family val="2"/>
          </rPr>
          <t xml:space="preserve">
15 years amort starting April 8, 2010 - April 7,2025
</t>
        </r>
      </text>
    </comment>
    <comment ref="B228" authorId="0">
      <text>
        <r>
          <rPr>
            <b/>
            <sz val="8"/>
            <rFont val="Tahoma"/>
            <family val="2"/>
          </rPr>
          <t>akello:</t>
        </r>
        <r>
          <rPr>
            <sz val="8"/>
            <rFont val="Tahoma"/>
            <family val="2"/>
          </rPr>
          <t xml:space="preserve">
not calculating the carrying costs, and no DFIT.
</t>
        </r>
      </text>
    </comment>
    <comment ref="N249" authorId="1">
      <text>
        <r>
          <rPr>
            <b/>
            <sz val="8"/>
            <rFont val="Tahoma"/>
            <family val="2"/>
          </rPr>
          <t>sfree:</t>
        </r>
        <r>
          <rPr>
            <sz val="8"/>
            <rFont val="Tahoma"/>
            <family val="2"/>
          </rPr>
          <t xml:space="preserve">
Final Revised per UE-051314.  Adjustment between originally filed and final posted in December 2005.
($32,966,029 - $32,956,707 = $9,322)</t>
        </r>
      </text>
    </comment>
    <comment ref="B251" authorId="1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sfree</author>
  </authors>
  <commentList>
    <comment ref="K43" authorId="0">
      <text>
        <r>
          <rPr>
            <sz val="8"/>
            <rFont val="Tahoma"/>
            <family val="2"/>
          </rPr>
          <t xml:space="preserve">
6 month AMA = (June + Dec + sum(July - Nov)*2)/12</t>
        </r>
      </text>
    </comment>
  </commentList>
</comments>
</file>

<file path=xl/sharedStrings.xml><?xml version="1.0" encoding="utf-8"?>
<sst xmlns="http://schemas.openxmlformats.org/spreadsheetml/2006/main" count="580" uniqueCount="243">
  <si>
    <t>RATEBASE</t>
  </si>
  <si>
    <t>PUGET SOUND ENERGY-ELECTRIC</t>
  </si>
  <si>
    <t>Tax Rate</t>
  </si>
  <si>
    <t>Total</t>
  </si>
  <si>
    <t>Income Statement Associated with Tenaska Accounting Order</t>
  </si>
  <si>
    <t>(dollars in thousands)</t>
  </si>
  <si>
    <t>Operating Expense</t>
  </si>
  <si>
    <t>Gas Cost Savings</t>
  </si>
  <si>
    <t>Amortization</t>
  </si>
  <si>
    <t>Federal Income Tax</t>
  </si>
  <si>
    <t xml:space="preserve">   FIT on Amortization of Purchase Price</t>
  </si>
  <si>
    <t xml:space="preserve">   FIT on Interest Expense</t>
  </si>
  <si>
    <t xml:space="preserve">   Deferred FIT Expense</t>
  </si>
  <si>
    <t xml:space="preserve">   FIT on Gas Cost Savings</t>
  </si>
  <si>
    <t>Total Operaring Expense</t>
  </si>
  <si>
    <t>Operating Income (Loss)</t>
  </si>
  <si>
    <t xml:space="preserve">Other Income </t>
  </si>
  <si>
    <t>Income Before Interest</t>
  </si>
  <si>
    <t>Interest</t>
  </si>
  <si>
    <t>Net Savings</t>
  </si>
  <si>
    <t>Gross Savings</t>
  </si>
  <si>
    <t>Balance Sheet Associated with Tenaska Accounting Order</t>
  </si>
  <si>
    <t>Regulatory Assets</t>
  </si>
  <si>
    <t>Gas Supply Contract Buyout Cost</t>
  </si>
  <si>
    <t>Allowance for Funds on Power Contracts (AFPC)</t>
  </si>
  <si>
    <t>17b</t>
  </si>
  <si>
    <t>Disallowance of AFPC per UE-031725</t>
  </si>
  <si>
    <r>
      <t>Amortization (</t>
    </r>
    <r>
      <rPr>
        <i/>
        <sz val="10"/>
        <rFont val="Times New Roman"/>
        <family val="1"/>
      </rPr>
      <t>No change from orginal instructions</t>
    </r>
    <r>
      <rPr>
        <sz val="10"/>
        <rFont val="Times New Roman"/>
        <family val="1"/>
      </rPr>
      <t>)</t>
    </r>
  </si>
  <si>
    <t>18b</t>
  </si>
  <si>
    <t>Impact on Amort associated with Disallowance</t>
  </si>
  <si>
    <t xml:space="preserve">   Total Cumulative Regulatory Assets</t>
  </si>
  <si>
    <t>Liabilities</t>
  </si>
  <si>
    <t>Deferred FIT on Allowance for Funds on Pwr Cnt</t>
  </si>
  <si>
    <t>20b</t>
  </si>
  <si>
    <t>Deferred FIT on Disallowance of AFPC</t>
  </si>
  <si>
    <t>Deferred FIT Turnaround</t>
  </si>
  <si>
    <t xml:space="preserve"> </t>
  </si>
  <si>
    <t>21b</t>
  </si>
  <si>
    <t>Impact of Disallowance on DFIT Turnaround</t>
  </si>
  <si>
    <t xml:space="preserve">   Total Cumulative Liabilities</t>
  </si>
  <si>
    <t>Total Regulatory Assets and Liabilities</t>
  </si>
  <si>
    <t>Principal Amortization</t>
  </si>
  <si>
    <t>Amortization of AFPC</t>
  </si>
  <si>
    <t>25b</t>
  </si>
  <si>
    <t>Impact of Disallowance on Amort of AFPC</t>
  </si>
  <si>
    <r>
      <t xml:space="preserve"> Amortization percertage  (</t>
    </r>
    <r>
      <rPr>
        <i/>
        <sz val="10"/>
        <rFont val="Times New Roman"/>
        <family val="1"/>
      </rPr>
      <t>No change from orginal instructions</t>
    </r>
    <r>
      <rPr>
        <sz val="10"/>
        <rFont val="Times New Roman"/>
        <family val="1"/>
      </rPr>
      <t>)</t>
    </r>
  </si>
  <si>
    <t>Net Capitalized Interest (ln17 + ln20)</t>
  </si>
  <si>
    <t>28b</t>
  </si>
  <si>
    <t>Net Disallowance on AFPC (ln17b + ln20b)</t>
  </si>
  <si>
    <t>Net Amortization (ln18 + ln21)</t>
  </si>
  <si>
    <t>29b</t>
  </si>
  <si>
    <t>Net Impact associated with Disallowance</t>
  </si>
  <si>
    <t>Net Capitalized Interest</t>
  </si>
  <si>
    <t>From Exhibit B</t>
  </si>
  <si>
    <t>B</t>
  </si>
  <si>
    <t>2b</t>
  </si>
  <si>
    <t>Disallowance of AFPC</t>
  </si>
  <si>
    <t>J:\GrpRevnu\PUBLIC\# 2006 GRC\2006 GRC Original Filing\Models&amp;Adjs\[2.26E Regulatory Assets &amp; Liability.xls]Tenaska.Backup</t>
  </si>
  <si>
    <t>PUGET SOUND ENERGY</t>
  </si>
  <si>
    <t>TENASKA BUYOUT</t>
  </si>
  <si>
    <t>As Accepted in WUTC Docket No. UE-060266</t>
  </si>
  <si>
    <t>ADAPTED FROM ORIGINAL ACCOUNTING PROCEDURES FILED WITH UE-971619 PURSUANT TO UE-031725</t>
  </si>
  <si>
    <t>Regulatory Asset net of Deferred FIT (GL 18230001 and 28300451)</t>
  </si>
  <si>
    <t>Net Asset</t>
  </si>
  <si>
    <t>Allow for Funds on Pwr Cntrcts (AFPC)</t>
  </si>
  <si>
    <t>Amortization of Asset Balance</t>
  </si>
  <si>
    <t>Amortization of Deferred FIT Balance</t>
  </si>
  <si>
    <t>Net Reg Asset (18230001 and 28300451)</t>
  </si>
  <si>
    <t>DFIT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</si>
  <si>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</si>
  <si>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</si>
  <si>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</si>
  <si>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</si>
  <si>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</si>
  <si>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</si>
  <si>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</si>
  <si>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</si>
  <si>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</si>
  <si>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</si>
  <si>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</si>
  <si>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</si>
  <si>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PCA PERIODS, ETC.</t>
  </si>
  <si>
    <t>GRC</t>
  </si>
  <si>
    <t>PCORC</t>
  </si>
  <si>
    <t>PCA 3</t>
  </si>
  <si>
    <t>PCA 4</t>
  </si>
  <si>
    <t>PCA 5</t>
  </si>
  <si>
    <t>PCA 6</t>
  </si>
  <si>
    <t>PCA 7</t>
  </si>
  <si>
    <t>PCA 8</t>
  </si>
  <si>
    <t>PCA 9</t>
  </si>
  <si>
    <t>PCA 10</t>
  </si>
  <si>
    <t>PCA 11</t>
  </si>
  <si>
    <t>12 Months Ended (Except PCA 5)</t>
  </si>
  <si>
    <t>AMA Net Reg Asset (18230001 and 28300451)</t>
  </si>
  <si>
    <t>PCORC PERIODS</t>
  </si>
  <si>
    <t>as of 3/31/2005</t>
  </si>
  <si>
    <t>as of 11/30/2006</t>
  </si>
  <si>
    <t>PCA PERIODS</t>
  </si>
  <si>
    <t>12 Months Ended</t>
  </si>
  <si>
    <t>Exhibit D:  Regulatory Assets and Liabilities net of Accumulated Amortization and Deferred Taxes (PCA Periods)</t>
  </si>
  <si>
    <t xml:space="preserve">PCA Period 9 </t>
  </si>
  <si>
    <t>12 Months Ended Dec 2010</t>
  </si>
  <si>
    <t>PCA Period</t>
  </si>
  <si>
    <t>Balance net of</t>
  </si>
  <si>
    <t>Return</t>
  </si>
  <si>
    <t>Ref</t>
  </si>
  <si>
    <t>Description</t>
  </si>
  <si>
    <t>Asset Amort</t>
  </si>
  <si>
    <t>AA &amp; ADFIT</t>
  </si>
  <si>
    <r>
      <t xml:space="preserve">AMA Ratebase </t>
    </r>
    <r>
      <rPr>
        <b/>
        <sz val="6"/>
        <rFont val="Arial"/>
        <family val="2"/>
      </rPr>
      <t>as of</t>
    </r>
  </si>
  <si>
    <t>A.T. %</t>
  </si>
  <si>
    <t>Amount</t>
  </si>
  <si>
    <t>Pre Tax</t>
  </si>
  <si>
    <t>Monthly</t>
  </si>
  <si>
    <t>(Note 1)</t>
  </si>
  <si>
    <t>Cabot Buyout</t>
  </si>
  <si>
    <t>G/L Accts #18230171, #19000121,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</si>
  <si>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</si>
  <si>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</si>
  <si>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</si>
  <si>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</si>
  <si>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</si>
  <si>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</si>
  <si>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</si>
  <si>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</si>
  <si>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</si>
  <si>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</si>
  <si>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</si>
  <si>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</si>
  <si>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</si>
  <si>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7.06%&amp;7.00%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</si>
  <si>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</si>
  <si>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</si>
  <si>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</si>
  <si>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</si>
  <si>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</si>
  <si>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</si>
  <si>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7.00%&amp;6.90%</t>
  </si>
  <si>
    <t>Dec 2011</t>
  </si>
  <si>
    <t>BEP</t>
  </si>
  <si>
    <t>G/L Accts #18230071, #18230081, and #28300431 and Order #55500007</t>
  </si>
  <si>
    <t>Dec 2012</t>
  </si>
  <si>
    <t>Dec 2013</t>
  </si>
  <si>
    <t>Dec 2014</t>
  </si>
  <si>
    <t>Dec 2015</t>
  </si>
  <si>
    <t>Dec 2016</t>
  </si>
  <si>
    <t>Dec 2017</t>
  </si>
  <si>
    <t>White River Relicensing</t>
  </si>
  <si>
    <t>G/L Accts #18230641, 691, #18236021, 31, 41, 51, 61, 71, 91, 6101,  #18230971, #19000021 and #28300011</t>
  </si>
  <si>
    <t>White River Plant Costs</t>
  </si>
  <si>
    <t>G/L Accts #18220011, #21, #31, #41 and #51 and Order #40700015, portion of #28200121</t>
  </si>
  <si>
    <t>CWA Sales Proceeds</t>
  </si>
  <si>
    <t>G/L Accts #18220061</t>
  </si>
  <si>
    <t>White River DFIT</t>
  </si>
  <si>
    <t>G/L Accts #28300651</t>
  </si>
  <si>
    <t>Canwest Liability</t>
  </si>
  <si>
    <t>G/L Accts #25400021, #14300061 and #19000451 and Order #547 / #456</t>
  </si>
  <si>
    <t>Hopkins Ridge Prepaid Transm</t>
  </si>
  <si>
    <t>G/L Accts #18230231, #18230371, Orders #56500011 and #56500021</t>
  </si>
  <si>
    <t>Goldendale Fixed Cost Deferral</t>
  </si>
  <si>
    <t>G/L Accts #18230381, 391, #28300541 and #28300551 and Order #40730041</t>
  </si>
  <si>
    <t>Hopkins Ridge Mitigation Credit</t>
  </si>
  <si>
    <t>G/L Accts #25400171 and #19000561 and Order #55500017</t>
  </si>
  <si>
    <t>FB Energy Capacity Payment - UE-082013</t>
  </si>
  <si>
    <t>G/L Accts #25300601 and #19000151 and Order #54700010</t>
  </si>
  <si>
    <t>Dec 2018</t>
  </si>
  <si>
    <t>Dec 2019</t>
  </si>
  <si>
    <t>Mint Farm Deferral (Note 2)</t>
  </si>
  <si>
    <t>G/L Accts #18600351, 361, 371, #18235521 and Orders #40740061,# 40730051, #41900026, 28 and #55500136</t>
  </si>
  <si>
    <t>not in rates</t>
  </si>
  <si>
    <t>WHE Deferral (Note 2)</t>
  </si>
  <si>
    <t>G/L Accts #18600611&amp;621&amp;631, and 18235531 Orders #40740071, #40730061 #41900037&amp;39, #55500093&amp;139</t>
  </si>
  <si>
    <t>BNP Capacity - UE-100503 (Note 3)</t>
  </si>
  <si>
    <t>G/L Accts # 19000711, # 25302121, #25400191 and Order #54700005</t>
  </si>
  <si>
    <t xml:space="preserve">Freddy 1-Def Asset </t>
  </si>
  <si>
    <t>PP Exp-Planned Maj. Maint.</t>
  </si>
  <si>
    <t>G/L Accts # 18600831, #18231001 Orders #51218007, #51318019, #55360053, #55460076</t>
  </si>
  <si>
    <t xml:space="preserve">Goldendale -Def Asset </t>
  </si>
  <si>
    <t>G/L Accts # 18600841, #18231011 Order #55362083 &amp;553002864</t>
  </si>
  <si>
    <t xml:space="preserve">Sumas -Def Asset </t>
  </si>
  <si>
    <t>G/L Accts # 18600541, 18231021 Order #55300948, #55363078, #553002862</t>
  </si>
  <si>
    <t>(Note 6)</t>
  </si>
  <si>
    <t xml:space="preserve">Mint Farm -Def Asset </t>
  </si>
  <si>
    <t>PP Exp-Planned Maj. Maint. (Note 3)</t>
  </si>
  <si>
    <t>G/L Accts # 18231031, 16500741, Order #553002866 (Prod O&amp;M)</t>
  </si>
  <si>
    <t>Chelan PUD Contract Initiation (Note 3)</t>
  </si>
  <si>
    <t>G/L Accts # 18230351, #28300561, Order #555</t>
  </si>
  <si>
    <t>Payment</t>
  </si>
  <si>
    <t>Chelan - Rock Island Security Deposit (Note 3)</t>
  </si>
  <si>
    <t>Sumas HGP Inspection Prepaid Maintenance</t>
  </si>
  <si>
    <t>G/L Accts # 18231041, #16500711, #23200301</t>
  </si>
  <si>
    <t>Colstrip 1 and 2 (WECo)</t>
  </si>
  <si>
    <t>G/L Accts # 16599011, Order #501</t>
  </si>
  <si>
    <t>Reservation Payment (Note 3)</t>
  </si>
  <si>
    <t>Period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</si>
  <si>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</si>
  <si>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</si>
  <si>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</si>
  <si>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</si>
  <si>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</si>
  <si>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</si>
  <si>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</si>
  <si>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</si>
  <si>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</si>
  <si>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</si>
  <si>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PCA #10</t>
  </si>
  <si>
    <t>PCA #11</t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</si>
  <si>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>Amounts in these columns are net of accumulated amortization AND the associated Deferred FIT liabilitiy / asset.</t>
    </r>
  </si>
  <si>
    <r>
      <t xml:space="preserve">Note (2)  </t>
    </r>
    <r>
      <rPr>
        <sz val="10"/>
        <rFont val="Arial"/>
        <family val="2"/>
      </rPr>
      <t>Return on ratebase was being recognized and deferred on these regulatory assets up until 4/7/2010.  Therefore, recognition</t>
    </r>
  </si>
  <si>
    <t>of return on these assets in Exhibit D for purposes of calculating the PCA deferral beginning 4/8/2010 is appropriate.</t>
  </si>
  <si>
    <r>
      <t xml:space="preserve">Note (3)  </t>
    </r>
    <r>
      <rPr>
        <sz val="10"/>
        <rFont val="Arial"/>
        <family val="2"/>
      </rPr>
      <t>The monthly return amount are only for applicable months for the rate year.</t>
    </r>
  </si>
  <si>
    <t>TEST YEAR</t>
  </si>
  <si>
    <t>ADJUSTMENT</t>
  </si>
  <si>
    <t>REMOVE COSTS ASSOCIATED WITH TENASKA REGULATORY ASSET</t>
  </si>
  <si>
    <t>GENERAL RATE INCREASE</t>
  </si>
  <si>
    <t>LINE</t>
  </si>
  <si>
    <t>ADJUSTED</t>
  </si>
  <si>
    <t>NO.</t>
  </si>
  <si>
    <t>DESCRIPTION</t>
  </si>
  <si>
    <t>REGULATORY ASSET</t>
  </si>
  <si>
    <t>DEFERRED FIT</t>
  </si>
  <si>
    <t>NET RATEBASE</t>
  </si>
  <si>
    <t>AMORTIZATION (NOTE 1) AND DISALLOWANCES</t>
  </si>
  <si>
    <t>AMORTIZATION OF PURCHASE PRICE:</t>
  </si>
  <si>
    <t>NON-TAXABLE</t>
  </si>
  <si>
    <t>TOTAL AMORTIZATION OF PURCHASE PRICE</t>
  </si>
  <si>
    <t>DISALLOWANCES</t>
  </si>
  <si>
    <t>SUBTOTAL NORMALIZED</t>
  </si>
  <si>
    <t>INCREASE (DECREASE ) EXPENSE</t>
  </si>
  <si>
    <t>INCREASE (DECREASE) NOI</t>
  </si>
  <si>
    <t>TOTAL NET OPERATING INCOME</t>
  </si>
  <si>
    <t>(NOTE 1) TOTAL AMORTIZATION = $37,532,000 = $14,334,286 TAXABLE PURCHASE PRICE + $16,823,714 NON-TAXABLE</t>
  </si>
  <si>
    <t>PURCHASE PRICE + TAXABLE AFPC $6,374,000.</t>
  </si>
  <si>
    <t>(NOTE 2) THE IMPACT ON THE TAX BENEFIT OF PROFORMA INTEREST IS HANDLED IN ADJUSTMENT NO. 05</t>
  </si>
  <si>
    <t>AMA</t>
  </si>
  <si>
    <t>18230001 - Tenaska Regulatory Asset</t>
  </si>
  <si>
    <t>28300451 - DFIT Tenaska Purchase</t>
  </si>
  <si>
    <t>Tenaska Test Year Balances</t>
  </si>
  <si>
    <t>(NOTE 3)  ALLOWANCE FOR FUNDS USED FOR POWER CONTRACTS</t>
  </si>
  <si>
    <t>AMORTIZATION OF AFPC PORTION (3)</t>
  </si>
  <si>
    <t>FOR THE TWELVE MONTHS ENDED DECEMBER 31, 2008</t>
  </si>
  <si>
    <t>Page 20.08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</si>
</sst>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"/>
    <numFmt numFmtId="167" formatCode="_(* #,##0.00000_);_(* \(#,##0.00000\);_(* &quot;-&quot;??_);_(@_)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_(&quot;$&quot;* #,##0.000000_);_(&quot;$&quot;* \(#,##0.000000\);_(&quot;$&quot;* &quot;-&quot;??????_);_(@_)"/>
    <numFmt numFmtId="174" formatCode="&quot;$&quot;#,##0;\-&quot;$&quot;#,##0"/>
    <numFmt numFmtId="175" formatCode="0000000"/>
    <numFmt numFmtId="176" formatCode="0.0000%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0.000%"/>
    <numFmt numFmtId="180" formatCode="_(&quot;$&quot;* #,##0.000_);_(&quot;$&quot;* \(#,##0.000\);_(&quot;$&quot;* &quot;-&quot;??_);_(@_)"/>
    <numFmt numFmtId="181" formatCode="[$-409]d\-mmm\-yy;@"/>
    <numFmt numFmtId="182" formatCode="&quot;$&quot;#,##0.00"/>
    <numFmt numFmtId="183" formatCode="m/yy"/>
    <numFmt numFmtId="184" formatCode="_(* #,##0.000_);_(* \(#,##0.000\);_(* &quot;-&quot;??_);_(@_)"/>
    <numFmt numFmtId="185" formatCode="[$-409]mmm\-yy;@"/>
    <numFmt numFmtId="186" formatCode="0.00000%"/>
    <numFmt numFmtId="187" formatCode="0.0%"/>
    <numFmt numFmtId="188" formatCode="mmm\ yyyy"/>
    <numFmt numFmtId="189" formatCode="_(* #,##0.0_);_(* \(#,##0.0\);_(* &quot;-&quot;??_);_(@_)"/>
    <numFmt numFmtId="190" formatCode="_(&quot;$&quot;* #,##0.0_);_(&quot;$&quot;* \(#,##0.0\);_(&quot;$&quot;* &quot;-&quot;??_);_(@_)"/>
    <numFmt numFmtId="191" formatCode="&quot;PAGE&quot;\ 0.00"/>
    <numFmt numFmtId="192" formatCode="#,##0;\(#,##0\)"/>
    <numFmt numFmtId="193" formatCode="#,##0_);[Red]\(#,##0\);&quot; 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univers (E1)"/>
      <family val="0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6"/>
      <name val="Arial"/>
      <family val="2"/>
    </font>
    <font>
      <b/>
      <i/>
      <sz val="10"/>
      <color indexed="9"/>
      <name val="Arial"/>
      <family val="2"/>
    </font>
    <font>
      <sz val="8"/>
      <name val="Tahoma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b/>
      <sz val="8"/>
      <name val="Helv"/>
      <family val="0"/>
    </font>
    <font>
      <b/>
      <sz val="8"/>
      <name val="Tahoma"/>
      <family val="2"/>
    </font>
    <font>
      <sz val="10"/>
      <name val="Tahoma"/>
      <family val="2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</borders>
  <cellStyleXfs count="1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166" fontId="5" fillId="0" borderId="0">
      <alignment horizontal="left" wrapText="1"/>
      <protection/>
    </xf>
    <xf numFmtId="168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0" fontId="6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8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0" fontId="5" fillId="0" borderId="0">
      <alignment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167" fontId="5" fillId="0" borderId="0">
      <alignment horizontal="left" wrapText="1"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" fillId="25" borderId="0" applyNumberFormat="0" applyBorder="0" applyAlignment="0" applyProtection="0"/>
    <xf numFmtId="0" fontId="70" fillId="26" borderId="0" applyNumberFormat="0" applyBorder="0" applyAlignment="0" applyProtection="0"/>
    <xf numFmtId="0" fontId="7" fillId="17" borderId="0" applyNumberFormat="0" applyBorder="0" applyAlignment="0" applyProtection="0"/>
    <xf numFmtId="0" fontId="70" fillId="27" borderId="0" applyNumberFormat="0" applyBorder="0" applyAlignment="0" applyProtection="0"/>
    <xf numFmtId="0" fontId="7" fillId="19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33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0" applyNumberFormat="0" applyBorder="0" applyAlignment="0" applyProtection="0"/>
    <xf numFmtId="0" fontId="7" fillId="37" borderId="0" applyNumberFormat="0" applyBorder="0" applyAlignment="0" applyProtection="0"/>
    <xf numFmtId="0" fontId="70" fillId="38" borderId="0" applyNumberFormat="0" applyBorder="0" applyAlignment="0" applyProtection="0"/>
    <xf numFmtId="0" fontId="7" fillId="39" borderId="0" applyNumberFormat="0" applyBorder="0" applyAlignment="0" applyProtection="0"/>
    <xf numFmtId="0" fontId="70" fillId="40" borderId="0" applyNumberFormat="0" applyBorder="0" applyAlignment="0" applyProtection="0"/>
    <xf numFmtId="0" fontId="7" fillId="29" borderId="0" applyNumberFormat="0" applyBorder="0" applyAlignment="0" applyProtection="0"/>
    <xf numFmtId="0" fontId="70" fillId="41" borderId="0" applyNumberFormat="0" applyBorder="0" applyAlignment="0" applyProtection="0"/>
    <xf numFmtId="0" fontId="7" fillId="31" borderId="0" applyNumberFormat="0" applyBorder="0" applyAlignment="0" applyProtection="0"/>
    <xf numFmtId="0" fontId="70" fillId="42" borderId="0" applyNumberFormat="0" applyBorder="0" applyAlignment="0" applyProtection="0"/>
    <xf numFmtId="0" fontId="7" fillId="43" borderId="0" applyNumberFormat="0" applyBorder="0" applyAlignment="0" applyProtection="0"/>
    <xf numFmtId="0" fontId="71" fillId="44" borderId="0" applyNumberFormat="0" applyBorder="0" applyAlignment="0" applyProtection="0"/>
    <xf numFmtId="0" fontId="8" fillId="5" borderId="0" applyNumberFormat="0" applyBorder="0" applyAlignment="0" applyProtection="0"/>
    <xf numFmtId="169" fontId="9" fillId="0" borderId="0" applyFill="0" applyBorder="0" applyAlignment="0">
      <protection/>
    </xf>
    <xf numFmtId="0" fontId="72" fillId="45" borderId="1" applyNumberFormat="0" applyAlignment="0" applyProtection="0"/>
    <xf numFmtId="0" fontId="10" fillId="46" borderId="2" applyNumberFormat="0" applyAlignment="0" applyProtection="0"/>
    <xf numFmtId="0" fontId="73" fillId="47" borderId="3" applyNumberFormat="0" applyAlignment="0" applyProtection="0"/>
    <xf numFmtId="0" fontId="11" fillId="48" borderId="4" applyNumberFormat="0" applyAlignment="0" applyProtection="0"/>
    <xf numFmtId="41" fontId="5" fillId="46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70" fontId="16" fillId="0" borderId="0">
      <alignment/>
      <protection locked="0"/>
    </xf>
    <xf numFmtId="0" fontId="14" fillId="0" borderId="0">
      <alignment/>
      <protection/>
    </xf>
    <xf numFmtId="0" fontId="17" fillId="0" borderId="0" applyNumberFormat="0" applyAlignment="0">
      <protection/>
    </xf>
    <xf numFmtId="0" fontId="18" fillId="0" borderId="0" applyNumberFormat="0" applyAlignment="0"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6" fontId="5" fillId="0" borderId="0">
      <alignment/>
      <protection/>
    </xf>
    <xf numFmtId="172" fontId="5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2" fillId="0" borderId="0">
      <alignment/>
      <protection/>
    </xf>
    <xf numFmtId="0" fontId="75" fillId="49" borderId="0" applyNumberFormat="0" applyBorder="0" applyAlignment="0" applyProtection="0"/>
    <xf numFmtId="0" fontId="20" fillId="7" borderId="0" applyNumberFormat="0" applyBorder="0" applyAlignment="0" applyProtection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38" fontId="21" fillId="46" borderId="0" applyNumberFormat="0" applyBorder="0" applyAlignment="0" applyProtection="0"/>
    <xf numFmtId="0" fontId="22" fillId="0" borderId="5" applyNumberFormat="0" applyAlignment="0" applyProtection="0"/>
    <xf numFmtId="0" fontId="22" fillId="0" borderId="6">
      <alignment horizontal="left"/>
      <protection/>
    </xf>
    <xf numFmtId="0" fontId="76" fillId="0" borderId="7" applyNumberFormat="0" applyFill="0" applyAlignment="0" applyProtection="0"/>
    <xf numFmtId="0" fontId="23" fillId="0" borderId="8" applyNumberFormat="0" applyFill="0" applyAlignment="0" applyProtection="0"/>
    <xf numFmtId="0" fontId="77" fillId="0" borderId="9" applyNumberFormat="0" applyFill="0" applyAlignment="0" applyProtection="0"/>
    <xf numFmtId="0" fontId="24" fillId="0" borderId="10" applyNumberFormat="0" applyFill="0" applyAlignment="0" applyProtection="0"/>
    <xf numFmtId="0" fontId="78" fillId="0" borderId="11" applyNumberFormat="0" applyFill="0" applyAlignment="0" applyProtection="0"/>
    <xf numFmtId="0" fontId="25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6" fillId="0" borderId="0">
      <alignment/>
      <protection/>
    </xf>
    <xf numFmtId="40" fontId="26" fillId="0" borderId="0">
      <alignment/>
      <protection/>
    </xf>
    <xf numFmtId="0" fontId="79" fillId="50" borderId="1" applyNumberFormat="0" applyAlignment="0" applyProtection="0"/>
    <xf numFmtId="10" fontId="21" fillId="51" borderId="13" applyNumberFormat="0" applyBorder="0" applyAlignment="0" applyProtection="0"/>
    <xf numFmtId="10" fontId="21" fillId="51" borderId="13" applyNumberFormat="0" applyBorder="0" applyAlignment="0" applyProtection="0"/>
    <xf numFmtId="10" fontId="21" fillId="51" borderId="13" applyNumberFormat="0" applyBorder="0" applyAlignment="0" applyProtection="0"/>
    <xf numFmtId="10" fontId="21" fillId="51" borderId="13" applyNumberFormat="0" applyBorder="0" applyAlignment="0" applyProtection="0"/>
    <xf numFmtId="10" fontId="21" fillId="51" borderId="13" applyNumberFormat="0" applyBorder="0" applyAlignment="0" applyProtection="0"/>
    <xf numFmtId="0" fontId="27" fillId="13" borderId="2" applyNumberFormat="0" applyAlignment="0" applyProtection="0"/>
    <xf numFmtId="41" fontId="28" fillId="52" borderId="14">
      <alignment horizontal="left"/>
      <protection locked="0"/>
    </xf>
    <xf numFmtId="10" fontId="28" fillId="52" borderId="14">
      <alignment horizontal="right"/>
      <protection locked="0"/>
    </xf>
    <xf numFmtId="41" fontId="28" fillId="52" borderId="14">
      <alignment horizontal="left"/>
      <protection locked="0"/>
    </xf>
    <xf numFmtId="0" fontId="21" fillId="46" borderId="0">
      <alignment/>
      <protection/>
    </xf>
    <xf numFmtId="3" fontId="29" fillId="0" borderId="0" applyFill="0" applyBorder="0" applyAlignment="0" applyProtection="0"/>
    <xf numFmtId="0" fontId="80" fillId="0" borderId="15" applyNumberFormat="0" applyFill="0" applyAlignment="0" applyProtection="0"/>
    <xf numFmtId="0" fontId="30" fillId="0" borderId="16" applyNumberFormat="0" applyFill="0" applyAlignment="0" applyProtection="0"/>
    <xf numFmtId="44" fontId="31" fillId="0" borderId="17" applyNumberFormat="0" applyFont="0" applyAlignment="0">
      <protection/>
    </xf>
    <xf numFmtId="44" fontId="31" fillId="0" borderId="17" applyNumberFormat="0" applyFont="0" applyAlignment="0">
      <protection/>
    </xf>
    <xf numFmtId="44" fontId="31" fillId="0" borderId="17" applyNumberFormat="0" applyFont="0" applyAlignment="0">
      <protection/>
    </xf>
    <xf numFmtId="44" fontId="31" fillId="0" borderId="17" applyNumberFormat="0" applyFont="0" applyAlignment="0">
      <protection/>
    </xf>
    <xf numFmtId="44" fontId="31" fillId="0" borderId="17" applyNumberFormat="0" applyFont="0" applyAlignment="0">
      <protection/>
    </xf>
    <xf numFmtId="44" fontId="31" fillId="0" borderId="18" applyNumberFormat="0" applyFont="0" applyAlignment="0">
      <protection/>
    </xf>
    <xf numFmtId="44" fontId="31" fillId="0" borderId="18" applyNumberFormat="0" applyFont="0" applyAlignment="0">
      <protection/>
    </xf>
    <xf numFmtId="44" fontId="31" fillId="0" borderId="18" applyNumberFormat="0" applyFont="0" applyAlignment="0">
      <protection/>
    </xf>
    <xf numFmtId="44" fontId="31" fillId="0" borderId="18" applyNumberFormat="0" applyFont="0" applyAlignment="0">
      <protection/>
    </xf>
    <xf numFmtId="44" fontId="31" fillId="0" borderId="18" applyNumberFormat="0" applyFont="0" applyAlignment="0">
      <protection/>
    </xf>
    <xf numFmtId="0" fontId="81" fillId="53" borderId="0" applyNumberFormat="0" applyBorder="0" applyAlignment="0" applyProtection="0"/>
    <xf numFmtId="0" fontId="32" fillId="52" borderId="0" applyNumberFormat="0" applyBorder="0" applyAlignment="0" applyProtection="0"/>
    <xf numFmtId="37" fontId="33" fillId="0" borderId="0">
      <alignment/>
      <protection/>
    </xf>
    <xf numFmtId="173" fontId="34" fillId="0" borderId="0">
      <alignment/>
      <protection/>
    </xf>
    <xf numFmtId="174" fontId="5" fillId="0" borderId="0">
      <alignment/>
      <protection/>
    </xf>
    <xf numFmtId="174" fontId="5" fillId="0" borderId="0">
      <alignment/>
      <protection/>
    </xf>
    <xf numFmtId="174" fontId="5" fillId="0" borderId="0">
      <alignment/>
      <protection/>
    </xf>
    <xf numFmtId="0" fontId="5" fillId="0" borderId="0">
      <alignment/>
      <protection/>
    </xf>
    <xf numFmtId="175" fontId="3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4" fontId="34" fillId="0" borderId="0">
      <alignment horizontal="left" wrapText="1"/>
      <protection/>
    </xf>
    <xf numFmtId="174" fontId="34" fillId="0" borderId="0">
      <alignment horizontal="left" wrapText="1"/>
      <protection/>
    </xf>
    <xf numFmtId="174" fontId="34" fillId="0" borderId="0">
      <alignment horizontal="left" wrapText="1"/>
      <protection/>
    </xf>
    <xf numFmtId="174" fontId="34" fillId="0" borderId="0">
      <alignment horizontal="left" wrapText="1"/>
      <protection/>
    </xf>
    <xf numFmtId="174" fontId="3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6" fontId="5" fillId="0" borderId="0">
      <alignment horizontal="left" wrapText="1"/>
      <protection/>
    </xf>
    <xf numFmtId="186" fontId="34" fillId="0" borderId="0">
      <alignment horizontal="left" wrapText="1"/>
      <protection/>
    </xf>
    <xf numFmtId="0" fontId="0" fillId="0" borderId="0">
      <alignment/>
      <protection/>
    </xf>
    <xf numFmtId="0" fontId="5" fillId="0" borderId="0">
      <alignment/>
      <protection/>
    </xf>
    <xf numFmtId="166" fontId="34" fillId="0" borderId="0">
      <alignment horizontal="left" wrapText="1"/>
      <protection/>
    </xf>
    <xf numFmtId="164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80" fontId="5" fillId="0" borderId="0">
      <alignment horizontal="left" wrapText="1"/>
      <protection/>
    </xf>
    <xf numFmtId="164" fontId="5" fillId="0" borderId="0">
      <alignment horizontal="left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6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4" borderId="19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82" fillId="45" borderId="21" applyNumberFormat="0" applyAlignment="0" applyProtection="0"/>
    <xf numFmtId="0" fontId="37" fillId="46" borderId="22" applyNumberFormat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9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1" fontId="5" fillId="56" borderId="14">
      <alignment/>
      <protection/>
    </xf>
    <xf numFmtId="0" fontId="36" fillId="0" borderId="0" applyNumberFormat="0" applyFont="0" applyFill="0" applyBorder="0" applyAlignment="0" applyProtection="0"/>
    <xf numFmtId="15" fontId="36" fillId="0" borderId="0" applyFont="0" applyFill="0" applyBorder="0" applyAlignment="0" applyProtection="0"/>
    <xf numFmtId="4" fontId="36" fillId="0" borderId="0" applyFont="0" applyFill="0" applyBorder="0" applyAlignment="0" applyProtection="0"/>
    <xf numFmtId="0" fontId="38" fillId="0" borderId="23">
      <alignment horizontal="center"/>
      <protection/>
    </xf>
    <xf numFmtId="3" fontId="36" fillId="0" borderId="0" applyFont="0" applyFill="0" applyBorder="0" applyAlignment="0" applyProtection="0"/>
    <xf numFmtId="0" fontId="36" fillId="57" borderId="0" applyNumberFormat="0" applyFont="0" applyBorder="0" applyAlignment="0" applyProtection="0"/>
    <xf numFmtId="0" fontId="14" fillId="0" borderId="0">
      <alignment/>
      <protection/>
    </xf>
    <xf numFmtId="3" fontId="39" fillId="0" borderId="0" applyFill="0" applyBorder="0" applyAlignment="0" applyProtection="0"/>
    <xf numFmtId="0" fontId="40" fillId="0" borderId="0">
      <alignment/>
      <protection/>
    </xf>
    <xf numFmtId="3" fontId="39" fillId="0" borderId="0" applyFill="0" applyBorder="0" applyAlignment="0" applyProtection="0"/>
    <xf numFmtId="42" fontId="5" fillId="51" borderId="0">
      <alignment/>
      <protection/>
    </xf>
    <xf numFmtId="42" fontId="5" fillId="51" borderId="24">
      <alignment vertical="center"/>
      <protection/>
    </xf>
    <xf numFmtId="0" fontId="31" fillId="51" borderId="25" applyNumberFormat="0">
      <alignment horizontal="center" vertical="center" wrapText="1"/>
      <protection/>
    </xf>
    <xf numFmtId="10" fontId="5" fillId="51" borderId="0">
      <alignment/>
      <protection/>
    </xf>
    <xf numFmtId="177" fontId="5" fillId="51" borderId="0">
      <alignment/>
      <protection/>
    </xf>
    <xf numFmtId="42" fontId="5" fillId="51" borderId="0">
      <alignment/>
      <protection/>
    </xf>
    <xf numFmtId="165" fontId="26" fillId="0" borderId="0" applyBorder="0" applyAlignment="0">
      <protection/>
    </xf>
    <xf numFmtId="42" fontId="5" fillId="51" borderId="26">
      <alignment horizontal="left"/>
      <protection/>
    </xf>
    <xf numFmtId="177" fontId="41" fillId="51" borderId="26">
      <alignment horizontal="left"/>
      <protection/>
    </xf>
    <xf numFmtId="165" fontId="26" fillId="0" borderId="0" applyBorder="0" applyAlignment="0">
      <protection/>
    </xf>
    <xf numFmtId="14" fontId="34" fillId="0" borderId="0" applyNumberFormat="0" applyFill="0" applyBorder="0" applyAlignment="0" applyProtection="0"/>
    <xf numFmtId="178" fontId="5" fillId="0" borderId="0" applyFont="0" applyFill="0" applyAlignment="0">
      <protection/>
    </xf>
    <xf numFmtId="4" fontId="42" fillId="52" borderId="22" applyNumberFormat="0" applyProtection="0">
      <alignment vertical="center"/>
    </xf>
    <xf numFmtId="4" fontId="56" fillId="52" borderId="22" applyNumberFormat="0" applyProtection="0">
      <alignment vertical="center"/>
    </xf>
    <xf numFmtId="4" fontId="42" fillId="52" borderId="22" applyNumberFormat="0" applyProtection="0">
      <alignment horizontal="left" vertical="center" indent="1"/>
    </xf>
    <xf numFmtId="4" fontId="42" fillId="52" borderId="22" applyNumberFormat="0" applyProtection="0">
      <alignment horizontal="left" vertical="center" indent="1"/>
    </xf>
    <xf numFmtId="0" fontId="5" fillId="58" borderId="0" applyNumberFormat="0" applyProtection="0">
      <alignment horizontal="left" vertical="center" indent="1"/>
    </xf>
    <xf numFmtId="4" fontId="42" fillId="5" borderId="22" applyNumberFormat="0" applyProtection="0">
      <alignment horizontal="right" vertical="center"/>
    </xf>
    <xf numFmtId="4" fontId="42" fillId="17" borderId="22" applyNumberFormat="0" applyProtection="0">
      <alignment horizontal="right" vertical="center"/>
    </xf>
    <xf numFmtId="4" fontId="42" fillId="37" borderId="22" applyNumberFormat="0" applyProtection="0">
      <alignment horizontal="right" vertical="center"/>
    </xf>
    <xf numFmtId="4" fontId="42" fillId="23" borderId="22" applyNumberFormat="0" applyProtection="0">
      <alignment horizontal="right" vertical="center"/>
    </xf>
    <xf numFmtId="4" fontId="42" fillId="33" borderId="22" applyNumberFormat="0" applyProtection="0">
      <alignment horizontal="right" vertical="center"/>
    </xf>
    <xf numFmtId="4" fontId="42" fillId="43" borderId="22" applyNumberFormat="0" applyProtection="0">
      <alignment horizontal="right" vertical="center"/>
    </xf>
    <xf numFmtId="4" fontId="42" fillId="39" borderId="22" applyNumberFormat="0" applyProtection="0">
      <alignment horizontal="right" vertical="center"/>
    </xf>
    <xf numFmtId="4" fontId="42" fillId="59" borderId="22" applyNumberFormat="0" applyProtection="0">
      <alignment horizontal="right" vertical="center"/>
    </xf>
    <xf numFmtId="4" fontId="42" fillId="19" borderId="22" applyNumberFormat="0" applyProtection="0">
      <alignment horizontal="right" vertical="center"/>
    </xf>
    <xf numFmtId="4" fontId="57" fillId="60" borderId="0" applyNumberFormat="0" applyProtection="0">
      <alignment horizontal="left" vertical="center" indent="1"/>
    </xf>
    <xf numFmtId="4" fontId="42" fillId="61" borderId="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0" fontId="5" fillId="3" borderId="22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4" fontId="59" fillId="0" borderId="0" applyNumberFormat="0" applyProtection="0">
      <alignment horizontal="left" vertical="center" indent="1"/>
    </xf>
    <xf numFmtId="0" fontId="5" fillId="63" borderId="22" applyNumberFormat="0" applyProtection="0">
      <alignment horizontal="left" vertical="center" indent="1"/>
    </xf>
    <xf numFmtId="0" fontId="5" fillId="63" borderId="22" applyNumberFormat="0" applyProtection="0">
      <alignment horizontal="left" vertical="center" indent="1"/>
    </xf>
    <xf numFmtId="0" fontId="5" fillId="48" borderId="22" applyNumberFormat="0" applyProtection="0">
      <alignment horizontal="left" vertical="center" indent="1"/>
    </xf>
    <xf numFmtId="0" fontId="5" fillId="48" borderId="22" applyNumberFormat="0" applyProtection="0">
      <alignment horizontal="left" vertical="center" indent="1"/>
    </xf>
    <xf numFmtId="0" fontId="5" fillId="46" borderId="22" applyNumberFormat="0" applyProtection="0">
      <alignment horizontal="left" vertical="center" indent="1"/>
    </xf>
    <xf numFmtId="0" fontId="5" fillId="46" borderId="22" applyNumberFormat="0" applyProtection="0">
      <alignment horizontal="left" vertical="center" indent="1"/>
    </xf>
    <xf numFmtId="0" fontId="5" fillId="3" borderId="22" applyNumberFormat="0" applyProtection="0">
      <alignment horizontal="left" vertical="center" indent="1"/>
    </xf>
    <xf numFmtId="0" fontId="5" fillId="3" borderId="22" applyNumberFormat="0" applyProtection="0">
      <alignment horizontal="left" vertical="center" indent="1"/>
    </xf>
    <xf numFmtId="4" fontId="42" fillId="55" borderId="22" applyNumberFormat="0" applyProtection="0">
      <alignment vertical="center"/>
    </xf>
    <xf numFmtId="4" fontId="56" fillId="55" borderId="22" applyNumberFormat="0" applyProtection="0">
      <alignment vertical="center"/>
    </xf>
    <xf numFmtId="4" fontId="42" fillId="55" borderId="22" applyNumberFormat="0" applyProtection="0">
      <alignment horizontal="left" vertical="center" indent="1"/>
    </xf>
    <xf numFmtId="4" fontId="42" fillId="55" borderId="22" applyNumberFormat="0" applyProtection="0">
      <alignment horizontal="left" vertical="center" indent="1"/>
    </xf>
    <xf numFmtId="4" fontId="42" fillId="61" borderId="22" applyNumberFormat="0" applyProtection="0">
      <alignment horizontal="right" vertical="center"/>
    </xf>
    <xf numFmtId="4" fontId="56" fillId="61" borderId="22" applyNumberFormat="0" applyProtection="0">
      <alignment horizontal="right" vertical="center"/>
    </xf>
    <xf numFmtId="0" fontId="5" fillId="3" borderId="22" applyNumberFormat="0" applyProtection="0">
      <alignment horizontal="left" vertical="center" indent="1"/>
    </xf>
    <xf numFmtId="0" fontId="5" fillId="3" borderId="22" applyNumberFormat="0" applyProtection="0">
      <alignment horizontal="left" vertical="center" indent="1"/>
    </xf>
    <xf numFmtId="0" fontId="60" fillId="0" borderId="0" applyNumberFormat="0" applyProtection="0">
      <alignment horizontal="left" indent="5"/>
    </xf>
    <xf numFmtId="4" fontId="61" fillId="61" borderId="22" applyNumberFormat="0" applyProtection="0">
      <alignment horizontal="right" vertical="center"/>
    </xf>
    <xf numFmtId="39" fontId="5" fillId="64" borderId="0">
      <alignment/>
      <protection/>
    </xf>
    <xf numFmtId="38" fontId="21" fillId="0" borderId="27">
      <alignment/>
      <protection/>
    </xf>
    <xf numFmtId="38" fontId="21" fillId="0" borderId="27">
      <alignment/>
      <protection/>
    </xf>
    <xf numFmtId="38" fontId="21" fillId="0" borderId="27">
      <alignment/>
      <protection/>
    </xf>
    <xf numFmtId="38" fontId="21" fillId="0" borderId="27">
      <alignment/>
      <protection/>
    </xf>
    <xf numFmtId="38" fontId="21" fillId="0" borderId="27">
      <alignment/>
      <protection/>
    </xf>
    <xf numFmtId="38" fontId="26" fillId="0" borderId="26">
      <alignment/>
      <protection/>
    </xf>
    <xf numFmtId="39" fontId="34" fillId="65" borderId="0">
      <alignment/>
      <protection/>
    </xf>
    <xf numFmtId="179" fontId="5" fillId="0" borderId="0">
      <alignment horizontal="left" wrapText="1"/>
      <protection/>
    </xf>
    <xf numFmtId="166" fontId="5" fillId="0" borderId="0">
      <alignment horizontal="left" wrapText="1"/>
      <protection/>
    </xf>
    <xf numFmtId="166" fontId="5" fillId="0" borderId="0">
      <alignment horizontal="left" wrapText="1"/>
      <protection/>
    </xf>
    <xf numFmtId="186" fontId="5" fillId="0" borderId="0">
      <alignment horizontal="left" wrapText="1"/>
      <protection/>
    </xf>
    <xf numFmtId="187" fontId="5" fillId="0" borderId="0">
      <alignment horizontal="left" wrapText="1"/>
      <protection/>
    </xf>
    <xf numFmtId="166" fontId="5" fillId="0" borderId="0">
      <alignment horizontal="left" wrapText="1"/>
      <protection/>
    </xf>
    <xf numFmtId="180" fontId="5" fillId="0" borderId="0">
      <alignment horizontal="left" wrapText="1"/>
      <protection/>
    </xf>
    <xf numFmtId="186" fontId="5" fillId="0" borderId="0">
      <alignment horizontal="left" wrapText="1"/>
      <protection/>
    </xf>
    <xf numFmtId="186" fontId="5" fillId="0" borderId="0">
      <alignment horizontal="left" wrapText="1"/>
      <protection/>
    </xf>
    <xf numFmtId="186" fontId="5" fillId="0" borderId="0">
      <alignment horizontal="left" wrapText="1"/>
      <protection/>
    </xf>
    <xf numFmtId="186" fontId="5" fillId="0" borderId="0">
      <alignment horizontal="left" wrapText="1"/>
      <protection/>
    </xf>
    <xf numFmtId="187" fontId="5" fillId="0" borderId="0">
      <alignment horizontal="left" wrapText="1"/>
      <protection/>
    </xf>
    <xf numFmtId="181" fontId="5" fillId="0" borderId="0">
      <alignment horizontal="left" wrapText="1"/>
      <protection/>
    </xf>
    <xf numFmtId="40" fontId="43" fillId="0" borderId="0" applyBorder="0">
      <alignment horizontal="right"/>
      <protection/>
    </xf>
    <xf numFmtId="41" fontId="44" fillId="51" borderId="0">
      <alignment horizontal="left"/>
      <protection/>
    </xf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46" fillId="51" borderId="0">
      <alignment horizontal="left" vertical="center"/>
      <protection/>
    </xf>
    <xf numFmtId="0" fontId="31" fillId="51" borderId="0">
      <alignment horizontal="left" wrapText="1"/>
      <protection/>
    </xf>
    <xf numFmtId="0" fontId="47" fillId="0" borderId="0">
      <alignment horizontal="left" vertical="center"/>
      <protection/>
    </xf>
    <xf numFmtId="0" fontId="84" fillId="0" borderId="28" applyNumberFormat="0" applyFill="0" applyAlignment="0" applyProtection="0"/>
    <xf numFmtId="0" fontId="2" fillId="0" borderId="29" applyNumberFormat="0" applyFill="0" applyAlignment="0" applyProtection="0"/>
    <xf numFmtId="0" fontId="14" fillId="0" borderId="30">
      <alignment/>
      <protection/>
    </xf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49" fillId="0" borderId="0" xfId="1218" applyFont="1">
      <alignment/>
      <protection/>
    </xf>
    <xf numFmtId="9" fontId="49" fillId="0" borderId="0" xfId="1244" applyFont="1" applyAlignment="1">
      <alignment/>
    </xf>
    <xf numFmtId="0" fontId="4" fillId="0" borderId="25" xfId="1218" applyFont="1" applyBorder="1" applyAlignment="1">
      <alignment horizontal="center"/>
      <protection/>
    </xf>
    <xf numFmtId="0" fontId="49" fillId="0" borderId="0" xfId="1218" applyFont="1" applyAlignment="1">
      <alignment horizontal="left"/>
      <protection/>
    </xf>
    <xf numFmtId="0" fontId="49" fillId="0" borderId="0" xfId="1218" applyFont="1" applyAlignment="1">
      <alignment horizontal="centerContinuous"/>
      <protection/>
    </xf>
    <xf numFmtId="41" fontId="49" fillId="0" borderId="0" xfId="1218" applyNumberFormat="1" applyFont="1" applyAlignment="1">
      <alignment horizontal="centerContinuous"/>
      <protection/>
    </xf>
    <xf numFmtId="0" fontId="49" fillId="0" borderId="0" xfId="1218" applyFont="1" applyAlignment="1">
      <alignment horizontal="center"/>
      <protection/>
    </xf>
    <xf numFmtId="164" fontId="50" fillId="0" borderId="0" xfId="1106" applyNumberFormat="1" applyFont="1" applyAlignment="1">
      <alignment/>
    </xf>
    <xf numFmtId="164" fontId="49" fillId="0" borderId="0" xfId="1106" applyNumberFormat="1" applyFont="1" applyAlignment="1">
      <alignment/>
    </xf>
    <xf numFmtId="41" fontId="49" fillId="0" borderId="0" xfId="1218" applyNumberFormat="1" applyFont="1">
      <alignment/>
      <protection/>
    </xf>
    <xf numFmtId="0" fontId="49" fillId="0" borderId="0" xfId="1218" applyFont="1" quotePrefix="1">
      <alignment/>
      <protection/>
    </xf>
    <xf numFmtId="41" fontId="50" fillId="0" borderId="0" xfId="1218" applyNumberFormat="1" applyFont="1">
      <alignment/>
      <protection/>
    </xf>
    <xf numFmtId="41" fontId="49" fillId="0" borderId="25" xfId="1218" applyNumberFormat="1" applyFont="1" applyBorder="1">
      <alignment/>
      <protection/>
    </xf>
    <xf numFmtId="41" fontId="50" fillId="0" borderId="25" xfId="1218" applyNumberFormat="1" applyFont="1" applyBorder="1">
      <alignment/>
      <protection/>
    </xf>
    <xf numFmtId="41" fontId="49" fillId="0" borderId="25" xfId="1106" applyNumberFormat="1" applyFont="1" applyBorder="1" applyAlignment="1">
      <alignment/>
    </xf>
    <xf numFmtId="164" fontId="49" fillId="0" borderId="31" xfId="1106" applyNumberFormat="1" applyFont="1" applyBorder="1" applyAlignment="1">
      <alignment/>
    </xf>
    <xf numFmtId="164" fontId="49" fillId="0" borderId="0" xfId="1106" applyNumberFormat="1" applyFont="1" applyBorder="1" applyAlignment="1">
      <alignment/>
    </xf>
    <xf numFmtId="0" fontId="49" fillId="0" borderId="0" xfId="1218" applyFont="1" applyAlignment="1">
      <alignment/>
      <protection/>
    </xf>
    <xf numFmtId="165" fontId="49" fillId="0" borderId="0" xfId="1065" applyNumberFormat="1" applyFont="1" applyAlignment="1">
      <alignment/>
    </xf>
    <xf numFmtId="0" fontId="49" fillId="13" borderId="0" xfId="1218" applyFont="1" applyFill="1" applyAlignment="1">
      <alignment horizontal="center"/>
      <protection/>
    </xf>
    <xf numFmtId="0" fontId="49" fillId="13" borderId="0" xfId="1218" applyFont="1" applyFill="1">
      <alignment/>
      <protection/>
    </xf>
    <xf numFmtId="41" fontId="49" fillId="13" borderId="0" xfId="1218" applyNumberFormat="1" applyFont="1" applyFill="1">
      <alignment/>
      <protection/>
    </xf>
    <xf numFmtId="41" fontId="50" fillId="13" borderId="0" xfId="1218" applyNumberFormat="1" applyFont="1" applyFill="1">
      <alignment/>
      <protection/>
    </xf>
    <xf numFmtId="165" fontId="49" fillId="13" borderId="0" xfId="1065" applyNumberFormat="1" applyFont="1" applyFill="1" applyAlignment="1">
      <alignment/>
    </xf>
    <xf numFmtId="41" fontId="49" fillId="0" borderId="0" xfId="1218" applyNumberFormat="1" applyFont="1" applyBorder="1">
      <alignment/>
      <protection/>
    </xf>
    <xf numFmtId="41" fontId="49" fillId="13" borderId="25" xfId="1218" applyNumberFormat="1" applyFont="1" applyFill="1" applyBorder="1">
      <alignment/>
      <protection/>
    </xf>
    <xf numFmtId="164" fontId="49" fillId="0" borderId="6" xfId="1106" applyNumberFormat="1" applyFont="1" applyBorder="1" applyAlignment="1">
      <alignment/>
    </xf>
    <xf numFmtId="41" fontId="52" fillId="0" borderId="0" xfId="1218" applyNumberFormat="1" applyFont="1">
      <alignment/>
      <protection/>
    </xf>
    <xf numFmtId="44" fontId="49" fillId="0" borderId="0" xfId="1106" applyNumberFormat="1" applyFont="1" applyAlignment="1">
      <alignment/>
    </xf>
    <xf numFmtId="165" fontId="49" fillId="0" borderId="0" xfId="1218" applyNumberFormat="1" applyFont="1">
      <alignment/>
      <protection/>
    </xf>
    <xf numFmtId="165" fontId="49" fillId="13" borderId="0" xfId="1218" applyNumberFormat="1" applyFont="1" applyFill="1">
      <alignment/>
      <protection/>
    </xf>
    <xf numFmtId="164" fontId="49" fillId="0" borderId="24" xfId="1218" applyNumberFormat="1" applyFont="1" applyBorder="1">
      <alignment/>
      <protection/>
    </xf>
    <xf numFmtId="164" fontId="49" fillId="0" borderId="24" xfId="1106" applyNumberFormat="1" applyFont="1" applyBorder="1" applyAlignment="1">
      <alignment/>
    </xf>
    <xf numFmtId="0" fontId="5" fillId="0" borderId="0" xfId="1218">
      <alignment/>
      <protection/>
    </xf>
    <xf numFmtId="176" fontId="49" fillId="0" borderId="0" xfId="1244" applyNumberFormat="1" applyFont="1" applyAlignment="1">
      <alignment/>
    </xf>
    <xf numFmtId="164" fontId="5" fillId="0" borderId="0" xfId="1106" applyNumberFormat="1" applyAlignment="1">
      <alignment/>
    </xf>
    <xf numFmtId="164" fontId="49" fillId="13" borderId="0" xfId="1106" applyNumberFormat="1" applyFont="1" applyFill="1" applyAlignment="1">
      <alignment/>
    </xf>
    <xf numFmtId="41" fontId="49" fillId="0" borderId="0" xfId="1218" applyNumberFormat="1" applyFont="1" applyFill="1">
      <alignment/>
      <protection/>
    </xf>
    <xf numFmtId="0" fontId="49" fillId="0" borderId="0" xfId="1218" applyFont="1" applyAlignment="1">
      <alignment horizontal="right"/>
      <protection/>
    </xf>
    <xf numFmtId="10" fontId="50" fillId="0" borderId="0" xfId="1244" applyNumberFormat="1" applyFont="1" applyAlignment="1">
      <alignment/>
    </xf>
    <xf numFmtId="0" fontId="31" fillId="0" borderId="0" xfId="1216" applyFont="1">
      <alignment/>
      <protection/>
    </xf>
    <xf numFmtId="0" fontId="5" fillId="0" borderId="0" xfId="1216">
      <alignment/>
      <protection/>
    </xf>
    <xf numFmtId="0" fontId="53" fillId="0" borderId="0" xfId="1216" applyFont="1" applyAlignment="1">
      <alignment horizontal="right"/>
      <protection/>
    </xf>
    <xf numFmtId="0" fontId="5" fillId="0" borderId="0" xfId="1216" applyFill="1">
      <alignment/>
      <protection/>
    </xf>
    <xf numFmtId="0" fontId="31" fillId="0" borderId="32" xfId="1216" applyFont="1" applyFill="1" applyBorder="1" applyAlignment="1">
      <alignment horizontal="center"/>
      <protection/>
    </xf>
    <xf numFmtId="0" fontId="41" fillId="0" borderId="33" xfId="1216" applyFont="1" applyFill="1" applyBorder="1">
      <alignment/>
      <protection/>
    </xf>
    <xf numFmtId="0" fontId="5" fillId="0" borderId="33" xfId="1216" applyFill="1" applyBorder="1">
      <alignment/>
      <protection/>
    </xf>
    <xf numFmtId="0" fontId="5" fillId="0" borderId="34" xfId="1216" applyFill="1" applyBorder="1">
      <alignment/>
      <protection/>
    </xf>
    <xf numFmtId="0" fontId="31" fillId="0" borderId="35" xfId="1216" applyFont="1" applyFill="1" applyBorder="1" applyAlignment="1">
      <alignment horizontal="center"/>
      <protection/>
    </xf>
    <xf numFmtId="0" fontId="41" fillId="0" borderId="0" xfId="1216" applyFont="1" applyFill="1" applyBorder="1">
      <alignment/>
      <protection/>
    </xf>
    <xf numFmtId="0" fontId="5" fillId="0" borderId="0" xfId="1216" applyFill="1" applyBorder="1">
      <alignment/>
      <protection/>
    </xf>
    <xf numFmtId="0" fontId="5" fillId="0" borderId="36" xfId="1216" applyFill="1" applyBorder="1">
      <alignment/>
      <protection/>
    </xf>
    <xf numFmtId="0" fontId="31" fillId="0" borderId="0" xfId="1216" applyFont="1" applyFill="1" applyBorder="1" applyAlignment="1">
      <alignment horizontal="center"/>
      <protection/>
    </xf>
    <xf numFmtId="0" fontId="31" fillId="0" borderId="25" xfId="1216" applyFont="1" applyFill="1" applyBorder="1" applyAlignment="1">
      <alignment horizontal="center"/>
      <protection/>
    </xf>
    <xf numFmtId="0" fontId="31" fillId="0" borderId="37" xfId="1216" applyFont="1" applyFill="1" applyBorder="1" applyAlignment="1">
      <alignment horizontal="center"/>
      <protection/>
    </xf>
    <xf numFmtId="17" fontId="5" fillId="0" borderId="0" xfId="1216" applyNumberFormat="1" applyFont="1" applyFill="1" applyAlignment="1">
      <alignment horizontal="center"/>
      <protection/>
    </xf>
    <xf numFmtId="0" fontId="31" fillId="0" borderId="0" xfId="1216" applyFont="1" applyFill="1" applyBorder="1">
      <alignment/>
      <protection/>
    </xf>
    <xf numFmtId="41" fontId="31" fillId="0" borderId="0" xfId="1216" applyNumberFormat="1" applyFont="1" applyFill="1" applyBorder="1">
      <alignment/>
      <protection/>
    </xf>
    <xf numFmtId="41" fontId="31" fillId="0" borderId="36" xfId="1216" applyNumberFormat="1" applyFont="1" applyFill="1" applyBorder="1">
      <alignment/>
      <protection/>
    </xf>
    <xf numFmtId="43" fontId="31" fillId="0" borderId="0" xfId="1216" applyNumberFormat="1" applyFont="1" applyFill="1" applyAlignment="1">
      <alignment horizontal="center"/>
      <protection/>
    </xf>
    <xf numFmtId="3" fontId="31" fillId="0" borderId="0" xfId="1057" applyNumberFormat="1" applyFont="1" applyFill="1" applyAlignment="1">
      <alignment horizontal="center"/>
    </xf>
    <xf numFmtId="0" fontId="5" fillId="0" borderId="0" xfId="1216" applyFill="1" applyBorder="1" applyAlignment="1">
      <alignment horizontal="center"/>
      <protection/>
    </xf>
    <xf numFmtId="41" fontId="5" fillId="0" borderId="0" xfId="1216" applyNumberFormat="1" applyFill="1">
      <alignment/>
      <protection/>
    </xf>
    <xf numFmtId="41" fontId="5" fillId="0" borderId="38" xfId="1216" applyNumberFormat="1" applyFill="1" applyBorder="1">
      <alignment/>
      <protection/>
    </xf>
    <xf numFmtId="41" fontId="5" fillId="0" borderId="25" xfId="1216" applyNumberFormat="1" applyFill="1" applyBorder="1">
      <alignment/>
      <protection/>
    </xf>
    <xf numFmtId="41" fontId="31" fillId="0" borderId="26" xfId="1216" applyNumberFormat="1" applyFont="1" applyFill="1" applyBorder="1">
      <alignment/>
      <protection/>
    </xf>
    <xf numFmtId="41" fontId="31" fillId="0" borderId="39" xfId="1216" applyNumberFormat="1" applyFont="1" applyFill="1" applyBorder="1">
      <alignment/>
      <protection/>
    </xf>
    <xf numFmtId="0" fontId="31" fillId="0" borderId="40" xfId="1216" applyFont="1" applyFill="1" applyBorder="1" applyAlignment="1">
      <alignment horizontal="center"/>
      <protection/>
    </xf>
    <xf numFmtId="0" fontId="31" fillId="0" borderId="23" xfId="1216" applyFont="1" applyFill="1" applyBorder="1">
      <alignment/>
      <protection/>
    </xf>
    <xf numFmtId="41" fontId="31" fillId="0" borderId="23" xfId="1216" applyNumberFormat="1" applyFont="1" applyFill="1" applyBorder="1">
      <alignment/>
      <protection/>
    </xf>
    <xf numFmtId="41" fontId="31" fillId="0" borderId="41" xfId="1216" applyNumberFormat="1" applyFont="1" applyFill="1" applyBorder="1">
      <alignment/>
      <protection/>
    </xf>
    <xf numFmtId="0" fontId="31" fillId="0" borderId="0" xfId="1216" applyFont="1" applyFill="1" applyAlignment="1">
      <alignment horizontal="center"/>
      <protection/>
    </xf>
    <xf numFmtId="0" fontId="5" fillId="0" borderId="42" xfId="1216" applyFont="1" applyFill="1" applyBorder="1" applyAlignment="1">
      <alignment horizontal="center"/>
      <protection/>
    </xf>
    <xf numFmtId="41" fontId="31" fillId="0" borderId="43" xfId="1216" applyNumberFormat="1" applyFont="1" applyFill="1" applyBorder="1">
      <alignment/>
      <protection/>
    </xf>
    <xf numFmtId="3" fontId="5" fillId="0" borderId="0" xfId="1057" applyNumberFormat="1" applyFont="1" applyFill="1" applyAlignment="1">
      <alignment/>
    </xf>
    <xf numFmtId="0" fontId="5" fillId="0" borderId="44" xfId="1216" applyBorder="1" applyAlignment="1">
      <alignment horizontal="center"/>
      <protection/>
    </xf>
    <xf numFmtId="3" fontId="5" fillId="0" borderId="25" xfId="1057" applyNumberFormat="1" applyFont="1" applyFill="1" applyBorder="1" applyAlignment="1">
      <alignment/>
    </xf>
    <xf numFmtId="3" fontId="5" fillId="0" borderId="0" xfId="1057" applyNumberFormat="1" applyFont="1" applyAlignment="1">
      <alignment/>
    </xf>
    <xf numFmtId="0" fontId="54" fillId="0" borderId="44" xfId="1216" applyFont="1" applyFill="1" applyBorder="1" applyAlignment="1">
      <alignment horizontal="centerContinuous"/>
      <protection/>
    </xf>
    <xf numFmtId="41" fontId="54" fillId="0" borderId="0" xfId="1216" applyNumberFormat="1" applyFont="1" applyFill="1" applyBorder="1" applyAlignment="1">
      <alignment horizontal="centerContinuous"/>
      <protection/>
    </xf>
    <xf numFmtId="41" fontId="54" fillId="0" borderId="45" xfId="1216" applyNumberFormat="1" applyFont="1" applyFill="1" applyBorder="1" applyAlignment="1">
      <alignment horizontal="centerContinuous"/>
      <protection/>
    </xf>
    <xf numFmtId="0" fontId="5" fillId="0" borderId="44" xfId="1216" applyBorder="1">
      <alignment/>
      <protection/>
    </xf>
    <xf numFmtId="41" fontId="5" fillId="0" borderId="0" xfId="1216" applyNumberFormat="1" applyBorder="1">
      <alignment/>
      <protection/>
    </xf>
    <xf numFmtId="41" fontId="5" fillId="0" borderId="0" xfId="1216" applyNumberFormat="1" applyFill="1" applyBorder="1">
      <alignment/>
      <protection/>
    </xf>
    <xf numFmtId="41" fontId="5" fillId="0" borderId="45" xfId="1216" applyNumberFormat="1" applyBorder="1">
      <alignment/>
      <protection/>
    </xf>
    <xf numFmtId="41" fontId="5" fillId="0" borderId="0" xfId="1216" applyNumberFormat="1">
      <alignment/>
      <protection/>
    </xf>
    <xf numFmtId="43" fontId="5" fillId="0" borderId="0" xfId="1216" applyNumberFormat="1">
      <alignment/>
      <protection/>
    </xf>
    <xf numFmtId="4" fontId="5" fillId="0" borderId="0" xfId="1057" applyFont="1" applyAlignment="1">
      <alignment/>
    </xf>
    <xf numFmtId="165" fontId="5" fillId="0" borderId="0" xfId="1216" applyNumberFormat="1">
      <alignment/>
      <protection/>
    </xf>
    <xf numFmtId="0" fontId="54" fillId="66" borderId="46" xfId="1216" applyFont="1" applyFill="1" applyBorder="1" applyAlignment="1">
      <alignment horizontal="center"/>
      <protection/>
    </xf>
    <xf numFmtId="41" fontId="54" fillId="66" borderId="5" xfId="1216" applyNumberFormat="1" applyFont="1" applyFill="1" applyBorder="1" applyAlignment="1">
      <alignment horizontal="centerContinuous"/>
      <protection/>
    </xf>
    <xf numFmtId="183" fontId="54" fillId="67" borderId="5" xfId="1216" applyNumberFormat="1" applyFont="1" applyFill="1" applyBorder="1" applyAlignment="1">
      <alignment horizontal="center"/>
      <protection/>
    </xf>
    <xf numFmtId="183" fontId="54" fillId="66" borderId="5" xfId="1216" applyNumberFormat="1" applyFont="1" applyFill="1" applyBorder="1" applyAlignment="1">
      <alignment horizontal="center"/>
      <protection/>
    </xf>
    <xf numFmtId="0" fontId="5" fillId="0" borderId="45" xfId="1216" applyBorder="1">
      <alignment/>
      <protection/>
    </xf>
    <xf numFmtId="41" fontId="54" fillId="66" borderId="0" xfId="1216" applyNumberFormat="1" applyFont="1" applyFill="1" applyBorder="1" applyAlignment="1">
      <alignment horizontal="centerContinuous"/>
      <protection/>
    </xf>
    <xf numFmtId="183" fontId="54" fillId="0" borderId="0" xfId="1216" applyNumberFormat="1" applyFont="1" applyFill="1" applyBorder="1" applyAlignment="1">
      <alignment horizontal="center"/>
      <protection/>
    </xf>
    <xf numFmtId="41" fontId="54" fillId="0" borderId="0" xfId="1216" applyNumberFormat="1" applyFont="1" applyFill="1" applyBorder="1" applyAlignment="1">
      <alignment horizontal="left"/>
      <protection/>
    </xf>
    <xf numFmtId="41" fontId="54" fillId="0" borderId="33" xfId="1216" applyNumberFormat="1" applyFont="1" applyFill="1" applyBorder="1" applyAlignment="1">
      <alignment horizontal="centerContinuous"/>
      <protection/>
    </xf>
    <xf numFmtId="0" fontId="5" fillId="0" borderId="45" xfId="1216" applyFill="1" applyBorder="1">
      <alignment/>
      <protection/>
    </xf>
    <xf numFmtId="0" fontId="5" fillId="0" borderId="0" xfId="1216" applyBorder="1">
      <alignment/>
      <protection/>
    </xf>
    <xf numFmtId="165" fontId="5" fillId="0" borderId="0" xfId="1216" applyNumberFormat="1" applyFill="1" applyBorder="1">
      <alignment/>
      <protection/>
    </xf>
    <xf numFmtId="165" fontId="5" fillId="0" borderId="0" xfId="1216" applyNumberFormat="1" applyBorder="1">
      <alignment/>
      <protection/>
    </xf>
    <xf numFmtId="0" fontId="5" fillId="0" borderId="44" xfId="1216" applyFill="1" applyBorder="1">
      <alignment/>
      <protection/>
    </xf>
    <xf numFmtId="37" fontId="5" fillId="0" borderId="0" xfId="1216" applyNumberFormat="1" applyFont="1" applyFill="1" applyBorder="1">
      <alignment/>
      <protection/>
    </xf>
    <xf numFmtId="37" fontId="5" fillId="0" borderId="0" xfId="1216" applyNumberFormat="1" applyFont="1" applyBorder="1">
      <alignment/>
      <protection/>
    </xf>
    <xf numFmtId="0" fontId="5" fillId="0" borderId="47" xfId="1216" applyBorder="1">
      <alignment/>
      <protection/>
    </xf>
    <xf numFmtId="0" fontId="5" fillId="0" borderId="25" xfId="1216" applyBorder="1">
      <alignment/>
      <protection/>
    </xf>
    <xf numFmtId="41" fontId="5" fillId="0" borderId="25" xfId="1216" applyNumberFormat="1" applyBorder="1">
      <alignment/>
      <protection/>
    </xf>
    <xf numFmtId="37" fontId="5" fillId="0" borderId="25" xfId="1216" applyNumberFormat="1" applyFont="1" applyBorder="1">
      <alignment/>
      <protection/>
    </xf>
    <xf numFmtId="41" fontId="5" fillId="0" borderId="48" xfId="1216" applyNumberFormat="1" applyBorder="1">
      <alignment/>
      <protection/>
    </xf>
    <xf numFmtId="41" fontId="54" fillId="66" borderId="0" xfId="1216" applyNumberFormat="1" applyFont="1" applyFill="1" applyBorder="1" applyAlignment="1">
      <alignment horizontal="left"/>
      <protection/>
    </xf>
    <xf numFmtId="41" fontId="54" fillId="66" borderId="33" xfId="1216" applyNumberFormat="1" applyFont="1" applyFill="1" applyBorder="1" applyAlignment="1">
      <alignment horizontal="right" vertical="center"/>
      <protection/>
    </xf>
    <xf numFmtId="41" fontId="54" fillId="66" borderId="49" xfId="1216" applyNumberFormat="1" applyFont="1" applyFill="1" applyBorder="1" applyAlignment="1">
      <alignment horizontal="centerContinuous"/>
      <protection/>
    </xf>
    <xf numFmtId="41" fontId="54" fillId="67" borderId="6" xfId="1216" applyNumberFormat="1" applyFont="1" applyFill="1" applyBorder="1" applyAlignment="1">
      <alignment horizontal="centerContinuous"/>
      <protection/>
    </xf>
    <xf numFmtId="41" fontId="54" fillId="67" borderId="50" xfId="1216" applyNumberFormat="1" applyFont="1" applyFill="1" applyBorder="1" applyAlignment="1">
      <alignment horizontal="centerContinuous"/>
      <protection/>
    </xf>
    <xf numFmtId="41" fontId="54" fillId="66" borderId="0" xfId="1216" applyNumberFormat="1" applyFont="1" applyFill="1" applyBorder="1" applyAlignment="1">
      <alignment horizontal="right" vertical="center"/>
      <protection/>
    </xf>
    <xf numFmtId="41" fontId="54" fillId="67" borderId="0" xfId="1216" applyNumberFormat="1" applyFont="1" applyFill="1" applyBorder="1" applyAlignment="1">
      <alignment horizontal="centerContinuous"/>
      <protection/>
    </xf>
    <xf numFmtId="41" fontId="54" fillId="67" borderId="45" xfId="1216" applyNumberFormat="1" applyFont="1" applyFill="1" applyBorder="1" applyAlignment="1">
      <alignment horizontal="centerContinuous"/>
      <protection/>
    </xf>
    <xf numFmtId="0" fontId="5" fillId="0" borderId="47" xfId="1216" applyBorder="1" applyAlignment="1">
      <alignment horizontal="center"/>
      <protection/>
    </xf>
    <xf numFmtId="0" fontId="5" fillId="0" borderId="48" xfId="1216" applyBorder="1">
      <alignment/>
      <protection/>
    </xf>
    <xf numFmtId="0" fontId="5" fillId="0" borderId="26" xfId="1216" applyBorder="1">
      <alignment/>
      <protection/>
    </xf>
    <xf numFmtId="37" fontId="31" fillId="0" borderId="26" xfId="1216" applyNumberFormat="1" applyFont="1" applyBorder="1">
      <alignment/>
      <protection/>
    </xf>
    <xf numFmtId="37" fontId="31" fillId="0" borderId="0" xfId="1216" applyNumberFormat="1" applyFont="1">
      <alignment/>
      <protection/>
    </xf>
    <xf numFmtId="0" fontId="54" fillId="66" borderId="5" xfId="1216" applyFont="1" applyFill="1" applyBorder="1" applyAlignment="1">
      <alignment horizontal="center"/>
      <protection/>
    </xf>
    <xf numFmtId="41" fontId="54" fillId="66" borderId="5" xfId="1216" applyNumberFormat="1" applyFont="1" applyFill="1" applyBorder="1" applyAlignment="1">
      <alignment horizontal="left"/>
      <protection/>
    </xf>
    <xf numFmtId="0" fontId="31" fillId="0" borderId="0" xfId="1216" applyFont="1" applyFill="1" applyAlignment="1" applyProtection="1">
      <alignment horizontal="left"/>
      <protection locked="0"/>
    </xf>
    <xf numFmtId="0" fontId="5" fillId="0" borderId="0" xfId="1216" applyFont="1" applyFill="1" applyProtection="1">
      <alignment/>
      <protection locked="0"/>
    </xf>
    <xf numFmtId="0" fontId="5" fillId="0" borderId="0" xfId="1216" applyFont="1" applyFill="1" applyAlignment="1" applyProtection="1">
      <alignment/>
      <protection locked="0"/>
    </xf>
    <xf numFmtId="0" fontId="12" fillId="0" borderId="0" xfId="1202" applyNumberFormat="1" applyFont="1" applyFill="1" applyAlignment="1" applyProtection="1">
      <alignment/>
      <protection locked="0"/>
    </xf>
    <xf numFmtId="0" fontId="5" fillId="0" borderId="0" xfId="1202" applyNumberFormat="1" applyFont="1" applyFill="1" applyAlignment="1" applyProtection="1">
      <alignment/>
      <protection locked="0"/>
    </xf>
    <xf numFmtId="0" fontId="5" fillId="0" borderId="0" xfId="1216" applyFont="1" applyFill="1" applyBorder="1" applyAlignment="1" applyProtection="1">
      <alignment horizontal="center"/>
      <protection locked="0"/>
    </xf>
    <xf numFmtId="14" fontId="5" fillId="0" borderId="0" xfId="1216" applyNumberFormat="1" applyFont="1" applyFill="1" applyBorder="1" applyAlignment="1" applyProtection="1">
      <alignment horizontal="center"/>
      <protection locked="0"/>
    </xf>
    <xf numFmtId="10" fontId="5" fillId="0" borderId="0" xfId="1235" applyNumberFormat="1" applyFont="1" applyFill="1" applyBorder="1" applyAlignment="1" applyProtection="1">
      <alignment horizontal="center"/>
      <protection locked="0"/>
    </xf>
    <xf numFmtId="0" fontId="31" fillId="0" borderId="0" xfId="1216" applyFont="1" applyFill="1" applyProtection="1">
      <alignment/>
      <protection locked="0"/>
    </xf>
    <xf numFmtId="0" fontId="5" fillId="0" borderId="0" xfId="1216" applyFont="1" applyFill="1" applyBorder="1" applyAlignment="1" applyProtection="1">
      <alignment/>
      <protection locked="0"/>
    </xf>
    <xf numFmtId="0" fontId="5" fillId="0" borderId="0" xfId="1216" applyFill="1" applyProtection="1">
      <alignment/>
      <protection locked="0"/>
    </xf>
    <xf numFmtId="0" fontId="5" fillId="0" borderId="0" xfId="1216" applyFill="1" applyAlignment="1" applyProtection="1">
      <alignment/>
      <protection locked="0"/>
    </xf>
    <xf numFmtId="0" fontId="62" fillId="0" borderId="25" xfId="1216" applyFont="1" applyFill="1" applyBorder="1" applyAlignment="1" applyProtection="1">
      <alignment horizontal="centerContinuous"/>
      <protection locked="0"/>
    </xf>
    <xf numFmtId="0" fontId="34" fillId="0" borderId="0" xfId="1202" applyNumberFormat="1" applyFill="1" applyAlignment="1" applyProtection="1">
      <alignment/>
      <protection locked="0"/>
    </xf>
    <xf numFmtId="165" fontId="31" fillId="0" borderId="25" xfId="1064" applyNumberFormat="1" applyFont="1" applyFill="1" applyBorder="1" applyAlignment="1" applyProtection="1">
      <alignment horizontal="centerContinuous"/>
      <protection locked="0"/>
    </xf>
    <xf numFmtId="0" fontId="34" fillId="0" borderId="25" xfId="1202" applyNumberFormat="1" applyFill="1" applyBorder="1" applyAlignment="1" applyProtection="1">
      <alignment horizontal="centerContinuous"/>
      <protection locked="0"/>
    </xf>
    <xf numFmtId="0" fontId="5" fillId="0" borderId="25" xfId="1202" applyNumberFormat="1" applyFont="1" applyFill="1" applyBorder="1" applyAlignment="1" applyProtection="1">
      <alignment horizontal="centerContinuous"/>
      <protection locked="0"/>
    </xf>
    <xf numFmtId="0" fontId="5" fillId="0" borderId="25" xfId="1216" applyFill="1" applyBorder="1" applyAlignment="1" applyProtection="1">
      <alignment horizontal="centerContinuous"/>
      <protection locked="0"/>
    </xf>
    <xf numFmtId="0" fontId="5" fillId="0" borderId="0" xfId="1216" applyFill="1" applyAlignment="1" applyProtection="1">
      <alignment horizontal="center"/>
      <protection locked="0"/>
    </xf>
    <xf numFmtId="0" fontId="31" fillId="0" borderId="0" xfId="1216" applyFont="1" applyFill="1" applyAlignment="1" applyProtection="1">
      <alignment horizontal="center"/>
      <protection locked="0"/>
    </xf>
    <xf numFmtId="165" fontId="31" fillId="0" borderId="0" xfId="1064" applyNumberFormat="1" applyFont="1" applyFill="1" applyBorder="1" applyAlignment="1" applyProtection="1">
      <alignment horizontal="centerContinuous"/>
      <protection locked="0"/>
    </xf>
    <xf numFmtId="0" fontId="34" fillId="0" borderId="0" xfId="1202" applyNumberFormat="1" applyFill="1" applyBorder="1" applyAlignment="1" applyProtection="1">
      <alignment horizontal="centerContinuous"/>
      <protection locked="0"/>
    </xf>
    <xf numFmtId="0" fontId="31" fillId="0" borderId="25" xfId="1216" applyFont="1" applyFill="1" applyBorder="1" applyAlignment="1" applyProtection="1">
      <alignment horizontal="centerContinuous"/>
      <protection locked="0"/>
    </xf>
    <xf numFmtId="0" fontId="5" fillId="0" borderId="0" xfId="1216" applyFill="1" applyBorder="1" applyProtection="1">
      <alignment/>
      <protection locked="0"/>
    </xf>
    <xf numFmtId="0" fontId="31" fillId="0" borderId="25" xfId="1216" applyFont="1" applyFill="1" applyBorder="1" applyAlignment="1" applyProtection="1">
      <alignment horizontal="center"/>
      <protection locked="0"/>
    </xf>
    <xf numFmtId="0" fontId="31" fillId="0" borderId="25" xfId="1216" applyFont="1" applyFill="1" applyBorder="1" applyProtection="1">
      <alignment/>
      <protection locked="0"/>
    </xf>
    <xf numFmtId="0" fontId="5" fillId="0" borderId="25" xfId="1216" applyFont="1" applyFill="1" applyBorder="1" applyAlignment="1" applyProtection="1">
      <alignment/>
      <protection locked="0"/>
    </xf>
    <xf numFmtId="165" fontId="31" fillId="0" borderId="25" xfId="1064" applyNumberFormat="1" applyFont="1" applyFill="1" applyBorder="1" applyAlignment="1" applyProtection="1">
      <alignment horizontal="center"/>
      <protection locked="0"/>
    </xf>
    <xf numFmtId="0" fontId="34" fillId="0" borderId="25" xfId="1202" applyNumberFormat="1" applyFont="1" applyFill="1" applyBorder="1" applyAlignment="1" applyProtection="1">
      <alignment/>
      <protection locked="0"/>
    </xf>
    <xf numFmtId="0" fontId="34" fillId="0" borderId="25" xfId="1202" applyNumberFormat="1" applyFont="1" applyFill="1" applyBorder="1" applyAlignment="1" applyProtection="1">
      <alignment horizontal="centerContinuous"/>
      <protection locked="0"/>
    </xf>
    <xf numFmtId="0" fontId="31" fillId="0" borderId="25" xfId="1202" applyNumberFormat="1" applyFont="1" applyFill="1" applyBorder="1" applyAlignment="1" applyProtection="1">
      <alignment horizontal="center"/>
      <protection locked="0"/>
    </xf>
    <xf numFmtId="10" fontId="31" fillId="0" borderId="25" xfId="1216" applyNumberFormat="1" applyFont="1" applyFill="1" applyBorder="1" applyAlignment="1" applyProtection="1">
      <alignment horizontal="center"/>
      <protection locked="0"/>
    </xf>
    <xf numFmtId="10" fontId="31" fillId="0" borderId="0" xfId="1216" applyNumberFormat="1" applyFont="1" applyFill="1" applyBorder="1" applyAlignment="1" applyProtection="1">
      <alignment horizontal="center"/>
      <protection locked="0"/>
    </xf>
    <xf numFmtId="0" fontId="31" fillId="0" borderId="0" xfId="1216" applyFont="1" applyFill="1" applyBorder="1" applyAlignment="1" applyProtection="1">
      <alignment horizontal="center"/>
      <protection locked="0"/>
    </xf>
    <xf numFmtId="0" fontId="5" fillId="0" borderId="0" xfId="1216" applyFill="1" applyBorder="1" applyAlignment="1" applyProtection="1">
      <alignment horizontal="center"/>
      <protection locked="0"/>
    </xf>
    <xf numFmtId="0" fontId="5" fillId="0" borderId="0" xfId="1216" applyFill="1" applyBorder="1" applyAlignment="1" applyProtection="1">
      <alignment/>
      <protection locked="0"/>
    </xf>
    <xf numFmtId="0" fontId="64" fillId="0" borderId="0" xfId="1216" applyFont="1" applyFill="1" applyBorder="1" applyAlignment="1" applyProtection="1">
      <alignment horizontal="center"/>
      <protection locked="0"/>
    </xf>
    <xf numFmtId="0" fontId="63" fillId="0" borderId="0" xfId="1216" applyFont="1" applyFill="1" applyBorder="1" applyAlignment="1">
      <alignment horizontal="center"/>
      <protection/>
    </xf>
    <xf numFmtId="0" fontId="34" fillId="0" borderId="0" xfId="1202" applyNumberFormat="1" applyFill="1" applyBorder="1" applyAlignment="1">
      <alignment/>
      <protection/>
    </xf>
    <xf numFmtId="0" fontId="34" fillId="0" borderId="0" xfId="1202" applyNumberFormat="1" applyFont="1" applyFill="1" applyBorder="1" applyAlignment="1" applyProtection="1">
      <alignment horizontal="centerContinuous"/>
      <protection locked="0"/>
    </xf>
    <xf numFmtId="0" fontId="34" fillId="0" borderId="0" xfId="1202" applyNumberFormat="1" applyFill="1" applyBorder="1" applyAlignment="1" applyProtection="1">
      <alignment/>
      <protection locked="0"/>
    </xf>
    <xf numFmtId="0" fontId="5" fillId="0" borderId="0" xfId="1202" applyNumberFormat="1" applyFont="1" applyFill="1" applyBorder="1" applyAlignment="1" applyProtection="1">
      <alignment/>
      <protection locked="0"/>
    </xf>
    <xf numFmtId="10" fontId="64" fillId="0" borderId="0" xfId="1216" applyNumberFormat="1" applyFont="1" applyFill="1" applyBorder="1" applyAlignment="1" applyProtection="1">
      <alignment horizontal="center"/>
      <protection locked="0"/>
    </xf>
    <xf numFmtId="0" fontId="5" fillId="0" borderId="27" xfId="1216" applyFill="1" applyBorder="1" applyAlignment="1" applyProtection="1">
      <alignment horizontal="center"/>
      <protection locked="0"/>
    </xf>
    <xf numFmtId="0" fontId="5" fillId="0" borderId="27" xfId="1216" applyFill="1" applyBorder="1" applyProtection="1">
      <alignment/>
      <protection locked="0"/>
    </xf>
    <xf numFmtId="0" fontId="5" fillId="0" borderId="27" xfId="1216" applyFill="1" applyBorder="1" applyAlignment="1" applyProtection="1">
      <alignment/>
      <protection locked="0"/>
    </xf>
    <xf numFmtId="0" fontId="64" fillId="0" borderId="27" xfId="1216" applyFont="1" applyFill="1" applyBorder="1" applyAlignment="1" applyProtection="1">
      <alignment horizontal="center"/>
      <protection locked="0"/>
    </xf>
    <xf numFmtId="0" fontId="31" fillId="0" borderId="27" xfId="1216" applyFont="1" applyFill="1" applyBorder="1" applyAlignment="1" applyProtection="1">
      <alignment horizontal="center"/>
      <protection locked="0"/>
    </xf>
    <xf numFmtId="0" fontId="34" fillId="0" borderId="27" xfId="1202" applyNumberFormat="1" applyFill="1" applyBorder="1" applyAlignment="1" applyProtection="1">
      <alignment/>
      <protection locked="0"/>
    </xf>
    <xf numFmtId="165" fontId="26" fillId="0" borderId="51" xfId="1064" applyNumberFormat="1" applyFont="1" applyFill="1" applyBorder="1" applyAlignment="1" applyProtection="1">
      <alignment horizontal="centerContinuous"/>
      <protection locked="0"/>
    </xf>
    <xf numFmtId="165" fontId="31" fillId="0" borderId="27" xfId="1064" applyNumberFormat="1" applyFont="1" applyFill="1" applyBorder="1" applyAlignment="1" applyProtection="1">
      <alignment horizontal="centerContinuous"/>
      <protection locked="0"/>
    </xf>
    <xf numFmtId="0" fontId="34" fillId="0" borderId="27" xfId="1202" applyNumberFormat="1" applyFont="1" applyFill="1" applyBorder="1" applyAlignment="1" applyProtection="1">
      <alignment horizontal="centerContinuous"/>
      <protection locked="0"/>
    </xf>
    <xf numFmtId="0" fontId="5" fillId="0" borderId="27" xfId="1202" applyNumberFormat="1" applyFont="1" applyFill="1" applyBorder="1" applyAlignment="1" applyProtection="1">
      <alignment/>
      <protection locked="0"/>
    </xf>
    <xf numFmtId="10" fontId="64" fillId="0" borderId="27" xfId="1216" applyNumberFormat="1" applyFont="1" applyFill="1" applyBorder="1" applyAlignment="1" applyProtection="1">
      <alignment horizontal="center"/>
      <protection locked="0"/>
    </xf>
    <xf numFmtId="0" fontId="31" fillId="0" borderId="0" xfId="1216" applyFont="1" applyFill="1" applyBorder="1" applyAlignment="1" applyProtection="1">
      <alignment/>
      <protection locked="0"/>
    </xf>
    <xf numFmtId="0" fontId="21" fillId="0" borderId="52" xfId="1216" applyFont="1" applyFill="1" applyBorder="1" applyAlignment="1" applyProtection="1">
      <alignment horizontal="left" indent="1"/>
      <protection locked="0"/>
    </xf>
    <xf numFmtId="0" fontId="5" fillId="0" borderId="0" xfId="1216" applyFill="1" applyBorder="1" applyAlignment="1" applyProtection="1">
      <alignment horizontal="right"/>
      <protection locked="0"/>
    </xf>
    <xf numFmtId="41" fontId="64" fillId="0" borderId="0" xfId="1216" applyNumberFormat="1" applyFont="1" applyFill="1" applyBorder="1" applyAlignment="1" applyProtection="1">
      <alignment horizontal="center"/>
      <protection locked="0"/>
    </xf>
    <xf numFmtId="41" fontId="5" fillId="0" borderId="0" xfId="1064" applyNumberFormat="1" applyFill="1" applyBorder="1" applyAlignment="1" applyProtection="1">
      <alignment/>
      <protection locked="0"/>
    </xf>
    <xf numFmtId="41" fontId="34" fillId="0" borderId="0" xfId="1202" applyNumberFormat="1" applyFill="1" applyBorder="1" applyAlignment="1" applyProtection="1">
      <alignment/>
      <protection locked="0"/>
    </xf>
    <xf numFmtId="41" fontId="64" fillId="0" borderId="52" xfId="1064" applyNumberFormat="1" applyFont="1" applyFill="1" applyBorder="1" applyAlignment="1" applyProtection="1">
      <alignment horizontal="center"/>
      <protection locked="0"/>
    </xf>
    <xf numFmtId="41" fontId="64" fillId="0" borderId="0" xfId="1064" applyNumberFormat="1" applyFont="1" applyFill="1" applyBorder="1" applyAlignment="1" applyProtection="1">
      <alignment horizontal="center"/>
      <protection locked="0"/>
    </xf>
    <xf numFmtId="41" fontId="34" fillId="0" borderId="0" xfId="1202" applyNumberFormat="1" applyFill="1" applyBorder="1" applyAlignment="1" applyProtection="1">
      <alignment horizontal="center"/>
      <protection locked="0"/>
    </xf>
    <xf numFmtId="10" fontId="5" fillId="0" borderId="0" xfId="1202" applyNumberFormat="1" applyFont="1" applyFill="1" applyBorder="1" applyAlignment="1" applyProtection="1">
      <alignment/>
      <protection locked="0"/>
    </xf>
    <xf numFmtId="0" fontId="5" fillId="0" borderId="0" xfId="1216" applyFill="1" applyBorder="1" applyAlignment="1" applyProtection="1" quotePrefix="1">
      <alignment horizontal="center"/>
      <protection locked="0"/>
    </xf>
    <xf numFmtId="41" fontId="5" fillId="0" borderId="52" xfId="1064" applyNumberFormat="1" applyFill="1" applyBorder="1" applyAlignment="1" applyProtection="1">
      <alignment/>
      <protection locked="0"/>
    </xf>
    <xf numFmtId="183" fontId="34" fillId="0" borderId="0" xfId="1202" applyNumberFormat="1" applyFill="1" applyBorder="1" applyAlignment="1" applyProtection="1">
      <alignment horizontal="center"/>
      <protection locked="0"/>
    </xf>
    <xf numFmtId="41" fontId="5" fillId="0" borderId="0" xfId="1105" applyNumberFormat="1" applyFill="1" applyBorder="1" applyAlignment="1" applyProtection="1">
      <alignment/>
      <protection locked="0"/>
    </xf>
    <xf numFmtId="164" fontId="5" fillId="0" borderId="0" xfId="1105" applyNumberFormat="1" applyFill="1" applyBorder="1" applyAlignment="1" applyProtection="1">
      <alignment/>
      <protection locked="0"/>
    </xf>
    <xf numFmtId="165" fontId="5" fillId="0" borderId="52" xfId="1064" applyNumberFormat="1" applyFill="1" applyBorder="1" applyAlignment="1" applyProtection="1">
      <alignment/>
      <protection locked="0"/>
    </xf>
    <xf numFmtId="183" fontId="34" fillId="0" borderId="0" xfId="1202" applyNumberFormat="1" applyFont="1" applyFill="1" applyBorder="1" applyAlignment="1" applyProtection="1">
      <alignment horizontal="center"/>
      <protection locked="0"/>
    </xf>
    <xf numFmtId="41" fontId="34" fillId="0" borderId="0" xfId="1202" applyNumberFormat="1" applyFont="1" applyFill="1" applyBorder="1" applyAlignment="1" applyProtection="1">
      <alignment/>
      <protection locked="0"/>
    </xf>
    <xf numFmtId="10" fontId="21" fillId="0" borderId="0" xfId="1202" applyNumberFormat="1" applyFont="1" applyFill="1" applyBorder="1" applyAlignment="1" applyProtection="1">
      <alignment/>
      <protection locked="0"/>
    </xf>
    <xf numFmtId="41" fontId="5" fillId="0" borderId="0" xfId="1105" applyNumberFormat="1" applyFont="1" applyFill="1" applyBorder="1" applyAlignment="1" applyProtection="1">
      <alignment/>
      <protection locked="0"/>
    </xf>
    <xf numFmtId="0" fontId="5" fillId="0" borderId="51" xfId="1216" applyFill="1" applyBorder="1" applyAlignment="1" applyProtection="1" quotePrefix="1">
      <alignment horizontal="center" vertical="center"/>
      <protection locked="0"/>
    </xf>
    <xf numFmtId="0" fontId="5" fillId="0" borderId="27" xfId="1216" applyFill="1" applyBorder="1" applyAlignment="1" applyProtection="1">
      <alignment horizontal="right" vertical="center"/>
      <protection locked="0"/>
    </xf>
    <xf numFmtId="41" fontId="5" fillId="0" borderId="27" xfId="1064" applyNumberFormat="1" applyFill="1" applyBorder="1" applyAlignment="1" applyProtection="1">
      <alignment/>
      <protection locked="0"/>
    </xf>
    <xf numFmtId="41" fontId="5" fillId="0" borderId="27" xfId="1064" applyNumberFormat="1" applyFill="1" applyBorder="1" applyAlignment="1" applyProtection="1">
      <alignment horizontal="right" vertical="center"/>
      <protection locked="0"/>
    </xf>
    <xf numFmtId="41" fontId="34" fillId="0" borderId="27" xfId="1202" applyNumberFormat="1" applyFill="1" applyBorder="1" applyAlignment="1" applyProtection="1">
      <alignment/>
      <protection locked="0"/>
    </xf>
    <xf numFmtId="165" fontId="5" fillId="0" borderId="51" xfId="1064" applyNumberFormat="1" applyFill="1" applyBorder="1" applyAlignment="1" applyProtection="1">
      <alignment/>
      <protection locked="0"/>
    </xf>
    <xf numFmtId="183" fontId="34" fillId="0" borderId="27" xfId="1202" applyNumberFormat="1" applyFont="1" applyFill="1" applyBorder="1" applyAlignment="1" applyProtection="1">
      <alignment horizontal="center"/>
      <protection locked="0"/>
    </xf>
    <xf numFmtId="41" fontId="34" fillId="0" borderId="27" xfId="1202" applyNumberFormat="1" applyFont="1" applyFill="1" applyBorder="1" applyAlignment="1" applyProtection="1">
      <alignment/>
      <protection locked="0"/>
    </xf>
    <xf numFmtId="10" fontId="5" fillId="0" borderId="27" xfId="1202" applyNumberFormat="1" applyFont="1" applyFill="1" applyBorder="1" applyAlignment="1" applyProtection="1">
      <alignment/>
      <protection locked="0"/>
    </xf>
    <xf numFmtId="41" fontId="5" fillId="0" borderId="27" xfId="1105" applyNumberFormat="1" applyFont="1" applyFill="1" applyBorder="1" applyAlignment="1" applyProtection="1">
      <alignment/>
      <protection locked="0"/>
    </xf>
    <xf numFmtId="41" fontId="5" fillId="0" borderId="53" xfId="1105" applyNumberFormat="1" applyFill="1" applyBorder="1" applyAlignment="1" applyProtection="1">
      <alignment/>
      <protection locked="0"/>
    </xf>
    <xf numFmtId="0" fontId="5" fillId="0" borderId="54" xfId="1216" applyFill="1" applyBorder="1" applyAlignment="1" applyProtection="1" quotePrefix="1">
      <alignment horizontal="center" vertical="center"/>
      <protection locked="0"/>
    </xf>
    <xf numFmtId="0" fontId="5" fillId="0" borderId="55" xfId="1216" applyFill="1" applyBorder="1" applyAlignment="1" applyProtection="1">
      <alignment horizontal="right" vertical="center"/>
      <protection locked="0"/>
    </xf>
    <xf numFmtId="41" fontId="5" fillId="0" borderId="55" xfId="1064" applyNumberFormat="1" applyFill="1" applyBorder="1" applyAlignment="1" applyProtection="1">
      <alignment/>
      <protection locked="0"/>
    </xf>
    <xf numFmtId="41" fontId="5" fillId="0" borderId="55" xfId="1064" applyNumberFormat="1" applyFill="1" applyBorder="1" applyAlignment="1" applyProtection="1">
      <alignment horizontal="right" vertical="center"/>
      <protection locked="0"/>
    </xf>
    <xf numFmtId="41" fontId="34" fillId="0" borderId="55" xfId="1202" applyNumberFormat="1" applyFill="1" applyBorder="1" applyAlignment="1" applyProtection="1">
      <alignment/>
      <protection locked="0"/>
    </xf>
    <xf numFmtId="165" fontId="5" fillId="0" borderId="54" xfId="1064" applyNumberFormat="1" applyFill="1" applyBorder="1" applyAlignment="1" applyProtection="1">
      <alignment/>
      <protection locked="0"/>
    </xf>
    <xf numFmtId="183" fontId="21" fillId="0" borderId="55" xfId="1202" applyNumberFormat="1" applyFont="1" applyFill="1" applyBorder="1" applyAlignment="1" applyProtection="1">
      <alignment horizontal="center"/>
      <protection locked="0"/>
    </xf>
    <xf numFmtId="10" fontId="5" fillId="0" borderId="55" xfId="1202" applyNumberFormat="1" applyFont="1" applyFill="1" applyBorder="1" applyAlignment="1" applyProtection="1">
      <alignment/>
      <protection locked="0"/>
    </xf>
    <xf numFmtId="41" fontId="5" fillId="0" borderId="55" xfId="1105" applyNumberFormat="1" applyFont="1" applyFill="1" applyBorder="1" applyAlignment="1" applyProtection="1">
      <alignment/>
      <protection locked="0"/>
    </xf>
    <xf numFmtId="41" fontId="5" fillId="0" borderId="56" xfId="1105" applyNumberFormat="1" applyFill="1" applyBorder="1" applyAlignment="1" applyProtection="1">
      <alignment/>
      <protection locked="0"/>
    </xf>
    <xf numFmtId="183" fontId="21" fillId="0" borderId="0" xfId="1202" applyNumberFormat="1" applyFont="1" applyFill="1" applyBorder="1" applyAlignment="1" applyProtection="1">
      <alignment horizontal="center"/>
      <protection locked="0"/>
    </xf>
    <xf numFmtId="0" fontId="5" fillId="0" borderId="27" xfId="1216" applyFill="1" applyBorder="1" applyAlignment="1" applyProtection="1">
      <alignment horizontal="right"/>
      <protection locked="0"/>
    </xf>
    <xf numFmtId="41" fontId="5" fillId="0" borderId="51" xfId="1064" applyNumberFormat="1" applyFill="1" applyBorder="1" applyAlignment="1" applyProtection="1">
      <alignment/>
      <protection locked="0"/>
    </xf>
    <xf numFmtId="183" fontId="21" fillId="0" borderId="27" xfId="1202" applyNumberFormat="1" applyFont="1" applyFill="1" applyBorder="1" applyAlignment="1" applyProtection="1">
      <alignment horizontal="center"/>
      <protection locked="0"/>
    </xf>
    <xf numFmtId="41" fontId="5" fillId="0" borderId="27" xfId="1216" applyNumberFormat="1" applyFill="1" applyBorder="1" applyAlignment="1" applyProtection="1">
      <alignment/>
      <protection locked="0"/>
    </xf>
    <xf numFmtId="41" fontId="21" fillId="0" borderId="52" xfId="1064" applyNumberFormat="1" applyFont="1" applyFill="1" applyBorder="1" applyAlignment="1" applyProtection="1">
      <alignment horizontal="left" indent="1"/>
      <protection locked="0"/>
    </xf>
    <xf numFmtId="41" fontId="5" fillId="0" borderId="0" xfId="1216" applyNumberFormat="1" applyFill="1" applyBorder="1" applyAlignment="1" applyProtection="1">
      <alignment/>
      <protection locked="0"/>
    </xf>
    <xf numFmtId="165" fontId="5" fillId="0" borderId="0" xfId="1064" applyNumberFormat="1" applyFill="1" applyBorder="1" applyAlignment="1" applyProtection="1">
      <alignment/>
      <protection locked="0"/>
    </xf>
    <xf numFmtId="165" fontId="5" fillId="0" borderId="0" xfId="1216" applyNumberFormat="1" applyFill="1" applyProtection="1">
      <alignment/>
      <protection locked="0"/>
    </xf>
    <xf numFmtId="0" fontId="5" fillId="0" borderId="55" xfId="1216" applyFill="1" applyBorder="1" applyAlignment="1" applyProtection="1">
      <alignment horizontal="center"/>
      <protection locked="0"/>
    </xf>
    <xf numFmtId="0" fontId="5" fillId="0" borderId="55" xfId="1216" applyFill="1" applyBorder="1" applyAlignment="1" applyProtection="1">
      <alignment horizontal="right"/>
      <protection locked="0"/>
    </xf>
    <xf numFmtId="41" fontId="5" fillId="0" borderId="54" xfId="1064" applyNumberFormat="1" applyFill="1" applyBorder="1" applyAlignment="1" applyProtection="1">
      <alignment/>
      <protection locked="0"/>
    </xf>
    <xf numFmtId="41" fontId="5" fillId="0" borderId="55" xfId="1105" applyNumberFormat="1" applyFill="1" applyBorder="1" applyAlignment="1" applyProtection="1">
      <alignment/>
      <protection locked="0"/>
    </xf>
    <xf numFmtId="41" fontId="5" fillId="0" borderId="27" xfId="1105" applyNumberFormat="1" applyFill="1" applyBorder="1" applyAlignment="1" applyProtection="1">
      <alignment/>
      <protection locked="0"/>
    </xf>
    <xf numFmtId="41" fontId="5" fillId="0" borderId="0" xfId="1064" applyNumberFormat="1" applyFont="1" applyFill="1" applyBorder="1" applyAlignment="1" applyProtection="1">
      <alignment/>
      <protection locked="0"/>
    </xf>
    <xf numFmtId="165" fontId="5" fillId="0" borderId="0" xfId="1064" applyNumberFormat="1" applyFont="1" applyFill="1" applyBorder="1" applyAlignment="1" applyProtection="1">
      <alignment/>
      <protection locked="0"/>
    </xf>
    <xf numFmtId="0" fontId="5" fillId="0" borderId="55" xfId="1216" applyFill="1" applyBorder="1" applyAlignment="1" applyProtection="1" quotePrefix="1">
      <alignment horizontal="center"/>
      <protection locked="0"/>
    </xf>
    <xf numFmtId="0" fontId="5" fillId="0" borderId="27" xfId="1216" applyFill="1" applyBorder="1" applyAlignment="1" applyProtection="1" quotePrefix="1">
      <alignment horizontal="center"/>
      <protection locked="0"/>
    </xf>
    <xf numFmtId="183" fontId="21" fillId="0" borderId="0" xfId="1202" applyNumberFormat="1" applyFont="1" applyFill="1" applyBorder="1" applyAlignment="1" applyProtection="1">
      <alignment/>
      <protection locked="0"/>
    </xf>
    <xf numFmtId="41" fontId="5" fillId="0" borderId="52" xfId="1064" applyNumberFormat="1" applyFont="1" applyFill="1" applyBorder="1" applyAlignment="1" applyProtection="1">
      <alignment/>
      <protection locked="0"/>
    </xf>
    <xf numFmtId="41" fontId="5" fillId="0" borderId="0" xfId="1064" applyNumberFormat="1" applyFill="1" applyBorder="1" applyAlignment="1" applyProtection="1">
      <alignment horizontal="right" vertical="center"/>
      <protection locked="0"/>
    </xf>
    <xf numFmtId="41" fontId="34" fillId="0" borderId="55" xfId="1202" applyNumberFormat="1" applyFill="1" applyBorder="1" applyAlignment="1" applyProtection="1">
      <alignment horizontal="center"/>
      <protection locked="0"/>
    </xf>
    <xf numFmtId="183" fontId="21" fillId="0" borderId="27" xfId="1202" applyNumberFormat="1" applyFont="1" applyFill="1" applyBorder="1" applyAlignment="1" applyProtection="1">
      <alignment/>
      <protection locked="0"/>
    </xf>
    <xf numFmtId="0" fontId="5" fillId="0" borderId="0" xfId="1216" applyFont="1" applyFill="1" applyBorder="1" applyAlignment="1" applyProtection="1" quotePrefix="1">
      <alignment horizontal="center"/>
      <protection locked="0"/>
    </xf>
    <xf numFmtId="41" fontId="34" fillId="0" borderId="18" xfId="1202" applyNumberFormat="1" applyFill="1" applyBorder="1" applyAlignment="1" applyProtection="1">
      <alignment/>
      <protection locked="0"/>
    </xf>
    <xf numFmtId="41" fontId="34" fillId="0" borderId="0" xfId="1202" applyNumberFormat="1" applyFill="1" applyAlignment="1" applyProtection="1">
      <alignment/>
      <protection locked="0"/>
    </xf>
    <xf numFmtId="0" fontId="5" fillId="0" borderId="55" xfId="1216" applyFill="1" applyBorder="1" applyAlignment="1" applyProtection="1">
      <alignment/>
      <protection locked="0"/>
    </xf>
    <xf numFmtId="183" fontId="21" fillId="0" borderId="55" xfId="1202" applyNumberFormat="1" applyFont="1" applyFill="1" applyBorder="1" applyAlignment="1" applyProtection="1">
      <alignment/>
      <protection locked="0"/>
    </xf>
    <xf numFmtId="41" fontId="34" fillId="0" borderId="27" xfId="1202" applyNumberFormat="1" applyFill="1" applyBorder="1" applyAlignment="1" applyProtection="1">
      <alignment horizontal="center"/>
      <protection locked="0"/>
    </xf>
    <xf numFmtId="0" fontId="5" fillId="0" borderId="57" xfId="1216" applyFill="1" applyBorder="1" applyAlignment="1" applyProtection="1">
      <alignment horizontal="center"/>
      <protection locked="0"/>
    </xf>
    <xf numFmtId="164" fontId="5" fillId="0" borderId="0" xfId="1216" applyNumberFormat="1" applyFill="1" applyBorder="1" applyAlignment="1" applyProtection="1">
      <alignment/>
      <protection locked="0"/>
    </xf>
    <xf numFmtId="0" fontId="5" fillId="0" borderId="27" xfId="1216" applyFill="1" applyBorder="1" applyAlignment="1" applyProtection="1" quotePrefix="1">
      <alignment horizontal="center" vertical="center"/>
      <protection locked="0"/>
    </xf>
    <xf numFmtId="0" fontId="5" fillId="0" borderId="55" xfId="1216" applyFill="1" applyBorder="1" applyAlignment="1" applyProtection="1" quotePrefix="1">
      <alignment horizontal="center" vertical="center"/>
      <protection locked="0"/>
    </xf>
    <xf numFmtId="41" fontId="5" fillId="0" borderId="55" xfId="1064" applyNumberFormat="1" applyFill="1" applyBorder="1" applyAlignment="1" applyProtection="1">
      <alignment horizontal="center"/>
      <protection locked="0"/>
    </xf>
    <xf numFmtId="41" fontId="5" fillId="0" borderId="27" xfId="1064" applyNumberFormat="1" applyFill="1" applyBorder="1" applyAlignment="1" applyProtection="1">
      <alignment horizontal="center"/>
      <protection locked="0"/>
    </xf>
    <xf numFmtId="41" fontId="34" fillId="0" borderId="53" xfId="1202" applyNumberFormat="1" applyFill="1" applyBorder="1" applyAlignment="1" applyProtection="1">
      <alignment/>
      <protection locked="0"/>
    </xf>
    <xf numFmtId="41" fontId="34" fillId="0" borderId="18" xfId="1215" applyNumberFormat="1" applyFont="1" applyFill="1" applyBorder="1" applyAlignment="1" applyProtection="1">
      <alignment/>
      <protection locked="0"/>
    </xf>
    <xf numFmtId="41" fontId="21" fillId="0" borderId="0" xfId="1064" applyNumberFormat="1" applyFont="1" applyFill="1" applyBorder="1" applyAlignment="1" applyProtection="1">
      <alignment horizontal="left" indent="1"/>
      <protection locked="0"/>
    </xf>
    <xf numFmtId="41" fontId="34" fillId="0" borderId="0" xfId="1215" applyNumberFormat="1" applyFont="1" applyFill="1" applyBorder="1" applyAlignment="1" applyProtection="1">
      <alignment horizontal="center"/>
      <protection locked="0"/>
    </xf>
    <xf numFmtId="41" fontId="34" fillId="0" borderId="0" xfId="1215" applyNumberFormat="1" applyFont="1" applyFill="1" applyBorder="1" applyAlignment="1" applyProtection="1">
      <alignment/>
      <protection locked="0"/>
    </xf>
    <xf numFmtId="0" fontId="5" fillId="0" borderId="0" xfId="1215" applyNumberFormat="1" applyFont="1" applyFill="1" applyBorder="1" applyAlignment="1" applyProtection="1">
      <alignment/>
      <protection locked="0"/>
    </xf>
    <xf numFmtId="10" fontId="5" fillId="0" borderId="0" xfId="1215" applyNumberFormat="1" applyFont="1" applyFill="1" applyBorder="1" applyAlignment="1" applyProtection="1">
      <alignment/>
      <protection locked="0"/>
    </xf>
    <xf numFmtId="41" fontId="34" fillId="0" borderId="56" xfId="1215" applyNumberFormat="1" applyFont="1" applyFill="1" applyBorder="1" applyAlignment="1" applyProtection="1">
      <alignment/>
      <protection locked="0"/>
    </xf>
    <xf numFmtId="41" fontId="5" fillId="0" borderId="55" xfId="1064" applyNumberFormat="1" applyFont="1" applyFill="1" applyBorder="1" applyAlignment="1" applyProtection="1">
      <alignment/>
      <protection locked="0"/>
    </xf>
    <xf numFmtId="183" fontId="34" fillId="0" borderId="55" xfId="1202" applyNumberFormat="1" applyFont="1" applyFill="1" applyBorder="1" applyAlignment="1" applyProtection="1">
      <alignment horizontal="center"/>
      <protection locked="0"/>
    </xf>
    <xf numFmtId="41" fontId="34" fillId="0" borderId="55" xfId="1215" applyNumberFormat="1" applyFont="1" applyFill="1" applyBorder="1" applyAlignment="1" applyProtection="1">
      <alignment/>
      <protection locked="0"/>
    </xf>
    <xf numFmtId="10" fontId="5" fillId="0" borderId="55" xfId="1215" applyNumberFormat="1" applyFont="1" applyFill="1" applyBorder="1" applyAlignment="1" applyProtection="1">
      <alignment/>
      <protection locked="0"/>
    </xf>
    <xf numFmtId="41" fontId="34" fillId="0" borderId="53" xfId="1215" applyNumberFormat="1" applyFont="1" applyFill="1" applyBorder="1" applyAlignment="1" applyProtection="1">
      <alignment/>
      <protection locked="0"/>
    </xf>
    <xf numFmtId="41" fontId="5" fillId="0" borderId="27" xfId="1064" applyNumberFormat="1" applyFont="1" applyFill="1" applyBorder="1" applyAlignment="1" applyProtection="1">
      <alignment/>
      <protection locked="0"/>
    </xf>
    <xf numFmtId="41" fontId="34" fillId="0" borderId="27" xfId="1215" applyNumberFormat="1" applyFont="1" applyFill="1" applyBorder="1" applyAlignment="1" applyProtection="1">
      <alignment/>
      <protection locked="0"/>
    </xf>
    <xf numFmtId="10" fontId="5" fillId="0" borderId="27" xfId="1215" applyNumberFormat="1" applyFont="1" applyFill="1" applyBorder="1" applyAlignment="1" applyProtection="1">
      <alignment/>
      <protection locked="0"/>
    </xf>
    <xf numFmtId="0" fontId="5" fillId="0" borderId="27" xfId="1216" applyFont="1" applyFill="1" applyBorder="1" applyAlignment="1" applyProtection="1" quotePrefix="1">
      <alignment horizontal="center"/>
      <protection locked="0"/>
    </xf>
    <xf numFmtId="41" fontId="5" fillId="0" borderId="51" xfId="1064" applyNumberFormat="1" applyFont="1" applyFill="1" applyBorder="1" applyAlignment="1" applyProtection="1">
      <alignment/>
      <protection locked="0"/>
    </xf>
    <xf numFmtId="0" fontId="5" fillId="0" borderId="55" xfId="1216" applyFont="1" applyFill="1" applyBorder="1" applyAlignment="1" applyProtection="1" quotePrefix="1">
      <alignment horizontal="center"/>
      <protection locked="0"/>
    </xf>
    <xf numFmtId="41" fontId="5" fillId="0" borderId="54" xfId="1064" applyNumberFormat="1" applyFont="1" applyFill="1" applyBorder="1" applyAlignment="1" applyProtection="1">
      <alignment/>
      <protection locked="0"/>
    </xf>
    <xf numFmtId="41" fontId="5" fillId="0" borderId="18" xfId="1064" applyNumberFormat="1" applyFill="1" applyBorder="1" applyAlignment="1" applyProtection="1">
      <alignment/>
      <protection locked="0"/>
    </xf>
    <xf numFmtId="165" fontId="5" fillId="0" borderId="0" xfId="1202" applyNumberFormat="1" applyFont="1" applyFill="1" applyBorder="1" applyAlignment="1" applyProtection="1">
      <alignment/>
      <protection locked="0"/>
    </xf>
    <xf numFmtId="183" fontId="21" fillId="0" borderId="0" xfId="1202" applyNumberFormat="1" applyFont="1" applyFill="1" applyBorder="1" applyAlignment="1" applyProtection="1">
      <alignment horizontal="right"/>
      <protection locked="0"/>
    </xf>
    <xf numFmtId="41" fontId="5" fillId="0" borderId="0" xfId="1235" applyNumberFormat="1" applyFont="1" applyFill="1" applyBorder="1" applyAlignment="1" applyProtection="1">
      <alignment/>
      <protection locked="0"/>
    </xf>
    <xf numFmtId="42" fontId="5" fillId="0" borderId="0" xfId="1202" applyNumberFormat="1" applyFont="1" applyFill="1" applyBorder="1" applyAlignment="1" applyProtection="1">
      <alignment/>
      <protection locked="0"/>
    </xf>
    <xf numFmtId="41" fontId="5" fillId="0" borderId="52" xfId="1064" applyNumberFormat="1" applyFont="1" applyFill="1" applyBorder="1" applyAlignment="1" applyProtection="1">
      <alignment horizontal="right"/>
      <protection locked="0"/>
    </xf>
    <xf numFmtId="6" fontId="5" fillId="0" borderId="0" xfId="1064" applyNumberFormat="1" applyFill="1" applyBorder="1" applyAlignment="1" applyProtection="1">
      <alignment/>
      <protection locked="0"/>
    </xf>
    <xf numFmtId="41" fontId="5" fillId="0" borderId="54" xfId="1064" applyNumberFormat="1" applyFont="1" applyFill="1" applyBorder="1" applyAlignment="1" applyProtection="1">
      <alignment horizontal="right"/>
      <protection locked="0"/>
    </xf>
    <xf numFmtId="41" fontId="5" fillId="0" borderId="51" xfId="1064" applyNumberFormat="1" applyFont="1" applyFill="1" applyBorder="1" applyAlignment="1" applyProtection="1">
      <alignment horizontal="right"/>
      <protection locked="0"/>
    </xf>
    <xf numFmtId="5" fontId="5" fillId="0" borderId="0" xfId="1064" applyNumberFormat="1" applyFont="1" applyFill="1" applyBorder="1" applyAlignment="1" applyProtection="1">
      <alignment/>
      <protection locked="0"/>
    </xf>
    <xf numFmtId="5" fontId="5" fillId="0" borderId="52" xfId="1064" applyNumberFormat="1" applyFont="1" applyFill="1" applyBorder="1" applyAlignment="1" applyProtection="1">
      <alignment horizontal="right"/>
      <protection locked="0"/>
    </xf>
    <xf numFmtId="3" fontId="5" fillId="0" borderId="0" xfId="1057" applyNumberFormat="1" applyFont="1" applyFill="1" applyAlignment="1" applyProtection="1">
      <alignment/>
      <protection locked="0"/>
    </xf>
    <xf numFmtId="0" fontId="31" fillId="0" borderId="0" xfId="1216" applyFont="1" applyFill="1" applyBorder="1" applyAlignment="1" applyProtection="1">
      <alignment horizontal="left"/>
      <protection locked="0"/>
    </xf>
    <xf numFmtId="16" fontId="5" fillId="0" borderId="0" xfId="1216" applyNumberFormat="1" applyFill="1" applyProtection="1">
      <alignment/>
      <protection locked="0"/>
    </xf>
    <xf numFmtId="17" fontId="5" fillId="0" borderId="0" xfId="1216" applyNumberFormat="1" applyFill="1" applyProtection="1">
      <alignment/>
      <protection locked="0"/>
    </xf>
    <xf numFmtId="166" fontId="31" fillId="0" borderId="0" xfId="1202" applyFont="1" applyFill="1" applyAlignment="1">
      <alignment horizontal="left"/>
      <protection/>
    </xf>
    <xf numFmtId="5" fontId="5" fillId="0" borderId="0" xfId="1064" applyNumberFormat="1" applyFill="1" applyBorder="1" applyAlignment="1" applyProtection="1">
      <alignment/>
      <protection locked="0"/>
    </xf>
    <xf numFmtId="41" fontId="5" fillId="0" borderId="55" xfId="1064" applyNumberFormat="1" applyFont="1" applyFill="1" applyBorder="1" applyAlignment="1" applyProtection="1">
      <alignment horizontal="right"/>
      <protection locked="0"/>
    </xf>
    <xf numFmtId="0" fontId="5" fillId="0" borderId="58" xfId="1216" applyFill="1" applyBorder="1" applyAlignment="1" applyProtection="1">
      <alignment horizontal="right"/>
      <protection locked="0"/>
    </xf>
    <xf numFmtId="17" fontId="5" fillId="0" borderId="26" xfId="1064" applyNumberFormat="1" applyFill="1" applyBorder="1" applyAlignment="1" applyProtection="1">
      <alignment/>
      <protection locked="0"/>
    </xf>
    <xf numFmtId="17" fontId="5" fillId="0" borderId="26" xfId="1064" applyNumberFormat="1" applyFill="1" applyBorder="1" applyAlignment="1" applyProtection="1">
      <alignment horizontal="center"/>
      <protection locked="0"/>
    </xf>
    <xf numFmtId="0" fontId="34" fillId="0" borderId="26" xfId="1202" applyNumberFormat="1" applyFill="1" applyBorder="1" applyAlignment="1" applyProtection="1">
      <alignment/>
      <protection locked="0"/>
    </xf>
    <xf numFmtId="41" fontId="5" fillId="0" borderId="26" xfId="1216" applyNumberFormat="1" applyFill="1" applyBorder="1" applyAlignment="1" applyProtection="1">
      <alignment/>
      <protection locked="0"/>
    </xf>
    <xf numFmtId="183" fontId="21" fillId="0" borderId="26" xfId="1202" applyNumberFormat="1" applyFont="1" applyFill="1" applyBorder="1" applyAlignment="1" applyProtection="1">
      <alignment horizontal="center"/>
      <protection locked="0"/>
    </xf>
    <xf numFmtId="41" fontId="34" fillId="0" borderId="26" xfId="1202" applyNumberFormat="1" applyFill="1" applyBorder="1" applyAlignment="1" applyProtection="1">
      <alignment/>
      <protection locked="0"/>
    </xf>
    <xf numFmtId="41" fontId="31" fillId="0" borderId="6" xfId="1216" applyNumberFormat="1" applyFont="1" applyFill="1" applyBorder="1" applyAlignment="1" applyProtection="1">
      <alignment horizontal="centerContinuous"/>
      <protection locked="0"/>
    </xf>
    <xf numFmtId="41" fontId="44" fillId="0" borderId="6" xfId="1216" applyNumberFormat="1" applyFont="1" applyFill="1" applyBorder="1" applyAlignment="1" applyProtection="1">
      <alignment horizontal="centerContinuous"/>
      <protection locked="0"/>
    </xf>
    <xf numFmtId="0" fontId="5" fillId="0" borderId="59" xfId="1216" applyFill="1" applyBorder="1" applyProtection="1">
      <alignment/>
      <protection locked="0"/>
    </xf>
    <xf numFmtId="0" fontId="31" fillId="0" borderId="47" xfId="1216" applyFont="1" applyFill="1" applyBorder="1" applyAlignment="1" applyProtection="1">
      <alignment horizontal="center"/>
      <protection locked="0"/>
    </xf>
    <xf numFmtId="17" fontId="31" fillId="0" borderId="25" xfId="1064" applyNumberFormat="1" applyFont="1" applyFill="1" applyBorder="1" applyAlignment="1" applyProtection="1">
      <alignment horizontal="center"/>
      <protection locked="0"/>
    </xf>
    <xf numFmtId="0" fontId="34" fillId="0" borderId="25" xfId="1202" applyNumberFormat="1" applyFill="1" applyBorder="1" applyAlignment="1" applyProtection="1">
      <alignment/>
      <protection locked="0"/>
    </xf>
    <xf numFmtId="41" fontId="31" fillId="0" borderId="25" xfId="1216" applyNumberFormat="1" applyFont="1" applyFill="1" applyBorder="1" applyAlignment="1" applyProtection="1">
      <alignment horizontal="centerContinuous"/>
      <protection locked="0"/>
    </xf>
    <xf numFmtId="0" fontId="31" fillId="0" borderId="50" xfId="1216" applyFont="1" applyFill="1" applyBorder="1" applyAlignment="1" applyProtection="1">
      <alignment horizontal="center"/>
      <protection locked="0"/>
    </xf>
    <xf numFmtId="0" fontId="5" fillId="0" borderId="44" xfId="1216" applyFill="1" applyBorder="1" applyAlignment="1" applyProtection="1">
      <alignment horizontal="right"/>
      <protection locked="0"/>
    </xf>
    <xf numFmtId="17" fontId="5" fillId="0" borderId="0" xfId="1064" applyNumberFormat="1" applyFill="1" applyBorder="1" applyAlignment="1" applyProtection="1">
      <alignment/>
      <protection locked="0"/>
    </xf>
    <xf numFmtId="17" fontId="5" fillId="0" borderId="0" xfId="1064" applyNumberFormat="1" applyFill="1" applyBorder="1" applyAlignment="1" applyProtection="1">
      <alignment horizontal="center"/>
      <protection locked="0"/>
    </xf>
    <xf numFmtId="41" fontId="41" fillId="0" borderId="0" xfId="1216" applyNumberFormat="1" applyFont="1" applyFill="1" applyBorder="1" applyAlignment="1" applyProtection="1">
      <alignment horizontal="centerContinuous"/>
      <protection locked="0"/>
    </xf>
    <xf numFmtId="0" fontId="5" fillId="0" borderId="45" xfId="1216" applyFill="1" applyBorder="1" applyProtection="1">
      <alignment/>
      <protection locked="0"/>
    </xf>
    <xf numFmtId="0" fontId="5" fillId="0" borderId="44" xfId="1216" applyFont="1" applyFill="1" applyBorder="1" applyAlignment="1" applyProtection="1">
      <alignment horizontal="left" indent="1"/>
      <protection locked="0"/>
    </xf>
    <xf numFmtId="188" fontId="5" fillId="0" borderId="0" xfId="1064" applyNumberFormat="1" applyFill="1" applyBorder="1" applyAlignment="1" applyProtection="1">
      <alignment horizontal="center"/>
      <protection locked="0"/>
    </xf>
    <xf numFmtId="41" fontId="5" fillId="0" borderId="0" xfId="1216" applyNumberFormat="1" applyFill="1" applyBorder="1" applyAlignment="1">
      <alignment/>
      <protection/>
    </xf>
    <xf numFmtId="183" fontId="34" fillId="0" borderId="0" xfId="1202" applyNumberFormat="1" applyFont="1" applyFill="1" applyBorder="1" applyAlignment="1">
      <alignment horizontal="center"/>
      <protection/>
    </xf>
    <xf numFmtId="41" fontId="34" fillId="0" borderId="0" xfId="1202" applyNumberFormat="1" applyFill="1" applyBorder="1" applyAlignment="1">
      <alignment/>
      <protection/>
    </xf>
    <xf numFmtId="37" fontId="5" fillId="0" borderId="0" xfId="1216" applyNumberFormat="1" applyFill="1" applyBorder="1" applyAlignment="1">
      <alignment/>
      <protection/>
    </xf>
    <xf numFmtId="3" fontId="5" fillId="0" borderId="45" xfId="1057" applyNumberFormat="1" applyFont="1" applyFill="1" applyBorder="1" applyAlignment="1" applyProtection="1">
      <alignment/>
      <protection/>
    </xf>
    <xf numFmtId="3" fontId="5" fillId="0" borderId="0" xfId="1216" applyNumberFormat="1" applyFill="1" applyBorder="1" applyProtection="1">
      <alignment/>
      <protection locked="0"/>
    </xf>
    <xf numFmtId="10" fontId="5" fillId="0" borderId="0" xfId="1202" applyNumberFormat="1" applyFont="1" applyFill="1" applyBorder="1" applyAlignment="1">
      <alignment/>
      <protection/>
    </xf>
    <xf numFmtId="0" fontId="5" fillId="0" borderId="60" xfId="1216" applyFont="1" applyFill="1" applyBorder="1" applyAlignment="1" applyProtection="1">
      <alignment horizontal="left" indent="1"/>
      <protection locked="0"/>
    </xf>
    <xf numFmtId="17" fontId="5" fillId="0" borderId="57" xfId="1064" applyNumberFormat="1" applyFill="1" applyBorder="1" applyAlignment="1" applyProtection="1">
      <alignment/>
      <protection locked="0"/>
    </xf>
    <xf numFmtId="188" fontId="5" fillId="0" borderId="57" xfId="1064" applyNumberFormat="1" applyFill="1" applyBorder="1" applyAlignment="1" applyProtection="1">
      <alignment horizontal="center"/>
      <protection locked="0"/>
    </xf>
    <xf numFmtId="0" fontId="34" fillId="0" borderId="57" xfId="1202" applyNumberFormat="1" applyFill="1" applyBorder="1" applyAlignment="1" applyProtection="1">
      <alignment/>
      <protection locked="0"/>
    </xf>
    <xf numFmtId="41" fontId="5" fillId="0" borderId="57" xfId="1216" applyNumberFormat="1" applyFill="1" applyBorder="1" applyAlignment="1">
      <alignment/>
      <protection/>
    </xf>
    <xf numFmtId="183" fontId="21" fillId="0" borderId="57" xfId="1202" applyNumberFormat="1" applyFont="1" applyFill="1" applyBorder="1" applyAlignment="1" applyProtection="1">
      <alignment horizontal="center"/>
      <protection locked="0"/>
    </xf>
    <xf numFmtId="41" fontId="34" fillId="0" borderId="57" xfId="1202" applyNumberFormat="1" applyFill="1" applyBorder="1" applyAlignment="1" applyProtection="1">
      <alignment/>
      <protection locked="0"/>
    </xf>
    <xf numFmtId="10" fontId="5" fillId="0" borderId="57" xfId="1202" applyNumberFormat="1" applyFont="1" applyFill="1" applyBorder="1" applyAlignment="1" applyProtection="1">
      <alignment/>
      <protection locked="0"/>
    </xf>
    <xf numFmtId="37" fontId="5" fillId="0" borderId="57" xfId="1216" applyNumberFormat="1" applyFill="1" applyBorder="1" applyAlignment="1">
      <alignment/>
      <protection/>
    </xf>
    <xf numFmtId="3" fontId="5" fillId="0" borderId="61" xfId="1057" applyNumberFormat="1" applyFont="1" applyFill="1" applyBorder="1" applyAlignment="1" applyProtection="1">
      <alignment/>
      <protection/>
    </xf>
    <xf numFmtId="0" fontId="31" fillId="0" borderId="44" xfId="1216" applyFont="1" applyFill="1" applyBorder="1" applyAlignment="1" applyProtection="1">
      <alignment horizontal="left" indent="1"/>
      <protection locked="0"/>
    </xf>
    <xf numFmtId="17" fontId="31" fillId="0" borderId="0" xfId="1064" applyNumberFormat="1" applyFont="1" applyFill="1" applyBorder="1" applyAlignment="1" applyProtection="1">
      <alignment/>
      <protection locked="0"/>
    </xf>
    <xf numFmtId="188" fontId="31" fillId="0" borderId="0" xfId="1064" applyNumberFormat="1" applyFont="1" applyFill="1" applyBorder="1" applyAlignment="1" applyProtection="1">
      <alignment horizontal="center"/>
      <protection locked="0"/>
    </xf>
    <xf numFmtId="0" fontId="65" fillId="0" borderId="0" xfId="1202" applyNumberFormat="1" applyFont="1" applyFill="1" applyBorder="1" applyAlignment="1" applyProtection="1">
      <alignment/>
      <protection locked="0"/>
    </xf>
    <xf numFmtId="41" fontId="31" fillId="0" borderId="0" xfId="1216" applyNumberFormat="1" applyFont="1" applyFill="1" applyBorder="1" applyAlignment="1">
      <alignment/>
      <protection/>
    </xf>
    <xf numFmtId="183" fontId="26" fillId="0" borderId="0" xfId="1202" applyNumberFormat="1" applyFont="1" applyFill="1" applyBorder="1" applyAlignment="1" applyProtection="1">
      <alignment horizontal="center"/>
      <protection locked="0"/>
    </xf>
    <xf numFmtId="41" fontId="65" fillId="0" borderId="0" xfId="1202" applyNumberFormat="1" applyFont="1" applyFill="1" applyBorder="1" applyAlignment="1" applyProtection="1">
      <alignment/>
      <protection locked="0"/>
    </xf>
    <xf numFmtId="10" fontId="26" fillId="0" borderId="0" xfId="1202" applyNumberFormat="1" applyFont="1" applyFill="1" applyBorder="1" applyAlignment="1" applyProtection="1">
      <alignment/>
      <protection locked="0"/>
    </xf>
    <xf numFmtId="37" fontId="31" fillId="0" borderId="0" xfId="1216" applyNumberFormat="1" applyFont="1" applyFill="1" applyBorder="1" applyAlignment="1">
      <alignment/>
      <protection/>
    </xf>
    <xf numFmtId="3" fontId="31" fillId="0" borderId="45" xfId="1057" applyNumberFormat="1" applyFont="1" applyFill="1" applyBorder="1" applyAlignment="1" applyProtection="1">
      <alignment/>
      <protection/>
    </xf>
    <xf numFmtId="3" fontId="5" fillId="0" borderId="0" xfId="1216" applyNumberFormat="1" applyFont="1" applyFill="1" applyBorder="1" applyProtection="1">
      <alignment/>
      <protection locked="0"/>
    </xf>
    <xf numFmtId="43" fontId="5" fillId="0" borderId="0" xfId="1216" applyNumberFormat="1" applyFill="1" applyBorder="1" applyProtection="1">
      <alignment/>
      <protection locked="0"/>
    </xf>
    <xf numFmtId="0" fontId="5" fillId="0" borderId="47" xfId="1216" applyFill="1" applyBorder="1" applyAlignment="1" applyProtection="1">
      <alignment horizontal="center"/>
      <protection locked="0"/>
    </xf>
    <xf numFmtId="17" fontId="5" fillId="0" borderId="25" xfId="1064" applyNumberFormat="1" applyFill="1" applyBorder="1" applyAlignment="1" applyProtection="1">
      <alignment/>
      <protection locked="0"/>
    </xf>
    <xf numFmtId="17" fontId="5" fillId="0" borderId="25" xfId="1064" applyNumberFormat="1" applyFill="1" applyBorder="1" applyAlignment="1" applyProtection="1">
      <alignment horizontal="center"/>
      <protection locked="0"/>
    </xf>
    <xf numFmtId="41" fontId="5" fillId="0" borderId="25" xfId="1216" applyNumberFormat="1" applyFill="1" applyBorder="1" applyAlignment="1">
      <alignment/>
      <protection/>
    </xf>
    <xf numFmtId="183" fontId="21" fillId="0" borderId="25" xfId="1202" applyNumberFormat="1" applyFont="1" applyFill="1" applyBorder="1" applyAlignment="1">
      <alignment horizontal="center"/>
      <protection/>
    </xf>
    <xf numFmtId="41" fontId="34" fillId="0" borderId="25" xfId="1202" applyNumberFormat="1" applyFill="1" applyBorder="1" applyAlignment="1" applyProtection="1">
      <alignment/>
      <protection locked="0"/>
    </xf>
    <xf numFmtId="10" fontId="5" fillId="0" borderId="25" xfId="1235" applyNumberFormat="1" applyFont="1" applyFill="1" applyBorder="1" applyAlignment="1">
      <alignment/>
    </xf>
    <xf numFmtId="41" fontId="5" fillId="0" borderId="25" xfId="1216" applyNumberFormat="1" applyFill="1" applyBorder="1" applyAlignment="1" applyProtection="1">
      <alignment/>
      <protection/>
    </xf>
    <xf numFmtId="0" fontId="5" fillId="0" borderId="48" xfId="1216" applyFill="1" applyBorder="1">
      <alignment/>
      <protection/>
    </xf>
    <xf numFmtId="0" fontId="5" fillId="0" borderId="26" xfId="1216" applyFill="1" applyBorder="1" applyAlignment="1" applyProtection="1">
      <alignment horizontal="center"/>
      <protection locked="0"/>
    </xf>
    <xf numFmtId="10" fontId="5" fillId="0" borderId="26" xfId="1235" applyNumberFormat="1" applyFont="1" applyFill="1" applyBorder="1" applyAlignment="1" applyProtection="1">
      <alignment/>
      <protection locked="0"/>
    </xf>
    <xf numFmtId="0" fontId="31" fillId="0" borderId="0" xfId="1216" applyFont="1" applyFill="1" applyBorder="1" applyAlignment="1" quotePrefix="1">
      <alignment horizontal="left" indent="1"/>
      <protection/>
    </xf>
    <xf numFmtId="165" fontId="5" fillId="0" borderId="0" xfId="1064" applyNumberFormat="1" applyFill="1" applyAlignment="1" applyProtection="1">
      <alignment/>
      <protection locked="0"/>
    </xf>
    <xf numFmtId="4" fontId="5" fillId="0" borderId="0" xfId="1057" applyFont="1" applyFill="1" applyAlignment="1" applyProtection="1">
      <alignment/>
      <protection locked="0"/>
    </xf>
    <xf numFmtId="0" fontId="5" fillId="0" borderId="0" xfId="1216" applyFill="1" applyAlignment="1" applyProtection="1">
      <alignment horizontal="left" indent="5"/>
      <protection locked="0"/>
    </xf>
    <xf numFmtId="0" fontId="5" fillId="0" borderId="0" xfId="1217" applyFill="1">
      <alignment/>
      <protection/>
    </xf>
    <xf numFmtId="0" fontId="4" fillId="0" borderId="0" xfId="0" applyNumberFormat="1" applyFont="1" applyFill="1" applyAlignment="1">
      <alignment horizontal="right"/>
    </xf>
    <xf numFmtId="191" fontId="4" fillId="0" borderId="0" xfId="0" applyNumberFormat="1" applyFont="1" applyFill="1" applyBorder="1" applyAlignment="1" quotePrefix="1">
      <alignment horizontal="right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0" fontId="68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37" fontId="49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37" fontId="49" fillId="0" borderId="0" xfId="0" applyNumberFormat="1" applyFont="1" applyFill="1" applyBorder="1" applyAlignment="1">
      <alignment horizontal="left" indent="1"/>
    </xf>
    <xf numFmtId="164" fontId="50" fillId="0" borderId="0" xfId="0" applyNumberFormat="1" applyFont="1" applyFill="1" applyAlignment="1">
      <alignment/>
    </xf>
    <xf numFmtId="37" fontId="49" fillId="0" borderId="26" xfId="0" applyNumberFormat="1" applyFont="1" applyFill="1" applyBorder="1" applyAlignment="1">
      <alignment/>
    </xf>
    <xf numFmtId="164" fontId="50" fillId="0" borderId="31" xfId="0" applyNumberFormat="1" applyFont="1" applyFill="1" applyBorder="1" applyAlignment="1">
      <alignment/>
    </xf>
    <xf numFmtId="0" fontId="69" fillId="0" borderId="0" xfId="0" applyNumberFormat="1" applyFont="1" applyFill="1" applyAlignment="1">
      <alignment/>
    </xf>
    <xf numFmtId="164" fontId="50" fillId="0" borderId="0" xfId="1098" applyNumberFormat="1" applyFont="1" applyFill="1" applyBorder="1" applyAlignment="1">
      <alignment/>
    </xf>
    <xf numFmtId="0" fontId="50" fillId="0" borderId="0" xfId="0" applyNumberFormat="1" applyFont="1" applyFill="1" applyAlignment="1">
      <alignment horizontal="left" indent="1"/>
    </xf>
    <xf numFmtId="165" fontId="49" fillId="0" borderId="0" xfId="1057" applyNumberFormat="1" applyFont="1" applyFill="1" applyBorder="1" applyAlignment="1">
      <alignment/>
    </xf>
    <xf numFmtId="0" fontId="50" fillId="0" borderId="0" xfId="0" applyNumberFormat="1" applyFont="1" applyFill="1" applyAlignment="1">
      <alignment horizontal="left" indent="2"/>
    </xf>
    <xf numFmtId="165" fontId="49" fillId="0" borderId="26" xfId="1057" applyNumberFormat="1" applyFont="1" applyFill="1" applyBorder="1" applyAlignment="1">
      <alignment/>
    </xf>
    <xf numFmtId="165" fontId="50" fillId="0" borderId="0" xfId="1057" applyNumberFormat="1" applyFont="1" applyFill="1" applyAlignment="1">
      <alignment/>
    </xf>
    <xf numFmtId="0" fontId="34" fillId="0" borderId="0" xfId="0" applyNumberFormat="1" applyFont="1" applyFill="1" applyAlignment="1">
      <alignment/>
    </xf>
    <xf numFmtId="0" fontId="49" fillId="0" borderId="0" xfId="1219" applyFont="1" applyFill="1" applyBorder="1" applyAlignment="1">
      <alignment horizontal="left"/>
      <protection/>
    </xf>
    <xf numFmtId="9" fontId="49" fillId="0" borderId="0" xfId="1235" applyFont="1" applyFill="1" applyAlignment="1">
      <alignment/>
    </xf>
    <xf numFmtId="166" fontId="49" fillId="0" borderId="0" xfId="0" applyNumberFormat="1" applyFont="1" applyFill="1" applyAlignment="1">
      <alignment horizontal="left"/>
    </xf>
    <xf numFmtId="37" fontId="49" fillId="0" borderId="25" xfId="1057" applyNumberFormat="1" applyFont="1" applyFill="1" applyBorder="1" applyAlignment="1">
      <alignment/>
    </xf>
    <xf numFmtId="0" fontId="49" fillId="0" borderId="0" xfId="0" applyNumberFormat="1" applyFont="1" applyFill="1" applyAlignment="1">
      <alignment/>
    </xf>
    <xf numFmtId="165" fontId="50" fillId="0" borderId="0" xfId="1057" applyNumberFormat="1" applyFont="1" applyFill="1" applyBorder="1" applyAlignment="1">
      <alignment/>
    </xf>
    <xf numFmtId="164" fontId="49" fillId="0" borderId="31" xfId="1098" applyNumberFormat="1" applyFont="1" applyFill="1" applyBorder="1" applyAlignment="1">
      <alignment/>
    </xf>
    <xf numFmtId="0" fontId="50" fillId="0" borderId="0" xfId="0" applyNumberFormat="1" applyFont="1" applyFill="1" applyAlignment="1">
      <alignment/>
    </xf>
    <xf numFmtId="0" fontId="50" fillId="0" borderId="0" xfId="0" applyNumberFormat="1" applyFont="1" applyFill="1" applyAlignment="1">
      <alignment horizontal="left" indent="5"/>
    </xf>
    <xf numFmtId="165" fontId="50" fillId="0" borderId="0" xfId="0" applyNumberFormat="1" applyFont="1" applyFill="1" applyBorder="1" applyAlignment="1">
      <alignment/>
    </xf>
    <xf numFmtId="165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center"/>
    </xf>
    <xf numFmtId="193" fontId="0" fillId="0" borderId="0" xfId="0" applyNumberFormat="1" applyFont="1" applyAlignment="1">
      <alignment horizontal="left"/>
    </xf>
    <xf numFmtId="193" fontId="0" fillId="0" borderId="0" xfId="0" applyNumberFormat="1" applyFont="1" applyAlignment="1">
      <alignment horizontal="right"/>
    </xf>
    <xf numFmtId="165" fontId="0" fillId="0" borderId="0" xfId="1033" applyNumberFormat="1" applyFont="1" applyAlignment="1">
      <alignment/>
    </xf>
    <xf numFmtId="193" fontId="0" fillId="0" borderId="0" xfId="0" applyNumberFormat="1" applyAlignment="1">
      <alignment/>
    </xf>
    <xf numFmtId="193" fontId="0" fillId="0" borderId="25" xfId="0" applyNumberFormat="1" applyFont="1" applyBorder="1" applyAlignment="1">
      <alignment horizontal="right"/>
    </xf>
    <xf numFmtId="165" fontId="0" fillId="0" borderId="25" xfId="1033" applyNumberFormat="1" applyFont="1" applyBorder="1" applyAlignment="1">
      <alignment/>
    </xf>
    <xf numFmtId="0" fontId="84" fillId="0" borderId="0" xfId="0" applyFont="1" applyAlignment="1">
      <alignment horizontal="center"/>
    </xf>
    <xf numFmtId="0" fontId="54" fillId="67" borderId="35" xfId="1216" applyFont="1" applyFill="1" applyBorder="1" applyAlignment="1">
      <alignment horizontal="center" vertical="center"/>
      <protection/>
    </xf>
    <xf numFmtId="0" fontId="54" fillId="67" borderId="0" xfId="1216" applyFont="1" applyFill="1" applyBorder="1" applyAlignment="1">
      <alignment horizontal="center" vertical="center"/>
      <protection/>
    </xf>
    <xf numFmtId="0" fontId="54" fillId="67" borderId="36" xfId="1216" applyFont="1" applyFill="1" applyBorder="1" applyAlignment="1">
      <alignment horizontal="center" vertical="center"/>
      <protection/>
    </xf>
    <xf numFmtId="0" fontId="54" fillId="67" borderId="42" xfId="1216" applyFont="1" applyFill="1" applyBorder="1" applyAlignment="1">
      <alignment horizontal="center" vertical="center"/>
      <protection/>
    </xf>
    <xf numFmtId="0" fontId="54" fillId="67" borderId="33" xfId="1216" applyFont="1" applyFill="1" applyBorder="1" applyAlignment="1">
      <alignment horizontal="center" vertical="center"/>
      <protection/>
    </xf>
    <xf numFmtId="0" fontId="54" fillId="67" borderId="62" xfId="1216" applyFont="1" applyFill="1" applyBorder="1" applyAlignment="1">
      <alignment horizontal="center" vertical="center"/>
      <protection/>
    </xf>
    <xf numFmtId="0" fontId="54" fillId="67" borderId="44" xfId="1216" applyFont="1" applyFill="1" applyBorder="1" applyAlignment="1">
      <alignment horizontal="center" vertical="center"/>
      <protection/>
    </xf>
    <xf numFmtId="0" fontId="54" fillId="67" borderId="45" xfId="1216" applyFont="1" applyFill="1" applyBorder="1" applyAlignment="1">
      <alignment horizontal="center" vertical="center"/>
      <protection/>
    </xf>
    <xf numFmtId="0" fontId="54" fillId="66" borderId="42" xfId="1216" applyFont="1" applyFill="1" applyBorder="1" applyAlignment="1">
      <alignment horizontal="center" vertical="center"/>
      <protection/>
    </xf>
    <xf numFmtId="0" fontId="54" fillId="66" borderId="44" xfId="1216" applyFont="1" applyFill="1" applyBorder="1" applyAlignment="1">
      <alignment horizontal="center" vertical="center"/>
      <protection/>
    </xf>
    <xf numFmtId="41" fontId="54" fillId="66" borderId="33" xfId="1216" applyNumberFormat="1" applyFont="1" applyFill="1" applyBorder="1" applyAlignment="1">
      <alignment horizontal="right" vertical="center"/>
      <protection/>
    </xf>
    <xf numFmtId="41" fontId="54" fillId="66" borderId="0" xfId="1216" applyNumberFormat="1" applyFont="1" applyFill="1" applyBorder="1" applyAlignment="1">
      <alignment horizontal="right" vertical="center"/>
      <protection/>
    </xf>
    <xf numFmtId="41" fontId="54" fillId="66" borderId="33" xfId="1216" applyNumberFormat="1" applyFont="1" applyFill="1" applyBorder="1" applyAlignment="1">
      <alignment horizontal="left" vertical="center"/>
      <protection/>
    </xf>
    <xf numFmtId="41" fontId="54" fillId="66" borderId="0" xfId="1216" applyNumberFormat="1" applyFont="1" applyFill="1" applyBorder="1" applyAlignment="1">
      <alignment horizontal="left" vertical="center"/>
      <protection/>
    </xf>
    <xf numFmtId="164" fontId="49" fillId="0" borderId="0" xfId="1106" applyNumberFormat="1" applyFont="1" applyFill="1" applyAlignment="1">
      <alignment/>
    </xf>
  </cellXfs>
  <cellStyles count="1325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_04 07E Wild Horse Wind Expansion (C) (2)" xfId="22"/>
    <cellStyle name="_4.06E Pass Throughs_04 07E Wild Horse Wind Expansion (C) (2)_Adj Bench DR 3 for Initial Briefs (Electric)" xfId="23"/>
    <cellStyle name="_4.06E Pass Throughs_04 07E Wild Horse Wind Expansion (C) (2)_Electric Rev Req Model (2009 GRC) " xfId="24"/>
    <cellStyle name="_4.06E Pass Throughs_04 07E Wild Horse Wind Expansion (C) (2)_Electric Rev Req Model (2009 GRC) Rebuttal" xfId="25"/>
    <cellStyle name="_4.06E Pass Throughs_04 07E Wild Horse Wind Expansion (C) (2)_Electric Rev Req Model (2009 GRC) Rebuttal REmoval of New  WH Solar AdjustMI" xfId="26"/>
    <cellStyle name="_4.06E Pass Throughs_04 07E Wild Horse Wind Expansion (C) (2)_Electric Rev Req Model (2009 GRC) Revised 01-18-2010" xfId="27"/>
    <cellStyle name="_4.06E Pass Throughs_04 07E Wild Horse Wind Expansion (C) (2)_Final Order Electric EXHIBIT A-1" xfId="28"/>
    <cellStyle name="_4.06E Pass Throughs_04 07E Wild Horse Wind Expansion (C) (2)_TENASKA REGULATORY ASSET" xfId="29"/>
    <cellStyle name="_4.06E Pass Throughs_16.37E Wild Horse Expansion DeferralRevwrkingfile SF" xfId="30"/>
    <cellStyle name="_4.06E Pass Throughs_2009 GRC Compl Filing - Exhibit D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_04 07E Wild Horse Wind Expansion (C) (2)" xfId="55"/>
    <cellStyle name="_4.13E Montana Energy Tax_04 07E Wild Horse Wind Expansion (C) (2)_Adj Bench DR 3 for Initial Briefs (Electric)" xfId="56"/>
    <cellStyle name="_4.13E Montana Energy Tax_04 07E Wild Horse Wind Expansion (C) (2)_Electric Rev Req Model (2009 GRC) " xfId="57"/>
    <cellStyle name="_4.13E Montana Energy Tax_04 07E Wild Horse Wind Expansion (C) (2)_Electric Rev Req Model (2009 GRC) Rebuttal" xfId="58"/>
    <cellStyle name="_4.13E Montana Energy Tax_04 07E Wild Horse Wind Expansion (C) (2)_Electric Rev Req Model (2009 GRC) Rebuttal REmoval of New  WH Solar AdjustMI" xfId="59"/>
    <cellStyle name="_4.13E Montana Energy Tax_04 07E Wild Horse Wind Expansion (C) (2)_Electric Rev Req Model (2009 GRC) Revised 01-18-2010" xfId="60"/>
    <cellStyle name="_4.13E Montana Energy Tax_04 07E Wild Horse Wind Expansion (C) (2)_Final Order Electric EXHIBIT A-1" xfId="61"/>
    <cellStyle name="_4.13E Montana Energy Tax_04 07E Wild Horse Wind Expansion (C) (2)_TENASKA REGULATORY ASSET" xfId="62"/>
    <cellStyle name="_4.13E Montana Energy Tax_16.37E Wild Horse Expansion DeferralRevwrkingfile SF" xfId="63"/>
    <cellStyle name="_4.13E Montana Energy Tax_2009 GRC Compl Filing - Exhibit D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_04 07E Wild Horse Wind Expansion (C) (2)" xfId="91"/>
    <cellStyle name="_Book1 (2)_04 07E Wild Horse Wind Expansion (C) (2)_Adj Bench DR 3 for Initial Briefs (Electric)" xfId="92"/>
    <cellStyle name="_Book1 (2)_04 07E Wild Horse Wind Expansion (C) (2)_Electric Rev Req Model (2009 GRC) " xfId="93"/>
    <cellStyle name="_Book1 (2)_04 07E Wild Horse Wind Expansion (C) (2)_Electric Rev Req Model (2009 GRC) Rebuttal" xfId="94"/>
    <cellStyle name="_Book1 (2)_04 07E Wild Horse Wind Expansion (C) (2)_Electric Rev Req Model (2009 GRC) Rebuttal REmoval of New  WH Solar AdjustMI" xfId="95"/>
    <cellStyle name="_Book1 (2)_04 07E Wild Horse Wind Expansion (C) (2)_Electric Rev Req Model (2009 GRC) Revised 01-18-2010" xfId="96"/>
    <cellStyle name="_Book1 (2)_04 07E Wild Horse Wind Expansion (C) (2)_Final Order Electric EXHIBIT A-1" xfId="97"/>
    <cellStyle name="_Book1 (2)_04 07E Wild Horse Wind Expansion (C) (2)_TENASKA REGULATORY ASSET" xfId="98"/>
    <cellStyle name="_Book1 (2)_16.37E Wild Horse Expansion DeferralRevwrkingfile SF" xfId="99"/>
    <cellStyle name="_Book1 (2)_2009 GRC Compl Filing - Exhibit D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_(C) WHE Proforma with ITC cash grant 10 Yr Amort_for deferral_102809" xfId="123"/>
    <cellStyle name="_Book1_(C) WHE Proforma with ITC cash grant 10 Yr Amort_for deferral_102809_16.07E Wild Horse Wind Expansionwrkingfile" xfId="124"/>
    <cellStyle name="_Book1_(C) WHE Proforma with ITC cash grant 10 Yr Amort_for deferral_102809_16.07E Wild Horse Wind Expansionwrkingfile SF" xfId="125"/>
    <cellStyle name="_Book1_(C) WHE Proforma with ITC cash grant 10 Yr Amort_for deferral_102809_16.37E Wild Horse Expansion DeferralRevwrkingfile SF" xfId="126"/>
    <cellStyle name="_Book1_(C) WHE Proforma with ITC cash grant 10 Yr Amort_for rebuttal_120709" xfId="127"/>
    <cellStyle name="_Book1_04.07E Wild Horse Wind Expansion" xfId="128"/>
    <cellStyle name="_Book1_04.07E Wild Horse Wind Expansion_16.07E Wild Horse Wind Expansionwrkingfile" xfId="129"/>
    <cellStyle name="_Book1_04.07E Wild Horse Wind Expansion_16.07E Wild Horse Wind Expansionwrkingfile SF" xfId="130"/>
    <cellStyle name="_Book1_04.07E Wild Horse Wind Expansion_16.37E Wild Horse Expansion DeferralRevwrkingfile SF" xfId="131"/>
    <cellStyle name="_Book1_16.07E Wild Horse Wind Expansionwrkingfile" xfId="132"/>
    <cellStyle name="_Book1_16.07E Wild Horse Wind Expansionwrkingfile SF" xfId="133"/>
    <cellStyle name="_Book1_16.37E Wild Horse Expansion DeferralRevwrkingfile SF" xfId="134"/>
    <cellStyle name="_Book1_2009 GRC Compl Filing - Exhibit D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_04 07E Wild Horse Wind Expansion (C) (2)" xfId="160"/>
    <cellStyle name="_Book2_04 07E Wild Horse Wind Expansion (C) (2)_Adj Bench DR 3 for Initial Briefs (Electric)" xfId="161"/>
    <cellStyle name="_Book2_04 07E Wild Horse Wind Expansion (C) (2)_Electric Rev Req Model (2009 GRC) " xfId="162"/>
    <cellStyle name="_Book2_04 07E Wild Horse Wind Expansion (C) (2)_Electric Rev Req Model (2009 GRC) Rebuttal" xfId="163"/>
    <cellStyle name="_Book2_04 07E Wild Horse Wind Expansion (C) (2)_Electric Rev Req Model (2009 GRC) Rebuttal REmoval of New  WH Solar AdjustMI" xfId="164"/>
    <cellStyle name="_Book2_04 07E Wild Horse Wind Expansion (C) (2)_Electric Rev Req Model (2009 GRC) Revised 01-18-2010" xfId="165"/>
    <cellStyle name="_Book2_04 07E Wild Horse Wind Expansion (C) (2)_Final Order Electric EXHIBIT A-1" xfId="166"/>
    <cellStyle name="_Book2_04 07E Wild Horse Wind Expansion (C) (2)_TENASKA REGULATORY ASSET" xfId="167"/>
    <cellStyle name="_Book2_16.37E Wild Horse Expansion DeferralRevwrkingfile SF" xfId="168"/>
    <cellStyle name="_Book2_2009 GRC Compl Filing - Exhibit D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_(C) WHE Proforma with ITC cash grant 10 Yr Amort_for deferral_102809" xfId="200"/>
    <cellStyle name="_Chelan Debt Forecast 12.19.05_(C) WHE Proforma with ITC cash grant 10 Yr Amort_for deferral_102809_16.07E Wild Horse Wind Expansionwrkingfile" xfId="201"/>
    <cellStyle name="_Chelan Debt Forecast 12.19.05_(C) WHE Proforma with ITC cash grant 10 Yr Amort_for deferral_102809_16.07E Wild Horse Wind Expansionwrkingfile SF" xfId="202"/>
    <cellStyle name="_Chelan Debt Forecast 12.19.05_(C) WHE Proforma with ITC cash grant 10 Yr Amort_for deferral_102809_16.37E Wild Horse Expansion DeferralRevwrkingfile SF" xfId="203"/>
    <cellStyle name="_Chelan Debt Forecast 12.19.05_(C) WHE Proforma with ITC cash grant 10 Yr Amort_for rebuttal_120709" xfId="204"/>
    <cellStyle name="_Chelan Debt Forecast 12.19.05_04.07E Wild Horse Wind Expansion" xfId="205"/>
    <cellStyle name="_Chelan Debt Forecast 12.19.05_04.07E Wild Horse Wind Expansion_16.07E Wild Horse Wind Expansionwrkingfile" xfId="206"/>
    <cellStyle name="_Chelan Debt Forecast 12.19.05_04.07E Wild Horse Wind Expansion_16.07E Wild Horse Wind Expansionwrkingfile SF" xfId="207"/>
    <cellStyle name="_Chelan Debt Forecast 12.19.05_04.07E Wild Horse Wind Expansion_16.37E Wild Horse Expansion DeferralRevwrkingfile SF" xfId="208"/>
    <cellStyle name="_Chelan Debt Forecast 12.19.05_16.07E Wild Horse Wind Expansionwrkingfile" xfId="209"/>
    <cellStyle name="_Chelan Debt Forecast 12.19.05_16.07E Wild Horse Wind Expansionwrkingfile SF" xfId="210"/>
    <cellStyle name="_Chelan Debt Forecast 12.19.05_16.37E Wild Horse Expansion DeferralRevwrkingfile SF" xfId="211"/>
    <cellStyle name="_Chelan Debt Forecast 12.19.05_4 31 Regulatory Assets and Liabilities  7 06- Exhibit D" xfId="212"/>
    <cellStyle name="_Chelan Debt Forecast 12.19.05_4 32 Regulatory Assets and Liabilities  7 06- Exhibit D" xfId="213"/>
    <cellStyle name="_Chelan Debt Forecast 12.19.05_Book2" xfId="214"/>
    <cellStyle name="_Chelan Debt Forecast 12.19.05_Book2_Adj Bench DR 3 for Initial Briefs (Electric)" xfId="215"/>
    <cellStyle name="_Chelan Debt Forecast 12.19.05_Book2_Electric Rev Req Model (2009 GRC) Rebuttal" xfId="216"/>
    <cellStyle name="_Chelan Debt Forecast 12.19.05_Book2_Electric Rev Req Model (2009 GRC) Rebuttal REmoval of New  WH Solar AdjustMI" xfId="217"/>
    <cellStyle name="_Chelan Debt Forecast 12.19.05_Book2_Electric Rev Req Model (2009 GRC) Revised 01-18-2010" xfId="218"/>
    <cellStyle name="_Chelan Debt Forecast 12.19.05_Book2_Final Order Electric EXHIBIT A-1" xfId="219"/>
    <cellStyle name="_Chelan Debt Forecast 12.19.05_Book4" xfId="220"/>
    <cellStyle name="_Chelan Debt Forecast 12.19.05_Book9" xfId="221"/>
    <cellStyle name="_Chelan Debt Forecast 12.19.05_Power Costs - Comparison bx Rbtl-Staff-Jt-PC" xfId="222"/>
    <cellStyle name="_Chelan Debt Forecast 12.19.05_Power Costs - Comparison bx Rbtl-Staff-Jt-PC_Adj Bench DR 3 for Initial Briefs (Electric)" xfId="223"/>
    <cellStyle name="_Chelan Debt Forecast 12.19.05_Power Costs - Comparison bx Rbtl-Staff-Jt-PC_Electric Rev Req Model (2009 GRC) Rebuttal" xfId="224"/>
    <cellStyle name="_Chelan Debt Forecast 12.19.05_Power Costs - Comparison bx Rbtl-Staff-Jt-PC_Electric Rev Req Model (2009 GRC) Rebuttal REmoval of New  WH Solar AdjustMI" xfId="225"/>
    <cellStyle name="_Chelan Debt Forecast 12.19.05_Power Costs - Comparison bx Rbtl-Staff-Jt-PC_Electric Rev Req Model (2009 GRC) Revised 01-18-2010" xfId="226"/>
    <cellStyle name="_Chelan Debt Forecast 12.19.05_Power Costs - Comparison bx Rbtl-Staff-Jt-PC_Final Order Electric EXHIBIT A-1" xfId="227"/>
    <cellStyle name="_Chelan Debt Forecast 12.19.05_Rebuttal Power Costs" xfId="228"/>
    <cellStyle name="_Chelan Debt Forecast 12.19.05_Rebuttal Power Costs_Adj Bench DR 3 for Initial Briefs (Electric)" xfId="229"/>
    <cellStyle name="_Chelan Debt Forecast 12.19.05_Rebuttal Power Costs_Electric Rev Req Model (2009 GRC) Rebuttal" xfId="230"/>
    <cellStyle name="_Chelan Debt Forecast 12.19.05_Rebuttal Power Costs_Electric Rev Req Model (2009 GRC) Rebuttal REmoval of New  WH Solar AdjustMI" xfId="231"/>
    <cellStyle name="_Chelan Debt Forecast 12.19.05_Rebuttal Power Costs_Electric Rev Req Model (2009 GRC) Revised 01-18-2010" xfId="232"/>
    <cellStyle name="_Chelan Debt Forecast 12.19.05_Rebuttal Power Costs_Final Order Electric EXHIBIT A-1" xfId="233"/>
    <cellStyle name="_Copy 11-9 Sumas Proforma - Current" xfId="234"/>
    <cellStyle name="_Costs not in AURORA 06GRC" xfId="235"/>
    <cellStyle name="_Costs not in AURORA 06GRC_04 07E Wild Horse Wind Expansion (C) (2)" xfId="236"/>
    <cellStyle name="_Costs not in AURORA 06GRC_04 07E Wild Horse Wind Expansion (C) (2)_Adj Bench DR 3 for Initial Briefs (Electric)" xfId="237"/>
    <cellStyle name="_Costs not in AURORA 06GRC_04 07E Wild Horse Wind Expansion (C) (2)_Electric Rev Req Model (2009 GRC) " xfId="238"/>
    <cellStyle name="_Costs not in AURORA 06GRC_04 07E Wild Horse Wind Expansion (C) (2)_Electric Rev Req Model (2009 GRC) Rebuttal" xfId="239"/>
    <cellStyle name="_Costs not in AURORA 06GRC_04 07E Wild Horse Wind Expansion (C) (2)_Electric Rev Req Model (2009 GRC) Rebuttal REmoval of New  WH Solar AdjustMI" xfId="240"/>
    <cellStyle name="_Costs not in AURORA 06GRC_04 07E Wild Horse Wind Expansion (C) (2)_Electric Rev Req Model (2009 GRC) Revised 01-18-2010" xfId="241"/>
    <cellStyle name="_Costs not in AURORA 06GRC_04 07E Wild Horse Wind Expansion (C) (2)_Final Order Electric EXHIBIT A-1" xfId="242"/>
    <cellStyle name="_Costs not in AURORA 06GRC_04 07E Wild Horse Wind Expansion (C) (2)_TENASKA REGULATORY ASSET" xfId="243"/>
    <cellStyle name="_Costs not in AURORA 06GRC_16.37E Wild Horse Expansion DeferralRevwrkingfile SF" xfId="244"/>
    <cellStyle name="_Costs not in AURORA 06GRC_4 31 Regulatory Assets and Liabilities  7 06- Exhibit D" xfId="245"/>
    <cellStyle name="_Costs not in AURORA 06GRC_4 32 Regulatory Assets and Liabilities  7 06- Exhibit D" xfId="246"/>
    <cellStyle name="_Costs not in AURORA 06GRC_Book2" xfId="247"/>
    <cellStyle name="_Costs not in AURORA 06GRC_Book2_Adj Bench DR 3 for Initial Briefs (Electric)" xfId="248"/>
    <cellStyle name="_Costs not in AURORA 06GRC_Book2_Electric Rev Req Model (2009 GRC) Rebuttal" xfId="249"/>
    <cellStyle name="_Costs not in AURORA 06GRC_Book2_Electric Rev Req Model (2009 GRC) Rebuttal REmoval of New  WH Solar AdjustMI" xfId="250"/>
    <cellStyle name="_Costs not in AURORA 06GRC_Book2_Electric Rev Req Model (2009 GRC) Revised 01-18-2010" xfId="251"/>
    <cellStyle name="_Costs not in AURORA 06GRC_Book2_Final Order Electric EXHIBIT A-1" xfId="252"/>
    <cellStyle name="_Costs not in AURORA 06GRC_Book4" xfId="253"/>
    <cellStyle name="_Costs not in AURORA 06GRC_Book9" xfId="254"/>
    <cellStyle name="_Costs not in AURORA 06GRC_Power Costs - Comparison bx Rbtl-Staff-Jt-PC" xfId="255"/>
    <cellStyle name="_Costs not in AURORA 06GRC_Power Costs - Comparison bx Rbtl-Staff-Jt-PC_Adj Bench DR 3 for Initial Briefs (Electric)" xfId="256"/>
    <cellStyle name="_Costs not in AURORA 06GRC_Power Costs - Comparison bx Rbtl-Staff-Jt-PC_Electric Rev Req Model (2009 GRC) Rebuttal" xfId="257"/>
    <cellStyle name="_Costs not in AURORA 06GRC_Power Costs - Comparison bx Rbtl-Staff-Jt-PC_Electric Rev Req Model (2009 GRC) Rebuttal REmoval of New  WH Solar AdjustMI" xfId="258"/>
    <cellStyle name="_Costs not in AURORA 06GRC_Power Costs - Comparison bx Rbtl-Staff-Jt-PC_Electric Rev Req Model (2009 GRC) Revised 01-18-2010" xfId="259"/>
    <cellStyle name="_Costs not in AURORA 06GRC_Power Costs - Comparison bx Rbtl-Staff-Jt-PC_Final Order Electric EXHIBIT A-1" xfId="260"/>
    <cellStyle name="_Costs not in AURORA 06GRC_Rebuttal Power Costs" xfId="261"/>
    <cellStyle name="_Costs not in AURORA 06GRC_Rebuttal Power Costs_Adj Bench DR 3 for Initial Briefs (Electric)" xfId="262"/>
    <cellStyle name="_Costs not in AURORA 06GRC_Rebuttal Power Costs_Electric Rev Req Model (2009 GRC) Rebuttal" xfId="263"/>
    <cellStyle name="_Costs not in AURORA 06GRC_Rebuttal Power Costs_Electric Rev Req Model (2009 GRC) Rebuttal REmoval of New  WH Solar AdjustMI" xfId="264"/>
    <cellStyle name="_Costs not in AURORA 06GRC_Rebuttal Power Costs_Electric Rev Req Model (2009 GRC) Revised 01-18-2010" xfId="265"/>
    <cellStyle name="_Costs not in AURORA 06GRC_Rebuttal Power Costs_Final Order Electric EXHIBIT A-1" xfId="266"/>
    <cellStyle name="_Costs not in AURORA 2006GRC 6.15.06" xfId="267"/>
    <cellStyle name="_Costs not in AURORA 2006GRC 6.15.06_04 07E Wild Horse Wind Expansion (C) (2)" xfId="268"/>
    <cellStyle name="_Costs not in AURORA 2006GRC 6.15.06_04 07E Wild Horse Wind Expansion (C) (2)_Adj Bench DR 3 for Initial Briefs (Electric)" xfId="269"/>
    <cellStyle name="_Costs not in AURORA 2006GRC 6.15.06_04 07E Wild Horse Wind Expansion (C) (2)_Electric Rev Req Model (2009 GRC) " xfId="270"/>
    <cellStyle name="_Costs not in AURORA 2006GRC 6.15.06_04 07E Wild Horse Wind Expansion (C) (2)_Electric Rev Req Model (2009 GRC) Rebuttal" xfId="271"/>
    <cellStyle name="_Costs not in AURORA 2006GRC 6.15.06_04 07E Wild Horse Wind Expansion (C) (2)_Electric Rev Req Model (2009 GRC) Rebuttal REmoval of New  WH Solar AdjustMI" xfId="272"/>
    <cellStyle name="_Costs not in AURORA 2006GRC 6.15.06_04 07E Wild Horse Wind Expansion (C) (2)_Electric Rev Req Model (2009 GRC) Revised 01-18-2010" xfId="273"/>
    <cellStyle name="_Costs not in AURORA 2006GRC 6.15.06_04 07E Wild Horse Wind Expansion (C) (2)_Final Order Electric EXHIBIT A-1" xfId="274"/>
    <cellStyle name="_Costs not in AURORA 2006GRC 6.15.06_04 07E Wild Horse Wind Expansion (C) (2)_TENASKA REGULATORY ASSET" xfId="275"/>
    <cellStyle name="_Costs not in AURORA 2006GRC 6.15.06_16.37E Wild Horse Expansion DeferralRevwrkingfile SF" xfId="276"/>
    <cellStyle name="_Costs not in AURORA 2006GRC 6.15.06_2009 GRC Compl Filing - Exhibit D" xfId="277"/>
    <cellStyle name="_Costs not in AURORA 2006GRC 6.15.06_4 31 Regulatory Assets and Liabilities  7 06- Exhibit D" xfId="278"/>
    <cellStyle name="_Costs not in AURORA 2006GRC 6.15.06_4 32 Regulatory Assets and Liabilities  7 06- Exhibit D" xfId="279"/>
    <cellStyle name="_Costs not in AURORA 2006GRC 6.15.06_Book2" xfId="280"/>
    <cellStyle name="_Costs not in AURORA 2006GRC 6.15.06_Book2_Adj Bench DR 3 for Initial Briefs (Electric)" xfId="281"/>
    <cellStyle name="_Costs not in AURORA 2006GRC 6.15.06_Book2_Electric Rev Req Model (2009 GRC) Rebuttal" xfId="282"/>
    <cellStyle name="_Costs not in AURORA 2006GRC 6.15.06_Book2_Electric Rev Req Model (2009 GRC) Rebuttal REmoval of New  WH Solar AdjustMI" xfId="283"/>
    <cellStyle name="_Costs not in AURORA 2006GRC 6.15.06_Book2_Electric Rev Req Model (2009 GRC) Revised 01-18-2010" xfId="284"/>
    <cellStyle name="_Costs not in AURORA 2006GRC 6.15.06_Book2_Final Order Electric EXHIBIT A-1" xfId="285"/>
    <cellStyle name="_Costs not in AURORA 2006GRC 6.15.06_Book4" xfId="286"/>
    <cellStyle name="_Costs not in AURORA 2006GRC 6.15.06_Book9" xfId="287"/>
    <cellStyle name="_Costs not in AURORA 2006GRC 6.15.06_Power Costs - Comparison bx Rbtl-Staff-Jt-PC" xfId="288"/>
    <cellStyle name="_Costs not in AURORA 2006GRC 6.15.06_Power Costs - Comparison bx Rbtl-Staff-Jt-PC_Adj Bench DR 3 for Initial Briefs (Electric)" xfId="289"/>
    <cellStyle name="_Costs not in AURORA 2006GRC 6.15.06_Power Costs - Comparison bx Rbtl-Staff-Jt-PC_Electric Rev Req Model (2009 GRC) Rebuttal" xfId="290"/>
    <cellStyle name="_Costs not in AURORA 2006GRC 6.15.06_Power Costs - Comparison bx Rbtl-Staff-Jt-PC_Electric Rev Req Model (2009 GRC) Rebuttal REmoval of New  WH Solar AdjustMI" xfId="291"/>
    <cellStyle name="_Costs not in AURORA 2006GRC 6.15.06_Power Costs - Comparison bx Rbtl-Staff-Jt-PC_Electric Rev Req Model (2009 GRC) Revised 01-18-2010" xfId="292"/>
    <cellStyle name="_Costs not in AURORA 2006GRC 6.15.06_Power Costs - Comparison bx Rbtl-Staff-Jt-PC_Final Order Electric EXHIBIT A-1" xfId="293"/>
    <cellStyle name="_Costs not in AURORA 2006GRC 6.15.06_Rebuttal Power Costs" xfId="294"/>
    <cellStyle name="_Costs not in AURORA 2006GRC 6.15.06_Rebuttal Power Costs_Adj Bench DR 3 for Initial Briefs (Electric)" xfId="295"/>
    <cellStyle name="_Costs not in AURORA 2006GRC 6.15.06_Rebuttal Power Costs_Electric Rev Req Model (2009 GRC) Rebuttal" xfId="296"/>
    <cellStyle name="_Costs not in AURORA 2006GRC 6.15.06_Rebuttal Power Costs_Electric Rev Req Model (2009 GRC) Rebuttal REmoval of New  WH Solar AdjustMI" xfId="297"/>
    <cellStyle name="_Costs not in AURORA 2006GRC 6.15.06_Rebuttal Power Costs_Electric Rev Req Model (2009 GRC) Revised 01-18-2010" xfId="298"/>
    <cellStyle name="_Costs not in AURORA 2006GRC 6.15.06_Rebuttal Power Costs_Final Order Electric EXHIBIT A-1" xfId="299"/>
    <cellStyle name="_Costs not in AURORA 2006GRC w gas price updated" xfId="300"/>
    <cellStyle name="_Costs not in AURORA 2006GRC w gas price updated_Adj Bench DR 3 for Initial Briefs (Electric)" xfId="301"/>
    <cellStyle name="_Costs not in AURORA 2006GRC w gas price updated_Book2" xfId="302"/>
    <cellStyle name="_Costs not in AURORA 2006GRC w gas price updated_Book2_Adj Bench DR 3 for Initial Briefs (Electric)" xfId="303"/>
    <cellStyle name="_Costs not in AURORA 2006GRC w gas price updated_Book2_Electric Rev Req Model (2009 GRC) Rebuttal" xfId="304"/>
    <cellStyle name="_Costs not in AURORA 2006GRC w gas price updated_Book2_Electric Rev Req Model (2009 GRC) Rebuttal REmoval of New  WH Solar AdjustMI" xfId="305"/>
    <cellStyle name="_Costs not in AURORA 2006GRC w gas price updated_Book2_Electric Rev Req Model (2009 GRC) Revised 01-18-2010" xfId="306"/>
    <cellStyle name="_Costs not in AURORA 2006GRC w gas price updated_Book2_Final Order Electric EXHIBIT A-1" xfId="307"/>
    <cellStyle name="_Costs not in AURORA 2006GRC w gas price updated_Electric Rev Req Model (2009 GRC) " xfId="308"/>
    <cellStyle name="_Costs not in AURORA 2006GRC w gas price updated_Electric Rev Req Model (2009 GRC) Rebuttal" xfId="309"/>
    <cellStyle name="_Costs not in AURORA 2006GRC w gas price updated_Electric Rev Req Model (2009 GRC) Rebuttal REmoval of New  WH Solar AdjustMI" xfId="310"/>
    <cellStyle name="_Costs not in AURORA 2006GRC w gas price updated_Electric Rev Req Model (2009 GRC) Revised 01-18-2010" xfId="311"/>
    <cellStyle name="_Costs not in AURORA 2006GRC w gas price updated_Final Order Electric EXHIBIT A-1" xfId="312"/>
    <cellStyle name="_Costs not in AURORA 2006GRC w gas price updated_Rebuttal Power Costs" xfId="313"/>
    <cellStyle name="_Costs not in AURORA 2006GRC w gas price updated_Rebuttal Power Costs_Adj Bench DR 3 for Initial Briefs (Electric)" xfId="314"/>
    <cellStyle name="_Costs not in AURORA 2006GRC w gas price updated_Rebuttal Power Costs_Electric Rev Req Model (2009 GRC) Rebuttal" xfId="315"/>
    <cellStyle name="_Costs not in AURORA 2006GRC w gas price updated_Rebuttal Power Costs_Electric Rev Req Model (2009 GRC) Rebuttal REmoval of New  WH Solar AdjustMI" xfId="316"/>
    <cellStyle name="_Costs not in AURORA 2006GRC w gas price updated_Rebuttal Power Costs_Electric Rev Req Model (2009 GRC) Revised 01-18-2010" xfId="317"/>
    <cellStyle name="_Costs not in AURORA 2006GRC w gas price updated_Rebuttal Power Costs_Final Order Electric EXHIBIT A-1" xfId="318"/>
    <cellStyle name="_Costs not in AURORA 2006GRC w gas price updated_TENASKA REGULATORY ASSET" xfId="319"/>
    <cellStyle name="_Costs not in AURORA 2007 Rate Case" xfId="320"/>
    <cellStyle name="_Costs not in AURORA 2007 Rate Case_(C) WHE Proforma with ITC cash grant 10 Yr Amort_for deferral_102809" xfId="321"/>
    <cellStyle name="_Costs not in AURORA 2007 Rate Case_(C) WHE Proforma with ITC cash grant 10 Yr Amort_for deferral_102809_16.07E Wild Horse Wind Expansionwrkingfile" xfId="322"/>
    <cellStyle name="_Costs not in AURORA 2007 Rate Case_(C) WHE Proforma with ITC cash grant 10 Yr Amort_for deferral_102809_16.07E Wild Horse Wind Expansionwrkingfile SF" xfId="323"/>
    <cellStyle name="_Costs not in AURORA 2007 Rate Case_(C) WHE Proforma with ITC cash grant 10 Yr Amort_for deferral_102809_16.37E Wild Horse Expansion DeferralRevwrkingfile SF" xfId="324"/>
    <cellStyle name="_Costs not in AURORA 2007 Rate Case_(C) WHE Proforma with ITC cash grant 10 Yr Amort_for rebuttal_120709" xfId="325"/>
    <cellStyle name="_Costs not in AURORA 2007 Rate Case_04.07E Wild Horse Wind Expansion" xfId="326"/>
    <cellStyle name="_Costs not in AURORA 2007 Rate Case_04.07E Wild Horse Wind Expansion_16.07E Wild Horse Wind Expansionwrkingfile" xfId="327"/>
    <cellStyle name="_Costs not in AURORA 2007 Rate Case_04.07E Wild Horse Wind Expansion_16.07E Wild Horse Wind Expansionwrkingfile SF" xfId="328"/>
    <cellStyle name="_Costs not in AURORA 2007 Rate Case_04.07E Wild Horse Wind Expansion_16.37E Wild Horse Expansion DeferralRevwrkingfile SF" xfId="329"/>
    <cellStyle name="_Costs not in AURORA 2007 Rate Case_16.07E Wild Horse Wind Expansionwrkingfile" xfId="330"/>
    <cellStyle name="_Costs not in AURORA 2007 Rate Case_16.07E Wild Horse Wind Expansionwrkingfile SF" xfId="331"/>
    <cellStyle name="_Costs not in AURORA 2007 Rate Case_16.37E Wild Horse Expansion DeferralRevwrkingfile SF" xfId="332"/>
    <cellStyle name="_Costs not in AURORA 2007 Rate Case_2009 GRC Compl Filing - Exhibit D" xfId="333"/>
    <cellStyle name="_Costs not in AURORA 2007 Rate Case_4 31 Regulatory Assets and Liabilities  7 06- Exhibit D" xfId="334"/>
    <cellStyle name="_Costs not in AURORA 2007 Rate Case_4 32 Regulatory Assets and Liabilities  7 06- Exhibit D" xfId="335"/>
    <cellStyle name="_Costs not in AURORA 2007 Rate Case_Book2" xfId="336"/>
    <cellStyle name="_Costs not in AURORA 2007 Rate Case_Book2_Adj Bench DR 3 for Initial Briefs (Electric)" xfId="337"/>
    <cellStyle name="_Costs not in AURORA 2007 Rate Case_Book2_Electric Rev Req Model (2009 GRC) Rebuttal" xfId="338"/>
    <cellStyle name="_Costs not in AURORA 2007 Rate Case_Book2_Electric Rev Req Model (2009 GRC) Rebuttal REmoval of New  WH Solar AdjustMI" xfId="339"/>
    <cellStyle name="_Costs not in AURORA 2007 Rate Case_Book2_Electric Rev Req Model (2009 GRC) Revised 01-18-2010" xfId="340"/>
    <cellStyle name="_Costs not in AURORA 2007 Rate Case_Book2_Final Order Electric EXHIBIT A-1" xfId="341"/>
    <cellStyle name="_Costs not in AURORA 2007 Rate Case_Book4" xfId="342"/>
    <cellStyle name="_Costs not in AURORA 2007 Rate Case_Book9" xfId="343"/>
    <cellStyle name="_Costs not in AURORA 2007 Rate Case_Power Costs - Comparison bx Rbtl-Staff-Jt-PC" xfId="344"/>
    <cellStyle name="_Costs not in AURORA 2007 Rate Case_Power Costs - Comparison bx Rbtl-Staff-Jt-PC_Adj Bench DR 3 for Initial Briefs (Electric)" xfId="345"/>
    <cellStyle name="_Costs not in AURORA 2007 Rate Case_Power Costs - Comparison bx Rbtl-Staff-Jt-PC_Electric Rev Req Model (2009 GRC) Rebuttal" xfId="346"/>
    <cellStyle name="_Costs not in AURORA 2007 Rate Case_Power Costs - Comparison bx Rbtl-Staff-Jt-PC_Electric Rev Req Model (2009 GRC) Rebuttal REmoval of New  WH Solar AdjustMI" xfId="347"/>
    <cellStyle name="_Costs not in AURORA 2007 Rate Case_Power Costs - Comparison bx Rbtl-Staff-Jt-PC_Electric Rev Req Model (2009 GRC) Revised 01-18-2010" xfId="348"/>
    <cellStyle name="_Costs not in AURORA 2007 Rate Case_Power Costs - Comparison bx Rbtl-Staff-Jt-PC_Final Order Electric EXHIBIT A-1" xfId="349"/>
    <cellStyle name="_Costs not in AURORA 2007 Rate Case_Rebuttal Power Costs" xfId="350"/>
    <cellStyle name="_Costs not in AURORA 2007 Rate Case_Rebuttal Power Costs_Adj Bench DR 3 for Initial Briefs (Electric)" xfId="351"/>
    <cellStyle name="_Costs not in AURORA 2007 Rate Case_Rebuttal Power Costs_Electric Rev Req Model (2009 GRC) Rebuttal" xfId="352"/>
    <cellStyle name="_Costs not in AURORA 2007 Rate Case_Rebuttal Power Costs_Electric Rev Req Model (2009 GRC) Rebuttal REmoval of New  WH Solar AdjustMI" xfId="353"/>
    <cellStyle name="_Costs not in AURORA 2007 Rate Case_Rebuttal Power Costs_Electric Rev Req Model (2009 GRC) Revised 01-18-2010" xfId="354"/>
    <cellStyle name="_Costs not in AURORA 2007 Rate Case_Rebuttal Power Costs_Final Order Electric EXHIBIT A-1" xfId="355"/>
    <cellStyle name="_Costs not in KWI3000 '06Budget" xfId="356"/>
    <cellStyle name="_Costs not in KWI3000 '06Budget_(C) WHE Proforma with ITC cash grant 10 Yr Amort_for deferral_102809" xfId="357"/>
    <cellStyle name="_Costs not in KWI3000 '06Budget_(C) WHE Proforma with ITC cash grant 10 Yr Amort_for deferral_102809_16.07E Wild Horse Wind Expansionwrkingfile" xfId="358"/>
    <cellStyle name="_Costs not in KWI3000 '06Budget_(C) WHE Proforma with ITC cash grant 10 Yr Amort_for deferral_102809_16.07E Wild Horse Wind Expansionwrkingfile SF" xfId="359"/>
    <cellStyle name="_Costs not in KWI3000 '06Budget_(C) WHE Proforma with ITC cash grant 10 Yr Amort_for deferral_102809_16.37E Wild Horse Expansion DeferralRevwrkingfile SF" xfId="360"/>
    <cellStyle name="_Costs not in KWI3000 '06Budget_(C) WHE Proforma with ITC cash grant 10 Yr Amort_for rebuttal_120709" xfId="361"/>
    <cellStyle name="_Costs not in KWI3000 '06Budget_04.07E Wild Horse Wind Expansion" xfId="362"/>
    <cellStyle name="_Costs not in KWI3000 '06Budget_04.07E Wild Horse Wind Expansion_16.07E Wild Horse Wind Expansionwrkingfile" xfId="363"/>
    <cellStyle name="_Costs not in KWI3000 '06Budget_04.07E Wild Horse Wind Expansion_16.07E Wild Horse Wind Expansionwrkingfile SF" xfId="364"/>
    <cellStyle name="_Costs not in KWI3000 '06Budget_04.07E Wild Horse Wind Expansion_16.37E Wild Horse Expansion DeferralRevwrkingfile SF" xfId="365"/>
    <cellStyle name="_Costs not in KWI3000 '06Budget_16.07E Wild Horse Wind Expansionwrkingfile" xfId="366"/>
    <cellStyle name="_Costs not in KWI3000 '06Budget_16.07E Wild Horse Wind Expansionwrkingfile SF" xfId="367"/>
    <cellStyle name="_Costs not in KWI3000 '06Budget_16.37E Wild Horse Expansion DeferralRevwrkingfile SF" xfId="368"/>
    <cellStyle name="_Costs not in KWI3000 '06Budget_4 31 Regulatory Assets and Liabilities  7 06- Exhibit D" xfId="369"/>
    <cellStyle name="_Costs not in KWI3000 '06Budget_4 32 Regulatory Assets and Liabilities  7 06- Exhibit D" xfId="370"/>
    <cellStyle name="_Costs not in KWI3000 '06Budget_Book2" xfId="371"/>
    <cellStyle name="_Costs not in KWI3000 '06Budget_Book2_Adj Bench DR 3 for Initial Briefs (Electric)" xfId="372"/>
    <cellStyle name="_Costs not in KWI3000 '06Budget_Book2_Electric Rev Req Model (2009 GRC) Rebuttal" xfId="373"/>
    <cellStyle name="_Costs not in KWI3000 '06Budget_Book2_Electric Rev Req Model (2009 GRC) Rebuttal REmoval of New  WH Solar AdjustMI" xfId="374"/>
    <cellStyle name="_Costs not in KWI3000 '06Budget_Book2_Electric Rev Req Model (2009 GRC) Revised 01-18-2010" xfId="375"/>
    <cellStyle name="_Costs not in KWI3000 '06Budget_Book2_Final Order Electric EXHIBIT A-1" xfId="376"/>
    <cellStyle name="_Costs not in KWI3000 '06Budget_Book4" xfId="377"/>
    <cellStyle name="_Costs not in KWI3000 '06Budget_Book9" xfId="378"/>
    <cellStyle name="_Costs not in KWI3000 '06Budget_Power Costs - Comparison bx Rbtl-Staff-Jt-PC" xfId="379"/>
    <cellStyle name="_Costs not in KWI3000 '06Budget_Power Costs - Comparison bx Rbtl-Staff-Jt-PC_Adj Bench DR 3 for Initial Briefs (Electric)" xfId="380"/>
    <cellStyle name="_Costs not in KWI3000 '06Budget_Power Costs - Comparison bx Rbtl-Staff-Jt-PC_Electric Rev Req Model (2009 GRC) Rebuttal" xfId="381"/>
    <cellStyle name="_Costs not in KWI3000 '06Budget_Power Costs - Comparison bx Rbtl-Staff-Jt-PC_Electric Rev Req Model (2009 GRC) Rebuttal REmoval of New  WH Solar AdjustMI" xfId="382"/>
    <cellStyle name="_Costs not in KWI3000 '06Budget_Power Costs - Comparison bx Rbtl-Staff-Jt-PC_Electric Rev Req Model (2009 GRC) Revised 01-18-2010" xfId="383"/>
    <cellStyle name="_Costs not in KWI3000 '06Budget_Power Costs - Comparison bx Rbtl-Staff-Jt-PC_Final Order Electric EXHIBIT A-1" xfId="384"/>
    <cellStyle name="_Costs not in KWI3000 '06Budget_Rebuttal Power Costs" xfId="385"/>
    <cellStyle name="_Costs not in KWI3000 '06Budget_Rebuttal Power Costs_Adj Bench DR 3 for Initial Briefs (Electric)" xfId="386"/>
    <cellStyle name="_Costs not in KWI3000 '06Budget_Rebuttal Power Costs_Electric Rev Req Model (2009 GRC) Rebuttal" xfId="387"/>
    <cellStyle name="_Costs not in KWI3000 '06Budget_Rebuttal Power Costs_Electric Rev Req Model (2009 GRC) Rebuttal REmoval of New  WH Solar AdjustMI" xfId="388"/>
    <cellStyle name="_Costs not in KWI3000 '06Budget_Rebuttal Power Costs_Electric Rev Req Model (2009 GRC) Revised 01-18-2010" xfId="389"/>
    <cellStyle name="_Costs not in KWI3000 '06Budget_Rebuttal Power Costs_Final Order Electric EXHIBIT A-1" xfId="390"/>
    <cellStyle name="_DEM-WP (C) Power Cost 2006GRC Order" xfId="391"/>
    <cellStyle name="_DEM-WP (C) Power Cost 2006GRC Order_04 07E Wild Horse Wind Expansion (C) (2)" xfId="392"/>
    <cellStyle name="_DEM-WP (C) Power Cost 2006GRC Order_04 07E Wild Horse Wind Expansion (C) (2)_Adj Bench DR 3 for Initial Briefs (Electric)" xfId="393"/>
    <cellStyle name="_DEM-WP (C) Power Cost 2006GRC Order_04 07E Wild Horse Wind Expansion (C) (2)_Electric Rev Req Model (2009 GRC) " xfId="394"/>
    <cellStyle name="_DEM-WP (C) Power Cost 2006GRC Order_04 07E Wild Horse Wind Expansion (C) (2)_Electric Rev Req Model (2009 GRC) Rebuttal" xfId="395"/>
    <cellStyle name="_DEM-WP (C) Power Cost 2006GRC Order_04 07E Wild Horse Wind Expansion (C) (2)_Electric Rev Req Model (2009 GRC) Rebuttal REmoval of New  WH Solar AdjustMI" xfId="396"/>
    <cellStyle name="_DEM-WP (C) Power Cost 2006GRC Order_04 07E Wild Horse Wind Expansion (C) (2)_Electric Rev Req Model (2009 GRC) Revised 01-18-2010" xfId="397"/>
    <cellStyle name="_DEM-WP (C) Power Cost 2006GRC Order_04 07E Wild Horse Wind Expansion (C) (2)_Final Order Electric EXHIBIT A-1" xfId="398"/>
    <cellStyle name="_DEM-WP (C) Power Cost 2006GRC Order_04 07E Wild Horse Wind Expansion (C) (2)_TENASKA REGULATORY ASSET" xfId="399"/>
    <cellStyle name="_DEM-WP (C) Power Cost 2006GRC Order_16.37E Wild Horse Expansion DeferralRevwrkingfile SF" xfId="400"/>
    <cellStyle name="_DEM-WP (C) Power Cost 2006GRC Order_2009 GRC Compl Filing - Exhibit D" xfId="401"/>
    <cellStyle name="_DEM-WP (C) Power Cost 2006GRC Order_4 31 Regulatory Assets and Liabilities  7 06- Exhibit D" xfId="402"/>
    <cellStyle name="_DEM-WP (C) Power Cost 2006GRC Order_4 32 Regulatory Assets and Liabilities  7 06- Exhibit D" xfId="403"/>
    <cellStyle name="_DEM-WP (C) Power Cost 2006GRC Order_Book2" xfId="404"/>
    <cellStyle name="_DEM-WP (C) Power Cost 2006GRC Order_Book2_Adj Bench DR 3 for Initial Briefs (Electric)" xfId="405"/>
    <cellStyle name="_DEM-WP (C) Power Cost 2006GRC Order_Book2_Electric Rev Req Model (2009 GRC) Rebuttal" xfId="406"/>
    <cellStyle name="_DEM-WP (C) Power Cost 2006GRC Order_Book2_Electric Rev Req Model (2009 GRC) Rebuttal REmoval of New  WH Solar AdjustMI" xfId="407"/>
    <cellStyle name="_DEM-WP (C) Power Cost 2006GRC Order_Book2_Electric Rev Req Model (2009 GRC) Revised 01-18-2010" xfId="408"/>
    <cellStyle name="_DEM-WP (C) Power Cost 2006GRC Order_Book2_Final Order Electric EXHIBIT A-1" xfId="409"/>
    <cellStyle name="_DEM-WP (C) Power Cost 2006GRC Order_Book4" xfId="410"/>
    <cellStyle name="_DEM-WP (C) Power Cost 2006GRC Order_Book9" xfId="411"/>
    <cellStyle name="_DEM-WP (C) Power Cost 2006GRC Order_Power Costs - Comparison bx Rbtl-Staff-Jt-PC" xfId="412"/>
    <cellStyle name="_DEM-WP (C) Power Cost 2006GRC Order_Power Costs - Comparison bx Rbtl-Staff-Jt-PC_Adj Bench DR 3 for Initial Briefs (Electric)" xfId="413"/>
    <cellStyle name="_DEM-WP (C) Power Cost 2006GRC Order_Power Costs - Comparison bx Rbtl-Staff-Jt-PC_Electric Rev Req Model (2009 GRC) Rebuttal" xfId="414"/>
    <cellStyle name="_DEM-WP (C) Power Cost 2006GRC Order_Power Costs - Comparison bx Rbtl-Staff-Jt-PC_Electric Rev Req Model (2009 GRC) Rebuttal REmoval of New  WH Solar AdjustMI" xfId="415"/>
    <cellStyle name="_DEM-WP (C) Power Cost 2006GRC Order_Power Costs - Comparison bx Rbtl-Staff-Jt-PC_Electric Rev Req Model (2009 GRC) Revised 01-18-2010" xfId="416"/>
    <cellStyle name="_DEM-WP (C) Power Cost 2006GRC Order_Power Costs - Comparison bx Rbtl-Staff-Jt-PC_Final Order Electric EXHIBIT A-1" xfId="417"/>
    <cellStyle name="_DEM-WP (C) Power Cost 2006GRC Order_Rebuttal Power Costs" xfId="418"/>
    <cellStyle name="_DEM-WP (C) Power Cost 2006GRC Order_Rebuttal Power Costs_Adj Bench DR 3 for Initial Briefs (Electric)" xfId="419"/>
    <cellStyle name="_DEM-WP (C) Power Cost 2006GRC Order_Rebuttal Power Costs_Electric Rev Req Model (2009 GRC) Rebuttal" xfId="420"/>
    <cellStyle name="_DEM-WP (C) Power Cost 2006GRC Order_Rebuttal Power Costs_Electric Rev Req Model (2009 GRC) Rebuttal REmoval of New  WH Solar AdjustMI" xfId="421"/>
    <cellStyle name="_DEM-WP (C) Power Cost 2006GRC Order_Rebuttal Power Costs_Electric Rev Req Model (2009 GRC) Revised 01-18-2010" xfId="422"/>
    <cellStyle name="_DEM-WP (C) Power Cost 2006GRC Order_Rebuttal Power Costs_Final Order Electric EXHIBIT A-1" xfId="423"/>
    <cellStyle name="_DEM-WP Revised (HC) Wild Horse 2006GRC" xfId="424"/>
    <cellStyle name="_DEM-WP Revised (HC) Wild Horse 2006GRC_16.37E Wild Horse Expansion DeferralRevwrkingfile SF" xfId="425"/>
    <cellStyle name="_DEM-WP Revised (HC) Wild Horse 2006GRC_2009 GRC Compl Filing - Exhibit D" xfId="426"/>
    <cellStyle name="_DEM-WP Revised (HC) Wild Horse 2006GRC_Adj Bench DR 3 for Initial Briefs (Electric)" xfId="427"/>
    <cellStyle name="_DEM-WP Revised (HC) Wild Horse 2006GRC_Book2" xfId="428"/>
    <cellStyle name="_DEM-WP Revised (HC) Wild Horse 2006GRC_Book4" xfId="429"/>
    <cellStyle name="_DEM-WP Revised (HC) Wild Horse 2006GRC_Electric Rev Req Model (2009 GRC) " xfId="430"/>
    <cellStyle name="_DEM-WP Revised (HC) Wild Horse 2006GRC_Electric Rev Req Model (2009 GRC) Rebuttal" xfId="431"/>
    <cellStyle name="_DEM-WP Revised (HC) Wild Horse 2006GRC_Electric Rev Req Model (2009 GRC) Rebuttal REmoval of New  WH Solar AdjustMI" xfId="432"/>
    <cellStyle name="_DEM-WP Revised (HC) Wild Horse 2006GRC_Electric Rev Req Model (2009 GRC) Revised 01-18-2010" xfId="433"/>
    <cellStyle name="_DEM-WP Revised (HC) Wild Horse 2006GRC_Final Order Electric EXHIBIT A-1" xfId="434"/>
    <cellStyle name="_DEM-WP Revised (HC) Wild Horse 2006GRC_Power Costs - Comparison bx Rbtl-Staff-Jt-PC" xfId="435"/>
    <cellStyle name="_DEM-WP Revised (HC) Wild Horse 2006GRC_Rebuttal Power Costs" xfId="436"/>
    <cellStyle name="_DEM-WP Revised (HC) Wild Horse 2006GRC_TENASKA REGULATORY ASSET" xfId="437"/>
    <cellStyle name="_DEM-WP(C) Colstrip FOR" xfId="438"/>
    <cellStyle name="_DEM-WP(C) Colstrip FOR_(C) WHE Proforma with ITC cash grant 10 Yr Amort_for rebuttal_120709" xfId="439"/>
    <cellStyle name="_DEM-WP(C) Colstrip FOR_16.07E Wild Horse Wind Expansionwrkingfile" xfId="440"/>
    <cellStyle name="_DEM-WP(C) Colstrip FOR_16.07E Wild Horse Wind Expansionwrkingfile SF" xfId="441"/>
    <cellStyle name="_DEM-WP(C) Colstrip FOR_16.37E Wild Horse Expansion DeferralRevwrkingfile SF" xfId="442"/>
    <cellStyle name="_DEM-WP(C) Colstrip FOR_Adj Bench DR 3 for Initial Briefs (Electric)" xfId="443"/>
    <cellStyle name="_DEM-WP(C) Colstrip FOR_Book2" xfId="444"/>
    <cellStyle name="_DEM-WP(C) Colstrip FOR_Book2_Adj Bench DR 3 for Initial Briefs (Electric)" xfId="445"/>
    <cellStyle name="_DEM-WP(C) Colstrip FOR_Book2_Electric Rev Req Model (2009 GRC) Rebuttal" xfId="446"/>
    <cellStyle name="_DEM-WP(C) Colstrip FOR_Book2_Electric Rev Req Model (2009 GRC) Rebuttal REmoval of New  WH Solar AdjustMI" xfId="447"/>
    <cellStyle name="_DEM-WP(C) Colstrip FOR_Book2_Electric Rev Req Model (2009 GRC) Revised 01-18-2010" xfId="448"/>
    <cellStyle name="_DEM-WP(C) Colstrip FOR_Book2_Final Order Electric EXHIBIT A-1" xfId="449"/>
    <cellStyle name="_DEM-WP(C) Colstrip FOR_Electric Rev Req Model (2009 GRC) Rebuttal" xfId="450"/>
    <cellStyle name="_DEM-WP(C) Colstrip FOR_Electric Rev Req Model (2009 GRC) Rebuttal REmoval of New  WH Solar AdjustMI" xfId="451"/>
    <cellStyle name="_DEM-WP(C) Colstrip FOR_Electric Rev Req Model (2009 GRC) Revised 01-18-2010" xfId="452"/>
    <cellStyle name="_DEM-WP(C) Colstrip FOR_Final Order Electric EXHIBIT A-1" xfId="453"/>
    <cellStyle name="_DEM-WP(C) Colstrip FOR_Rebuttal Power Costs" xfId="454"/>
    <cellStyle name="_DEM-WP(C) Colstrip FOR_Rebuttal Power Costs_Adj Bench DR 3 for Initial Briefs (Electric)" xfId="455"/>
    <cellStyle name="_DEM-WP(C) Colstrip FOR_Rebuttal Power Costs_Electric Rev Req Model (2009 GRC) Rebuttal" xfId="456"/>
    <cellStyle name="_DEM-WP(C) Colstrip FOR_Rebuttal Power Costs_Electric Rev Req Model (2009 GRC) Rebuttal REmoval of New  WH Solar AdjustMI" xfId="457"/>
    <cellStyle name="_DEM-WP(C) Colstrip FOR_Rebuttal Power Costs_Electric Rev Req Model (2009 GRC) Revised 01-18-2010" xfId="458"/>
    <cellStyle name="_DEM-WP(C) Colstrip FOR_Rebuttal Power Costs_Final Order Electric EXHIBIT A-1" xfId="459"/>
    <cellStyle name="_DEM-WP(C) Colstrip FOR_TENASKA REGULATORY ASSET" xfId="460"/>
    <cellStyle name="_DEM-WP(C) Costs not in AURORA 2006GRC" xfId="461"/>
    <cellStyle name="_DEM-WP(C) Costs not in AURORA 2006GRC_(C) WHE Proforma with ITC cash grant 10 Yr Amort_for deferral_102809" xfId="462"/>
    <cellStyle name="_DEM-WP(C) Costs not in AURORA 2006GRC_(C) WHE Proforma with ITC cash grant 10 Yr Amort_for deferral_102809_16.07E Wild Horse Wind Expansionwrkingfile" xfId="463"/>
    <cellStyle name="_DEM-WP(C) Costs not in AURORA 2006GRC_(C) WHE Proforma with ITC cash grant 10 Yr Amort_for deferral_102809_16.07E Wild Horse Wind Expansionwrkingfile SF" xfId="464"/>
    <cellStyle name="_DEM-WP(C) Costs not in AURORA 2006GRC_(C) WHE Proforma with ITC cash grant 10 Yr Amort_for deferral_102809_16.37E Wild Horse Expansion DeferralRevwrkingfile SF" xfId="465"/>
    <cellStyle name="_DEM-WP(C) Costs not in AURORA 2006GRC_(C) WHE Proforma with ITC cash grant 10 Yr Amort_for rebuttal_120709" xfId="466"/>
    <cellStyle name="_DEM-WP(C) Costs not in AURORA 2006GRC_04.07E Wild Horse Wind Expansion" xfId="467"/>
    <cellStyle name="_DEM-WP(C) Costs not in AURORA 2006GRC_04.07E Wild Horse Wind Expansion_16.07E Wild Horse Wind Expansionwrkingfile" xfId="468"/>
    <cellStyle name="_DEM-WP(C) Costs not in AURORA 2006GRC_04.07E Wild Horse Wind Expansion_16.07E Wild Horse Wind Expansionwrkingfile SF" xfId="469"/>
    <cellStyle name="_DEM-WP(C) Costs not in AURORA 2006GRC_04.07E Wild Horse Wind Expansion_16.37E Wild Horse Expansion DeferralRevwrkingfile SF" xfId="470"/>
    <cellStyle name="_DEM-WP(C) Costs not in AURORA 2006GRC_16.07E Wild Horse Wind Expansionwrkingfile" xfId="471"/>
    <cellStyle name="_DEM-WP(C) Costs not in AURORA 2006GRC_16.07E Wild Horse Wind Expansionwrkingfile SF" xfId="472"/>
    <cellStyle name="_DEM-WP(C) Costs not in AURORA 2006GRC_16.37E Wild Horse Expansion DeferralRevwrkingfile SF" xfId="473"/>
    <cellStyle name="_DEM-WP(C) Costs not in AURORA 2006GRC_2009 GRC Compl Filing - Exhibit D" xfId="474"/>
    <cellStyle name="_DEM-WP(C) Costs not in AURORA 2006GRC_4 31 Regulatory Assets and Liabilities  7 06- Exhibit D" xfId="475"/>
    <cellStyle name="_DEM-WP(C) Costs not in AURORA 2006GRC_4 32 Regulatory Assets and Liabilities  7 06- Exhibit D" xfId="476"/>
    <cellStyle name="_DEM-WP(C) Costs not in AURORA 2006GRC_Book2" xfId="477"/>
    <cellStyle name="_DEM-WP(C) Costs not in AURORA 2006GRC_Book2_Adj Bench DR 3 for Initial Briefs (Electric)" xfId="478"/>
    <cellStyle name="_DEM-WP(C) Costs not in AURORA 2006GRC_Book2_Electric Rev Req Model (2009 GRC) Rebuttal" xfId="479"/>
    <cellStyle name="_DEM-WP(C) Costs not in AURORA 2006GRC_Book2_Electric Rev Req Model (2009 GRC) Rebuttal REmoval of New  WH Solar AdjustMI" xfId="480"/>
    <cellStyle name="_DEM-WP(C) Costs not in AURORA 2006GRC_Book2_Electric Rev Req Model (2009 GRC) Revised 01-18-2010" xfId="481"/>
    <cellStyle name="_DEM-WP(C) Costs not in AURORA 2006GRC_Book2_Final Order Electric EXHIBIT A-1" xfId="482"/>
    <cellStyle name="_DEM-WP(C) Costs not in AURORA 2006GRC_Book4" xfId="483"/>
    <cellStyle name="_DEM-WP(C) Costs not in AURORA 2006GRC_Book9" xfId="484"/>
    <cellStyle name="_DEM-WP(C) Costs not in AURORA 2006GRC_Power Costs - Comparison bx Rbtl-Staff-Jt-PC" xfId="485"/>
    <cellStyle name="_DEM-WP(C) Costs not in AURORA 2006GRC_Power Costs - Comparison bx Rbtl-Staff-Jt-PC_Adj Bench DR 3 for Initial Briefs (Electric)" xfId="486"/>
    <cellStyle name="_DEM-WP(C) Costs not in AURORA 2006GRC_Power Costs - Comparison bx Rbtl-Staff-Jt-PC_Electric Rev Req Model (2009 GRC) Rebuttal" xfId="487"/>
    <cellStyle name="_DEM-WP(C) Costs not in AURORA 2006GRC_Power Costs - Comparison bx Rbtl-Staff-Jt-PC_Electric Rev Req Model (2009 GRC) Rebuttal REmoval of New  WH Solar AdjustMI" xfId="488"/>
    <cellStyle name="_DEM-WP(C) Costs not in AURORA 2006GRC_Power Costs - Comparison bx Rbtl-Staff-Jt-PC_Electric Rev Req Model (2009 GRC) Revised 01-18-2010" xfId="489"/>
    <cellStyle name="_DEM-WP(C) Costs not in AURORA 2006GRC_Power Costs - Comparison bx Rbtl-Staff-Jt-PC_Final Order Electric EXHIBIT A-1" xfId="490"/>
    <cellStyle name="_DEM-WP(C) Costs not in AURORA 2006GRC_Rebuttal Power Costs" xfId="491"/>
    <cellStyle name="_DEM-WP(C) Costs not in AURORA 2006GRC_Rebuttal Power Costs_Adj Bench DR 3 for Initial Briefs (Electric)" xfId="492"/>
    <cellStyle name="_DEM-WP(C) Costs not in AURORA 2006GRC_Rebuttal Power Costs_Electric Rev Req Model (2009 GRC) Rebuttal" xfId="493"/>
    <cellStyle name="_DEM-WP(C) Costs not in AURORA 2006GRC_Rebuttal Power Costs_Electric Rev Req Model (2009 GRC) Rebuttal REmoval of New  WH Solar AdjustMI" xfId="494"/>
    <cellStyle name="_DEM-WP(C) Costs not in AURORA 2006GRC_Rebuttal Power Costs_Electric Rev Req Model (2009 GRC) Revised 01-18-2010" xfId="495"/>
    <cellStyle name="_DEM-WP(C) Costs not in AURORA 2006GRC_Rebuttal Power Costs_Final Order Electric EXHIBIT A-1" xfId="496"/>
    <cellStyle name="_DEM-WP(C) Costs not in AURORA 2007GRC" xfId="497"/>
    <cellStyle name="_DEM-WP(C) Costs not in AURORA 2007GRC_16.37E Wild Horse Expansion DeferralRevwrkingfile SF" xfId="498"/>
    <cellStyle name="_DEM-WP(C) Costs not in AURORA 2007GRC_2009 GRC Compl Filing - Exhibit D" xfId="499"/>
    <cellStyle name="_DEM-WP(C) Costs not in AURORA 2007GRC_Adj Bench DR 3 for Initial Briefs (Electric)" xfId="500"/>
    <cellStyle name="_DEM-WP(C) Costs not in AURORA 2007GRC_Book2" xfId="501"/>
    <cellStyle name="_DEM-WP(C) Costs not in AURORA 2007GRC_Book4" xfId="502"/>
    <cellStyle name="_DEM-WP(C) Costs not in AURORA 2007GRC_Electric Rev Req Model (2009 GRC) " xfId="503"/>
    <cellStyle name="_DEM-WP(C) Costs not in AURORA 2007GRC_Electric Rev Req Model (2009 GRC) Rebuttal" xfId="504"/>
    <cellStyle name="_DEM-WP(C) Costs not in AURORA 2007GRC_Electric Rev Req Model (2009 GRC) Rebuttal REmoval of New  WH Solar AdjustMI" xfId="505"/>
    <cellStyle name="_DEM-WP(C) Costs not in AURORA 2007GRC_Electric Rev Req Model (2009 GRC) Revised 01-18-2010" xfId="506"/>
    <cellStyle name="_DEM-WP(C) Costs not in AURORA 2007GRC_Final Order Electric EXHIBIT A-1" xfId="507"/>
    <cellStyle name="_DEM-WP(C) Costs not in AURORA 2007GRC_Power Costs - Comparison bx Rbtl-Staff-Jt-PC" xfId="508"/>
    <cellStyle name="_DEM-WP(C) Costs not in AURORA 2007GRC_Rebuttal Power Costs" xfId="509"/>
    <cellStyle name="_DEM-WP(C) Costs not in AURORA 2007GRC_TENASKA REGULATORY ASSET" xfId="510"/>
    <cellStyle name="_DEM-WP(C) Costs not in AURORA 2007PCORC-5.07Update" xfId="511"/>
    <cellStyle name="_DEM-WP(C) Costs not in AURORA 2007PCORC-5.07Update_16.37E Wild Horse Expansion DeferralRevwrkingfile SF" xfId="512"/>
    <cellStyle name="_DEM-WP(C) Costs not in AURORA 2007PCORC-5.07Update_2009 GRC Compl Filing - Exhibit D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2009 GRC Compl Filing - Exhibit D" xfId="565"/>
    <cellStyle name="_DEM-WP(C) Westside Hydro Data_051007_Adj Bench DR 3 for Initial Briefs (Electric)" xfId="566"/>
    <cellStyle name="_DEM-WP(C) Westside Hydro Data_051007_Book2" xfId="567"/>
    <cellStyle name="_DEM-WP(C) Westside Hydro Data_051007_Book4" xfId="568"/>
    <cellStyle name="_DEM-WP(C) Westside Hydro Data_051007_Electric Rev Req Model (2009 GRC) " xfId="569"/>
    <cellStyle name="_DEM-WP(C) Westside Hydro Data_051007_Electric Rev Req Model (2009 GRC) Rebuttal" xfId="570"/>
    <cellStyle name="_DEM-WP(C) Westside Hydro Data_051007_Electric Rev Req Model (2009 GRC) Rebuttal REmoval of New  WH Solar AdjustMI" xfId="571"/>
    <cellStyle name="_DEM-WP(C) Westside Hydro Data_051007_Electric Rev Req Model (2009 GRC) Revised 01-18-2010" xfId="572"/>
    <cellStyle name="_DEM-WP(C) Westside Hydro Data_051007_Final Order Electric EXHIBIT A-1" xfId="573"/>
    <cellStyle name="_DEM-WP(C) Westside Hydro Data_051007_Power Costs - Comparison bx Rbtl-Staff-Jt-PC" xfId="574"/>
    <cellStyle name="_DEM-WP(C) Westside Hydro Data_051007_Rebuttal Power Costs" xfId="575"/>
    <cellStyle name="_DEM-WP(C) Westside Hydro Data_051007_TENASKA REGULATORY ASSET" xfId="576"/>
    <cellStyle name="_x0013__Electric Rev Req Model (2009 GRC) " xfId="577"/>
    <cellStyle name="_x0013__Electric Rev Req Model (2009 GRC) Rebuttal" xfId="578"/>
    <cellStyle name="_x0013__Electric Rev Req Model (2009 GRC) Rebuttal REmoval of New  WH Solar AdjustMI" xfId="579"/>
    <cellStyle name="_x0013__Electric Rev Req Model (2009 GRC) Revised 01-18-2010" xfId="580"/>
    <cellStyle name="_x0013__Final Order Electric EXHIBIT A-1" xfId="581"/>
    <cellStyle name="_Fixed Gas Transport 1 19 09" xfId="582"/>
    <cellStyle name="_Fuel Prices 4-14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2009 GRC Compl Filing - Exhibit D" xfId="593"/>
    <cellStyle name="_Fuel Prices 4-14_4 31 Regulatory Assets and Liabilities  7 06- Exhibit D" xfId="594"/>
    <cellStyle name="_Fuel Prices 4-14_4 32 Regulatory Assets and Liabilities  7 06- Exhibit D" xfId="595"/>
    <cellStyle name="_Fuel Prices 4-14_Book2" xfId="596"/>
    <cellStyle name="_Fuel Prices 4-14_Book2_Adj Bench DR 3 for Initial Briefs (Electric)" xfId="597"/>
    <cellStyle name="_Fuel Prices 4-14_Book2_Electric Rev Req Model (2009 GRC) Rebuttal" xfId="598"/>
    <cellStyle name="_Fuel Prices 4-14_Book2_Electric Rev Req Model (2009 GRC) Rebuttal REmoval of New  WH Solar AdjustMI" xfId="599"/>
    <cellStyle name="_Fuel Prices 4-14_Book2_Electric Rev Req Model (2009 GRC) Revised 01-18-2010" xfId="600"/>
    <cellStyle name="_Fuel Prices 4-14_Book2_Final Order Electric EXHIBIT A-1" xfId="601"/>
    <cellStyle name="_Fuel Prices 4-14_Book4" xfId="602"/>
    <cellStyle name="_Fuel Prices 4-14_Book9" xfId="603"/>
    <cellStyle name="_Fuel Prices 4-14_Power Costs - Comparison bx Rbtl-Staff-Jt-PC" xfId="604"/>
    <cellStyle name="_Fuel Prices 4-14_Power Costs - Comparison bx Rbtl-Staff-Jt-PC_Adj Bench DR 3 for Initial Briefs (Electric)" xfId="605"/>
    <cellStyle name="_Fuel Prices 4-14_Power Costs - Comparison bx Rbtl-Staff-Jt-PC_Electric Rev Req Model (2009 GRC) Rebuttal" xfId="606"/>
    <cellStyle name="_Fuel Prices 4-14_Power Costs - Comparison bx Rbtl-Staff-Jt-PC_Electric Rev Req Model (2009 GRC) Rebuttal REmoval of New  WH Solar AdjustMI" xfId="607"/>
    <cellStyle name="_Fuel Prices 4-14_Power Costs - Comparison bx Rbtl-Staff-Jt-PC_Electric Rev Req Model (2009 GRC) Revised 01-18-2010" xfId="608"/>
    <cellStyle name="_Fuel Prices 4-14_Power Costs - Comparison bx Rbtl-Staff-Jt-PC_Final Order Electric EXHIBIT A-1" xfId="609"/>
    <cellStyle name="_Fuel Prices 4-14_Rebuttal Power Costs" xfId="610"/>
    <cellStyle name="_Fuel Prices 4-14_Rebuttal Power Costs_Adj Bench DR 3 for Initial Briefs (Electric)" xfId="611"/>
    <cellStyle name="_Fuel Prices 4-14_Rebuttal Power Costs_Electric Rev Req Model (2009 GRC) Rebuttal" xfId="612"/>
    <cellStyle name="_Fuel Prices 4-14_Rebuttal Power Costs_Electric Rev Req Model (2009 GRC) Rebuttal REmoval of New  WH Solar AdjustMI" xfId="613"/>
    <cellStyle name="_Fuel Prices 4-14_Rebuttal Power Costs_Electric Rev Req Model (2009 GRC) Revised 01-18-2010" xfId="614"/>
    <cellStyle name="_Fuel Prices 4-14_Rebuttal Power Costs_Final Order Electric EXHIBIT A-1" xfId="615"/>
    <cellStyle name="_Gas Transportation Charges_2009GRC_120308" xfId="616"/>
    <cellStyle name="_NIM 06 Base Case Current Trends" xfId="617"/>
    <cellStyle name="_NIM 06 Base Case Current Trends_Adj Bench DR 3 for Initial Briefs (Electric)" xfId="618"/>
    <cellStyle name="_NIM 06 Base Case Current Trends_Book2" xfId="619"/>
    <cellStyle name="_NIM 06 Base Case Current Trends_Book2_Adj Bench DR 3 for Initial Briefs (Electric)" xfId="620"/>
    <cellStyle name="_NIM 06 Base Case Current Trends_Book2_Electric Rev Req Model (2009 GRC) Rebuttal" xfId="621"/>
    <cellStyle name="_NIM 06 Base Case Current Trends_Book2_Electric Rev Req Model (2009 GRC) Rebuttal REmoval of New  WH Solar AdjustMI" xfId="622"/>
    <cellStyle name="_NIM 06 Base Case Current Trends_Book2_Electric Rev Req Model (2009 GRC) Revised 01-18-2010" xfId="623"/>
    <cellStyle name="_NIM 06 Base Case Current Trends_Book2_Final Order Electric EXHIBIT A-1" xfId="624"/>
    <cellStyle name="_NIM 06 Base Case Current Trends_Electric Rev Req Model (2009 GRC) " xfId="625"/>
    <cellStyle name="_NIM 06 Base Case Current Trends_Electric Rev Req Model (2009 GRC) Rebuttal" xfId="626"/>
    <cellStyle name="_NIM 06 Base Case Current Trends_Electric Rev Req Model (2009 GRC) Rebuttal REmoval of New  WH Solar AdjustMI" xfId="627"/>
    <cellStyle name="_NIM 06 Base Case Current Trends_Electric Rev Req Model (2009 GRC) Revised 01-18-2010" xfId="628"/>
    <cellStyle name="_NIM 06 Base Case Current Trends_Final Order Electric EXHIBIT A-1" xfId="629"/>
    <cellStyle name="_NIM 06 Base Case Current Trends_Rebuttal Power Costs" xfId="630"/>
    <cellStyle name="_NIM 06 Base Case Current Trends_Rebuttal Power Costs_Adj Bench DR 3 for Initial Briefs (Electric)" xfId="631"/>
    <cellStyle name="_NIM 06 Base Case Current Trends_Rebuttal Power Costs_Electric Rev Req Model (2009 GRC) Rebuttal" xfId="632"/>
    <cellStyle name="_NIM 06 Base Case Current Trends_Rebuttal Power Costs_Electric Rev Req Model (2009 GRC) Rebuttal REmoval of New  WH Solar AdjustMI" xfId="633"/>
    <cellStyle name="_NIM 06 Base Case Current Trends_Rebuttal Power Costs_Electric Rev Req Model (2009 GRC) Revised 01-18-2010" xfId="634"/>
    <cellStyle name="_NIM 06 Base Case Current Trends_Rebuttal Power Costs_Final Order Electric EXHIBIT A-1" xfId="635"/>
    <cellStyle name="_NIM 06 Base Case Current Trends_TENASKA REGULATORY ASSET" xfId="636"/>
    <cellStyle name="_Portfolio SPlan Base Case.xls Chart 1" xfId="637"/>
    <cellStyle name="_Portfolio SPlan Base Case.xls Chart 1_Adj Bench DR 3 for Initial Briefs (Electric)" xfId="638"/>
    <cellStyle name="_Portfolio SPlan Base Case.xls Chart 1_Book2" xfId="639"/>
    <cellStyle name="_Portfolio SPlan Base Case.xls Chart 1_Book2_Adj Bench DR 3 for Initial Briefs (Electric)" xfId="640"/>
    <cellStyle name="_Portfolio SPlan Base Case.xls Chart 1_Book2_Electric Rev Req Model (2009 GRC) Rebuttal" xfId="641"/>
    <cellStyle name="_Portfolio SPlan Base Case.xls Chart 1_Book2_Electric Rev Req Model (2009 GRC) Rebuttal REmoval of New  WH Solar AdjustMI" xfId="642"/>
    <cellStyle name="_Portfolio SPlan Base Case.xls Chart 1_Book2_Electric Rev Req Model (2009 GRC) Revised 01-18-2010" xfId="643"/>
    <cellStyle name="_Portfolio SPlan Base Case.xls Chart 1_Book2_Final Order Electric EXHIBIT A-1" xfId="644"/>
    <cellStyle name="_Portfolio SPlan Base Case.xls Chart 1_Electric Rev Req Model (2009 GRC) " xfId="645"/>
    <cellStyle name="_Portfolio SPlan Base Case.xls Chart 1_Electric Rev Req Model (2009 GRC) Rebuttal" xfId="646"/>
    <cellStyle name="_Portfolio SPlan Base Case.xls Chart 1_Electric Rev Req Model (2009 GRC) Rebuttal REmoval of New  WH Solar AdjustMI" xfId="647"/>
    <cellStyle name="_Portfolio SPlan Base Case.xls Chart 1_Electric Rev Req Model (2009 GRC) Revised 01-18-2010" xfId="648"/>
    <cellStyle name="_Portfolio SPlan Base Case.xls Chart 1_Final Order Electric EXHIBIT A-1" xfId="649"/>
    <cellStyle name="_Portfolio SPlan Base Case.xls Chart 1_Rebuttal Power Costs" xfId="650"/>
    <cellStyle name="_Portfolio SPlan Base Case.xls Chart 1_Rebuttal Power Costs_Adj Bench DR 3 for Initial Briefs (Electric)" xfId="651"/>
    <cellStyle name="_Portfolio SPlan Base Case.xls Chart 1_Rebuttal Power Costs_Electric Rev Req Model (2009 GRC) Rebuttal" xfId="652"/>
    <cellStyle name="_Portfolio SPlan Base Case.xls Chart 1_Rebuttal Power Costs_Electric Rev Req Model (2009 GRC) Rebuttal REmoval of New  WH Solar AdjustMI" xfId="653"/>
    <cellStyle name="_Portfolio SPlan Base Case.xls Chart 1_Rebuttal Power Costs_Electric Rev Req Model (2009 GRC) Revised 01-18-2010" xfId="654"/>
    <cellStyle name="_Portfolio SPlan Base Case.xls Chart 1_Rebuttal Power Costs_Final Order Electric EXHIBIT A-1" xfId="655"/>
    <cellStyle name="_Portfolio SPlan Base Case.xls Chart 1_TENASKA REGULATORY ASSET" xfId="656"/>
    <cellStyle name="_Portfolio SPlan Base Case.xls Chart 2" xfId="657"/>
    <cellStyle name="_Portfolio SPlan Base Case.xls Chart 2_Adj Bench DR 3 for Initial Briefs (Electric)" xfId="658"/>
    <cellStyle name="_Portfolio SPlan Base Case.xls Chart 2_Book2" xfId="659"/>
    <cellStyle name="_Portfolio SPlan Base Case.xls Chart 2_Book2_Adj Bench DR 3 for Initial Briefs (Electric)" xfId="660"/>
    <cellStyle name="_Portfolio SPlan Base Case.xls Chart 2_Book2_Electric Rev Req Model (2009 GRC) Rebuttal" xfId="661"/>
    <cellStyle name="_Portfolio SPlan Base Case.xls Chart 2_Book2_Electric Rev Req Model (2009 GRC) Rebuttal REmoval of New  WH Solar AdjustMI" xfId="662"/>
    <cellStyle name="_Portfolio SPlan Base Case.xls Chart 2_Book2_Electric Rev Req Model (2009 GRC) Revised 01-18-2010" xfId="663"/>
    <cellStyle name="_Portfolio SPlan Base Case.xls Chart 2_Book2_Final Order Electric EXHIBIT A-1" xfId="664"/>
    <cellStyle name="_Portfolio SPlan Base Case.xls Chart 2_Electric Rev Req Model (2009 GRC) " xfId="665"/>
    <cellStyle name="_Portfolio SPlan Base Case.xls Chart 2_Electric Rev Req Model (2009 GRC) Rebuttal" xfId="666"/>
    <cellStyle name="_Portfolio SPlan Base Case.xls Chart 2_Electric Rev Req Model (2009 GRC) Rebuttal REmoval of New  WH Solar AdjustMI" xfId="667"/>
    <cellStyle name="_Portfolio SPlan Base Case.xls Chart 2_Electric Rev Req Model (2009 GRC) Revised 01-18-2010" xfId="668"/>
    <cellStyle name="_Portfolio SPlan Base Case.xls Chart 2_Final Order Electric EXHIBIT A-1" xfId="669"/>
    <cellStyle name="_Portfolio SPlan Base Case.xls Chart 2_Rebuttal Power Costs" xfId="670"/>
    <cellStyle name="_Portfolio SPlan Base Case.xls Chart 2_Rebuttal Power Costs_Adj Bench DR 3 for Initial Briefs (Electric)" xfId="671"/>
    <cellStyle name="_Portfolio SPlan Base Case.xls Chart 2_Rebuttal Power Costs_Electric Rev Req Model (2009 GRC) Rebuttal" xfId="672"/>
    <cellStyle name="_Portfolio SPlan Base Case.xls Chart 2_Rebuttal Power Costs_Electric Rev Req Model (2009 GRC) Rebuttal REmoval of New  WH Solar AdjustMI" xfId="673"/>
    <cellStyle name="_Portfolio SPlan Base Case.xls Chart 2_Rebuttal Power Costs_Electric Rev Req Model (2009 GRC) Revised 01-18-2010" xfId="674"/>
    <cellStyle name="_Portfolio SPlan Base Case.xls Chart 2_Rebuttal Power Costs_Final Order Electric EXHIBIT A-1" xfId="675"/>
    <cellStyle name="_Portfolio SPlan Base Case.xls Chart 2_TENASKA REGULATORY ASSET" xfId="676"/>
    <cellStyle name="_Portfolio SPlan Base Case.xls Chart 3" xfId="677"/>
    <cellStyle name="_Portfolio SPlan Base Case.xls Chart 3_Adj Bench DR 3 for Initial Briefs (Electric)" xfId="678"/>
    <cellStyle name="_Portfolio SPlan Base Case.xls Chart 3_Book2" xfId="679"/>
    <cellStyle name="_Portfolio SPlan Base Case.xls Chart 3_Book2_Adj Bench DR 3 for Initial Briefs (Electric)" xfId="680"/>
    <cellStyle name="_Portfolio SPlan Base Case.xls Chart 3_Book2_Electric Rev Req Model (2009 GRC) Rebuttal" xfId="681"/>
    <cellStyle name="_Portfolio SPlan Base Case.xls Chart 3_Book2_Electric Rev Req Model (2009 GRC) Rebuttal REmoval of New  WH Solar AdjustMI" xfId="682"/>
    <cellStyle name="_Portfolio SPlan Base Case.xls Chart 3_Book2_Electric Rev Req Model (2009 GRC) Revised 01-18-2010" xfId="683"/>
    <cellStyle name="_Portfolio SPlan Base Case.xls Chart 3_Book2_Final Order Electric EXHIBIT A-1" xfId="684"/>
    <cellStyle name="_Portfolio SPlan Base Case.xls Chart 3_Electric Rev Req Model (2009 GRC) " xfId="685"/>
    <cellStyle name="_Portfolio SPlan Base Case.xls Chart 3_Electric Rev Req Model (2009 GRC) Rebuttal" xfId="686"/>
    <cellStyle name="_Portfolio SPlan Base Case.xls Chart 3_Electric Rev Req Model (2009 GRC) Rebuttal REmoval of New  WH Solar AdjustMI" xfId="687"/>
    <cellStyle name="_Portfolio SPlan Base Case.xls Chart 3_Electric Rev Req Model (2009 GRC) Revised 01-18-2010" xfId="688"/>
    <cellStyle name="_Portfolio SPlan Base Case.xls Chart 3_Final Order Electric EXHIBIT A-1" xfId="689"/>
    <cellStyle name="_Portfolio SPlan Base Case.xls Chart 3_Rebuttal Power Costs" xfId="690"/>
    <cellStyle name="_Portfolio SPlan Base Case.xls Chart 3_Rebuttal Power Costs_Adj Bench DR 3 for Initial Briefs (Electric)" xfId="691"/>
    <cellStyle name="_Portfolio SPlan Base Case.xls Chart 3_Rebuttal Power Costs_Electric Rev Req Model (2009 GRC) Rebuttal" xfId="692"/>
    <cellStyle name="_Portfolio SPlan Base Case.xls Chart 3_Rebuttal Power Costs_Electric Rev Req Model (2009 GRC) Rebuttal REmoval of New  WH Solar AdjustMI" xfId="693"/>
    <cellStyle name="_Portfolio SPlan Base Case.xls Chart 3_Rebuttal Power Costs_Electric Rev Req Model (2009 GRC) Revised 01-18-2010" xfId="694"/>
    <cellStyle name="_Portfolio SPlan Base Case.xls Chart 3_Rebuttal Power Costs_Final Order Electric EXHIBIT A-1" xfId="695"/>
    <cellStyle name="_Portfolio SPlan Base Case.xls Chart 3_TENASKA REGULATORY ASSET" xfId="696"/>
    <cellStyle name="_Power Cost Value Copy 11.30.05 gas 1.09.06 AURORA at 1.10.06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_(C) WHE Proforma with ITC cash grant 10 Yr Amort_for deferral_102809" xfId="736"/>
    <cellStyle name="_Recon to Darrin's 5.11.05 proforma_(C) WHE Proforma with ITC cash grant 10 Yr Amort_for deferral_102809_16.07E Wild Horse Wind Expansionwrkingfile" xfId="737"/>
    <cellStyle name="_Recon to Darrin's 5.11.05 proforma_(C) WHE Proforma with ITC cash grant 10 Yr Amort_for deferral_102809_16.07E Wild Horse Wind Expansionwrkingfile SF" xfId="738"/>
    <cellStyle name="_Recon to Darrin's 5.11.05 proforma_(C) WHE Proforma with ITC cash grant 10 Yr Amort_for deferral_102809_16.37E Wild Horse Expansion DeferralRevwrkingfile SF" xfId="739"/>
    <cellStyle name="_Recon to Darrin's 5.11.05 proforma_(C) WHE Proforma with ITC cash grant 10 Yr Amort_for rebuttal_120709" xfId="740"/>
    <cellStyle name="_Recon to Darrin's 5.11.05 proforma_04.07E Wild Horse Wind Expansion" xfId="741"/>
    <cellStyle name="_Recon to Darrin's 5.11.05 proforma_04.07E Wild Horse Wind Expansion_16.07E Wild Horse Wind Expansionwrkingfile" xfId="742"/>
    <cellStyle name="_Recon to Darrin's 5.11.05 proforma_04.07E Wild Horse Wind Expansion_16.07E Wild Horse Wind Expansionwrkingfile SF" xfId="743"/>
    <cellStyle name="_Recon to Darrin's 5.11.05 proforma_04.07E Wild Horse Wind Expansion_16.37E Wild Horse Expansion DeferralRevwrkingfile SF" xfId="744"/>
    <cellStyle name="_Recon to Darrin's 5.11.05 proforma_16.07E Wild Horse Wind Expansionwrkingfile" xfId="745"/>
    <cellStyle name="_Recon to Darrin's 5.11.05 proforma_16.07E Wild Horse Wind Expansionwrkingfile SF" xfId="746"/>
    <cellStyle name="_Recon to Darrin's 5.11.05 proforma_16.37E Wild Horse Expansion DeferralRevwrkingfile SF" xfId="747"/>
    <cellStyle name="_Recon to Darrin's 5.11.05 proforma_4 31 Regulatory Assets and Liabilities  7 06- Exhibit D" xfId="748"/>
    <cellStyle name="_Recon to Darrin's 5.11.05 proforma_4 32 Regulatory Assets and Liabilities  7 06- Exhibit D" xfId="749"/>
    <cellStyle name="_Recon to Darrin's 5.11.05 proforma_Book2" xfId="750"/>
    <cellStyle name="_Recon to Darrin's 5.11.05 proforma_Book2_Adj Bench DR 3 for Initial Briefs (Electric)" xfId="751"/>
    <cellStyle name="_Recon to Darrin's 5.11.05 proforma_Book2_Electric Rev Req Model (2009 GRC) Rebuttal" xfId="752"/>
    <cellStyle name="_Recon to Darrin's 5.11.05 proforma_Book2_Electric Rev Req Model (2009 GRC) Rebuttal REmoval of New  WH Solar AdjustMI" xfId="753"/>
    <cellStyle name="_Recon to Darrin's 5.11.05 proforma_Book2_Electric Rev Req Model (2009 GRC) Revised 01-18-2010" xfId="754"/>
    <cellStyle name="_Recon to Darrin's 5.11.05 proforma_Book2_Final Order Electric EXHIBIT A-1" xfId="755"/>
    <cellStyle name="_Recon to Darrin's 5.11.05 proforma_Book4" xfId="756"/>
    <cellStyle name="_Recon to Darrin's 5.11.05 proforma_Book9" xfId="757"/>
    <cellStyle name="_Recon to Darrin's 5.11.05 proforma_Power Costs - Comparison bx Rbtl-Staff-Jt-PC" xfId="758"/>
    <cellStyle name="_Recon to Darrin's 5.11.05 proforma_Power Costs - Comparison bx Rbtl-Staff-Jt-PC_Adj Bench DR 3 for Initial Briefs (Electric)" xfId="759"/>
    <cellStyle name="_Recon to Darrin's 5.11.05 proforma_Power Costs - Comparison bx Rbtl-Staff-Jt-PC_Electric Rev Req Model (2009 GRC) Rebuttal" xfId="760"/>
    <cellStyle name="_Recon to Darrin's 5.11.05 proforma_Power Costs - Comparison bx Rbtl-Staff-Jt-PC_Electric Rev Req Model (2009 GRC) Rebuttal REmoval of New  WH Solar AdjustMI" xfId="761"/>
    <cellStyle name="_Recon to Darrin's 5.11.05 proforma_Power Costs - Comparison bx Rbtl-Staff-Jt-PC_Electric Rev Req Model (2009 GRC) Revised 01-18-2010" xfId="762"/>
    <cellStyle name="_Recon to Darrin's 5.11.05 proforma_Power Costs - Comparison bx Rbtl-Staff-Jt-PC_Final Order Electric EXHIBIT A-1" xfId="763"/>
    <cellStyle name="_Recon to Darrin's 5.11.05 proforma_Rebuttal Power Costs" xfId="764"/>
    <cellStyle name="_Recon to Darrin's 5.11.05 proforma_Rebuttal Power Costs_Adj Bench DR 3 for Initial Briefs (Electric)" xfId="765"/>
    <cellStyle name="_Recon to Darrin's 5.11.05 proforma_Rebuttal Power Costs_Electric Rev Req Model (2009 GRC) Rebuttal" xfId="766"/>
    <cellStyle name="_Recon to Darrin's 5.11.05 proforma_Rebuttal Power Costs_Electric Rev Req Model (2009 GRC) Rebuttal REmoval of New  WH Solar AdjustMI" xfId="767"/>
    <cellStyle name="_Recon to Darrin's 5.11.05 proforma_Rebuttal Power Costs_Electric Rev Req Model (2009 GRC) Revised 01-18-2010" xfId="768"/>
    <cellStyle name="_Recon to Darrin's 5.11.05 proforma_Rebuttal Power Costs_Final Order Electric EXHIBIT A-1" xfId="769"/>
    <cellStyle name="_Sumas Proforma - 11-09-07" xfId="770"/>
    <cellStyle name="_Sumas Property Taxes v1" xfId="771"/>
    <cellStyle name="_Tenaska Comparison" xfId="772"/>
    <cellStyle name="_Tenaska Comparison_(C) WHE Proforma with ITC cash grant 10 Yr Amort_for deferral_102809" xfId="773"/>
    <cellStyle name="_Tenaska Comparison_(C) WHE Proforma with ITC cash grant 10 Yr Amort_for deferral_102809_16.07E Wild Horse Wind Expansionwrkingfile" xfId="774"/>
    <cellStyle name="_Tenaska Comparison_(C) WHE Proforma with ITC cash grant 10 Yr Amort_for deferral_102809_16.07E Wild Horse Wind Expansionwrkingfile SF" xfId="775"/>
    <cellStyle name="_Tenaska Comparison_(C) WHE Proforma with ITC cash grant 10 Yr Amort_for deferral_102809_16.37E Wild Horse Expansion DeferralRevwrkingfile SF" xfId="776"/>
    <cellStyle name="_Tenaska Comparison_(C) WHE Proforma with ITC cash grant 10 Yr Amort_for rebuttal_120709" xfId="777"/>
    <cellStyle name="_Tenaska Comparison_04.07E Wild Horse Wind Expansion" xfId="778"/>
    <cellStyle name="_Tenaska Comparison_04.07E Wild Horse Wind Expansion_16.07E Wild Horse Wind Expansionwrkingfile" xfId="779"/>
    <cellStyle name="_Tenaska Comparison_04.07E Wild Horse Wind Expansion_16.07E Wild Horse Wind Expansionwrkingfile SF" xfId="780"/>
    <cellStyle name="_Tenaska Comparison_04.07E Wild Horse Wind Expansion_16.37E Wild Horse Expansion DeferralRevwrkingfile SF" xfId="781"/>
    <cellStyle name="_Tenaska Comparison_16.07E Wild Horse Wind Expansionwrkingfile" xfId="782"/>
    <cellStyle name="_Tenaska Comparison_16.07E Wild Horse Wind Expansionwrkingfile SF" xfId="783"/>
    <cellStyle name="_Tenaska Comparison_16.37E Wild Horse Expansion DeferralRevwrkingfile SF" xfId="784"/>
    <cellStyle name="_Tenaska Comparison_2009 GRC Compl Filing - Exhibit D" xfId="785"/>
    <cellStyle name="_Tenaska Comparison_4 31 Regulatory Assets and Liabilities  7 06- Exhibit D" xfId="786"/>
    <cellStyle name="_Tenaska Comparison_4 32 Regulatory Assets and Liabilities  7 06- Exhibit D" xfId="787"/>
    <cellStyle name="_Tenaska Comparison_Book2" xfId="788"/>
    <cellStyle name="_Tenaska Comparison_Book2_Adj Bench DR 3 for Initial Briefs (Electric)" xfId="789"/>
    <cellStyle name="_Tenaska Comparison_Book2_Electric Rev Req Model (2009 GRC) Rebuttal" xfId="790"/>
    <cellStyle name="_Tenaska Comparison_Book2_Electric Rev Req Model (2009 GRC) Rebuttal REmoval of New  WH Solar AdjustMI" xfId="791"/>
    <cellStyle name="_Tenaska Comparison_Book2_Electric Rev Req Model (2009 GRC) Revised 01-18-2010" xfId="792"/>
    <cellStyle name="_Tenaska Comparison_Book2_Final Order Electric EXHIBIT A-1" xfId="793"/>
    <cellStyle name="_Tenaska Comparison_Book4" xfId="794"/>
    <cellStyle name="_Tenaska Comparison_Book9" xfId="795"/>
    <cellStyle name="_Tenaska Comparison_Power Costs - Comparison bx Rbtl-Staff-Jt-PC" xfId="796"/>
    <cellStyle name="_Tenaska Comparison_Power Costs - Comparison bx Rbtl-Staff-Jt-PC_Adj Bench DR 3 for Initial Briefs (Electric)" xfId="797"/>
    <cellStyle name="_Tenaska Comparison_Power Costs - Comparison bx Rbtl-Staff-Jt-PC_Electric Rev Req Model (2009 GRC) Rebuttal" xfId="798"/>
    <cellStyle name="_Tenaska Comparison_Power Costs - Comparison bx Rbtl-Staff-Jt-PC_Electric Rev Req Model (2009 GRC) Rebuttal REmoval of New  WH Solar AdjustMI" xfId="799"/>
    <cellStyle name="_Tenaska Comparison_Power Costs - Comparison bx Rbtl-Staff-Jt-PC_Electric Rev Req Model (2009 GRC) Revised 01-18-2010" xfId="800"/>
    <cellStyle name="_Tenaska Comparison_Power Costs - Comparison bx Rbtl-Staff-Jt-PC_Final Order Electric EXHIBIT A-1" xfId="801"/>
    <cellStyle name="_Tenaska Comparison_Rebuttal Power Costs" xfId="802"/>
    <cellStyle name="_Tenaska Comparison_Rebuttal Power Costs_Adj Bench DR 3 for Initial Briefs (Electric)" xfId="803"/>
    <cellStyle name="_Tenaska Comparison_Rebuttal Power Costs_Electric Rev Req Model (2009 GRC) Rebuttal" xfId="804"/>
    <cellStyle name="_Tenaska Comparison_Rebuttal Power Costs_Electric Rev Req Model (2009 GRC) Rebuttal REmoval of New  WH Solar AdjustMI" xfId="805"/>
    <cellStyle name="_Tenaska Comparison_Rebuttal Power Costs_Electric Rev Req Model (2009 GRC) Revised 01-18-2010" xfId="806"/>
    <cellStyle name="_Tenaska Comparison_Rebuttal Power Costs_Final Order Electric EXHIBIT A-1" xfId="807"/>
    <cellStyle name="_x0013__TENASKA REGULATORY ASSET" xfId="808"/>
    <cellStyle name="_Value Copy 11 30 05 gas 12 09 05 AURORA at 12 14 05" xfId="809"/>
    <cellStyle name="_Value Copy 11 30 05 gas 12 09 05 AURORA at 12 14 05_04 07E Wild Horse Wind Expansion (C) (2)" xfId="810"/>
    <cellStyle name="_Value Copy 11 30 05 gas 12 09 05 AURORA at 12 14 05_04 07E Wild Horse Wind Expansion (C) (2)_Adj Bench DR 3 for Initial Briefs (Electric)" xfId="811"/>
    <cellStyle name="_Value Copy 11 30 05 gas 12 09 05 AURORA at 12 14 05_04 07E Wild Horse Wind Expansion (C) (2)_Electric Rev Req Model (2009 GRC) " xfId="812"/>
    <cellStyle name="_Value Copy 11 30 05 gas 12 09 05 AURORA at 12 14 05_04 07E Wild Horse Wind Expansion (C) (2)_Electric Rev Req Model (2009 GRC) Rebuttal" xfId="813"/>
    <cellStyle name="_Value Copy 11 30 05 gas 12 09 05 AURORA at 12 14 05_04 07E Wild Horse Wind Expansion (C) (2)_Electric Rev Req Model (2009 GRC) Rebuttal REmoval of New  WH Solar AdjustMI" xfId="814"/>
    <cellStyle name="_Value Copy 11 30 05 gas 12 09 05 AURORA at 12 14 05_04 07E Wild Horse Wind Expansion (C) (2)_Electric Rev Req Model (2009 GRC) Revised 01-18-2010" xfId="815"/>
    <cellStyle name="_Value Copy 11 30 05 gas 12 09 05 AURORA at 12 14 05_04 07E Wild Horse Wind Expansion (C) (2)_Final Order Electric EXHIBIT A-1" xfId="816"/>
    <cellStyle name="_Value Copy 11 30 05 gas 12 09 05 AURORA at 12 14 05_04 07E Wild Horse Wind Expansion (C) (2)_TENASKA REGULATORY ASSET" xfId="817"/>
    <cellStyle name="_Value Copy 11 30 05 gas 12 09 05 AURORA at 12 14 05_16.37E Wild Horse Expansion DeferralRevwrkingfile SF" xfId="818"/>
    <cellStyle name="_Value Copy 11 30 05 gas 12 09 05 AURORA at 12 14 05_4 31 Regulatory Assets and Liabilities  7 06- Exhibit D" xfId="819"/>
    <cellStyle name="_Value Copy 11 30 05 gas 12 09 05 AURORA at 12 14 05_4 32 Regulatory Assets and Liabilities  7 06- Exhibit D" xfId="820"/>
    <cellStyle name="_Value Copy 11 30 05 gas 12 09 05 AURORA at 12 14 05_Book2" xfId="821"/>
    <cellStyle name="_Value Copy 11 30 05 gas 12 09 05 AURORA at 12 14 05_Book2_Adj Bench DR 3 for Initial Briefs (Electric)" xfId="822"/>
    <cellStyle name="_Value Copy 11 30 05 gas 12 09 05 AURORA at 12 14 05_Book2_Electric Rev Req Model (2009 GRC) Rebuttal" xfId="823"/>
    <cellStyle name="_Value Copy 11 30 05 gas 12 09 05 AURORA at 12 14 05_Book2_Electric Rev Req Model (2009 GRC) Rebuttal REmoval of New  WH Solar AdjustMI" xfId="824"/>
    <cellStyle name="_Value Copy 11 30 05 gas 12 09 05 AURORA at 12 14 05_Book2_Electric Rev Req Model (2009 GRC) Revised 01-18-2010" xfId="825"/>
    <cellStyle name="_Value Copy 11 30 05 gas 12 09 05 AURORA at 12 14 05_Book2_Final Order Electric EXHIBIT A-1" xfId="826"/>
    <cellStyle name="_Value Copy 11 30 05 gas 12 09 05 AURORA at 12 14 05_Book4" xfId="827"/>
    <cellStyle name="_Value Copy 11 30 05 gas 12 09 05 AURORA at 12 14 05_Book9" xfId="828"/>
    <cellStyle name="_Value Copy 11 30 05 gas 12 09 05 AURORA at 12 14 05_Power Costs - Comparison bx Rbtl-Staff-Jt-PC" xfId="829"/>
    <cellStyle name="_Value Copy 11 30 05 gas 12 09 05 AURORA at 12 14 05_Power Costs - Comparison bx Rbtl-Staff-Jt-PC_Adj Bench DR 3 for Initial Briefs (Electric)" xfId="830"/>
    <cellStyle name="_Value Copy 11 30 05 gas 12 09 05 AURORA at 12 14 05_Power Costs - Comparison bx Rbtl-Staff-Jt-PC_Electric Rev Req Model (2009 GRC) Rebuttal" xfId="831"/>
    <cellStyle name="_Value Copy 11 30 05 gas 12 09 05 AURORA at 12 14 05_Power Costs - Comparison bx Rbtl-Staff-Jt-PC_Electric Rev Req Model (2009 GRC) Rebuttal REmoval of New  WH Solar AdjustMI" xfId="832"/>
    <cellStyle name="_Value Copy 11 30 05 gas 12 09 05 AURORA at 12 14 05_Power Costs - Comparison bx Rbtl-Staff-Jt-PC_Electric Rev Req Model (2009 GRC) Revised 01-18-2010" xfId="833"/>
    <cellStyle name="_Value Copy 11 30 05 gas 12 09 05 AURORA at 12 14 05_Power Costs - Comparison bx Rbtl-Staff-Jt-PC_Final Order Electric EXHIBIT A-1" xfId="834"/>
    <cellStyle name="_Value Copy 11 30 05 gas 12 09 05 AURORA at 12 14 05_Rebuttal Power Costs" xfId="835"/>
    <cellStyle name="_Value Copy 11 30 05 gas 12 09 05 AURORA at 12 14 05_Rebuttal Power Costs_Adj Bench DR 3 for Initial Briefs (Electric)" xfId="836"/>
    <cellStyle name="_Value Copy 11 30 05 gas 12 09 05 AURORA at 12 14 05_Rebuttal Power Costs_Electric Rev Req Model (2009 GRC) Rebuttal" xfId="837"/>
    <cellStyle name="_Value Copy 11 30 05 gas 12 09 05 AURORA at 12 14 05_Rebuttal Power Costs_Electric Rev Req Model (2009 GRC) Rebuttal REmoval of New  WH Solar AdjustMI" xfId="838"/>
    <cellStyle name="_Value Copy 11 30 05 gas 12 09 05 AURORA at 12 14 05_Rebuttal Power Costs_Electric Rev Req Model (2009 GRC) Revised 01-18-2010" xfId="839"/>
    <cellStyle name="_Value Copy 11 30 05 gas 12 09 05 AURORA at 12 14 05_Rebuttal Power Costs_Final Order Electric EXHIBIT A-1" xfId="840"/>
    <cellStyle name="_VC 6.15.06 update on 06GRC power costs.xls Chart 1" xfId="841"/>
    <cellStyle name="_VC 6.15.06 update on 06GRC power costs.xls Chart 1_04 07E Wild Horse Wind Expansion (C) (2)" xfId="842"/>
    <cellStyle name="_VC 6.15.06 update on 06GRC power costs.xls Chart 1_04 07E Wild Horse Wind Expansion (C) (2)_Adj Bench DR 3 for Initial Briefs (Electric)" xfId="843"/>
    <cellStyle name="_VC 6.15.06 update on 06GRC power costs.xls Chart 1_04 07E Wild Horse Wind Expansion (C) (2)_Electric Rev Req Model (2009 GRC) " xfId="844"/>
    <cellStyle name="_VC 6.15.06 update on 06GRC power costs.xls Chart 1_04 07E Wild Horse Wind Expansion (C) (2)_Electric Rev Req Model (2009 GRC) Rebuttal" xfId="845"/>
    <cellStyle name="_VC 6.15.06 update on 06GRC power costs.xls Chart 1_04 07E Wild Horse Wind Expansion (C) (2)_Electric Rev Req Model (2009 GRC) Rebuttal REmoval of New  WH Solar AdjustMI" xfId="846"/>
    <cellStyle name="_VC 6.15.06 update on 06GRC power costs.xls Chart 1_04 07E Wild Horse Wind Expansion (C) (2)_Electric Rev Req Model (2009 GRC) Revised 01-18-2010" xfId="847"/>
    <cellStyle name="_VC 6.15.06 update on 06GRC power costs.xls Chart 1_04 07E Wild Horse Wind Expansion (C) (2)_Final Order Electric EXHIBIT A-1" xfId="848"/>
    <cellStyle name="_VC 6.15.06 update on 06GRC power costs.xls Chart 1_04 07E Wild Horse Wind Expansion (C) (2)_TENASKA REGULATORY ASSET" xfId="849"/>
    <cellStyle name="_VC 6.15.06 update on 06GRC power costs.xls Chart 1_16.37E Wild Horse Expansion DeferralRevwrkingfile SF" xfId="850"/>
    <cellStyle name="_VC 6.15.06 update on 06GRC power costs.xls Chart 1_2009 GRC Compl Filing - Exhibit D" xfId="851"/>
    <cellStyle name="_VC 6.15.06 update on 06GRC power costs.xls Chart 1_4 31 Regulatory Assets and Liabilities  7 06- Exhibit D" xfId="852"/>
    <cellStyle name="_VC 6.15.06 update on 06GRC power costs.xls Chart 1_4 32 Regulatory Assets and Liabilities  7 06- Exhibit D" xfId="853"/>
    <cellStyle name="_VC 6.15.06 update on 06GRC power costs.xls Chart 1_Book2" xfId="854"/>
    <cellStyle name="_VC 6.15.06 update on 06GRC power costs.xls Chart 1_Book2_Adj Bench DR 3 for Initial Briefs (Electric)" xfId="855"/>
    <cellStyle name="_VC 6.15.06 update on 06GRC power costs.xls Chart 1_Book2_Electric Rev Req Model (2009 GRC) Rebuttal" xfId="856"/>
    <cellStyle name="_VC 6.15.06 update on 06GRC power costs.xls Chart 1_Book2_Electric Rev Req Model (2009 GRC) Rebuttal REmoval of New  WH Solar AdjustMI" xfId="857"/>
    <cellStyle name="_VC 6.15.06 update on 06GRC power costs.xls Chart 1_Book2_Electric Rev Req Model (2009 GRC) Revised 01-18-2010" xfId="858"/>
    <cellStyle name="_VC 6.15.06 update on 06GRC power costs.xls Chart 1_Book2_Final Order Electric EXHIBIT A-1" xfId="859"/>
    <cellStyle name="_VC 6.15.06 update on 06GRC power costs.xls Chart 1_Book4" xfId="860"/>
    <cellStyle name="_VC 6.15.06 update on 06GRC power costs.xls Chart 1_Book9" xfId="861"/>
    <cellStyle name="_VC 6.15.06 update on 06GRC power costs.xls Chart 1_Power Costs - Comparison bx Rbtl-Staff-Jt-PC" xfId="862"/>
    <cellStyle name="_VC 6.15.06 update on 06GRC power costs.xls Chart 1_Power Costs - Comparison bx Rbtl-Staff-Jt-PC_Adj Bench DR 3 for Initial Briefs (Electric)" xfId="863"/>
    <cellStyle name="_VC 6.15.06 update on 06GRC power costs.xls Chart 1_Power Costs - Comparison bx Rbtl-Staff-Jt-PC_Electric Rev Req Model (2009 GRC) Rebuttal" xfId="864"/>
    <cellStyle name="_VC 6.15.06 update on 06GRC power costs.xls Chart 1_Power Costs - Comparison bx Rbtl-Staff-Jt-PC_Electric Rev Req Model (2009 GRC) Rebuttal REmoval of New  WH Solar AdjustMI" xfId="865"/>
    <cellStyle name="_VC 6.15.06 update on 06GRC power costs.xls Chart 1_Power Costs - Comparison bx Rbtl-Staff-Jt-PC_Electric Rev Req Model (2009 GRC) Revised 01-18-2010" xfId="866"/>
    <cellStyle name="_VC 6.15.06 update on 06GRC power costs.xls Chart 1_Power Costs - Comparison bx Rbtl-Staff-Jt-PC_Final Order Electric EXHIBIT A-1" xfId="867"/>
    <cellStyle name="_VC 6.15.06 update on 06GRC power costs.xls Chart 1_Rebuttal Power Costs" xfId="868"/>
    <cellStyle name="_VC 6.15.06 update on 06GRC power costs.xls Chart 1_Rebuttal Power Costs_Adj Bench DR 3 for Initial Briefs (Electric)" xfId="869"/>
    <cellStyle name="_VC 6.15.06 update on 06GRC power costs.xls Chart 1_Rebuttal Power Costs_Electric Rev Req Model (2009 GRC) Rebuttal" xfId="870"/>
    <cellStyle name="_VC 6.15.06 update on 06GRC power costs.xls Chart 1_Rebuttal Power Costs_Electric Rev Req Model (2009 GRC) Rebuttal REmoval of New  WH Solar AdjustMI" xfId="871"/>
    <cellStyle name="_VC 6.15.06 update on 06GRC power costs.xls Chart 1_Rebuttal Power Costs_Electric Rev Req Model (2009 GRC) Revised 01-18-2010" xfId="872"/>
    <cellStyle name="_VC 6.15.06 update on 06GRC power costs.xls Chart 1_Rebuttal Power Costs_Final Order Electric EXHIBIT A-1" xfId="873"/>
    <cellStyle name="_VC 6.15.06 update on 06GRC power costs.xls Chart 2" xfId="874"/>
    <cellStyle name="_VC 6.15.06 update on 06GRC power costs.xls Chart 2_04 07E Wild Horse Wind Expansion (C) (2)" xfId="875"/>
    <cellStyle name="_VC 6.15.06 update on 06GRC power costs.xls Chart 2_04 07E Wild Horse Wind Expansion (C) (2)_Adj Bench DR 3 for Initial Briefs (Electric)" xfId="876"/>
    <cellStyle name="_VC 6.15.06 update on 06GRC power costs.xls Chart 2_04 07E Wild Horse Wind Expansion (C) (2)_Electric Rev Req Model (2009 GRC) " xfId="877"/>
    <cellStyle name="_VC 6.15.06 update on 06GRC power costs.xls Chart 2_04 07E Wild Horse Wind Expansion (C) (2)_Electric Rev Req Model (2009 GRC) Rebuttal" xfId="878"/>
    <cellStyle name="_VC 6.15.06 update on 06GRC power costs.xls Chart 2_04 07E Wild Horse Wind Expansion (C) (2)_Electric Rev Req Model (2009 GRC) Rebuttal REmoval of New  WH Solar AdjustMI" xfId="879"/>
    <cellStyle name="_VC 6.15.06 update on 06GRC power costs.xls Chart 2_04 07E Wild Horse Wind Expansion (C) (2)_Electric Rev Req Model (2009 GRC) Revised 01-18-2010" xfId="880"/>
    <cellStyle name="_VC 6.15.06 update on 06GRC power costs.xls Chart 2_04 07E Wild Horse Wind Expansion (C) (2)_Final Order Electric EXHIBIT A-1" xfId="881"/>
    <cellStyle name="_VC 6.15.06 update on 06GRC power costs.xls Chart 2_04 07E Wild Horse Wind Expansion (C) (2)_TENASKA REGULATORY ASSET" xfId="882"/>
    <cellStyle name="_VC 6.15.06 update on 06GRC power costs.xls Chart 2_16.37E Wild Horse Expansion DeferralRevwrkingfile SF" xfId="883"/>
    <cellStyle name="_VC 6.15.06 update on 06GRC power costs.xls Chart 2_2009 GRC Compl Filing - Exhibit D" xfId="884"/>
    <cellStyle name="_VC 6.15.06 update on 06GRC power costs.xls Chart 2_4 31 Regulatory Assets and Liabilities  7 06- Exhibit D" xfId="885"/>
    <cellStyle name="_VC 6.15.06 update on 06GRC power costs.xls Chart 2_4 32 Regulatory Assets and Liabilities  7 06- Exhibit D" xfId="886"/>
    <cellStyle name="_VC 6.15.06 update on 06GRC power costs.xls Chart 2_Book2" xfId="887"/>
    <cellStyle name="_VC 6.15.06 update on 06GRC power costs.xls Chart 2_Book2_Adj Bench DR 3 for Initial Briefs (Electric)" xfId="888"/>
    <cellStyle name="_VC 6.15.06 update on 06GRC power costs.xls Chart 2_Book2_Electric Rev Req Model (2009 GRC) Rebuttal" xfId="889"/>
    <cellStyle name="_VC 6.15.06 update on 06GRC power costs.xls Chart 2_Book2_Electric Rev Req Model (2009 GRC) Rebuttal REmoval of New  WH Solar AdjustMI" xfId="890"/>
    <cellStyle name="_VC 6.15.06 update on 06GRC power costs.xls Chart 2_Book2_Electric Rev Req Model (2009 GRC) Revised 01-18-2010" xfId="891"/>
    <cellStyle name="_VC 6.15.06 update on 06GRC power costs.xls Chart 2_Book2_Final Order Electric EXHIBIT A-1" xfId="892"/>
    <cellStyle name="_VC 6.15.06 update on 06GRC power costs.xls Chart 2_Book4" xfId="893"/>
    <cellStyle name="_VC 6.15.06 update on 06GRC power costs.xls Chart 2_Book9" xfId="894"/>
    <cellStyle name="_VC 6.15.06 update on 06GRC power costs.xls Chart 2_Power Costs - Comparison bx Rbtl-Staff-Jt-PC" xfId="895"/>
    <cellStyle name="_VC 6.15.06 update on 06GRC power costs.xls Chart 2_Power Costs - Comparison bx Rbtl-Staff-Jt-PC_Adj Bench DR 3 for Initial Briefs (Electric)" xfId="896"/>
    <cellStyle name="_VC 6.15.06 update on 06GRC power costs.xls Chart 2_Power Costs - Comparison bx Rbtl-Staff-Jt-PC_Electric Rev Req Model (2009 GRC) Rebuttal" xfId="897"/>
    <cellStyle name="_VC 6.15.06 update on 06GRC power costs.xls Chart 2_Power Costs - Comparison bx Rbtl-Staff-Jt-PC_Electric Rev Req Model (2009 GRC) Rebuttal REmoval of New  WH Solar AdjustMI" xfId="898"/>
    <cellStyle name="_VC 6.15.06 update on 06GRC power costs.xls Chart 2_Power Costs - Comparison bx Rbtl-Staff-Jt-PC_Electric Rev Req Model (2009 GRC) Revised 01-18-2010" xfId="899"/>
    <cellStyle name="_VC 6.15.06 update on 06GRC power costs.xls Chart 2_Power Costs - Comparison bx Rbtl-Staff-Jt-PC_Final Order Electric EXHIBIT A-1" xfId="900"/>
    <cellStyle name="_VC 6.15.06 update on 06GRC power costs.xls Chart 2_Rebuttal Power Costs" xfId="901"/>
    <cellStyle name="_VC 6.15.06 update on 06GRC power costs.xls Chart 2_Rebuttal Power Costs_Adj Bench DR 3 for Initial Briefs (Electric)" xfId="902"/>
    <cellStyle name="_VC 6.15.06 update on 06GRC power costs.xls Chart 2_Rebuttal Power Costs_Electric Rev Req Model (2009 GRC) Rebuttal" xfId="903"/>
    <cellStyle name="_VC 6.15.06 update on 06GRC power costs.xls Chart 2_Rebuttal Power Costs_Electric Rev Req Model (2009 GRC) Rebuttal REmoval of New  WH Solar AdjustMI" xfId="904"/>
    <cellStyle name="_VC 6.15.06 update on 06GRC power costs.xls Chart 2_Rebuttal Power Costs_Electric Rev Req Model (2009 GRC) Revised 01-18-2010" xfId="905"/>
    <cellStyle name="_VC 6.15.06 update on 06GRC power costs.xls Chart 2_Rebuttal Power Costs_Final Order Electric EXHIBIT A-1" xfId="906"/>
    <cellStyle name="_VC 6.15.06 update on 06GRC power costs.xls Chart 3" xfId="907"/>
    <cellStyle name="_VC 6.15.06 update on 06GRC power costs.xls Chart 3_04 07E Wild Horse Wind Expansion (C) (2)" xfId="908"/>
    <cellStyle name="_VC 6.15.06 update on 06GRC power costs.xls Chart 3_04 07E Wild Horse Wind Expansion (C) (2)_Adj Bench DR 3 for Initial Briefs (Electric)" xfId="909"/>
    <cellStyle name="_VC 6.15.06 update on 06GRC power costs.xls Chart 3_04 07E Wild Horse Wind Expansion (C) (2)_Electric Rev Req Model (2009 GRC) " xfId="910"/>
    <cellStyle name="_VC 6.15.06 update on 06GRC power costs.xls Chart 3_04 07E Wild Horse Wind Expansion (C) (2)_Electric Rev Req Model (2009 GRC) Rebuttal" xfId="911"/>
    <cellStyle name="_VC 6.15.06 update on 06GRC power costs.xls Chart 3_04 07E Wild Horse Wind Expansion (C) (2)_Electric Rev Req Model (2009 GRC) Rebuttal REmoval of New  WH Solar AdjustMI" xfId="912"/>
    <cellStyle name="_VC 6.15.06 update on 06GRC power costs.xls Chart 3_04 07E Wild Horse Wind Expansion (C) (2)_Electric Rev Req Model (2009 GRC) Revised 01-18-2010" xfId="913"/>
    <cellStyle name="_VC 6.15.06 update on 06GRC power costs.xls Chart 3_04 07E Wild Horse Wind Expansion (C) (2)_Final Order Electric EXHIBIT A-1" xfId="914"/>
    <cellStyle name="_VC 6.15.06 update on 06GRC power costs.xls Chart 3_04 07E Wild Horse Wind Expansion (C) (2)_TENASKA REGULATORY ASSET" xfId="915"/>
    <cellStyle name="_VC 6.15.06 update on 06GRC power costs.xls Chart 3_16.37E Wild Horse Expansion DeferralRevwrkingfile SF" xfId="916"/>
    <cellStyle name="_VC 6.15.06 update on 06GRC power costs.xls Chart 3_2009 GRC Compl Filing - Exhibit D" xfId="917"/>
    <cellStyle name="_VC 6.15.06 update on 06GRC power costs.xls Chart 3_4 31 Regulatory Assets and Liabilities  7 06- Exhibit D" xfId="918"/>
    <cellStyle name="_VC 6.15.06 update on 06GRC power costs.xls Chart 3_4 32 Regulatory Assets and Liabilities  7 06- Exhibit D" xfId="919"/>
    <cellStyle name="_VC 6.15.06 update on 06GRC power costs.xls Chart 3_Book2" xfId="920"/>
    <cellStyle name="_VC 6.15.06 update on 06GRC power costs.xls Chart 3_Book2_Adj Bench DR 3 for Initial Briefs (Electric)" xfId="921"/>
    <cellStyle name="_VC 6.15.06 update on 06GRC power costs.xls Chart 3_Book2_Electric Rev Req Model (2009 GRC) Rebuttal" xfId="922"/>
    <cellStyle name="_VC 6.15.06 update on 06GRC power costs.xls Chart 3_Book2_Electric Rev Req Model (2009 GRC) Rebuttal REmoval of New  WH Solar AdjustMI" xfId="923"/>
    <cellStyle name="_VC 6.15.06 update on 06GRC power costs.xls Chart 3_Book2_Electric Rev Req Model (2009 GRC) Revised 01-18-2010" xfId="924"/>
    <cellStyle name="_VC 6.15.06 update on 06GRC power costs.xls Chart 3_Book2_Final Order Electric EXHIBIT A-1" xfId="925"/>
    <cellStyle name="_VC 6.15.06 update on 06GRC power costs.xls Chart 3_Book4" xfId="926"/>
    <cellStyle name="_VC 6.15.06 update on 06GRC power costs.xls Chart 3_Book9" xfId="927"/>
    <cellStyle name="_VC 6.15.06 update on 06GRC power costs.xls Chart 3_Power Costs - Comparison bx Rbtl-Staff-Jt-PC" xfId="928"/>
    <cellStyle name="_VC 6.15.06 update on 06GRC power costs.xls Chart 3_Power Costs - Comparison bx Rbtl-Staff-Jt-PC_Adj Bench DR 3 for Initial Briefs (Electric)" xfId="929"/>
    <cellStyle name="_VC 6.15.06 update on 06GRC power costs.xls Chart 3_Power Costs - Comparison bx Rbtl-Staff-Jt-PC_Electric Rev Req Model (2009 GRC) Rebuttal" xfId="930"/>
    <cellStyle name="_VC 6.15.06 update on 06GRC power costs.xls Chart 3_Power Costs - Comparison bx Rbtl-Staff-Jt-PC_Electric Rev Req Model (2009 GRC) Rebuttal REmoval of New  WH Solar AdjustMI" xfId="931"/>
    <cellStyle name="_VC 6.15.06 update on 06GRC power costs.xls Chart 3_Power Costs - Comparison bx Rbtl-Staff-Jt-PC_Electric Rev Req Model (2009 GRC) Revised 01-18-2010" xfId="932"/>
    <cellStyle name="_VC 6.15.06 update on 06GRC power costs.xls Chart 3_Power Costs - Comparison bx Rbtl-Staff-Jt-PC_Final Order Electric EXHIBIT A-1" xfId="933"/>
    <cellStyle name="_VC 6.15.06 update on 06GRC power costs.xls Chart 3_Rebuttal Power Costs" xfId="934"/>
    <cellStyle name="_VC 6.15.06 update on 06GRC power costs.xls Chart 3_Rebuttal Power Costs_Adj Bench DR 3 for Initial Briefs (Electric)" xfId="935"/>
    <cellStyle name="_VC 6.15.06 update on 06GRC power costs.xls Chart 3_Rebuttal Power Costs_Electric Rev Req Model (2009 GRC) Rebuttal" xfId="936"/>
    <cellStyle name="_VC 6.15.06 update on 06GRC power costs.xls Chart 3_Rebuttal Power Costs_Electric Rev Req Model (2009 GRC) Rebuttal REmoval of New  WH Solar AdjustMI" xfId="937"/>
    <cellStyle name="_VC 6.15.06 update on 06GRC power costs.xls Chart 3_Rebuttal Power Costs_Electric Rev Req Model (2009 GRC) Revised 01-18-2010" xfId="938"/>
    <cellStyle name="_VC 6.15.06 update on 06GRC power costs.xls Chart 3_Rebuttal Power Costs_Final Order Electric EXHIBIT A-1" xfId="939"/>
    <cellStyle name="0,0&#13;&#10;NA&#13;&#10;" xfId="940"/>
    <cellStyle name="20% - Accent1" xfId="941"/>
    <cellStyle name="20% - Accent1 2" xfId="942"/>
    <cellStyle name="20% - Accent1 2 2" xfId="943"/>
    <cellStyle name="20% - Accent1 2_2009 GRC Compl Filing - Exhibit D" xfId="944"/>
    <cellStyle name="20% - Accent1 3" xfId="945"/>
    <cellStyle name="20% - Accent2" xfId="946"/>
    <cellStyle name="20% - Accent2 2" xfId="947"/>
    <cellStyle name="20% - Accent2 2 2" xfId="948"/>
    <cellStyle name="20% - Accent2 2_2009 GRC Compl Filing - Exhibit D" xfId="949"/>
    <cellStyle name="20% - Accent2 3" xfId="950"/>
    <cellStyle name="20% - Accent3" xfId="951"/>
    <cellStyle name="20% - Accent3 2" xfId="952"/>
    <cellStyle name="20% - Accent3 2 2" xfId="953"/>
    <cellStyle name="20% - Accent3 2_2009 GRC Compl Filing - Exhibit D" xfId="954"/>
    <cellStyle name="20% - Accent3 3" xfId="955"/>
    <cellStyle name="20% - Accent4" xfId="956"/>
    <cellStyle name="20% - Accent4 2" xfId="957"/>
    <cellStyle name="20% - Accent4 2 2" xfId="958"/>
    <cellStyle name="20% - Accent4 2_2009 GRC Compl Filing - Exhibit D" xfId="959"/>
    <cellStyle name="20% - Accent4 3" xfId="960"/>
    <cellStyle name="20% - Accent5" xfId="961"/>
    <cellStyle name="20% - Accent5 2" xfId="962"/>
    <cellStyle name="20% - Accent5 2 2" xfId="963"/>
    <cellStyle name="20% - Accent5 2_2009 GRC Compl Filing - Exhibit D" xfId="964"/>
    <cellStyle name="20% - Accent5 3" xfId="965"/>
    <cellStyle name="20% - Accent6" xfId="966"/>
    <cellStyle name="20% - Accent6 2" xfId="967"/>
    <cellStyle name="20% - Accent6 2 2" xfId="968"/>
    <cellStyle name="20% - Accent6 2_2009 GRC Compl Filing - Exhibit D" xfId="969"/>
    <cellStyle name="20% - Accent6 3" xfId="970"/>
    <cellStyle name="40% - Accent1" xfId="971"/>
    <cellStyle name="40% - Accent1 2" xfId="972"/>
    <cellStyle name="40% - Accent1 2 2" xfId="973"/>
    <cellStyle name="40% - Accent1 2_2009 GRC Compl Filing - Exhibit D" xfId="974"/>
    <cellStyle name="40% - Accent1 3" xfId="975"/>
    <cellStyle name="40% - Accent2" xfId="976"/>
    <cellStyle name="40% - Accent2 2" xfId="977"/>
    <cellStyle name="40% - Accent2 2 2" xfId="978"/>
    <cellStyle name="40% - Accent2 2_2009 GRC Compl Filing - Exhibit D" xfId="979"/>
    <cellStyle name="40% - Accent2 3" xfId="980"/>
    <cellStyle name="40% - Accent3" xfId="981"/>
    <cellStyle name="40% - Accent3 2" xfId="982"/>
    <cellStyle name="40% - Accent3 2 2" xfId="983"/>
    <cellStyle name="40% - Accent3 2_2009 GRC Compl Filing - Exhibit D" xfId="984"/>
    <cellStyle name="40% - Accent3 3" xfId="985"/>
    <cellStyle name="40% - Accent4" xfId="986"/>
    <cellStyle name="40% - Accent4 2" xfId="987"/>
    <cellStyle name="40% - Accent4 2 2" xfId="988"/>
    <cellStyle name="40% - Accent4 2_2009 GRC Compl Filing - Exhibit D" xfId="989"/>
    <cellStyle name="40% - Accent4 3" xfId="990"/>
    <cellStyle name="40% - Accent5" xfId="991"/>
    <cellStyle name="40% - Accent5 2" xfId="992"/>
    <cellStyle name="40% - Accent5 2 2" xfId="993"/>
    <cellStyle name="40% - Accent5 2_2009 GRC Compl Filing - Exhibit D" xfId="994"/>
    <cellStyle name="40% - Accent5 3" xfId="995"/>
    <cellStyle name="40% - Accent6" xfId="996"/>
    <cellStyle name="40% - Accent6 2" xfId="997"/>
    <cellStyle name="40% - Accent6 2 2" xfId="998"/>
    <cellStyle name="40% - Accent6 2_2009 GRC Compl Filing - Exhibit D" xfId="999"/>
    <cellStyle name="40% - Accent6 3" xfId="1000"/>
    <cellStyle name="60% - Accent1" xfId="1001"/>
    <cellStyle name="60% - Accent1 2 2" xfId="1002"/>
    <cellStyle name="60% - Accent2" xfId="1003"/>
    <cellStyle name="60% - Accent2 2 2" xfId="1004"/>
    <cellStyle name="60% - Accent3" xfId="1005"/>
    <cellStyle name="60% - Accent3 2 2" xfId="1006"/>
    <cellStyle name="60% - Accent4" xfId="1007"/>
    <cellStyle name="60% - Accent4 2 2" xfId="1008"/>
    <cellStyle name="60% - Accent5" xfId="1009"/>
    <cellStyle name="60% - Accent5 2 2" xfId="1010"/>
    <cellStyle name="60% - Accent6" xfId="1011"/>
    <cellStyle name="60% - Accent6 2 2" xfId="1012"/>
    <cellStyle name="Accent1" xfId="1013"/>
    <cellStyle name="Accent1 2 2" xfId="1014"/>
    <cellStyle name="Accent2" xfId="1015"/>
    <cellStyle name="Accent2 2 2" xfId="1016"/>
    <cellStyle name="Accent3" xfId="1017"/>
    <cellStyle name="Accent3 2 2" xfId="1018"/>
    <cellStyle name="Accent4" xfId="1019"/>
    <cellStyle name="Accent4 2 2" xfId="1020"/>
    <cellStyle name="Accent5" xfId="1021"/>
    <cellStyle name="Accent5 2 2" xfId="1022"/>
    <cellStyle name="Accent6" xfId="1023"/>
    <cellStyle name="Accent6 2 2" xfId="1024"/>
    <cellStyle name="Bad" xfId="1025"/>
    <cellStyle name="Bad 2 2" xfId="1026"/>
    <cellStyle name="Calc Currency (0)" xfId="1027"/>
    <cellStyle name="Calculation" xfId="1028"/>
    <cellStyle name="Calculation 2 2" xfId="1029"/>
    <cellStyle name="Check Cell" xfId="1030"/>
    <cellStyle name="Check Cell 2 2" xfId="1031"/>
    <cellStyle name="CheckCell" xfId="1032"/>
    <cellStyle name="Comma" xfId="1033"/>
    <cellStyle name="Comma [0]" xfId="1034"/>
    <cellStyle name="Comma 10" xfId="1035"/>
    <cellStyle name="Comma 10 2" xfId="1036"/>
    <cellStyle name="Comma 11" xfId="1037"/>
    <cellStyle name="Comma 12" xfId="1038"/>
    <cellStyle name="Comma 13" xfId="1039"/>
    <cellStyle name="Comma 14" xfId="1040"/>
    <cellStyle name="Comma 15" xfId="1041"/>
    <cellStyle name="Comma 16" xfId="1042"/>
    <cellStyle name="Comma 17" xfId="1043"/>
    <cellStyle name="Comma 2" xfId="1044"/>
    <cellStyle name="Comma 2 2" xfId="1045"/>
    <cellStyle name="Comma 2 2 2" xfId="1046"/>
    <cellStyle name="Comma 2 3" xfId="1047"/>
    <cellStyle name="Comma 2 4" xfId="1048"/>
    <cellStyle name="Comma 2 5" xfId="1049"/>
    <cellStyle name="Comma 2 6" xfId="1050"/>
    <cellStyle name="Comma 2 7" xfId="1051"/>
    <cellStyle name="Comma 2 8" xfId="1052"/>
    <cellStyle name="Comma 26" xfId="1053"/>
    <cellStyle name="Comma 27" xfId="1054"/>
    <cellStyle name="Comma 28" xfId="1055"/>
    <cellStyle name="Comma 3" xfId="1056"/>
    <cellStyle name="Comma 4" xfId="1057"/>
    <cellStyle name="Comma 4 2" xfId="1058"/>
    <cellStyle name="Comma 5" xfId="1059"/>
    <cellStyle name="Comma 6" xfId="1060"/>
    <cellStyle name="Comma 7" xfId="1061"/>
    <cellStyle name="Comma 8" xfId="1062"/>
    <cellStyle name="Comma 9" xfId="1063"/>
    <cellStyle name="Comma_JHS Rebuttal Exhs 11-14 internal" xfId="1064"/>
    <cellStyle name="Comma_TGAcctng-Tax Indemn 2nd REVISED1" xfId="1065"/>
    <cellStyle name="Comma0" xfId="1066"/>
    <cellStyle name="Comma0 - Style2" xfId="1067"/>
    <cellStyle name="Comma0 - Style4" xfId="1068"/>
    <cellStyle name="Comma0 - Style5" xfId="1069"/>
    <cellStyle name="Comma0 2" xfId="1070"/>
    <cellStyle name="Comma0 3" xfId="1071"/>
    <cellStyle name="Comma0 4" xfId="1072"/>
    <cellStyle name="Comma0_00COS Ind Allocators" xfId="1073"/>
    <cellStyle name="Comma1 - Style1" xfId="1074"/>
    <cellStyle name="Copied" xfId="1075"/>
    <cellStyle name="COST1" xfId="1076"/>
    <cellStyle name="Curren - Style1" xfId="1077"/>
    <cellStyle name="Curren - Style2" xfId="1078"/>
    <cellStyle name="Curren - Style5" xfId="1079"/>
    <cellStyle name="Curren - Style6" xfId="1080"/>
    <cellStyle name="Currency" xfId="1081"/>
    <cellStyle name="Currency [0]" xfId="1082"/>
    <cellStyle name="Currency 10" xfId="1083"/>
    <cellStyle name="Currency 11" xfId="1084"/>
    <cellStyle name="Currency 12" xfId="1085"/>
    <cellStyle name="Currency 12 2" xfId="1086"/>
    <cellStyle name="Currency 12 3" xfId="1087"/>
    <cellStyle name="Currency 12 4" xfId="1088"/>
    <cellStyle name="Currency 2" xfId="1089"/>
    <cellStyle name="Currency 2 2" xfId="1090"/>
    <cellStyle name="Currency 2 3" xfId="1091"/>
    <cellStyle name="Currency 2 4" xfId="1092"/>
    <cellStyle name="Currency 2 5" xfId="1093"/>
    <cellStyle name="Currency 2 6" xfId="1094"/>
    <cellStyle name="Currency 2 7" xfId="1095"/>
    <cellStyle name="Currency 2 8" xfId="1096"/>
    <cellStyle name="Currency 3" xfId="1097"/>
    <cellStyle name="Currency 4" xfId="1098"/>
    <cellStyle name="Currency 4 2" xfId="1099"/>
    <cellStyle name="Currency 5" xfId="1100"/>
    <cellStyle name="Currency 6" xfId="1101"/>
    <cellStyle name="Currency 7" xfId="1102"/>
    <cellStyle name="Currency 8" xfId="1103"/>
    <cellStyle name="Currency 9" xfId="1104"/>
    <cellStyle name="Currency_JHS Rebuttal Exhs 11-14 internal" xfId="1105"/>
    <cellStyle name="Currency_TGAcctng-Tax Indemn 2nd REVISED1" xfId="1106"/>
    <cellStyle name="Currency0" xfId="1107"/>
    <cellStyle name="Date" xfId="1108"/>
    <cellStyle name="Date 2" xfId="1109"/>
    <cellStyle name="Date 3" xfId="1110"/>
    <cellStyle name="Date 4" xfId="1111"/>
    <cellStyle name="Entered" xfId="1112"/>
    <cellStyle name="Euro" xfId="1113"/>
    <cellStyle name="Explanatory Text" xfId="1114"/>
    <cellStyle name="Explanatory Text 2 2" xfId="1115"/>
    <cellStyle name="Fixed" xfId="1116"/>
    <cellStyle name="Fixed3 - Style3" xfId="1117"/>
    <cellStyle name="Good" xfId="1118"/>
    <cellStyle name="Good 2 2" xfId="1119"/>
    <cellStyle name="Grey" xfId="1120"/>
    <cellStyle name="Grey 2" xfId="1121"/>
    <cellStyle name="Grey 3" xfId="1122"/>
    <cellStyle name="Grey 4" xfId="1123"/>
    <cellStyle name="Grey_(C) WHE Proforma with ITC cash grant 10 Yr Amort_for deferral_102809" xfId="1124"/>
    <cellStyle name="Header1" xfId="1125"/>
    <cellStyle name="Header2" xfId="1126"/>
    <cellStyle name="Heading 1" xfId="1127"/>
    <cellStyle name="Heading 1 2 2" xfId="1128"/>
    <cellStyle name="Heading 2" xfId="1129"/>
    <cellStyle name="Heading 2 2 2" xfId="1130"/>
    <cellStyle name="Heading 3" xfId="1131"/>
    <cellStyle name="Heading 3 2 2" xfId="1132"/>
    <cellStyle name="Heading 4" xfId="1133"/>
    <cellStyle name="Heading 4 2 2" xfId="1134"/>
    <cellStyle name="Heading1" xfId="1135"/>
    <cellStyle name="Heading2" xfId="1136"/>
    <cellStyle name="Input" xfId="1137"/>
    <cellStyle name="Input [yellow]" xfId="1138"/>
    <cellStyle name="Input [yellow] 2" xfId="1139"/>
    <cellStyle name="Input [yellow] 3" xfId="1140"/>
    <cellStyle name="Input [yellow] 4" xfId="1141"/>
    <cellStyle name="Input [yellow]_(C) WHE Proforma with ITC cash grant 10 Yr Amort_for deferral_102809" xfId="1142"/>
    <cellStyle name="Input 2 2" xfId="1143"/>
    <cellStyle name="Input Cells" xfId="1144"/>
    <cellStyle name="Input Cells Percent" xfId="1145"/>
    <cellStyle name="Input Cells_4.34E Mint Farm Deferral" xfId="1146"/>
    <cellStyle name="Lines" xfId="1147"/>
    <cellStyle name="LINKED" xfId="1148"/>
    <cellStyle name="Linked Cell" xfId="1149"/>
    <cellStyle name="Linked Cell 2 2" xfId="1150"/>
    <cellStyle name="modified border" xfId="1151"/>
    <cellStyle name="modified border 2" xfId="1152"/>
    <cellStyle name="modified border 3" xfId="1153"/>
    <cellStyle name="modified border 4" xfId="1154"/>
    <cellStyle name="modified border_4.34E Mint Farm Deferral" xfId="1155"/>
    <cellStyle name="modified border1" xfId="1156"/>
    <cellStyle name="modified border1 2" xfId="1157"/>
    <cellStyle name="modified border1 3" xfId="1158"/>
    <cellStyle name="modified border1 4" xfId="1159"/>
    <cellStyle name="modified border1_4.34E Mint Farm Deferral" xfId="1160"/>
    <cellStyle name="Neutral" xfId="1161"/>
    <cellStyle name="Neutral 2 2" xfId="1162"/>
    <cellStyle name="no dec" xfId="1163"/>
    <cellStyle name="Normal - Style1" xfId="1164"/>
    <cellStyle name="Normal - Style1 2" xfId="1165"/>
    <cellStyle name="Normal - Style1 3" xfId="1166"/>
    <cellStyle name="Normal - Style1 4" xfId="1167"/>
    <cellStyle name="Normal - Style1 5" xfId="1168"/>
    <cellStyle name="Normal - Style1_(C) WHE Proforma with ITC cash grant 10 Yr Amort_for deferral_102809" xfId="1169"/>
    <cellStyle name="Normal 10" xfId="1170"/>
    <cellStyle name="Normal 10 2" xfId="1171"/>
    <cellStyle name="Normal 10 2 2" xfId="1172"/>
    <cellStyle name="Normal 10 3" xfId="1173"/>
    <cellStyle name="Normal 10_04.07E Wild Horse Wind Expansion" xfId="1174"/>
    <cellStyle name="Normal 11" xfId="1175"/>
    <cellStyle name="Normal 12" xfId="1176"/>
    <cellStyle name="Normal 13" xfId="1177"/>
    <cellStyle name="Normal 14" xfId="1178"/>
    <cellStyle name="Normal 15" xfId="1179"/>
    <cellStyle name="Normal 16" xfId="1180"/>
    <cellStyle name="Normal 17" xfId="1181"/>
    <cellStyle name="Normal 18" xfId="1182"/>
    <cellStyle name="Normal 19" xfId="1183"/>
    <cellStyle name="Normal 2" xfId="1184"/>
    <cellStyle name="Normal 2 10" xfId="1185"/>
    <cellStyle name="Normal 2 11" xfId="1186"/>
    <cellStyle name="Normal 2 2" xfId="1187"/>
    <cellStyle name="Normal 2 2 2" xfId="1188"/>
    <cellStyle name="Normal 2 2 3" xfId="1189"/>
    <cellStyle name="Normal 2 3" xfId="1190"/>
    <cellStyle name="Normal 2 4" xfId="1191"/>
    <cellStyle name="Normal 2 5" xfId="1192"/>
    <cellStyle name="Normal 2 6" xfId="1193"/>
    <cellStyle name="Normal 2 7" xfId="1194"/>
    <cellStyle name="Normal 2 8" xfId="1195"/>
    <cellStyle name="Normal 2 9" xfId="1196"/>
    <cellStyle name="Normal 2_16.37E Wild Horse Expansion DeferralRevwrkingfile SF" xfId="1197"/>
    <cellStyle name="Normal 20" xfId="1198"/>
    <cellStyle name="Normal 21" xfId="1199"/>
    <cellStyle name="Normal 22" xfId="1200"/>
    <cellStyle name="Normal 23" xfId="1201"/>
    <cellStyle name="Normal 24" xfId="1202"/>
    <cellStyle name="Normal 3" xfId="1203"/>
    <cellStyle name="Normal 3 2" xfId="1204"/>
    <cellStyle name="Normal 3 3" xfId="1205"/>
    <cellStyle name="Normal 3 4" xfId="1206"/>
    <cellStyle name="Normal 3_2009 GRC Compl Filing - Exhibit D" xfId="1207"/>
    <cellStyle name="Normal 4" xfId="1208"/>
    <cellStyle name="Normal 4 2" xfId="1209"/>
    <cellStyle name="Normal 5" xfId="1210"/>
    <cellStyle name="Normal 6" xfId="1211"/>
    <cellStyle name="Normal 7" xfId="1212"/>
    <cellStyle name="Normal 8" xfId="1213"/>
    <cellStyle name="Normal 9" xfId="1214"/>
    <cellStyle name="Normal_CopyOfBook1_1" xfId="1215"/>
    <cellStyle name="Normal_JHS Rebuttal Exhs 11-14 internal" xfId="1216"/>
    <cellStyle name="Normal_Reg Asset Amortization PCORC TY 0603 RY 0305 2" xfId="1217"/>
    <cellStyle name="Normal_TGAcctng-Tax Indemn 2nd REVISED1" xfId="1218"/>
    <cellStyle name="Normal_Wild Horse 2006 GRC" xfId="1219"/>
    <cellStyle name="Note" xfId="1220"/>
    <cellStyle name="Note 2" xfId="1221"/>
    <cellStyle name="Note 2 2" xfId="1222"/>
    <cellStyle name="Note 3" xfId="1223"/>
    <cellStyle name="Note 4" xfId="1224"/>
    <cellStyle name="Note 5" xfId="1225"/>
    <cellStyle name="Note 6" xfId="1226"/>
    <cellStyle name="Note 7" xfId="1227"/>
    <cellStyle name="Note 8" xfId="1228"/>
    <cellStyle name="Note 9" xfId="1229"/>
    <cellStyle name="Output" xfId="1230"/>
    <cellStyle name="Output 2 2" xfId="1231"/>
    <cellStyle name="Percen - Style1" xfId="1232"/>
    <cellStyle name="Percen - Style2" xfId="1233"/>
    <cellStyle name="Percen - Style3" xfId="1234"/>
    <cellStyle name="Percent" xfId="1235"/>
    <cellStyle name="Percent [2]" xfId="1236"/>
    <cellStyle name="Percent 2" xfId="1237"/>
    <cellStyle name="Percent 2 2" xfId="1238"/>
    <cellStyle name="Percent 3" xfId="1239"/>
    <cellStyle name="Percent 4" xfId="1240"/>
    <cellStyle name="Percent 4 2" xfId="1241"/>
    <cellStyle name="Percent 5" xfId="1242"/>
    <cellStyle name="Percent 6" xfId="1243"/>
    <cellStyle name="Percent 7" xfId="1244"/>
    <cellStyle name="Processing" xfId="1245"/>
    <cellStyle name="PSChar" xfId="1246"/>
    <cellStyle name="PSDate" xfId="1247"/>
    <cellStyle name="PSDec" xfId="1248"/>
    <cellStyle name="PSHeading" xfId="1249"/>
    <cellStyle name="PSInt" xfId="1250"/>
    <cellStyle name="PSSpacer" xfId="1251"/>
    <cellStyle name="purple - Style8" xfId="1252"/>
    <cellStyle name="RED" xfId="1253"/>
    <cellStyle name="Red - Style7" xfId="1254"/>
    <cellStyle name="RED_04 07E Wild Horse Wind Expansion (C) (2)" xfId="1255"/>
    <cellStyle name="Report" xfId="1256"/>
    <cellStyle name="Report Bar" xfId="1257"/>
    <cellStyle name="Report Heading" xfId="1258"/>
    <cellStyle name="Report Percent" xfId="1259"/>
    <cellStyle name="Report Unit Cost" xfId="1260"/>
    <cellStyle name="Report_Adj Bench DR 3 for Initial Briefs (Electric)" xfId="1261"/>
    <cellStyle name="Reports" xfId="1262"/>
    <cellStyle name="Reports Total" xfId="1263"/>
    <cellStyle name="Reports Unit Cost Total" xfId="1264"/>
    <cellStyle name="Reports_16.37E Wild Horse Expansion DeferralRevwrkingfile SF" xfId="1265"/>
    <cellStyle name="RevList" xfId="1266"/>
    <cellStyle name="round100" xfId="1267"/>
    <cellStyle name="SAPBEXaggData" xfId="1268"/>
    <cellStyle name="SAPBEXaggDataEmph" xfId="1269"/>
    <cellStyle name="SAPBEXaggItem" xfId="1270"/>
    <cellStyle name="SAPBEXaggItemX" xfId="1271"/>
    <cellStyle name="SAPBEXchaText" xfId="1272"/>
    <cellStyle name="SAPBEXexcBad7" xfId="1273"/>
    <cellStyle name="SAPBEXexcBad8" xfId="1274"/>
    <cellStyle name="SAPBEXexcBad9" xfId="1275"/>
    <cellStyle name="SAPBEXexcCritical4" xfId="1276"/>
    <cellStyle name="SAPBEXexcCritical5" xfId="1277"/>
    <cellStyle name="SAPBEXexcCritical6" xfId="1278"/>
    <cellStyle name="SAPBEXexcGood1" xfId="1279"/>
    <cellStyle name="SAPBEXexcGood2" xfId="1280"/>
    <cellStyle name="SAPBEXexcGood3" xfId="1281"/>
    <cellStyle name="SAPBEXfilterDrill" xfId="1282"/>
    <cellStyle name="SAPBEXfilterItem" xfId="1283"/>
    <cellStyle name="SAPBEXfilterText" xfId="1284"/>
    <cellStyle name="SAPBEXformats" xfId="1285"/>
    <cellStyle name="SAPBEXheaderItem" xfId="1286"/>
    <cellStyle name="SAPBEXheaderText" xfId="1287"/>
    <cellStyle name="SAPBEXHLevel0" xfId="1288"/>
    <cellStyle name="SAPBEXHLevel0X" xfId="1289"/>
    <cellStyle name="SAPBEXHLevel1" xfId="1290"/>
    <cellStyle name="SAPBEXHLevel1X" xfId="1291"/>
    <cellStyle name="SAPBEXHLevel2" xfId="1292"/>
    <cellStyle name="SAPBEXHLevel2X" xfId="1293"/>
    <cellStyle name="SAPBEXHLevel3" xfId="1294"/>
    <cellStyle name="SAPBEXHLevel3X" xfId="1295"/>
    <cellStyle name="SAPBEXresData" xfId="1296"/>
    <cellStyle name="SAPBEXresDataEmph" xfId="1297"/>
    <cellStyle name="SAPBEXresItem" xfId="1298"/>
    <cellStyle name="SAPBEXresItemX" xfId="1299"/>
    <cellStyle name="SAPBEXstdData" xfId="1300"/>
    <cellStyle name="SAPBEXstdDataEmph" xfId="1301"/>
    <cellStyle name="SAPBEXstdItem" xfId="1302"/>
    <cellStyle name="SAPBEXstdItemX" xfId="1303"/>
    <cellStyle name="SAPBEXtitle" xfId="1304"/>
    <cellStyle name="SAPBEXundefined" xfId="1305"/>
    <cellStyle name="shade" xfId="1306"/>
    <cellStyle name="StmtTtl1" xfId="1307"/>
    <cellStyle name="StmtTtl1 2" xfId="1308"/>
    <cellStyle name="StmtTtl1 3" xfId="1309"/>
    <cellStyle name="StmtTtl1 4" xfId="1310"/>
    <cellStyle name="StmtTtl1_(C) WHE Proforma with ITC cash grant 10 Yr Amort_for deferral_102809" xfId="1311"/>
    <cellStyle name="StmtTtl2" xfId="1312"/>
    <cellStyle name="STYL1 - Style1" xfId="1313"/>
    <cellStyle name="Style 1" xfId="1314"/>
    <cellStyle name="Style 1 2" xfId="1315"/>
    <cellStyle name="Style 1 3" xfId="1316"/>
    <cellStyle name="Style 1 3 2" xfId="1317"/>
    <cellStyle name="Style 1 3 3" xfId="1318"/>
    <cellStyle name="Style 1 4" xfId="1319"/>
    <cellStyle name="Style 1 5" xfId="1320"/>
    <cellStyle name="Style 1 6" xfId="1321"/>
    <cellStyle name="Style 1 6 2" xfId="1322"/>
    <cellStyle name="Style 1 6 3" xfId="1323"/>
    <cellStyle name="Style 1 6 4" xfId="1324"/>
    <cellStyle name="Style 1 6 5" xfId="1325"/>
    <cellStyle name="Style 1_04.07E Wild Horse Wind Expansion" xfId="1326"/>
    <cellStyle name="Subtotal" xfId="1327"/>
    <cellStyle name="Sub-total" xfId="1328"/>
    <cellStyle name="Title" xfId="1329"/>
    <cellStyle name="Title 2 2" xfId="1330"/>
    <cellStyle name="Title: Major" xfId="1331"/>
    <cellStyle name="Title: Minor" xfId="1332"/>
    <cellStyle name="Title: Worksheet" xfId="1333"/>
    <cellStyle name="Total" xfId="1334"/>
    <cellStyle name="Total 2 2" xfId="1335"/>
    <cellStyle name="Total4 - Style4" xfId="1336"/>
    <cellStyle name="Warning Text" xfId="1337"/>
    <cellStyle name="Warning Text 2 2" xfId="1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ComplianceFiling2009GRC\2009GRC%20Compl%20Filing%20-%20PCA%20Exhibits\wps%20-%202009%20GRC%20Compliance%20Filing%20-%20PCA%20Exhibits%20except%20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Pro%20Forma%20Models\PSE%20Incremental\Cash%20-%20No%20Defease\12-15%20Final%20for%20Board\12-15%20(Hydro)NoD%20CPUD-PSEIncremental-1215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ic%20Model%202011%20GRC%20Ori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 A-1"/>
      <sheetName val="Ex A-2"/>
      <sheetName val="Ex A-3"/>
      <sheetName val="Ex A-4"/>
      <sheetName val="Ex A-5"/>
      <sheetName val="2.01-2.07"/>
      <sheetName val="2.08-2.48"/>
      <sheetName val="Pg 2.49"/>
      <sheetName val="Pg 2.10 (B)"/>
      <sheetName val="DEM RY PC"/>
      <sheetName val="Tenaska Rev Req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09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6">
        <row r="7">
          <cell r="A7" t="str">
            <v>FOR THE TWELVE MONTHS ENDED DECEMBER 31, 2008</v>
          </cell>
        </row>
        <row r="20">
          <cell r="HA20">
            <v>0.35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B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 Rev Req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5.57421875" style="392" bestFit="1" customWidth="1"/>
    <col min="2" max="2" width="44.00390625" style="392" customWidth="1"/>
    <col min="3" max="3" width="19.8515625" style="392" customWidth="1"/>
    <col min="4" max="4" width="13.00390625" style="392" customWidth="1"/>
    <col min="5" max="5" width="19.8515625" style="392" customWidth="1"/>
  </cols>
  <sheetData>
    <row r="1" spans="1:4" ht="15">
      <c r="A1" s="361"/>
      <c r="B1" s="361"/>
      <c r="C1" s="361"/>
      <c r="D1" s="361"/>
    </row>
    <row r="2" spans="1:5" ht="15">
      <c r="A2" s="361"/>
      <c r="B2" s="361"/>
      <c r="C2" s="361"/>
      <c r="D2" s="361"/>
      <c r="E2" s="361" t="s">
        <v>242</v>
      </c>
    </row>
    <row r="3" spans="1:5" ht="15">
      <c r="A3" s="362"/>
      <c r="B3" s="362"/>
      <c r="C3" s="362"/>
      <c r="D3" s="362"/>
      <c r="E3" s="362"/>
    </row>
    <row r="4" spans="1:5" ht="15">
      <c r="A4" s="363" t="s">
        <v>1</v>
      </c>
      <c r="B4" s="364"/>
      <c r="C4" s="364"/>
      <c r="D4" s="364"/>
      <c r="E4" s="364"/>
    </row>
    <row r="5" spans="1:5" ht="15">
      <c r="A5" s="364" t="s">
        <v>214</v>
      </c>
      <c r="B5" s="364"/>
      <c r="C5" s="364"/>
      <c r="D5" s="364"/>
      <c r="E5" s="364"/>
    </row>
    <row r="6" spans="1:5" ht="15">
      <c r="A6" s="364" t="s">
        <v>241</v>
      </c>
      <c r="B6" s="364"/>
      <c r="C6" s="364"/>
      <c r="D6" s="364"/>
      <c r="E6" s="364"/>
    </row>
    <row r="7" spans="1:5" ht="15">
      <c r="A7" s="364" t="s">
        <v>215</v>
      </c>
      <c r="B7" s="364"/>
      <c r="C7" s="364"/>
      <c r="D7" s="364"/>
      <c r="E7" s="364"/>
    </row>
    <row r="8" spans="1:5" ht="15">
      <c r="A8" s="365"/>
      <c r="B8" s="364"/>
      <c r="C8" s="364"/>
      <c r="D8" s="364"/>
      <c r="E8" s="364"/>
    </row>
    <row r="9" spans="1:5" ht="15">
      <c r="A9" s="366" t="s">
        <v>216</v>
      </c>
      <c r="B9" s="367"/>
      <c r="C9" s="368"/>
      <c r="D9" s="369" t="s">
        <v>217</v>
      </c>
      <c r="E9" s="369"/>
    </row>
    <row r="10" spans="1:5" ht="15">
      <c r="A10" s="370" t="s">
        <v>218</v>
      </c>
      <c r="B10" s="371" t="s">
        <v>219</v>
      </c>
      <c r="C10" s="372" t="s">
        <v>212</v>
      </c>
      <c r="D10" s="372" t="s">
        <v>212</v>
      </c>
      <c r="E10" s="372" t="s">
        <v>213</v>
      </c>
    </row>
    <row r="11" spans="1:5" ht="15">
      <c r="A11" s="373"/>
      <c r="B11" s="373"/>
      <c r="C11" s="373"/>
      <c r="D11" s="373"/>
      <c r="E11" s="373"/>
    </row>
    <row r="12" spans="1:5" ht="15">
      <c r="A12" s="374">
        <v>1</v>
      </c>
      <c r="B12" s="375" t="s">
        <v>0</v>
      </c>
      <c r="C12" s="373"/>
      <c r="D12" s="373"/>
      <c r="E12" s="373"/>
    </row>
    <row r="13" spans="1:5" ht="15">
      <c r="A13" s="374">
        <f aca="true" t="shared" si="0" ref="A13:A40">A12+1</f>
        <v>2</v>
      </c>
      <c r="B13" s="376" t="s">
        <v>220</v>
      </c>
      <c r="C13" s="377">
        <f>'Test Year Balances'!O6</f>
        <v>59395254</v>
      </c>
      <c r="D13" s="377">
        <v>0</v>
      </c>
      <c r="E13" s="377">
        <f>D13-C13</f>
        <v>-59395254</v>
      </c>
    </row>
    <row r="14" spans="1:5" ht="15">
      <c r="A14" s="374">
        <f t="shared" si="0"/>
        <v>3</v>
      </c>
      <c r="B14" s="376" t="s">
        <v>221</v>
      </c>
      <c r="C14" s="374">
        <f>-'Test Year Balances'!O7</f>
        <v>-2899124.75</v>
      </c>
      <c r="D14" s="374">
        <v>0</v>
      </c>
      <c r="E14" s="374">
        <f>D14-C14</f>
        <v>2899124.75</v>
      </c>
    </row>
    <row r="15" spans="1:5" ht="15">
      <c r="A15" s="374">
        <f t="shared" si="0"/>
        <v>4</v>
      </c>
      <c r="B15" s="374"/>
      <c r="C15" s="378"/>
      <c r="D15" s="378"/>
      <c r="E15" s="378"/>
    </row>
    <row r="16" spans="1:5" ht="15.75" thickBot="1">
      <c r="A16" s="374">
        <f t="shared" si="0"/>
        <v>5</v>
      </c>
      <c r="B16" s="374" t="s">
        <v>222</v>
      </c>
      <c r="C16" s="379">
        <f>SUM(C13:C15)</f>
        <v>56496129.25</v>
      </c>
      <c r="D16" s="379">
        <v>0</v>
      </c>
      <c r="E16" s="379">
        <f>D16-C16</f>
        <v>-56496129.25</v>
      </c>
    </row>
    <row r="17" spans="1:5" ht="15.75" thickTop="1">
      <c r="A17" s="374">
        <f t="shared" si="0"/>
        <v>6</v>
      </c>
      <c r="B17" s="374"/>
      <c r="C17" s="374"/>
      <c r="D17" s="374"/>
      <c r="E17" s="374"/>
    </row>
    <row r="18" spans="1:5" ht="15">
      <c r="A18" s="374">
        <f t="shared" si="0"/>
        <v>7</v>
      </c>
      <c r="B18" s="380" t="s">
        <v>223</v>
      </c>
      <c r="C18" s="381"/>
      <c r="D18" s="381"/>
      <c r="E18" s="381"/>
    </row>
    <row r="19" spans="1:5" ht="15">
      <c r="A19" s="374">
        <f t="shared" si="0"/>
        <v>8</v>
      </c>
      <c r="B19" s="382" t="s">
        <v>224</v>
      </c>
      <c r="C19" s="383"/>
      <c r="D19" s="383"/>
      <c r="E19" s="383">
        <f>+D19-C19</f>
        <v>0</v>
      </c>
    </row>
    <row r="20" spans="1:5" ht="15">
      <c r="A20" s="374">
        <f t="shared" si="0"/>
        <v>9</v>
      </c>
      <c r="B20" s="384" t="str">
        <f>"TAXABLE - SEE LINE "&amp;A29&amp;" FOR TAX (LINE "&amp;A29&amp;" ÷ 35%)"</f>
        <v>TAXABLE - SEE LINE 18 FOR TAX (LINE 18 ÷ 35%)</v>
      </c>
      <c r="C20" s="383">
        <f>E29/0.35</f>
        <v>14334285.714285715</v>
      </c>
      <c r="D20" s="383">
        <v>0</v>
      </c>
      <c r="E20" s="383">
        <f>D20-C20</f>
        <v>-14334285.714285715</v>
      </c>
    </row>
    <row r="21" spans="1:5" ht="15">
      <c r="A21" s="374">
        <f t="shared" si="0"/>
        <v>10</v>
      </c>
      <c r="B21" s="384" t="s">
        <v>225</v>
      </c>
      <c r="C21" s="383">
        <v>16823714</v>
      </c>
      <c r="D21" s="383">
        <v>0</v>
      </c>
      <c r="E21" s="383">
        <f>D21-C21</f>
        <v>-16823714</v>
      </c>
    </row>
    <row r="22" spans="1:5" ht="15">
      <c r="A22" s="374">
        <f t="shared" si="0"/>
        <v>11</v>
      </c>
      <c r="B22" s="382" t="s">
        <v>226</v>
      </c>
      <c r="C22" s="385">
        <f>SUM(C20:C21)</f>
        <v>31157999.714285716</v>
      </c>
      <c r="D22" s="385">
        <f>SUM(D20:D21)</f>
        <v>0</v>
      </c>
      <c r="E22" s="385">
        <f>SUM(E20:E21)</f>
        <v>-31157999.714285716</v>
      </c>
    </row>
    <row r="23" spans="1:5" ht="15">
      <c r="A23" s="374">
        <f t="shared" si="0"/>
        <v>12</v>
      </c>
      <c r="B23" s="382"/>
      <c r="C23" s="383"/>
      <c r="D23" s="383"/>
      <c r="E23" s="383"/>
    </row>
    <row r="24" spans="1:5" ht="15">
      <c r="A24" s="374">
        <f t="shared" si="0"/>
        <v>13</v>
      </c>
      <c r="B24" s="382" t="s">
        <v>240</v>
      </c>
      <c r="C24" s="383">
        <f>-'Tenaska.Backup'!Q41*1000</f>
        <v>6374000</v>
      </c>
      <c r="D24" s="383">
        <f>SUM(D3:D19)</f>
        <v>0</v>
      </c>
      <c r="E24" s="383">
        <f>D24-C24</f>
        <v>-6374000</v>
      </c>
    </row>
    <row r="25" spans="1:5" ht="15">
      <c r="A25" s="374">
        <f t="shared" si="0"/>
        <v>14</v>
      </c>
      <c r="B25" s="382" t="s">
        <v>227</v>
      </c>
      <c r="C25" s="383">
        <v>0</v>
      </c>
      <c r="D25" s="383">
        <v>0</v>
      </c>
      <c r="E25" s="383">
        <f>D25-C25</f>
        <v>0</v>
      </c>
    </row>
    <row r="26" spans="1:5" ht="15">
      <c r="A26" s="374">
        <f t="shared" si="0"/>
        <v>15</v>
      </c>
      <c r="B26" s="382" t="s">
        <v>228</v>
      </c>
      <c r="C26" s="385">
        <f>SUM(C24:C25)</f>
        <v>6374000</v>
      </c>
      <c r="D26" s="385">
        <f>SUM(D24:D25)</f>
        <v>0</v>
      </c>
      <c r="E26" s="385">
        <f>SUM(E24:E25)</f>
        <v>-6374000</v>
      </c>
    </row>
    <row r="27" spans="1:5" ht="15">
      <c r="A27" s="374">
        <f t="shared" si="0"/>
        <v>16</v>
      </c>
      <c r="B27" s="386"/>
      <c r="C27" s="387"/>
      <c r="D27" s="387"/>
      <c r="E27" s="387"/>
    </row>
    <row r="28" spans="1:5" ht="15">
      <c r="A28" s="374">
        <f t="shared" si="0"/>
        <v>17</v>
      </c>
      <c r="B28" s="388" t="s">
        <v>229</v>
      </c>
      <c r="C28" s="387"/>
      <c r="D28" s="389"/>
      <c r="E28" s="383">
        <f>+E26+E22</f>
        <v>-37531999.71428572</v>
      </c>
    </row>
    <row r="29" spans="1:5" ht="15">
      <c r="A29" s="374">
        <f t="shared" si="0"/>
        <v>18</v>
      </c>
      <c r="B29" s="390" t="str">
        <f>"INCREASE (DECREASE) FIT (ON LINE "&amp;A20&amp;")"</f>
        <v>INCREASE (DECREASE) FIT (ON LINE 9)</v>
      </c>
      <c r="C29" s="387"/>
      <c r="D29" s="389"/>
      <c r="E29" s="383">
        <f>-'Tenaska.Backup'!Q10*1000</f>
        <v>5017000</v>
      </c>
    </row>
    <row r="30" spans="1:5" ht="15">
      <c r="A30" s="374">
        <f t="shared" si="0"/>
        <v>19</v>
      </c>
      <c r="B30" s="390" t="str">
        <f>"INCREASE (DECREASE) FIT (ON LINE "&amp;A26&amp;")"</f>
        <v>INCREASE (DECREASE) FIT (ON LINE 15)</v>
      </c>
      <c r="C30" s="387"/>
      <c r="D30" s="389">
        <v>0.35</v>
      </c>
      <c r="E30" s="391">
        <f>-E26*D30</f>
        <v>2230900</v>
      </c>
    </row>
    <row r="31" spans="1:3" ht="15">
      <c r="A31" s="374">
        <f t="shared" si="0"/>
        <v>20</v>
      </c>
      <c r="B31" s="390" t="s">
        <v>230</v>
      </c>
      <c r="C31" s="387"/>
    </row>
    <row r="32" spans="1:5" ht="15.75" thickBot="1">
      <c r="A32" s="374">
        <f t="shared" si="0"/>
        <v>21</v>
      </c>
      <c r="B32" s="393" t="s">
        <v>231</v>
      </c>
      <c r="C32" s="387"/>
      <c r="E32" s="394">
        <f>-E28-E30-E29</f>
        <v>30284099.714285716</v>
      </c>
    </row>
    <row r="33" spans="1:5" ht="15.75" thickTop="1">
      <c r="A33" s="374">
        <f t="shared" si="0"/>
        <v>22</v>
      </c>
      <c r="B33" s="395"/>
      <c r="C33" s="395"/>
      <c r="D33" s="395"/>
      <c r="E33" s="395"/>
    </row>
    <row r="34" spans="1:5" ht="15">
      <c r="A34" s="374">
        <f t="shared" si="0"/>
        <v>23</v>
      </c>
      <c r="B34" s="395"/>
      <c r="C34" s="395"/>
      <c r="D34" s="395"/>
      <c r="E34" s="395"/>
    </row>
    <row r="35" spans="1:5" ht="15">
      <c r="A35" s="374">
        <f t="shared" si="0"/>
        <v>24</v>
      </c>
      <c r="B35" s="395"/>
      <c r="C35" s="395"/>
      <c r="D35" s="395"/>
      <c r="E35" s="395"/>
    </row>
    <row r="36" spans="1:5" ht="15">
      <c r="A36" s="374">
        <f t="shared" si="0"/>
        <v>25</v>
      </c>
      <c r="B36" s="395"/>
      <c r="C36" s="395"/>
      <c r="D36" s="395"/>
      <c r="E36" s="395"/>
    </row>
    <row r="37" spans="1:5" ht="15">
      <c r="A37" s="374">
        <f t="shared" si="0"/>
        <v>26</v>
      </c>
      <c r="B37" s="395" t="s">
        <v>232</v>
      </c>
      <c r="C37" s="395"/>
      <c r="D37" s="395"/>
      <c r="E37" s="395"/>
    </row>
    <row r="38" spans="1:5" ht="15">
      <c r="A38" s="374">
        <f t="shared" si="0"/>
        <v>27</v>
      </c>
      <c r="B38" s="396" t="s">
        <v>233</v>
      </c>
      <c r="C38" s="395"/>
      <c r="D38" s="395"/>
      <c r="E38" s="395"/>
    </row>
    <row r="39" spans="1:5" ht="15">
      <c r="A39" s="374">
        <f t="shared" si="0"/>
        <v>28</v>
      </c>
      <c r="B39" s="395"/>
      <c r="C39" s="395"/>
      <c r="D39" s="395"/>
      <c r="E39" s="395"/>
    </row>
    <row r="40" spans="1:5" ht="15">
      <c r="A40" s="374">
        <f t="shared" si="0"/>
        <v>29</v>
      </c>
      <c r="B40" s="395" t="s">
        <v>234</v>
      </c>
      <c r="C40" s="377"/>
      <c r="D40" s="377"/>
      <c r="E40" s="377"/>
    </row>
    <row r="41" spans="1:5" ht="15">
      <c r="A41" s="374">
        <v>30</v>
      </c>
      <c r="B41" s="396"/>
      <c r="C41" s="395"/>
      <c r="D41" s="395"/>
      <c r="E41" s="395"/>
    </row>
    <row r="42" spans="1:5" ht="15">
      <c r="A42" s="397">
        <v>31</v>
      </c>
      <c r="B42" s="395" t="s">
        <v>239</v>
      </c>
      <c r="C42" s="397"/>
      <c r="D42" s="397"/>
      <c r="E42" s="395"/>
    </row>
    <row r="43" spans="1:5" ht="15">
      <c r="A43" s="395"/>
      <c r="B43" s="395"/>
      <c r="C43" s="395"/>
      <c r="D43" s="395"/>
      <c r="E43" s="395"/>
    </row>
    <row r="44" spans="1:5" ht="15">
      <c r="A44" s="395"/>
      <c r="B44" s="395"/>
      <c r="C44" s="395"/>
      <c r="D44" s="395"/>
      <c r="E44" s="395"/>
    </row>
    <row r="45" spans="1:5" ht="15">
      <c r="A45" s="398"/>
      <c r="B45" s="398"/>
      <c r="C45" s="398"/>
      <c r="D45" s="398"/>
      <c r="E45" s="398"/>
    </row>
    <row r="46" spans="1:5" ht="15">
      <c r="A46" s="399"/>
      <c r="B46" s="399"/>
      <c r="C46" s="399"/>
      <c r="D46" s="399"/>
      <c r="E46" s="399"/>
    </row>
    <row r="47" spans="1:5" ht="15">
      <c r="A47" s="399"/>
      <c r="B47" s="399"/>
      <c r="C47" s="399"/>
      <c r="D47" s="399"/>
      <c r="E47" s="399"/>
    </row>
    <row r="48" spans="1:5" ht="15">
      <c r="A48" s="399"/>
      <c r="B48" s="399"/>
      <c r="C48" s="399"/>
      <c r="D48" s="399"/>
      <c r="E48" s="399"/>
    </row>
    <row r="49" spans="1:5" ht="15">
      <c r="A49" s="399"/>
      <c r="B49" s="399"/>
      <c r="C49" s="399"/>
      <c r="D49" s="399"/>
      <c r="E49" s="399"/>
    </row>
    <row r="50" spans="1:5" ht="15">
      <c r="A50" s="399"/>
      <c r="B50" s="399"/>
      <c r="C50" s="399"/>
      <c r="D50" s="399"/>
      <c r="E50" s="399"/>
    </row>
    <row r="51" spans="1:5" ht="15">
      <c r="A51" s="399"/>
      <c r="B51" s="399"/>
      <c r="C51" s="399"/>
      <c r="D51" s="399"/>
      <c r="E51" s="399"/>
    </row>
    <row r="52" spans="1:5" ht="15">
      <c r="A52" s="399"/>
      <c r="B52" s="399"/>
      <c r="C52" s="399"/>
      <c r="D52" s="399"/>
      <c r="E52" s="399"/>
    </row>
    <row r="53" spans="1:5" ht="15">
      <c r="A53" s="399"/>
      <c r="B53" s="399"/>
      <c r="C53" s="399"/>
      <c r="D53" s="399"/>
      <c r="E53" s="399"/>
    </row>
  </sheetData>
  <sheetProtection/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2.8515625" style="0" customWidth="1"/>
    <col min="2" max="14" width="10.8515625" style="0" bestFit="1" customWidth="1"/>
    <col min="15" max="15" width="11.57421875" style="0" bestFit="1" customWidth="1"/>
  </cols>
  <sheetData>
    <row r="1" spans="2:15" ht="15">
      <c r="B1" s="408" t="s">
        <v>238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</row>
    <row r="4" spans="2:15" ht="15">
      <c r="B4" s="400">
        <v>40148</v>
      </c>
      <c r="C4" s="400">
        <v>40179</v>
      </c>
      <c r="D4" s="400">
        <v>40210</v>
      </c>
      <c r="E4" s="400">
        <v>40238</v>
      </c>
      <c r="F4" s="400">
        <v>40269</v>
      </c>
      <c r="G4" s="400">
        <v>40299</v>
      </c>
      <c r="H4" s="400">
        <v>40330</v>
      </c>
      <c r="I4" s="400">
        <v>40360</v>
      </c>
      <c r="J4" s="400">
        <v>40391</v>
      </c>
      <c r="K4" s="400">
        <v>40422</v>
      </c>
      <c r="L4" s="400">
        <v>40452</v>
      </c>
      <c r="M4" s="400">
        <v>40483</v>
      </c>
      <c r="N4" s="400">
        <v>40513</v>
      </c>
      <c r="O4" s="401" t="s">
        <v>235</v>
      </c>
    </row>
    <row r="6" spans="1:15" ht="15">
      <c r="A6" s="402" t="s">
        <v>236</v>
      </c>
      <c r="B6" s="403">
        <v>78161754</v>
      </c>
      <c r="C6" s="403">
        <v>75034004</v>
      </c>
      <c r="D6" s="403">
        <v>71906254</v>
      </c>
      <c r="E6" s="403">
        <v>68778504</v>
      </c>
      <c r="F6" s="403">
        <v>65650754</v>
      </c>
      <c r="G6" s="403">
        <v>62523004</v>
      </c>
      <c r="H6" s="403">
        <v>59395254</v>
      </c>
      <c r="I6" s="403">
        <v>56267504</v>
      </c>
      <c r="J6" s="403">
        <v>53139754</v>
      </c>
      <c r="K6" s="403">
        <v>50012004</v>
      </c>
      <c r="L6" s="403">
        <v>46884254</v>
      </c>
      <c r="M6" s="403">
        <v>43756504</v>
      </c>
      <c r="N6" s="403">
        <v>40628754</v>
      </c>
      <c r="O6" s="404">
        <f>(B6+SUM(C6:M6)*2+N6)/24</f>
        <v>59395254</v>
      </c>
    </row>
    <row r="7" spans="1:15" ht="15">
      <c r="A7" s="402" t="s">
        <v>237</v>
      </c>
      <c r="B7" s="406">
        <v>4013000</v>
      </c>
      <c r="C7" s="406">
        <v>3827000</v>
      </c>
      <c r="D7" s="406">
        <v>3641000</v>
      </c>
      <c r="E7" s="406">
        <v>3455000</v>
      </c>
      <c r="F7" s="406">
        <v>3269000</v>
      </c>
      <c r="G7" s="406">
        <v>3187000</v>
      </c>
      <c r="H7" s="406">
        <v>2815000</v>
      </c>
      <c r="I7" s="406">
        <v>2711000</v>
      </c>
      <c r="J7" s="406">
        <v>2525000</v>
      </c>
      <c r="K7" s="406">
        <v>2339887</v>
      </c>
      <c r="L7" s="406">
        <v>2153979</v>
      </c>
      <c r="M7" s="406">
        <v>1968081</v>
      </c>
      <c r="N7" s="406">
        <v>1782100</v>
      </c>
      <c r="O7" s="407">
        <f>(B7+SUM(C7:M7)*2+N7)/24</f>
        <v>2899124.75</v>
      </c>
    </row>
    <row r="8" spans="1:15" ht="15">
      <c r="A8" t="s">
        <v>3</v>
      </c>
      <c r="B8" s="405">
        <f>SUM(B6:B7)</f>
        <v>82174754</v>
      </c>
      <c r="C8" s="405">
        <f aca="true" t="shared" si="0" ref="C8:O8">SUM(C6:C7)</f>
        <v>78861004</v>
      </c>
      <c r="D8" s="405">
        <f t="shared" si="0"/>
        <v>75547254</v>
      </c>
      <c r="E8" s="405">
        <f t="shared" si="0"/>
        <v>72233504</v>
      </c>
      <c r="F8" s="405">
        <f t="shared" si="0"/>
        <v>68919754</v>
      </c>
      <c r="G8" s="405">
        <f t="shared" si="0"/>
        <v>65710004</v>
      </c>
      <c r="H8" s="405">
        <f t="shared" si="0"/>
        <v>62210254</v>
      </c>
      <c r="I8" s="405">
        <f t="shared" si="0"/>
        <v>58978504</v>
      </c>
      <c r="J8" s="405">
        <f t="shared" si="0"/>
        <v>55664754</v>
      </c>
      <c r="K8" s="405">
        <f t="shared" si="0"/>
        <v>52351891</v>
      </c>
      <c r="L8" s="405">
        <f t="shared" si="0"/>
        <v>49038233</v>
      </c>
      <c r="M8" s="405">
        <f t="shared" si="0"/>
        <v>45724585</v>
      </c>
      <c r="N8" s="405">
        <f t="shared" si="0"/>
        <v>42410854</v>
      </c>
      <c r="O8" s="405">
        <f t="shared" si="0"/>
        <v>62294378.75</v>
      </c>
    </row>
  </sheetData>
  <sheetProtection/>
  <mergeCells count="1">
    <mergeCell ref="B1:O1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7"/>
  <sheetViews>
    <sheetView zoomScaleSheetLayoutView="125" zoomScalePageLayoutView="0" workbookViewId="0" topLeftCell="A1">
      <pane ySplit="7" topLeftCell="A8" activePane="bottomLeft" state="frozen"/>
      <selection pane="topLeft" activeCell="BK42" sqref="BK42"/>
      <selection pane="bottomLeft" activeCell="I39" sqref="I39"/>
    </sheetView>
  </sheetViews>
  <sheetFormatPr defaultColWidth="9.140625" defaultRowHeight="15"/>
  <cols>
    <col min="1" max="1" width="6.28125" style="144" customWidth="1"/>
    <col min="2" max="2" width="12.421875" style="136" customWidth="1"/>
    <col min="3" max="3" width="2.00390625" style="136" customWidth="1"/>
    <col min="4" max="4" width="11.57421875" style="136" hidden="1" customWidth="1"/>
    <col min="5" max="5" width="13.57421875" style="136" bestFit="1" customWidth="1"/>
    <col min="6" max="6" width="13.28125" style="136" bestFit="1" customWidth="1"/>
    <col min="7" max="7" width="1.421875" style="139" customWidth="1"/>
    <col min="8" max="8" width="12.8515625" style="357" customWidth="1"/>
    <col min="9" max="9" width="13.7109375" style="357" bestFit="1" customWidth="1"/>
    <col min="10" max="10" width="5.28125" style="139" bestFit="1" customWidth="1"/>
    <col min="11" max="11" width="1.1484375" style="139" customWidth="1"/>
    <col min="12" max="12" width="10.8515625" style="130" bestFit="1" customWidth="1"/>
    <col min="13" max="13" width="11.8515625" style="136" bestFit="1" customWidth="1"/>
    <col min="14" max="14" width="13.8515625" style="136" customWidth="1"/>
    <col min="15" max="15" width="11.7109375" style="149" bestFit="1" customWidth="1"/>
    <col min="16" max="16" width="10.00390625" style="136" customWidth="1"/>
    <col min="17" max="18" width="13.00390625" style="136" bestFit="1" customWidth="1"/>
    <col min="19" max="19" width="11.8515625" style="136" bestFit="1" customWidth="1"/>
    <col min="20" max="21" width="11.28125" style="136" bestFit="1" customWidth="1"/>
    <col min="22" max="22" width="14.140625" style="136" bestFit="1" customWidth="1"/>
    <col min="23" max="28" width="11.28125" style="136" bestFit="1" customWidth="1"/>
    <col min="29" max="29" width="14.140625" style="136" bestFit="1" customWidth="1"/>
    <col min="30" max="16384" width="9.140625" style="136" customWidth="1"/>
  </cols>
  <sheetData>
    <row r="1" spans="1:15" s="127" customFormat="1" ht="12.75">
      <c r="A1" s="126" t="s">
        <v>100</v>
      </c>
      <c r="C1" s="128"/>
      <c r="D1" s="128"/>
      <c r="E1" s="128"/>
      <c r="F1" s="128"/>
      <c r="G1" s="129"/>
      <c r="L1" s="130"/>
      <c r="M1" s="128"/>
      <c r="N1" s="128"/>
      <c r="O1" s="131"/>
    </row>
    <row r="2" spans="1:17" s="127" customFormat="1" ht="12.75">
      <c r="A2" s="126" t="s">
        <v>101</v>
      </c>
      <c r="C2" s="128"/>
      <c r="D2" s="128"/>
      <c r="H2" s="128"/>
      <c r="K2" s="126"/>
      <c r="L2" s="129"/>
      <c r="M2" s="131"/>
      <c r="N2" s="132"/>
      <c r="O2" s="133"/>
      <c r="Q2" s="130"/>
    </row>
    <row r="3" spans="1:15" s="127" customFormat="1" ht="12.75">
      <c r="A3" s="134"/>
      <c r="C3" s="128"/>
      <c r="D3" s="128"/>
      <c r="G3" s="129"/>
      <c r="L3" s="130"/>
      <c r="M3" s="128"/>
      <c r="N3" s="128"/>
      <c r="O3" s="135"/>
    </row>
    <row r="4" spans="1:15" ht="13.5" customHeight="1">
      <c r="A4" s="136"/>
      <c r="C4" s="137"/>
      <c r="D4" s="137"/>
      <c r="E4" s="138" t="s">
        <v>102</v>
      </c>
      <c r="F4" s="138"/>
      <c r="H4" s="140" t="s">
        <v>103</v>
      </c>
      <c r="I4" s="140"/>
      <c r="J4" s="141"/>
      <c r="K4" s="141"/>
      <c r="L4" s="142"/>
      <c r="M4" s="143"/>
      <c r="N4" s="143"/>
      <c r="O4" s="143"/>
    </row>
    <row r="5" spans="3:18" ht="13.5" customHeight="1">
      <c r="C5" s="137"/>
      <c r="D5" s="137"/>
      <c r="E5" s="137"/>
      <c r="F5" s="145" t="s">
        <v>104</v>
      </c>
      <c r="H5" s="146"/>
      <c r="I5" s="146"/>
      <c r="J5" s="147"/>
      <c r="K5" s="147"/>
      <c r="L5" s="148" t="s">
        <v>105</v>
      </c>
      <c r="M5" s="143"/>
      <c r="N5" s="148"/>
      <c r="O5" s="143"/>
      <c r="P5" s="149"/>
      <c r="Q5" s="149"/>
      <c r="R5" s="149"/>
    </row>
    <row r="6" spans="1:18" ht="12.75">
      <c r="A6" s="150" t="s">
        <v>106</v>
      </c>
      <c r="B6" s="151" t="s">
        <v>107</v>
      </c>
      <c r="C6" s="152"/>
      <c r="D6" s="150" t="s">
        <v>18</v>
      </c>
      <c r="E6" s="153" t="s">
        <v>108</v>
      </c>
      <c r="F6" s="150" t="s">
        <v>109</v>
      </c>
      <c r="G6" s="154"/>
      <c r="H6" s="153" t="s">
        <v>108</v>
      </c>
      <c r="I6" s="140" t="s">
        <v>110</v>
      </c>
      <c r="J6" s="155"/>
      <c r="K6" s="154"/>
      <c r="L6" s="156" t="s">
        <v>111</v>
      </c>
      <c r="M6" s="157" t="s">
        <v>112</v>
      </c>
      <c r="N6" s="150" t="s">
        <v>113</v>
      </c>
      <c r="O6" s="150" t="s">
        <v>114</v>
      </c>
      <c r="P6" s="158"/>
      <c r="Q6" s="159"/>
      <c r="R6" s="149"/>
    </row>
    <row r="7" spans="1:18" ht="12.75">
      <c r="A7" s="160"/>
      <c r="B7" s="149"/>
      <c r="C7" s="161"/>
      <c r="D7" s="162"/>
      <c r="E7" s="163"/>
      <c r="F7" s="163" t="s">
        <v>115</v>
      </c>
      <c r="G7" s="164"/>
      <c r="H7" s="163"/>
      <c r="I7" s="163" t="s">
        <v>115</v>
      </c>
      <c r="J7" s="165"/>
      <c r="K7" s="166"/>
      <c r="L7" s="167"/>
      <c r="M7" s="168"/>
      <c r="N7" s="162"/>
      <c r="O7" s="162"/>
      <c r="P7" s="149"/>
      <c r="Q7" s="149"/>
      <c r="R7" s="149"/>
    </row>
    <row r="8" spans="1:15" ht="12.75" hidden="1">
      <c r="A8" s="169">
        <f>ROW()</f>
        <v>8</v>
      </c>
      <c r="B8" s="170"/>
      <c r="C8" s="171"/>
      <c r="D8" s="172"/>
      <c r="E8" s="172"/>
      <c r="F8" s="173"/>
      <c r="G8" s="174"/>
      <c r="H8" s="175"/>
      <c r="I8" s="176"/>
      <c r="J8" s="177"/>
      <c r="K8" s="174"/>
      <c r="L8" s="178"/>
      <c r="M8" s="179"/>
      <c r="N8" s="172"/>
      <c r="O8" s="172"/>
    </row>
    <row r="9" spans="1:15" ht="12.75" hidden="1">
      <c r="A9" s="160">
        <f>ROW()</f>
        <v>9</v>
      </c>
      <c r="B9" s="180" t="s">
        <v>116</v>
      </c>
      <c r="C9" s="161"/>
      <c r="D9" s="162"/>
      <c r="E9" s="162"/>
      <c r="F9" s="159"/>
      <c r="G9" s="166"/>
      <c r="H9" s="181" t="s">
        <v>117</v>
      </c>
      <c r="I9" s="146"/>
      <c r="J9" s="165"/>
      <c r="K9" s="166"/>
      <c r="L9" s="167"/>
      <c r="M9" s="168"/>
      <c r="N9" s="162"/>
      <c r="O9" s="159"/>
    </row>
    <row r="10" spans="1:15" s="144" customFormat="1" ht="12.75" hidden="1">
      <c r="A10" s="160">
        <f>ROW()</f>
        <v>10</v>
      </c>
      <c r="B10" s="160" t="s">
        <v>118</v>
      </c>
      <c r="C10" s="182" t="s">
        <v>119</v>
      </c>
      <c r="D10" s="183"/>
      <c r="E10" s="183"/>
      <c r="F10" s="184">
        <v>12588000</v>
      </c>
      <c r="G10" s="185"/>
      <c r="H10" s="186"/>
      <c r="I10" s="187"/>
      <c r="J10" s="188"/>
      <c r="K10" s="185"/>
      <c r="L10" s="189"/>
      <c r="M10" s="168"/>
      <c r="N10" s="162"/>
      <c r="O10" s="168"/>
    </row>
    <row r="11" spans="1:15" ht="12.75" hidden="1">
      <c r="A11" s="160">
        <f>ROW()</f>
        <v>11</v>
      </c>
      <c r="B11" s="190" t="s">
        <v>120</v>
      </c>
      <c r="C11" s="182" t="s">
        <v>119</v>
      </c>
      <c r="D11" s="184">
        <v>709000</v>
      </c>
      <c r="E11" s="184">
        <v>-312000</v>
      </c>
      <c r="F11" s="184">
        <f aca="true" t="shared" si="0" ref="F11:F17">F10+SUM(D11:E11)</f>
        <v>12985000</v>
      </c>
      <c r="G11" s="185"/>
      <c r="H11" s="191"/>
      <c r="I11" s="184"/>
      <c r="J11" s="188"/>
      <c r="K11" s="185"/>
      <c r="L11" s="189"/>
      <c r="M11" s="161"/>
      <c r="N11" s="161"/>
      <c r="O11" s="161"/>
    </row>
    <row r="12" spans="1:15" ht="12.75" hidden="1">
      <c r="A12" s="160">
        <f>ROW()</f>
        <v>12</v>
      </c>
      <c r="B12" s="190" t="s">
        <v>121</v>
      </c>
      <c r="C12" s="182" t="s">
        <v>119</v>
      </c>
      <c r="D12" s="184">
        <v>720000</v>
      </c>
      <c r="E12" s="184">
        <v>-741000</v>
      </c>
      <c r="F12" s="184">
        <f t="shared" si="0"/>
        <v>12964000</v>
      </c>
      <c r="G12" s="185"/>
      <c r="H12" s="191"/>
      <c r="I12" s="184"/>
      <c r="J12" s="188"/>
      <c r="K12" s="185"/>
      <c r="L12" s="189"/>
      <c r="M12" s="161"/>
      <c r="N12" s="161"/>
      <c r="O12" s="161"/>
    </row>
    <row r="13" spans="1:15" ht="12.75" hidden="1">
      <c r="A13" s="160">
        <f>ROW()</f>
        <v>13</v>
      </c>
      <c r="B13" s="190" t="s">
        <v>122</v>
      </c>
      <c r="C13" s="182" t="s">
        <v>119</v>
      </c>
      <c r="D13" s="184">
        <v>548000</v>
      </c>
      <c r="E13" s="184">
        <v>-1070000</v>
      </c>
      <c r="F13" s="184">
        <f t="shared" si="0"/>
        <v>12442000</v>
      </c>
      <c r="G13" s="185"/>
      <c r="H13" s="191"/>
      <c r="I13" s="184"/>
      <c r="J13" s="192"/>
      <c r="K13" s="185"/>
      <c r="L13" s="189"/>
      <c r="M13" s="193"/>
      <c r="N13" s="193"/>
      <c r="O13" s="194"/>
    </row>
    <row r="14" spans="1:15" ht="12.75" hidden="1">
      <c r="A14" s="160">
        <f>ROW()</f>
        <v>14</v>
      </c>
      <c r="B14" s="190" t="s">
        <v>123</v>
      </c>
      <c r="C14" s="182" t="s">
        <v>119</v>
      </c>
      <c r="D14" s="184">
        <v>0</v>
      </c>
      <c r="E14" s="184">
        <v>-1409000</v>
      </c>
      <c r="F14" s="184">
        <f t="shared" si="0"/>
        <v>11033000</v>
      </c>
      <c r="G14" s="185"/>
      <c r="H14" s="191"/>
      <c r="I14" s="184"/>
      <c r="J14" s="188"/>
      <c r="K14" s="185"/>
      <c r="L14" s="189"/>
      <c r="M14" s="161"/>
      <c r="N14" s="161"/>
      <c r="O14" s="194"/>
    </row>
    <row r="15" spans="1:15" ht="12.75" hidden="1">
      <c r="A15" s="160">
        <f>ROW()</f>
        <v>15</v>
      </c>
      <c r="B15" s="190" t="s">
        <v>124</v>
      </c>
      <c r="C15" s="182" t="s">
        <v>119</v>
      </c>
      <c r="D15" s="184">
        <v>0</v>
      </c>
      <c r="E15" s="184">
        <v>-1768000</v>
      </c>
      <c r="F15" s="184">
        <f t="shared" si="0"/>
        <v>9265000</v>
      </c>
      <c r="G15" s="185"/>
      <c r="H15" s="191"/>
      <c r="I15" s="184"/>
      <c r="J15" s="188"/>
      <c r="K15" s="185"/>
      <c r="L15" s="189"/>
      <c r="M15" s="193"/>
      <c r="N15" s="193"/>
      <c r="O15" s="194"/>
    </row>
    <row r="16" spans="1:15" ht="12.75" customHeight="1" hidden="1">
      <c r="A16" s="160">
        <f>ROW()</f>
        <v>16</v>
      </c>
      <c r="B16" s="190" t="s">
        <v>125</v>
      </c>
      <c r="C16" s="182" t="s">
        <v>119</v>
      </c>
      <c r="D16" s="184">
        <v>0</v>
      </c>
      <c r="E16" s="184">
        <v>-2163000</v>
      </c>
      <c r="F16" s="184">
        <f t="shared" si="0"/>
        <v>7102000</v>
      </c>
      <c r="G16" s="185"/>
      <c r="H16" s="195">
        <v>-1965500</v>
      </c>
      <c r="I16" s="184">
        <v>8621791.666666666</v>
      </c>
      <c r="J16" s="196">
        <v>38533</v>
      </c>
      <c r="K16" s="197"/>
      <c r="L16" s="198" t="s">
        <v>126</v>
      </c>
      <c r="M16" s="199">
        <v>621239.064805936</v>
      </c>
      <c r="N16" s="199">
        <f aca="true" t="shared" si="1" ref="N16:N21">+M16/(1-0.35)</f>
        <v>955752.4073937476</v>
      </c>
      <c r="O16" s="193">
        <f aca="true" t="shared" si="2" ref="O16:O21">N16/12</f>
        <v>79646.03394947897</v>
      </c>
    </row>
    <row r="17" spans="1:15" ht="12.75" hidden="1">
      <c r="A17" s="160">
        <f>ROW()</f>
        <v>17</v>
      </c>
      <c r="B17" s="200" t="s">
        <v>127</v>
      </c>
      <c r="C17" s="201" t="s">
        <v>119</v>
      </c>
      <c r="D17" s="202">
        <v>0</v>
      </c>
      <c r="E17" s="203">
        <v>-2614000</v>
      </c>
      <c r="F17" s="203">
        <f t="shared" si="0"/>
        <v>4488000</v>
      </c>
      <c r="G17" s="204"/>
      <c r="H17" s="205">
        <v>-2388500</v>
      </c>
      <c r="I17" s="202">
        <v>5410125</v>
      </c>
      <c r="J17" s="206">
        <v>38898</v>
      </c>
      <c r="K17" s="207"/>
      <c r="L17" s="208">
        <v>0.07010000000000001</v>
      </c>
      <c r="M17" s="209">
        <f>I17*L17</f>
        <v>379249.76250000007</v>
      </c>
      <c r="N17" s="209">
        <f t="shared" si="1"/>
        <v>583461.1730769231</v>
      </c>
      <c r="O17" s="210">
        <f t="shared" si="2"/>
        <v>48621.76442307693</v>
      </c>
    </row>
    <row r="18" spans="1:15" ht="12.75" hidden="1">
      <c r="A18" s="160">
        <f>ROW()</f>
        <v>18</v>
      </c>
      <c r="B18" s="211"/>
      <c r="C18" s="212"/>
      <c r="D18" s="213"/>
      <c r="E18" s="214"/>
      <c r="F18" s="214"/>
      <c r="G18" s="215"/>
      <c r="H18" s="216">
        <v>-1307000</v>
      </c>
      <c r="I18" s="213">
        <v>3984333.3333333335</v>
      </c>
      <c r="J18" s="217">
        <v>39082</v>
      </c>
      <c r="K18" s="215"/>
      <c r="L18" s="218">
        <f>$L$17</f>
        <v>0.07010000000000001</v>
      </c>
      <c r="M18" s="219">
        <f>I18*L18</f>
        <v>279301.7666666667</v>
      </c>
      <c r="N18" s="219">
        <f t="shared" si="1"/>
        <v>429695.0256410257</v>
      </c>
      <c r="O18" s="220">
        <f>N18/12</f>
        <v>35807.918803418805</v>
      </c>
    </row>
    <row r="19" spans="1:15" ht="12.75" hidden="1">
      <c r="A19" s="160">
        <f>ROW()</f>
        <v>19</v>
      </c>
      <c r="B19" s="190" t="s">
        <v>128</v>
      </c>
      <c r="C19" s="182" t="s">
        <v>119</v>
      </c>
      <c r="D19" s="184">
        <v>0</v>
      </c>
      <c r="E19" s="184">
        <v>-3078000</v>
      </c>
      <c r="F19" s="184">
        <v>1374000</v>
      </c>
      <c r="G19" s="185"/>
      <c r="H19" s="195">
        <v>-3078000</v>
      </c>
      <c r="I19" s="184">
        <v>2791458.3333333335</v>
      </c>
      <c r="J19" s="221">
        <v>39447</v>
      </c>
      <c r="K19" s="185"/>
      <c r="L19" s="198" t="s">
        <v>129</v>
      </c>
      <c r="M19" s="199">
        <v>197031.07134703195</v>
      </c>
      <c r="N19" s="199">
        <f t="shared" si="1"/>
        <v>303124.7251492799</v>
      </c>
      <c r="O19" s="193">
        <f t="shared" si="2"/>
        <v>25260.393762439995</v>
      </c>
    </row>
    <row r="20" spans="1:15" ht="12.75" hidden="1">
      <c r="A20" s="160">
        <f>ROW()</f>
        <v>20</v>
      </c>
      <c r="B20" s="190" t="s">
        <v>130</v>
      </c>
      <c r="C20" s="182" t="s">
        <v>119</v>
      </c>
      <c r="D20" s="184">
        <v>0</v>
      </c>
      <c r="E20" s="184">
        <v>-1410000</v>
      </c>
      <c r="F20" s="184">
        <v>0</v>
      </c>
      <c r="G20" s="185"/>
      <c r="H20" s="195">
        <v>-1410000</v>
      </c>
      <c r="I20" s="184">
        <v>691208.3333333334</v>
      </c>
      <c r="J20" s="221">
        <v>39813</v>
      </c>
      <c r="K20" s="185"/>
      <c r="L20" s="198" t="s">
        <v>131</v>
      </c>
      <c r="M20" s="199">
        <v>48730.18750000002</v>
      </c>
      <c r="N20" s="199">
        <f t="shared" si="1"/>
        <v>74969.51923076926</v>
      </c>
      <c r="O20" s="193">
        <f t="shared" si="2"/>
        <v>6247.459935897438</v>
      </c>
    </row>
    <row r="21" spans="1:15" ht="12.75" hidden="1">
      <c r="A21" s="160">
        <f>ROW()</f>
        <v>21</v>
      </c>
      <c r="B21" s="190" t="s">
        <v>132</v>
      </c>
      <c r="C21" s="182" t="s">
        <v>119</v>
      </c>
      <c r="D21" s="184">
        <v>0</v>
      </c>
      <c r="E21" s="184">
        <v>0</v>
      </c>
      <c r="F21" s="184">
        <v>0</v>
      </c>
      <c r="G21" s="185"/>
      <c r="H21" s="195">
        <v>0</v>
      </c>
      <c r="I21" s="184">
        <v>0</v>
      </c>
      <c r="J21" s="221">
        <v>40178</v>
      </c>
      <c r="K21" s="185"/>
      <c r="L21" s="189">
        <v>0.07</v>
      </c>
      <c r="M21" s="199">
        <f>I21*L21</f>
        <v>0</v>
      </c>
      <c r="N21" s="199">
        <f t="shared" si="1"/>
        <v>0</v>
      </c>
      <c r="O21" s="193">
        <f t="shared" si="2"/>
        <v>0</v>
      </c>
    </row>
    <row r="22" spans="1:15" ht="12.75" hidden="1">
      <c r="A22" s="160">
        <f>ROW()</f>
        <v>22</v>
      </c>
      <c r="B22" s="190"/>
      <c r="C22" s="182"/>
      <c r="D22" s="184"/>
      <c r="E22" s="184"/>
      <c r="F22" s="184"/>
      <c r="G22" s="185"/>
      <c r="H22" s="191"/>
      <c r="I22" s="184"/>
      <c r="J22" s="221"/>
      <c r="K22" s="185"/>
      <c r="L22" s="189"/>
      <c r="M22" s="193"/>
      <c r="N22" s="193"/>
      <c r="O22" s="193"/>
    </row>
    <row r="23" spans="1:15" ht="19.5" customHeight="1" hidden="1">
      <c r="A23" s="169">
        <f>ROW()</f>
        <v>23</v>
      </c>
      <c r="B23" s="171"/>
      <c r="C23" s="222"/>
      <c r="D23" s="202"/>
      <c r="E23" s="202"/>
      <c r="F23" s="202"/>
      <c r="G23" s="204"/>
      <c r="H23" s="223"/>
      <c r="I23" s="202"/>
      <c r="J23" s="224"/>
      <c r="K23" s="204"/>
      <c r="L23" s="178"/>
      <c r="M23" s="225"/>
      <c r="N23" s="225"/>
      <c r="O23" s="225"/>
    </row>
    <row r="24" spans="1:15" ht="12.75">
      <c r="A24" s="160">
        <f>ROW()</f>
        <v>24</v>
      </c>
      <c r="B24" s="180" t="s">
        <v>133</v>
      </c>
      <c r="C24" s="182"/>
      <c r="D24" s="184"/>
      <c r="E24" s="184"/>
      <c r="F24" s="184"/>
      <c r="G24" s="185"/>
      <c r="H24" s="226" t="s">
        <v>134</v>
      </c>
      <c r="I24" s="184"/>
      <c r="J24" s="221"/>
      <c r="K24" s="185"/>
      <c r="L24" s="167"/>
      <c r="M24" s="227"/>
      <c r="N24" s="227"/>
      <c r="O24" s="161"/>
    </row>
    <row r="25" spans="1:15" ht="12.75" hidden="1">
      <c r="A25" s="160">
        <f>ROW()</f>
        <v>25</v>
      </c>
      <c r="B25" s="160" t="s">
        <v>118</v>
      </c>
      <c r="C25" s="182" t="s">
        <v>119</v>
      </c>
      <c r="D25" s="184"/>
      <c r="E25" s="184"/>
      <c r="F25" s="184">
        <v>215000000</v>
      </c>
      <c r="G25" s="185"/>
      <c r="H25" s="191"/>
      <c r="I25" s="184"/>
      <c r="J25" s="221"/>
      <c r="K25" s="185"/>
      <c r="L25" s="167"/>
      <c r="M25" s="227"/>
      <c r="N25" s="227"/>
      <c r="O25" s="161"/>
    </row>
    <row r="26" spans="1:15" ht="12.75" hidden="1">
      <c r="A26" s="160">
        <f>ROW()</f>
        <v>26</v>
      </c>
      <c r="B26" s="190" t="s">
        <v>135</v>
      </c>
      <c r="C26" s="182" t="s">
        <v>119</v>
      </c>
      <c r="D26" s="184">
        <v>8754000</v>
      </c>
      <c r="E26" s="184">
        <v>-1952000</v>
      </c>
      <c r="F26" s="184">
        <f aca="true" t="shared" si="3" ref="F26:F34">F25+SUM(D26:E26)</f>
        <v>221802000</v>
      </c>
      <c r="G26" s="185"/>
      <c r="H26" s="191"/>
      <c r="I26" s="184"/>
      <c r="J26" s="221"/>
      <c r="K26" s="185"/>
      <c r="L26" s="167"/>
      <c r="M26" s="227"/>
      <c r="N26" s="227"/>
      <c r="O26" s="161"/>
    </row>
    <row r="27" spans="1:15" ht="12.75" hidden="1">
      <c r="A27" s="160">
        <f>ROW()</f>
        <v>27</v>
      </c>
      <c r="B27" s="190" t="s">
        <v>136</v>
      </c>
      <c r="C27" s="182" t="s">
        <v>119</v>
      </c>
      <c r="D27" s="184">
        <v>8795000</v>
      </c>
      <c r="E27" s="184">
        <v>-3863000</v>
      </c>
      <c r="F27" s="184">
        <f t="shared" si="3"/>
        <v>226734000</v>
      </c>
      <c r="G27" s="185"/>
      <c r="H27" s="191"/>
      <c r="I27" s="184"/>
      <c r="J27" s="221"/>
      <c r="K27" s="185"/>
      <c r="L27" s="167"/>
      <c r="M27" s="227"/>
      <c r="N27" s="227"/>
      <c r="O27" s="161"/>
    </row>
    <row r="28" spans="1:15" ht="12.75" hidden="1">
      <c r="A28" s="160">
        <f>ROW()</f>
        <v>28</v>
      </c>
      <c r="B28" s="190" t="s">
        <v>120</v>
      </c>
      <c r="C28" s="182" t="s">
        <v>119</v>
      </c>
      <c r="D28" s="184">
        <v>8849000</v>
      </c>
      <c r="E28" s="184">
        <v>-5463000</v>
      </c>
      <c r="F28" s="184">
        <f t="shared" si="3"/>
        <v>230120000</v>
      </c>
      <c r="G28" s="185"/>
      <c r="H28" s="191"/>
      <c r="I28" s="184"/>
      <c r="J28" s="221"/>
      <c r="K28" s="185"/>
      <c r="L28" s="167"/>
      <c r="M28" s="227"/>
      <c r="N28" s="227"/>
      <c r="O28" s="161"/>
    </row>
    <row r="29" spans="1:15" ht="12.75" hidden="1">
      <c r="A29" s="160">
        <f>ROW()</f>
        <v>29</v>
      </c>
      <c r="B29" s="190" t="s">
        <v>121</v>
      </c>
      <c r="C29" s="182" t="s">
        <v>119</v>
      </c>
      <c r="D29" s="184">
        <v>8838000</v>
      </c>
      <c r="E29" s="184">
        <v>-7382000</v>
      </c>
      <c r="F29" s="184">
        <f t="shared" si="3"/>
        <v>231576000</v>
      </c>
      <c r="G29" s="185"/>
      <c r="H29" s="191"/>
      <c r="I29" s="184"/>
      <c r="J29" s="221"/>
      <c r="K29" s="185"/>
      <c r="L29" s="167"/>
      <c r="M29" s="227"/>
      <c r="N29" s="227"/>
      <c r="O29" s="161"/>
    </row>
    <row r="30" spans="1:15" ht="12.75" hidden="1">
      <c r="A30" s="160">
        <f>ROW()</f>
        <v>30</v>
      </c>
      <c r="B30" s="190" t="s">
        <v>122</v>
      </c>
      <c r="C30" s="182" t="s">
        <v>119</v>
      </c>
      <c r="D30" s="184">
        <v>6562000</v>
      </c>
      <c r="E30" s="184">
        <v>-9494000</v>
      </c>
      <c r="F30" s="184">
        <f t="shared" si="3"/>
        <v>228644000</v>
      </c>
      <c r="G30" s="185"/>
      <c r="H30" s="191"/>
      <c r="I30" s="184"/>
      <c r="J30" s="221"/>
      <c r="K30" s="185"/>
      <c r="L30" s="189"/>
      <c r="M30" s="193"/>
      <c r="N30" s="193"/>
      <c r="O30" s="194"/>
    </row>
    <row r="31" spans="1:15" ht="12.75" hidden="1">
      <c r="A31" s="160">
        <f>ROW()</f>
        <v>31</v>
      </c>
      <c r="B31" s="190" t="s">
        <v>123</v>
      </c>
      <c r="C31" s="182" t="s">
        <v>119</v>
      </c>
      <c r="D31" s="184">
        <v>0</v>
      </c>
      <c r="E31" s="184">
        <v>-11924000</v>
      </c>
      <c r="F31" s="184">
        <f t="shared" si="3"/>
        <v>216720000</v>
      </c>
      <c r="G31" s="185"/>
      <c r="H31" s="191"/>
      <c r="I31" s="184"/>
      <c r="J31" s="221"/>
      <c r="K31" s="185"/>
      <c r="L31" s="189"/>
      <c r="M31" s="193"/>
      <c r="N31" s="193"/>
      <c r="O31" s="194"/>
    </row>
    <row r="32" spans="1:15" ht="12.75" hidden="1">
      <c r="A32" s="160">
        <f>ROW()</f>
        <v>32</v>
      </c>
      <c r="B32" s="190" t="s">
        <v>124</v>
      </c>
      <c r="C32" s="182" t="s">
        <v>119</v>
      </c>
      <c r="D32" s="184">
        <v>0</v>
      </c>
      <c r="E32" s="184">
        <v>-14744000</v>
      </c>
      <c r="F32" s="184">
        <f t="shared" si="3"/>
        <v>201976000</v>
      </c>
      <c r="G32" s="185"/>
      <c r="H32" s="191"/>
      <c r="I32" s="184"/>
      <c r="J32" s="221"/>
      <c r="K32" s="185"/>
      <c r="L32" s="189"/>
      <c r="M32" s="193"/>
      <c r="N32" s="193"/>
      <c r="O32" s="194"/>
    </row>
    <row r="33" spans="1:15" ht="12.75" hidden="1">
      <c r="A33" s="160">
        <f>ROW()</f>
        <v>33</v>
      </c>
      <c r="B33" s="190" t="s">
        <v>125</v>
      </c>
      <c r="C33" s="182" t="s">
        <v>119</v>
      </c>
      <c r="D33" s="184">
        <v>0</v>
      </c>
      <c r="E33" s="184">
        <v>-17908000</v>
      </c>
      <c r="F33" s="184">
        <f t="shared" si="3"/>
        <v>184068000</v>
      </c>
      <c r="G33" s="185"/>
      <c r="H33" s="191">
        <v>-16326000</v>
      </c>
      <c r="I33" s="184">
        <v>198322583.33333334</v>
      </c>
      <c r="J33" s="196">
        <v>38533</v>
      </c>
      <c r="K33" s="197"/>
      <c r="L33" s="198" t="str">
        <f>L16</f>
        <v>7.3%&amp;7.01%</v>
      </c>
      <c r="M33" s="199">
        <v>14290038.655913249</v>
      </c>
      <c r="N33" s="199">
        <f aca="true" t="shared" si="4" ref="N33:N39">+M33/(1-0.35)</f>
        <v>21984674.855251152</v>
      </c>
      <c r="O33" s="193">
        <f aca="true" t="shared" si="5" ref="O33:O39">N33/12</f>
        <v>1832056.237937596</v>
      </c>
    </row>
    <row r="34" spans="1:15" ht="12.75" hidden="1">
      <c r="A34" s="160">
        <f>ROW()</f>
        <v>34</v>
      </c>
      <c r="B34" s="200" t="s">
        <v>127</v>
      </c>
      <c r="C34" s="201" t="s">
        <v>119</v>
      </c>
      <c r="D34" s="202">
        <v>0</v>
      </c>
      <c r="E34" s="203">
        <v>-20615000</v>
      </c>
      <c r="F34" s="203">
        <f t="shared" si="3"/>
        <v>163453000</v>
      </c>
      <c r="G34" s="204"/>
      <c r="H34" s="205">
        <v>-19261500</v>
      </c>
      <c r="I34" s="202">
        <v>173230500</v>
      </c>
      <c r="J34" s="206">
        <v>38898</v>
      </c>
      <c r="K34" s="207"/>
      <c r="L34" s="208">
        <f>$L$17</f>
        <v>0.07010000000000001</v>
      </c>
      <c r="M34" s="209">
        <f>I34*L34</f>
        <v>12143458.05</v>
      </c>
      <c r="N34" s="209">
        <f t="shared" si="4"/>
        <v>18682243.153846156</v>
      </c>
      <c r="O34" s="210">
        <f t="shared" si="5"/>
        <v>1556853.5961538462</v>
      </c>
    </row>
    <row r="35" spans="1:15" ht="12.75" hidden="1">
      <c r="A35" s="160">
        <f>ROW()</f>
        <v>35</v>
      </c>
      <c r="B35" s="211"/>
      <c r="C35" s="212"/>
      <c r="D35" s="213"/>
      <c r="E35" s="214"/>
      <c r="F35" s="214"/>
      <c r="G35" s="215"/>
      <c r="H35" s="216">
        <v>-10307500</v>
      </c>
      <c r="I35" s="213">
        <v>158961666.66666666</v>
      </c>
      <c r="J35" s="217">
        <v>39082</v>
      </c>
      <c r="K35" s="215"/>
      <c r="L35" s="218">
        <f>$L$17</f>
        <v>0.07010000000000001</v>
      </c>
      <c r="M35" s="219">
        <f>I35*L35</f>
        <v>11143212.833333334</v>
      </c>
      <c r="N35" s="219">
        <f t="shared" si="4"/>
        <v>17143404.35897436</v>
      </c>
      <c r="O35" s="220">
        <f t="shared" si="5"/>
        <v>1428617.02991453</v>
      </c>
    </row>
    <row r="36" spans="1:15" ht="12.75" hidden="1">
      <c r="A36" s="160">
        <f>ROW()</f>
        <v>36</v>
      </c>
      <c r="B36" s="190" t="s">
        <v>128</v>
      </c>
      <c r="C36" s="182" t="s">
        <v>119</v>
      </c>
      <c r="D36" s="184">
        <v>0</v>
      </c>
      <c r="E36" s="184">
        <v>-24343000</v>
      </c>
      <c r="F36" s="184">
        <v>131477000</v>
      </c>
      <c r="G36" s="185"/>
      <c r="H36" s="195">
        <v>-24343000</v>
      </c>
      <c r="I36" s="184">
        <v>142912958.33333334</v>
      </c>
      <c r="J36" s="221">
        <v>39447</v>
      </c>
      <c r="K36" s="185"/>
      <c r="L36" s="198" t="s">
        <v>129</v>
      </c>
      <c r="M36" s="199">
        <v>10087305.604223749</v>
      </c>
      <c r="N36" s="199">
        <f t="shared" si="4"/>
        <v>15518931.698805766</v>
      </c>
      <c r="O36" s="193">
        <f t="shared" si="5"/>
        <v>1293244.3082338138</v>
      </c>
    </row>
    <row r="37" spans="1:15" ht="12.75" hidden="1">
      <c r="A37" s="160">
        <f>ROW()</f>
        <v>37</v>
      </c>
      <c r="B37" s="190" t="s">
        <v>130</v>
      </c>
      <c r="C37" s="182" t="s">
        <v>119</v>
      </c>
      <c r="D37" s="184">
        <v>0</v>
      </c>
      <c r="E37" s="184">
        <v>-28272000</v>
      </c>
      <c r="F37" s="184">
        <v>104886000</v>
      </c>
      <c r="G37" s="185"/>
      <c r="H37" s="195">
        <v>-28272000</v>
      </c>
      <c r="I37" s="195">
        <v>118181041.66666667</v>
      </c>
      <c r="J37" s="221">
        <v>39813</v>
      </c>
      <c r="K37" s="185"/>
      <c r="L37" s="198" t="str">
        <f>$L$20</f>
        <v>7.06%&amp;7.00%</v>
      </c>
      <c r="M37" s="199">
        <v>8331763.437500003</v>
      </c>
      <c r="N37" s="199">
        <f t="shared" si="4"/>
        <v>12818097.59615385</v>
      </c>
      <c r="O37" s="193">
        <f t="shared" si="5"/>
        <v>1068174.7996794875</v>
      </c>
    </row>
    <row r="38" spans="1:15" ht="12.75" hidden="1">
      <c r="A38" s="160">
        <f>ROW()</f>
        <v>38</v>
      </c>
      <c r="B38" s="190" t="s">
        <v>132</v>
      </c>
      <c r="C38" s="182" t="s">
        <v>119</v>
      </c>
      <c r="D38" s="184">
        <v>0</v>
      </c>
      <c r="E38" s="184">
        <v>-32676000</v>
      </c>
      <c r="F38" s="184">
        <v>74153000</v>
      </c>
      <c r="G38" s="185"/>
      <c r="H38" s="195">
        <v>-32676000</v>
      </c>
      <c r="I38" s="228">
        <v>89519208.33333333</v>
      </c>
      <c r="J38" s="221">
        <v>40178</v>
      </c>
      <c r="K38" s="185"/>
      <c r="L38" s="189">
        <f>$L$21</f>
        <v>0.07</v>
      </c>
      <c r="M38" s="199">
        <v>6266344.583333332</v>
      </c>
      <c r="N38" s="199">
        <f t="shared" si="4"/>
        <v>9640530.128205126</v>
      </c>
      <c r="O38" s="193">
        <f>N38/12</f>
        <v>803377.5106837605</v>
      </c>
    </row>
    <row r="39" spans="1:15" ht="12.75">
      <c r="A39" s="160">
        <f>ROW()</f>
        <v>39</v>
      </c>
      <c r="B39" s="190" t="s">
        <v>137</v>
      </c>
      <c r="C39" s="182" t="s">
        <v>119</v>
      </c>
      <c r="D39" s="184">
        <v>0</v>
      </c>
      <c r="E39" s="184">
        <v>-37533000</v>
      </c>
      <c r="F39" s="184">
        <v>38851000</v>
      </c>
      <c r="G39" s="185"/>
      <c r="H39" s="195">
        <v>-37533000</v>
      </c>
      <c r="I39" s="228">
        <v>56501833.333333336</v>
      </c>
      <c r="J39" s="221">
        <v>40543</v>
      </c>
      <c r="K39" s="185"/>
      <c r="L39" s="198" t="s">
        <v>138</v>
      </c>
      <c r="M39" s="199">
        <v>3913642.0557077625</v>
      </c>
      <c r="N39" s="199">
        <f t="shared" si="4"/>
        <v>6020987.778011942</v>
      </c>
      <c r="O39" s="193">
        <f t="shared" si="5"/>
        <v>501748.98150099517</v>
      </c>
    </row>
    <row r="40" spans="1:18" ht="12.75" hidden="1">
      <c r="A40" s="160">
        <f>ROW()</f>
        <v>40</v>
      </c>
      <c r="B40" s="190" t="s">
        <v>139</v>
      </c>
      <c r="C40" s="182" t="s">
        <v>119</v>
      </c>
      <c r="D40" s="184">
        <v>0</v>
      </c>
      <c r="E40" s="184">
        <v>-40629000</v>
      </c>
      <c r="F40" s="184">
        <v>0</v>
      </c>
      <c r="G40" s="185"/>
      <c r="H40" s="195">
        <v>-40629000</v>
      </c>
      <c r="I40" s="228">
        <v>19424708.333333332</v>
      </c>
      <c r="J40" s="221">
        <v>40908</v>
      </c>
      <c r="K40" s="185"/>
      <c r="L40" s="198">
        <v>0.069</v>
      </c>
      <c r="M40" s="199" t="e">
        <v>#REF!</v>
      </c>
      <c r="N40" s="199" t="e">
        <f>+M40/(1-0.35)</f>
        <v>#REF!</v>
      </c>
      <c r="O40" s="193" t="e">
        <f>N40/12</f>
        <v>#REF!</v>
      </c>
      <c r="Q40" s="229" t="e">
        <f>I40*#REF!/0.65</f>
        <v>#REF!</v>
      </c>
      <c r="R40" s="229" t="e">
        <f>Q40-N40</f>
        <v>#REF!</v>
      </c>
    </row>
    <row r="41" spans="1:15" ht="12.75" hidden="1">
      <c r="A41" s="230">
        <f>ROW()</f>
        <v>41</v>
      </c>
      <c r="B41" s="190"/>
      <c r="C41" s="231"/>
      <c r="D41" s="213"/>
      <c r="E41" s="213"/>
      <c r="F41" s="213"/>
      <c r="G41" s="215"/>
      <c r="H41" s="232"/>
      <c r="I41" s="213"/>
      <c r="J41" s="217"/>
      <c r="K41" s="215"/>
      <c r="L41" s="218"/>
      <c r="M41" s="233"/>
      <c r="N41" s="233"/>
      <c r="O41" s="233"/>
    </row>
    <row r="42" spans="1:15" ht="12.75">
      <c r="A42" s="169">
        <f>ROW()</f>
        <v>42</v>
      </c>
      <c r="B42" s="171"/>
      <c r="C42" s="222"/>
      <c r="D42" s="202"/>
      <c r="E42" s="202"/>
      <c r="F42" s="202"/>
      <c r="G42" s="204"/>
      <c r="H42" s="223"/>
      <c r="I42" s="202"/>
      <c r="J42" s="224"/>
      <c r="K42" s="204"/>
      <c r="L42" s="178"/>
      <c r="M42" s="234"/>
      <c r="N42" s="234"/>
      <c r="O42" s="234"/>
    </row>
    <row r="43" spans="1:15" ht="12.75">
      <c r="A43" s="160">
        <f>ROW()</f>
        <v>43</v>
      </c>
      <c r="B43" s="180" t="s">
        <v>140</v>
      </c>
      <c r="C43" s="182"/>
      <c r="D43" s="184"/>
      <c r="E43" s="184"/>
      <c r="F43" s="184"/>
      <c r="G43" s="185"/>
      <c r="H43" s="226" t="s">
        <v>141</v>
      </c>
      <c r="I43" s="184"/>
      <c r="J43" s="221"/>
      <c r="K43" s="185"/>
      <c r="L43" s="167"/>
      <c r="M43" s="193"/>
      <c r="N43" s="193"/>
      <c r="O43" s="194"/>
    </row>
    <row r="44" spans="1:15" ht="12.75" hidden="1">
      <c r="A44" s="160">
        <f>ROW()</f>
        <v>44</v>
      </c>
      <c r="B44" s="160" t="s">
        <v>118</v>
      </c>
      <c r="C44" s="182"/>
      <c r="D44" s="227"/>
      <c r="E44" s="235"/>
      <c r="F44" s="184">
        <f>54662518+43</f>
        <v>54662561</v>
      </c>
      <c r="G44" s="185"/>
      <c r="H44" s="191"/>
      <c r="I44" s="184"/>
      <c r="J44" s="221"/>
      <c r="K44" s="185"/>
      <c r="L44" s="167"/>
      <c r="M44" s="227"/>
      <c r="N44" s="227"/>
      <c r="O44" s="161"/>
    </row>
    <row r="45" spans="1:15" ht="12.75" hidden="1">
      <c r="A45" s="160">
        <f>ROW()</f>
        <v>45</v>
      </c>
      <c r="B45" s="190" t="s">
        <v>122</v>
      </c>
      <c r="C45" s="182" t="s">
        <v>119</v>
      </c>
      <c r="D45" s="184">
        <v>0</v>
      </c>
      <c r="E45" s="184">
        <v>-3526620</v>
      </c>
      <c r="F45" s="184">
        <f>F44+E45</f>
        <v>51135941</v>
      </c>
      <c r="G45" s="185"/>
      <c r="H45" s="191"/>
      <c r="I45" s="184"/>
      <c r="J45" s="221"/>
      <c r="K45" s="185"/>
      <c r="L45" s="189"/>
      <c r="M45" s="193"/>
      <c r="N45" s="193"/>
      <c r="O45" s="194"/>
    </row>
    <row r="46" spans="1:15" ht="12.75" hidden="1">
      <c r="A46" s="160">
        <f>ROW()</f>
        <v>46</v>
      </c>
      <c r="B46" s="190" t="s">
        <v>123</v>
      </c>
      <c r="C46" s="182" t="s">
        <v>119</v>
      </c>
      <c r="D46" s="184">
        <v>0</v>
      </c>
      <c r="E46" s="184">
        <v>-3526620</v>
      </c>
      <c r="F46" s="184">
        <f>F45+E46</f>
        <v>47609321</v>
      </c>
      <c r="G46" s="185"/>
      <c r="H46" s="191"/>
      <c r="I46" s="184"/>
      <c r="J46" s="221"/>
      <c r="K46" s="185"/>
      <c r="L46" s="167"/>
      <c r="M46" s="227"/>
      <c r="N46" s="227"/>
      <c r="O46" s="194"/>
    </row>
    <row r="47" spans="1:15" ht="12.75" hidden="1">
      <c r="A47" s="160">
        <f>ROW()</f>
        <v>47</v>
      </c>
      <c r="B47" s="190" t="s">
        <v>124</v>
      </c>
      <c r="C47" s="182" t="s">
        <v>119</v>
      </c>
      <c r="D47" s="184">
        <v>0</v>
      </c>
      <c r="E47" s="184">
        <v>-3526620</v>
      </c>
      <c r="F47" s="184">
        <f>F46+SUM(D47:E47)</f>
        <v>44082701</v>
      </c>
      <c r="G47" s="185"/>
      <c r="H47" s="191"/>
      <c r="I47" s="184"/>
      <c r="J47" s="221"/>
      <c r="K47" s="185"/>
      <c r="L47" s="189"/>
      <c r="M47" s="193"/>
      <c r="N47" s="193"/>
      <c r="O47" s="194"/>
    </row>
    <row r="48" spans="1:15" ht="12.75" hidden="1">
      <c r="A48" s="160">
        <f>ROW()</f>
        <v>48</v>
      </c>
      <c r="B48" s="190" t="s">
        <v>125</v>
      </c>
      <c r="C48" s="182" t="s">
        <v>119</v>
      </c>
      <c r="D48" s="184">
        <v>0</v>
      </c>
      <c r="E48" s="184">
        <v>-3526620</v>
      </c>
      <c r="F48" s="184">
        <f>F47+SUM(D48:E48)</f>
        <v>40556081</v>
      </c>
      <c r="G48" s="185"/>
      <c r="H48" s="191">
        <v>-3526620</v>
      </c>
      <c r="I48" s="236">
        <v>44082701.00999999</v>
      </c>
      <c r="J48" s="221">
        <v>38533</v>
      </c>
      <c r="K48" s="185"/>
      <c r="L48" s="198" t="str">
        <f>L33</f>
        <v>7.3%&amp;7.01%</v>
      </c>
      <c r="M48" s="199">
        <v>3176357.885733969</v>
      </c>
      <c r="N48" s="199">
        <f aca="true" t="shared" si="6" ref="N48:N61">+M48/(1-0.35)</f>
        <v>4886704.439590721</v>
      </c>
      <c r="O48" s="193">
        <f>N48/12</f>
        <v>407225.36996589345</v>
      </c>
    </row>
    <row r="49" spans="1:15" ht="12.75" hidden="1">
      <c r="A49" s="160">
        <f>ROW()</f>
        <v>49</v>
      </c>
      <c r="B49" s="200" t="s">
        <v>127</v>
      </c>
      <c r="C49" s="201" t="s">
        <v>119</v>
      </c>
      <c r="D49" s="202">
        <v>0</v>
      </c>
      <c r="E49" s="203">
        <v>-3526620</v>
      </c>
      <c r="F49" s="203">
        <f>F48+E49</f>
        <v>37029461</v>
      </c>
      <c r="G49" s="204"/>
      <c r="H49" s="205">
        <v>-3526620</v>
      </c>
      <c r="I49" s="202">
        <v>40556081.00999999</v>
      </c>
      <c r="J49" s="206">
        <v>38898</v>
      </c>
      <c r="K49" s="207"/>
      <c r="L49" s="208">
        <f>$L$17</f>
        <v>0.07010000000000001</v>
      </c>
      <c r="M49" s="209">
        <f aca="true" t="shared" si="7" ref="M49:M61">I49*L49</f>
        <v>2842981.2788009997</v>
      </c>
      <c r="N49" s="209">
        <f t="shared" si="6"/>
        <v>4373817.352001538</v>
      </c>
      <c r="O49" s="210">
        <f>N49/12</f>
        <v>364484.7793334615</v>
      </c>
    </row>
    <row r="50" spans="1:15" ht="12.75" hidden="1">
      <c r="A50" s="160">
        <f>ROW()</f>
        <v>50</v>
      </c>
      <c r="B50" s="211"/>
      <c r="C50" s="212"/>
      <c r="D50" s="213"/>
      <c r="E50" s="214"/>
      <c r="F50" s="214"/>
      <c r="G50" s="215"/>
      <c r="H50" s="216">
        <v>-1763310</v>
      </c>
      <c r="I50" s="213">
        <v>37911116.00999999</v>
      </c>
      <c r="J50" s="217">
        <v>39082</v>
      </c>
      <c r="K50" s="215"/>
      <c r="L50" s="218">
        <f>$L$17</f>
        <v>0.07010000000000001</v>
      </c>
      <c r="M50" s="219">
        <f>I50*L50</f>
        <v>2657569.2323009996</v>
      </c>
      <c r="N50" s="219">
        <f t="shared" si="6"/>
        <v>4088568.049693845</v>
      </c>
      <c r="O50" s="220">
        <f>N50/12</f>
        <v>340714.00414115377</v>
      </c>
    </row>
    <row r="51" spans="1:15" ht="12.75" hidden="1">
      <c r="A51" s="160">
        <f>ROW()</f>
        <v>51</v>
      </c>
      <c r="B51" s="190" t="s">
        <v>128</v>
      </c>
      <c r="C51" s="182" t="s">
        <v>119</v>
      </c>
      <c r="D51" s="184">
        <v>0</v>
      </c>
      <c r="E51" s="184">
        <v>-3526620</v>
      </c>
      <c r="F51" s="184">
        <v>22808103.00999999</v>
      </c>
      <c r="G51" s="185"/>
      <c r="H51" s="191">
        <f>+E51</f>
        <v>-3526620</v>
      </c>
      <c r="I51" s="236">
        <v>24500027.093333323</v>
      </c>
      <c r="J51" s="221">
        <v>39447</v>
      </c>
      <c r="K51" s="185"/>
      <c r="L51" s="198" t="s">
        <v>129</v>
      </c>
      <c r="M51" s="199">
        <v>1729299.1726179358</v>
      </c>
      <c r="N51" s="199">
        <f t="shared" si="6"/>
        <v>2660460.265566055</v>
      </c>
      <c r="O51" s="193">
        <f>N51/12</f>
        <v>221705.0221305046</v>
      </c>
    </row>
    <row r="52" spans="1:15" ht="12.75" hidden="1">
      <c r="A52" s="160">
        <f>ROW()</f>
        <v>52</v>
      </c>
      <c r="B52" s="190" t="s">
        <v>130</v>
      </c>
      <c r="C52" s="182" t="s">
        <v>119</v>
      </c>
      <c r="D52" s="184">
        <v>0</v>
      </c>
      <c r="E52" s="184">
        <v>-3526620</v>
      </c>
      <c r="F52" s="184">
        <v>20409483.00999999</v>
      </c>
      <c r="G52" s="185"/>
      <c r="H52" s="191">
        <f aca="true" t="shared" si="8" ref="H52:H61">+E52</f>
        <v>-3526620</v>
      </c>
      <c r="I52" s="236">
        <v>21608793.00999999</v>
      </c>
      <c r="J52" s="221">
        <v>39813</v>
      </c>
      <c r="K52" s="185"/>
      <c r="L52" s="198" t="str">
        <f>$L$20</f>
        <v>7.06%&amp;7.00%</v>
      </c>
      <c r="M52" s="199">
        <v>1523419.907204999</v>
      </c>
      <c r="N52" s="199">
        <f t="shared" si="6"/>
        <v>2343722.934161537</v>
      </c>
      <c r="O52" s="193">
        <f aca="true" t="shared" si="9" ref="O52:O61">N52/12</f>
        <v>195310.2445134614</v>
      </c>
    </row>
    <row r="53" spans="1:15" ht="12.75" hidden="1">
      <c r="A53" s="160">
        <f>ROW()</f>
        <v>53</v>
      </c>
      <c r="B53" s="190" t="s">
        <v>132</v>
      </c>
      <c r="C53" s="182" t="s">
        <v>119</v>
      </c>
      <c r="D53" s="184">
        <v>0</v>
      </c>
      <c r="E53" s="184">
        <v>-3526620</v>
      </c>
      <c r="F53" s="184">
        <v>18010863.00999999</v>
      </c>
      <c r="G53" s="185"/>
      <c r="H53" s="191">
        <f t="shared" si="8"/>
        <v>-3526620</v>
      </c>
      <c r="I53" s="236">
        <v>19210173.00999999</v>
      </c>
      <c r="J53" s="221">
        <v>40178</v>
      </c>
      <c r="K53" s="185"/>
      <c r="L53" s="189">
        <f>$L$21</f>
        <v>0.07</v>
      </c>
      <c r="M53" s="199">
        <v>1344712.1106999991</v>
      </c>
      <c r="N53" s="199">
        <f t="shared" si="6"/>
        <v>2068787.8626153832</v>
      </c>
      <c r="O53" s="193">
        <f t="shared" si="9"/>
        <v>172398.98855128195</v>
      </c>
    </row>
    <row r="54" spans="1:15" ht="12.75">
      <c r="A54" s="160">
        <f>ROW()</f>
        <v>54</v>
      </c>
      <c r="B54" s="190" t="s">
        <v>137</v>
      </c>
      <c r="C54" s="182" t="s">
        <v>119</v>
      </c>
      <c r="D54" s="184">
        <v>0</v>
      </c>
      <c r="E54" s="184">
        <v>-3526620</v>
      </c>
      <c r="F54" s="184">
        <v>15612243.00999999</v>
      </c>
      <c r="G54" s="185"/>
      <c r="H54" s="191">
        <f t="shared" si="8"/>
        <v>-3526620</v>
      </c>
      <c r="I54" s="236">
        <v>16811553.00999999</v>
      </c>
      <c r="J54" s="221">
        <v>40543</v>
      </c>
      <c r="K54" s="185"/>
      <c r="L54" s="198" t="s">
        <v>138</v>
      </c>
      <c r="M54" s="199">
        <v>1164464.8854762185</v>
      </c>
      <c r="N54" s="199">
        <f t="shared" si="6"/>
        <v>1791484.4391941824</v>
      </c>
      <c r="O54" s="193">
        <f t="shared" si="9"/>
        <v>149290.36993284852</v>
      </c>
    </row>
    <row r="55" spans="1:18" ht="12.75" hidden="1">
      <c r="A55" s="160">
        <f>ROW()</f>
        <v>55</v>
      </c>
      <c r="B55" s="190" t="s">
        <v>139</v>
      </c>
      <c r="C55" s="182" t="s">
        <v>119</v>
      </c>
      <c r="D55" s="184">
        <v>0</v>
      </c>
      <c r="E55" s="184">
        <v>-3526620</v>
      </c>
      <c r="F55" s="184">
        <v>13213623.00999999</v>
      </c>
      <c r="G55" s="185"/>
      <c r="H55" s="191">
        <f t="shared" si="8"/>
        <v>-3526620</v>
      </c>
      <c r="I55" s="236">
        <v>14412933.00999999</v>
      </c>
      <c r="J55" s="221">
        <v>40908</v>
      </c>
      <c r="K55" s="185"/>
      <c r="L55" s="198">
        <v>0.069</v>
      </c>
      <c r="M55" s="199" t="e">
        <v>#REF!</v>
      </c>
      <c r="N55" s="199" t="e">
        <f t="shared" si="6"/>
        <v>#REF!</v>
      </c>
      <c r="O55" s="193" t="e">
        <f>N55/12</f>
        <v>#REF!</v>
      </c>
      <c r="Q55" s="229" t="e">
        <f>I55*#REF!/0.65</f>
        <v>#REF!</v>
      </c>
      <c r="R55" s="229" t="e">
        <f>Q55-N55</f>
        <v>#REF!</v>
      </c>
    </row>
    <row r="56" spans="1:15" ht="12.75" hidden="1">
      <c r="A56" s="160">
        <f>ROW()</f>
        <v>56</v>
      </c>
      <c r="B56" s="190" t="s">
        <v>142</v>
      </c>
      <c r="C56" s="182" t="s">
        <v>119</v>
      </c>
      <c r="D56" s="184">
        <v>0</v>
      </c>
      <c r="E56" s="184">
        <v>-3526620</v>
      </c>
      <c r="F56" s="184">
        <v>10815003.00999999</v>
      </c>
      <c r="G56" s="185"/>
      <c r="H56" s="191">
        <f t="shared" si="8"/>
        <v>-3526620</v>
      </c>
      <c r="I56" s="236">
        <v>12014313.00999999</v>
      </c>
      <c r="J56" s="221">
        <v>41274</v>
      </c>
      <c r="K56" s="185"/>
      <c r="L56" s="198" t="e">
        <f>#REF!</f>
        <v>#REF!</v>
      </c>
      <c r="M56" s="199" t="e">
        <f>I56*L56</f>
        <v>#REF!</v>
      </c>
      <c r="N56" s="199" t="e">
        <f t="shared" si="6"/>
        <v>#REF!</v>
      </c>
      <c r="O56" s="193" t="e">
        <f t="shared" si="9"/>
        <v>#REF!</v>
      </c>
    </row>
    <row r="57" spans="1:15" ht="12.75" hidden="1">
      <c r="A57" s="160">
        <f>ROW()</f>
        <v>57</v>
      </c>
      <c r="B57" s="190" t="s">
        <v>143</v>
      </c>
      <c r="C57" s="182" t="s">
        <v>119</v>
      </c>
      <c r="D57" s="184">
        <v>0</v>
      </c>
      <c r="E57" s="184">
        <v>-3526620</v>
      </c>
      <c r="F57" s="184">
        <v>8416383.00999999</v>
      </c>
      <c r="G57" s="185"/>
      <c r="H57" s="191">
        <f t="shared" si="8"/>
        <v>-3526620</v>
      </c>
      <c r="I57" s="236">
        <v>9615693.00999999</v>
      </c>
      <c r="J57" s="221">
        <v>41639</v>
      </c>
      <c r="K57" s="185"/>
      <c r="L57" s="189">
        <f>$O$2</f>
        <v>0</v>
      </c>
      <c r="M57" s="199">
        <f t="shared" si="7"/>
        <v>0</v>
      </c>
      <c r="N57" s="199">
        <f t="shared" si="6"/>
        <v>0</v>
      </c>
      <c r="O57" s="193">
        <f t="shared" si="9"/>
        <v>0</v>
      </c>
    </row>
    <row r="58" spans="1:15" ht="12.75" hidden="1">
      <c r="A58" s="160">
        <f>ROW()</f>
        <v>58</v>
      </c>
      <c r="B58" s="190" t="s">
        <v>144</v>
      </c>
      <c r="C58" s="182" t="s">
        <v>119</v>
      </c>
      <c r="D58" s="184">
        <v>0</v>
      </c>
      <c r="E58" s="184">
        <v>-3526620</v>
      </c>
      <c r="F58" s="184">
        <v>6017763.00999999</v>
      </c>
      <c r="G58" s="185"/>
      <c r="H58" s="191">
        <f t="shared" si="8"/>
        <v>-3526620</v>
      </c>
      <c r="I58" s="236">
        <v>7217073.00999999</v>
      </c>
      <c r="J58" s="221">
        <v>42004</v>
      </c>
      <c r="K58" s="185"/>
      <c r="L58" s="189">
        <f>$O$2</f>
        <v>0</v>
      </c>
      <c r="M58" s="199">
        <f t="shared" si="7"/>
        <v>0</v>
      </c>
      <c r="N58" s="199">
        <f t="shared" si="6"/>
        <v>0</v>
      </c>
      <c r="O58" s="193">
        <f t="shared" si="9"/>
        <v>0</v>
      </c>
    </row>
    <row r="59" spans="1:15" ht="12.75" hidden="1">
      <c r="A59" s="160">
        <f>ROW()</f>
        <v>59</v>
      </c>
      <c r="B59" s="190" t="s">
        <v>145</v>
      </c>
      <c r="C59" s="182" t="s">
        <v>119</v>
      </c>
      <c r="D59" s="184">
        <v>0</v>
      </c>
      <c r="E59" s="184">
        <v>-3526620</v>
      </c>
      <c r="F59" s="184">
        <v>3619143.0099999905</v>
      </c>
      <c r="G59" s="185"/>
      <c r="H59" s="191">
        <f t="shared" si="8"/>
        <v>-3526620</v>
      </c>
      <c r="I59" s="236">
        <v>4818453.00999999</v>
      </c>
      <c r="J59" s="221">
        <v>42369</v>
      </c>
      <c r="K59" s="185"/>
      <c r="L59" s="189">
        <f>$O$2</f>
        <v>0</v>
      </c>
      <c r="M59" s="199">
        <f t="shared" si="7"/>
        <v>0</v>
      </c>
      <c r="N59" s="199">
        <f t="shared" si="6"/>
        <v>0</v>
      </c>
      <c r="O59" s="193">
        <f t="shared" si="9"/>
        <v>0</v>
      </c>
    </row>
    <row r="60" spans="1:15" ht="12.75" hidden="1">
      <c r="A60" s="160">
        <f>ROW()</f>
        <v>60</v>
      </c>
      <c r="B60" s="190" t="s">
        <v>146</v>
      </c>
      <c r="C60" s="182" t="s">
        <v>119</v>
      </c>
      <c r="D60" s="184">
        <v>0</v>
      </c>
      <c r="E60" s="184">
        <v>-3526620</v>
      </c>
      <c r="F60" s="184">
        <v>1220523.0099999905</v>
      </c>
      <c r="G60" s="185"/>
      <c r="H60" s="191">
        <f t="shared" si="8"/>
        <v>-3526620</v>
      </c>
      <c r="I60" s="236">
        <v>2419833.0099999905</v>
      </c>
      <c r="J60" s="221">
        <v>42735</v>
      </c>
      <c r="K60" s="185"/>
      <c r="L60" s="189">
        <f>$O$2</f>
        <v>0</v>
      </c>
      <c r="M60" s="199">
        <f t="shared" si="7"/>
        <v>0</v>
      </c>
      <c r="N60" s="199">
        <f t="shared" si="6"/>
        <v>0</v>
      </c>
      <c r="O60" s="193">
        <f t="shared" si="9"/>
        <v>0</v>
      </c>
    </row>
    <row r="61" spans="1:15" ht="12.75" hidden="1">
      <c r="A61" s="160">
        <f>ROW()</f>
        <v>61</v>
      </c>
      <c r="B61" s="190" t="s">
        <v>147</v>
      </c>
      <c r="C61" s="182" t="s">
        <v>119</v>
      </c>
      <c r="D61" s="184">
        <v>0</v>
      </c>
      <c r="E61" s="184">
        <v>-1763261</v>
      </c>
      <c r="F61" s="184">
        <v>0.009999990463256836</v>
      </c>
      <c r="G61" s="185"/>
      <c r="H61" s="191">
        <f t="shared" si="8"/>
        <v>-1763261</v>
      </c>
      <c r="I61" s="236">
        <v>309550.13499999046</v>
      </c>
      <c r="J61" s="221">
        <v>43100</v>
      </c>
      <c r="K61" s="185"/>
      <c r="L61" s="189">
        <f>$O$2</f>
        <v>0</v>
      </c>
      <c r="M61" s="199">
        <f t="shared" si="7"/>
        <v>0</v>
      </c>
      <c r="N61" s="199">
        <f t="shared" si="6"/>
        <v>0</v>
      </c>
      <c r="O61" s="193">
        <f t="shared" si="9"/>
        <v>0</v>
      </c>
    </row>
    <row r="62" spans="1:15" ht="12.75" hidden="1">
      <c r="A62" s="160">
        <f>ROW()</f>
        <v>62</v>
      </c>
      <c r="B62" s="190"/>
      <c r="C62" s="182"/>
      <c r="D62" s="184"/>
      <c r="E62" s="184"/>
      <c r="F62" s="184"/>
      <c r="G62" s="185"/>
      <c r="H62" s="191"/>
      <c r="I62" s="236"/>
      <c r="J62" s="221"/>
      <c r="K62" s="185"/>
      <c r="L62" s="189"/>
      <c r="M62" s="199"/>
      <c r="N62" s="199"/>
      <c r="O62" s="199"/>
    </row>
    <row r="63" spans="1:15" ht="12.75" hidden="1">
      <c r="A63" s="230">
        <f>ROW()</f>
        <v>63</v>
      </c>
      <c r="B63" s="237"/>
      <c r="C63" s="231"/>
      <c r="D63" s="213"/>
      <c r="E63" s="213"/>
      <c r="F63" s="213"/>
      <c r="G63" s="215"/>
      <c r="H63" s="232"/>
      <c r="I63" s="213"/>
      <c r="J63" s="217"/>
      <c r="K63" s="215"/>
      <c r="L63" s="218"/>
      <c r="M63" s="233"/>
      <c r="N63" s="233"/>
      <c r="O63" s="233"/>
    </row>
    <row r="64" spans="1:15" ht="12.75">
      <c r="A64" s="169">
        <f>ROW()</f>
        <v>64</v>
      </c>
      <c r="B64" s="238"/>
      <c r="C64" s="222"/>
      <c r="D64" s="202"/>
      <c r="E64" s="202"/>
      <c r="F64" s="202"/>
      <c r="G64" s="204"/>
      <c r="H64" s="223"/>
      <c r="I64" s="202"/>
      <c r="J64" s="224"/>
      <c r="K64" s="204"/>
      <c r="L64" s="208"/>
      <c r="M64" s="234"/>
      <c r="N64" s="234"/>
      <c r="O64" s="234"/>
    </row>
    <row r="65" spans="1:15" ht="12.75">
      <c r="A65" s="160">
        <f>ROW()</f>
        <v>65</v>
      </c>
      <c r="B65" s="180" t="s">
        <v>148</v>
      </c>
      <c r="C65" s="182"/>
      <c r="D65" s="227"/>
      <c r="E65" s="184"/>
      <c r="F65" s="184"/>
      <c r="G65" s="185"/>
      <c r="H65" s="226" t="s">
        <v>149</v>
      </c>
      <c r="I65" s="184"/>
      <c r="J65" s="221"/>
      <c r="K65" s="239"/>
      <c r="L65" s="239"/>
      <c r="M65" s="193"/>
      <c r="N65" s="193"/>
      <c r="O65" s="194"/>
    </row>
    <row r="66" spans="1:15" ht="12.75" hidden="1">
      <c r="A66" s="160">
        <f>ROW()</f>
        <v>66</v>
      </c>
      <c r="B66" s="160" t="s">
        <v>118</v>
      </c>
      <c r="C66" s="182" t="s">
        <v>119</v>
      </c>
      <c r="D66" s="184">
        <v>0</v>
      </c>
      <c r="E66" s="184"/>
      <c r="F66" s="184">
        <v>20545452.37</v>
      </c>
      <c r="G66" s="185"/>
      <c r="H66" s="191"/>
      <c r="I66" s="184"/>
      <c r="J66" s="221"/>
      <c r="K66" s="185"/>
      <c r="L66" s="167"/>
      <c r="M66" s="193"/>
      <c r="N66" s="193"/>
      <c r="O66" s="194"/>
    </row>
    <row r="67" spans="1:15" ht="12.75" hidden="1">
      <c r="A67" s="160">
        <f>ROW()</f>
        <v>67</v>
      </c>
      <c r="B67" s="190" t="s">
        <v>124</v>
      </c>
      <c r="C67" s="182" t="s">
        <v>119</v>
      </c>
      <c r="D67" s="184"/>
      <c r="E67" s="184"/>
      <c r="F67" s="184">
        <v>15194767.809999999</v>
      </c>
      <c r="G67" s="185"/>
      <c r="H67" s="191"/>
      <c r="I67" s="184"/>
      <c r="J67" s="221"/>
      <c r="K67" s="185"/>
      <c r="L67" s="167"/>
      <c r="M67" s="193"/>
      <c r="N67" s="193"/>
      <c r="O67" s="194"/>
    </row>
    <row r="68" spans="1:15" ht="12.75" hidden="1">
      <c r="A68" s="160">
        <f>ROW()</f>
        <v>68</v>
      </c>
      <c r="B68" s="190" t="s">
        <v>125</v>
      </c>
      <c r="C68" s="182" t="s">
        <v>119</v>
      </c>
      <c r="D68" s="184">
        <v>0</v>
      </c>
      <c r="E68" s="184"/>
      <c r="F68" s="184">
        <v>17134558.470000003</v>
      </c>
      <c r="G68" s="185"/>
      <c r="H68" s="240">
        <f>E67/12*6+E68/12*6</f>
        <v>0</v>
      </c>
      <c r="I68" s="236">
        <v>15867232.399583332</v>
      </c>
      <c r="J68" s="221">
        <v>38533</v>
      </c>
      <c r="K68" s="185"/>
      <c r="L68" s="198" t="str">
        <f>L33</f>
        <v>7.3%&amp;7.01%</v>
      </c>
      <c r="M68" s="199">
        <v>362637.9889152994</v>
      </c>
      <c r="N68" s="199">
        <f aca="true" t="shared" si="10" ref="N68:N76">+M68/(1-0.35)</f>
        <v>557904.5983312299</v>
      </c>
      <c r="O68" s="193">
        <f aca="true" t="shared" si="11" ref="O68:O76">N68/12</f>
        <v>46492.049860935826</v>
      </c>
    </row>
    <row r="69" spans="1:15" ht="12.75" hidden="1">
      <c r="A69" s="160">
        <f>ROW()</f>
        <v>69</v>
      </c>
      <c r="B69" s="200" t="s">
        <v>127</v>
      </c>
      <c r="C69" s="201" t="s">
        <v>119</v>
      </c>
      <c r="D69" s="202">
        <v>0</v>
      </c>
      <c r="E69" s="203"/>
      <c r="F69" s="203">
        <v>21307240.720000003</v>
      </c>
      <c r="G69" s="204"/>
      <c r="H69" s="240">
        <f>E68/12*6+E69/12*6</f>
        <v>0</v>
      </c>
      <c r="I69" s="202">
        <v>16727249.060416667</v>
      </c>
      <c r="J69" s="206">
        <v>38898</v>
      </c>
      <c r="K69" s="207"/>
      <c r="L69" s="208">
        <f>$L$17</f>
        <v>0.07010000000000001</v>
      </c>
      <c r="M69" s="209">
        <f>I69*L69</f>
        <v>1172580.1591352085</v>
      </c>
      <c r="N69" s="209">
        <f t="shared" si="10"/>
        <v>1803969.4755926284</v>
      </c>
      <c r="O69" s="210">
        <f t="shared" si="11"/>
        <v>150330.78963271904</v>
      </c>
    </row>
    <row r="70" spans="1:15" ht="12.75" hidden="1">
      <c r="A70" s="160">
        <f>ROW()</f>
        <v>70</v>
      </c>
      <c r="B70" s="211"/>
      <c r="C70" s="212"/>
      <c r="D70" s="213"/>
      <c r="E70" s="214"/>
      <c r="F70" s="214"/>
      <c r="G70" s="215"/>
      <c r="H70" s="240">
        <f>E69/12*6+E70/12*6</f>
        <v>0</v>
      </c>
      <c r="I70" s="213">
        <v>19952478.540833335</v>
      </c>
      <c r="J70" s="217">
        <v>39082</v>
      </c>
      <c r="K70" s="215"/>
      <c r="L70" s="218">
        <f>$L$17</f>
        <v>0.07010000000000001</v>
      </c>
      <c r="M70" s="219">
        <f>I70*L70</f>
        <v>1398668.745712417</v>
      </c>
      <c r="N70" s="219">
        <f t="shared" si="10"/>
        <v>2151798.0703267953</v>
      </c>
      <c r="O70" s="220">
        <f>N70/12</f>
        <v>179316.50586056628</v>
      </c>
    </row>
    <row r="71" spans="1:15" ht="12.75" hidden="1">
      <c r="A71" s="160">
        <f>ROW()</f>
        <v>71</v>
      </c>
      <c r="B71" s="190" t="s">
        <v>128</v>
      </c>
      <c r="C71" s="182" t="s">
        <v>119</v>
      </c>
      <c r="D71" s="184">
        <v>0</v>
      </c>
      <c r="E71" s="184"/>
      <c r="F71" s="203">
        <v>23801058.669999998</v>
      </c>
      <c r="G71" s="185"/>
      <c r="H71" s="240">
        <f>E69/12*6+E71/12*6</f>
        <v>0</v>
      </c>
      <c r="I71" s="236">
        <v>23235098.006249998</v>
      </c>
      <c r="J71" s="221">
        <v>39447</v>
      </c>
      <c r="K71" s="185"/>
      <c r="L71" s="198" t="s">
        <v>129</v>
      </c>
      <c r="M71" s="199">
        <v>1640015.972424709</v>
      </c>
      <c r="N71" s="199">
        <f t="shared" si="10"/>
        <v>2523101.4960380136</v>
      </c>
      <c r="O71" s="193">
        <f t="shared" si="11"/>
        <v>210258.4580031678</v>
      </c>
    </row>
    <row r="72" spans="1:15" ht="12.75" hidden="1">
      <c r="A72" s="160">
        <f>ROW()</f>
        <v>72</v>
      </c>
      <c r="B72" s="190" t="s">
        <v>130</v>
      </c>
      <c r="C72" s="182" t="s">
        <v>119</v>
      </c>
      <c r="D72" s="184">
        <v>0</v>
      </c>
      <c r="E72" s="184"/>
      <c r="F72" s="241">
        <v>19459946.74</v>
      </c>
      <c r="G72" s="185"/>
      <c r="H72" s="240">
        <f>E71/12*6+E72/12*6</f>
        <v>0</v>
      </c>
      <c r="I72" s="236">
        <v>19914187.412916664</v>
      </c>
      <c r="J72" s="221">
        <v>39813</v>
      </c>
      <c r="K72" s="185"/>
      <c r="L72" s="198" t="str">
        <f>$L$20</f>
        <v>7.06%&amp;7.00%</v>
      </c>
      <c r="M72" s="199">
        <v>1403950.2126106247</v>
      </c>
      <c r="N72" s="199">
        <f t="shared" si="10"/>
        <v>2159923.4040163457</v>
      </c>
      <c r="O72" s="193">
        <f t="shared" si="11"/>
        <v>179993.61700136214</v>
      </c>
    </row>
    <row r="73" spans="1:15" ht="12.75" hidden="1">
      <c r="A73" s="160">
        <f>ROW()</f>
        <v>73</v>
      </c>
      <c r="B73" s="190" t="s">
        <v>132</v>
      </c>
      <c r="C73" s="182" t="s">
        <v>119</v>
      </c>
      <c r="D73" s="184">
        <v>0</v>
      </c>
      <c r="E73" s="184"/>
      <c r="F73" s="241">
        <v>23989687.79</v>
      </c>
      <c r="G73" s="185"/>
      <c r="H73" s="240">
        <f>E72/12*6+E73/12*6</f>
        <v>0</v>
      </c>
      <c r="I73" s="236">
        <v>19705548.951249998</v>
      </c>
      <c r="J73" s="221">
        <v>40178</v>
      </c>
      <c r="K73" s="185"/>
      <c r="L73" s="189">
        <f>$L$21</f>
        <v>0.07</v>
      </c>
      <c r="M73" s="199">
        <v>1379388.4265874997</v>
      </c>
      <c r="N73" s="199">
        <f t="shared" si="10"/>
        <v>2122136.040903846</v>
      </c>
      <c r="O73" s="193">
        <f t="shared" si="11"/>
        <v>176844.6700753205</v>
      </c>
    </row>
    <row r="74" spans="1:15" ht="12.75">
      <c r="A74" s="160">
        <f>ROW()</f>
        <v>74</v>
      </c>
      <c r="B74" s="190" t="s">
        <v>137</v>
      </c>
      <c r="C74" s="182" t="s">
        <v>119</v>
      </c>
      <c r="D74" s="184">
        <v>0</v>
      </c>
      <c r="E74" s="184"/>
      <c r="F74" s="241">
        <v>24865721.81</v>
      </c>
      <c r="G74" s="185"/>
      <c r="H74" s="240">
        <f>E73/12*6+E74/12*6</f>
        <v>0</v>
      </c>
      <c r="I74" s="236">
        <v>24579160.11916666</v>
      </c>
      <c r="J74" s="221">
        <v>40543</v>
      </c>
      <c r="K74" s="185"/>
      <c r="L74" s="198" t="s">
        <v>138</v>
      </c>
      <c r="M74" s="199">
        <v>1702494.0441993738</v>
      </c>
      <c r="N74" s="199">
        <f t="shared" si="10"/>
        <v>2619221.606460575</v>
      </c>
      <c r="O74" s="193">
        <f t="shared" si="11"/>
        <v>218268.46720504793</v>
      </c>
    </row>
    <row r="75" spans="1:18" ht="12.75" hidden="1">
      <c r="A75" s="160">
        <f>ROW()</f>
        <v>75</v>
      </c>
      <c r="B75" s="190" t="s">
        <v>139</v>
      </c>
      <c r="C75" s="182" t="s">
        <v>119</v>
      </c>
      <c r="D75" s="184">
        <v>0</v>
      </c>
      <c r="E75" s="184"/>
      <c r="F75" s="241">
        <v>24865721.81</v>
      </c>
      <c r="G75" s="185"/>
      <c r="H75" s="240">
        <f>E74/12*6+E75/12*6</f>
        <v>0</v>
      </c>
      <c r="I75" s="236">
        <v>24865721.81</v>
      </c>
      <c r="J75" s="221">
        <v>40908</v>
      </c>
      <c r="K75" s="185"/>
      <c r="L75" s="198" t="e">
        <f>#REF!</f>
        <v>#REF!</v>
      </c>
      <c r="M75" s="199" t="e">
        <v>#REF!</v>
      </c>
      <c r="N75" s="199" t="e">
        <f t="shared" si="10"/>
        <v>#REF!</v>
      </c>
      <c r="O75" s="193" t="e">
        <f t="shared" si="11"/>
        <v>#REF!</v>
      </c>
      <c r="Q75" s="229" t="e">
        <f>I75*#REF!/0.65</f>
        <v>#REF!</v>
      </c>
      <c r="R75" s="229" t="e">
        <f>Q75-N75</f>
        <v>#REF!</v>
      </c>
    </row>
    <row r="76" spans="1:15" ht="12.75" hidden="1">
      <c r="A76" s="160">
        <f>ROW()</f>
        <v>76</v>
      </c>
      <c r="B76" s="190" t="s">
        <v>142</v>
      </c>
      <c r="C76" s="182" t="s">
        <v>119</v>
      </c>
      <c r="D76" s="184"/>
      <c r="E76" s="184"/>
      <c r="F76" s="241">
        <v>24865721.81</v>
      </c>
      <c r="G76" s="185"/>
      <c r="H76" s="240">
        <f>E75/12*6+E76/12*6</f>
        <v>0</v>
      </c>
      <c r="I76" s="236">
        <v>24865721.81</v>
      </c>
      <c r="J76" s="221">
        <v>41274</v>
      </c>
      <c r="K76" s="185"/>
      <c r="L76" s="198" t="e">
        <f>#REF!</f>
        <v>#REF!</v>
      </c>
      <c r="M76" s="199" t="e">
        <f>I76*L76</f>
        <v>#REF!</v>
      </c>
      <c r="N76" s="199" t="e">
        <f t="shared" si="10"/>
        <v>#REF!</v>
      </c>
      <c r="O76" s="193" t="e">
        <f t="shared" si="11"/>
        <v>#REF!</v>
      </c>
    </row>
    <row r="77" spans="1:15" ht="12.75" hidden="1">
      <c r="A77" s="230">
        <f>ROW()</f>
        <v>77</v>
      </c>
      <c r="B77" s="237"/>
      <c r="C77" s="231"/>
      <c r="D77" s="213"/>
      <c r="E77" s="213"/>
      <c r="F77" s="213"/>
      <c r="G77" s="213"/>
      <c r="H77" s="232"/>
      <c r="I77" s="213"/>
      <c r="J77" s="242"/>
      <c r="K77" s="215"/>
      <c r="L77" s="189"/>
      <c r="M77" s="233"/>
      <c r="N77" s="233"/>
      <c r="O77" s="233"/>
    </row>
    <row r="78" spans="1:15" ht="12.75">
      <c r="A78" s="169">
        <f>ROW()</f>
        <v>78</v>
      </c>
      <c r="B78" s="171"/>
      <c r="C78" s="222"/>
      <c r="D78" s="202"/>
      <c r="E78" s="202"/>
      <c r="F78" s="202"/>
      <c r="G78" s="204"/>
      <c r="H78" s="223"/>
      <c r="I78" s="202"/>
      <c r="J78" s="224"/>
      <c r="K78" s="243"/>
      <c r="L78" s="243"/>
      <c r="M78" s="234"/>
      <c r="N78" s="234"/>
      <c r="O78" s="234"/>
    </row>
    <row r="79" spans="1:15" ht="12.75">
      <c r="A79" s="160">
        <f>ROW()</f>
        <v>79</v>
      </c>
      <c r="B79" s="180" t="s">
        <v>150</v>
      </c>
      <c r="C79" s="182"/>
      <c r="D79" s="184"/>
      <c r="E79" s="184"/>
      <c r="F79" s="184"/>
      <c r="G79" s="185"/>
      <c r="H79" s="226" t="s">
        <v>151</v>
      </c>
      <c r="I79" s="184"/>
      <c r="J79" s="221"/>
      <c r="K79" s="239"/>
      <c r="L79" s="239"/>
      <c r="M79" s="193"/>
      <c r="N79" s="193"/>
      <c r="O79" s="194"/>
    </row>
    <row r="80" spans="1:15" ht="12.75" customHeight="1">
      <c r="A80" s="160">
        <f>ROW()</f>
        <v>80</v>
      </c>
      <c r="B80" s="190" t="s">
        <v>118</v>
      </c>
      <c r="C80" s="182" t="s">
        <v>119</v>
      </c>
      <c r="D80" s="184"/>
      <c r="E80" s="184"/>
      <c r="F80" s="184"/>
      <c r="G80" s="185"/>
      <c r="H80" s="226"/>
      <c r="I80" s="184"/>
      <c r="J80" s="188"/>
      <c r="K80" s="185"/>
      <c r="L80" s="185"/>
      <c r="M80" s="193"/>
      <c r="N80" s="193"/>
      <c r="O80" s="194"/>
    </row>
    <row r="81" spans="1:15" ht="12.75" customHeight="1" hidden="1">
      <c r="A81" s="160">
        <f>ROW()</f>
        <v>81</v>
      </c>
      <c r="B81" s="190" t="s">
        <v>124</v>
      </c>
      <c r="C81" s="182" t="s">
        <v>119</v>
      </c>
      <c r="D81" s="184">
        <v>0</v>
      </c>
      <c r="E81" s="184">
        <v>-1494701.7220709994</v>
      </c>
      <c r="F81" s="184">
        <v>42052182.327929</v>
      </c>
      <c r="G81" s="185"/>
      <c r="H81" s="191"/>
      <c r="I81" s="184"/>
      <c r="J81" s="188"/>
      <c r="K81" s="185"/>
      <c r="L81" s="189"/>
      <c r="M81" s="193"/>
      <c r="N81" s="193"/>
      <c r="O81" s="194"/>
    </row>
    <row r="82" spans="1:15" ht="12.75" customHeight="1" hidden="1">
      <c r="A82" s="160">
        <f>ROW()</f>
        <v>82</v>
      </c>
      <c r="B82" s="190" t="s">
        <v>125</v>
      </c>
      <c r="C82" s="182" t="s">
        <v>119</v>
      </c>
      <c r="D82" s="184">
        <v>0</v>
      </c>
      <c r="E82" s="184">
        <v>-1494701.7220709994</v>
      </c>
      <c r="F82" s="184">
        <v>40832249.73585799</v>
      </c>
      <c r="G82" s="185"/>
      <c r="H82" s="191">
        <f>E81/12*6+E82/12*6</f>
        <v>-1494701.7220709994</v>
      </c>
      <c r="I82" s="236">
        <v>42108376.58209566</v>
      </c>
      <c r="J82" s="221">
        <v>38533</v>
      </c>
      <c r="K82" s="185"/>
      <c r="L82" s="198" t="str">
        <f>L68</f>
        <v>7.3%&amp;7.01%</v>
      </c>
      <c r="M82" s="199">
        <v>3034098.8856752254</v>
      </c>
      <c r="N82" s="199">
        <f aca="true" t="shared" si="12" ref="N82:N89">+M82/(1-0.35)</f>
        <v>4667844.439500347</v>
      </c>
      <c r="O82" s="193">
        <f aca="true" t="shared" si="13" ref="O82:O89">N82/12</f>
        <v>388987.0366250289</v>
      </c>
    </row>
    <row r="83" spans="1:15" ht="12.75" customHeight="1" hidden="1">
      <c r="A83" s="160">
        <f>ROW()</f>
        <v>83</v>
      </c>
      <c r="B83" s="200" t="s">
        <v>127</v>
      </c>
      <c r="C83" s="201" t="s">
        <v>119</v>
      </c>
      <c r="D83" s="202">
        <v>0</v>
      </c>
      <c r="E83" s="203">
        <v>-1494702.4137327932</v>
      </c>
      <c r="F83" s="203">
        <v>39625899.6021252</v>
      </c>
      <c r="G83" s="204"/>
      <c r="H83" s="205">
        <f>E82/12*6+E83/12*6</f>
        <v>-1494702.0679018963</v>
      </c>
      <c r="I83" s="202">
        <v>40832156.43440027</v>
      </c>
      <c r="J83" s="206">
        <v>38898</v>
      </c>
      <c r="K83" s="207"/>
      <c r="L83" s="208">
        <f>$L$17</f>
        <v>0.07010000000000001</v>
      </c>
      <c r="M83" s="209">
        <f>I83*L83</f>
        <v>2862334.166051459</v>
      </c>
      <c r="N83" s="209">
        <f t="shared" si="12"/>
        <v>4403591.024694553</v>
      </c>
      <c r="O83" s="210">
        <f t="shared" si="13"/>
        <v>366965.91872454603</v>
      </c>
    </row>
    <row r="84" spans="1:15" ht="12.75" customHeight="1" hidden="1">
      <c r="A84" s="160">
        <f>ROW()</f>
        <v>84</v>
      </c>
      <c r="B84" s="211"/>
      <c r="C84" s="212"/>
      <c r="D84" s="213"/>
      <c r="E84" s="214"/>
      <c r="F84" s="214"/>
      <c r="G84" s="215"/>
      <c r="H84" s="216">
        <f>E83/12*6</f>
        <v>-747351.2068663966</v>
      </c>
      <c r="I84" s="213">
        <v>39923951.53264295</v>
      </c>
      <c r="J84" s="217">
        <v>39082</v>
      </c>
      <c r="K84" s="215"/>
      <c r="L84" s="218">
        <f>$L$17</f>
        <v>0.07010000000000001</v>
      </c>
      <c r="M84" s="219">
        <f>I84*L84</f>
        <v>2798669.0024382714</v>
      </c>
      <c r="N84" s="219">
        <f t="shared" si="12"/>
        <v>4305644.619135802</v>
      </c>
      <c r="O84" s="220">
        <f>N84/12</f>
        <v>358803.7182613168</v>
      </c>
    </row>
    <row r="85" spans="1:15" ht="12.75" hidden="1">
      <c r="A85" s="160">
        <f>ROW()</f>
        <v>85</v>
      </c>
      <c r="B85" s="190" t="s">
        <v>128</v>
      </c>
      <c r="C85" s="182" t="s">
        <v>119</v>
      </c>
      <c r="D85" s="184">
        <v>0</v>
      </c>
      <c r="E85" s="184">
        <v>-1494701.7220710218</v>
      </c>
      <c r="F85" s="184">
        <v>36050026.880054176</v>
      </c>
      <c r="G85" s="185"/>
      <c r="H85" s="191">
        <f>E83/12*6+E85/12*6</f>
        <v>-1494702.0679019075</v>
      </c>
      <c r="I85" s="236">
        <v>37628503.36608969</v>
      </c>
      <c r="J85" s="221">
        <v>39447</v>
      </c>
      <c r="K85" s="185"/>
      <c r="L85" s="198" t="s">
        <v>129</v>
      </c>
      <c r="M85" s="199">
        <v>2655953.786905668</v>
      </c>
      <c r="N85" s="199">
        <f t="shared" si="12"/>
        <v>4086082.7490856433</v>
      </c>
      <c r="O85" s="193">
        <f t="shared" si="13"/>
        <v>340506.8957571369</v>
      </c>
    </row>
    <row r="86" spans="1:15" ht="12.75" hidden="1">
      <c r="A86" s="160">
        <f>ROW()</f>
        <v>86</v>
      </c>
      <c r="B86" s="190" t="s">
        <v>130</v>
      </c>
      <c r="C86" s="182" t="s">
        <v>119</v>
      </c>
      <c r="D86" s="184">
        <v>0</v>
      </c>
      <c r="E86" s="184">
        <v>-1494701.7220710218</v>
      </c>
      <c r="F86" s="184">
        <v>34112846.26798315</v>
      </c>
      <c r="G86" s="185"/>
      <c r="H86" s="191">
        <f>E85/12*6+E86/12*6</f>
        <v>-1494701.7220710218</v>
      </c>
      <c r="I86" s="236">
        <v>35041392.49943533</v>
      </c>
      <c r="J86" s="221">
        <v>39813</v>
      </c>
      <c r="K86" s="185"/>
      <c r="L86" s="198" t="str">
        <f>$L$20</f>
        <v>7.06%&amp;7.00%</v>
      </c>
      <c r="M86" s="199">
        <v>2470418.1712101903</v>
      </c>
      <c r="N86" s="199">
        <f t="shared" si="12"/>
        <v>3800643.3403233695</v>
      </c>
      <c r="O86" s="193">
        <f t="shared" si="13"/>
        <v>316720.2783602808</v>
      </c>
    </row>
    <row r="87" spans="1:15" ht="12.75" hidden="1">
      <c r="A87" s="160">
        <f>ROW()</f>
        <v>87</v>
      </c>
      <c r="B87" s="244" t="s">
        <v>132</v>
      </c>
      <c r="C87" s="182" t="s">
        <v>119</v>
      </c>
      <c r="D87" s="184">
        <v>0</v>
      </c>
      <c r="E87" s="184">
        <v>-1494701.7220710255</v>
      </c>
      <c r="F87" s="184">
        <v>38437612.755912125</v>
      </c>
      <c r="G87" s="185"/>
      <c r="H87" s="191">
        <f>+E87</f>
        <v>-1494701.7220710255</v>
      </c>
      <c r="I87" s="236">
        <v>33611068.249030985</v>
      </c>
      <c r="J87" s="221">
        <v>40178</v>
      </c>
      <c r="K87" s="185"/>
      <c r="L87" s="189">
        <f>$L$21</f>
        <v>0.07</v>
      </c>
      <c r="M87" s="199">
        <v>2352774.7774321693</v>
      </c>
      <c r="N87" s="199">
        <f t="shared" si="12"/>
        <v>3619653.503741799</v>
      </c>
      <c r="O87" s="193">
        <f t="shared" si="13"/>
        <v>301637.79197848326</v>
      </c>
    </row>
    <row r="88" spans="1:15" ht="12.75">
      <c r="A88" s="160">
        <f>ROW()</f>
        <v>88</v>
      </c>
      <c r="B88" s="190" t="s">
        <v>137</v>
      </c>
      <c r="C88" s="182" t="s">
        <v>119</v>
      </c>
      <c r="D88" s="184">
        <v>0</v>
      </c>
      <c r="E88" s="184">
        <v>-1494701.982071016</v>
      </c>
      <c r="F88" s="184">
        <v>37305563.86384112</v>
      </c>
      <c r="G88" s="245"/>
      <c r="H88" s="191">
        <f>+E88</f>
        <v>-1494701.982071016</v>
      </c>
      <c r="I88" s="236">
        <v>37977362.051959954</v>
      </c>
      <c r="J88" s="221">
        <v>40543</v>
      </c>
      <c r="K88" s="246"/>
      <c r="L88" s="198" t="s">
        <v>138</v>
      </c>
      <c r="M88" s="199">
        <v>2630530.5956100053</v>
      </c>
      <c r="N88" s="199">
        <f t="shared" si="12"/>
        <v>4046970.147092316</v>
      </c>
      <c r="O88" s="193">
        <f t="shared" si="13"/>
        <v>337247.512257693</v>
      </c>
    </row>
    <row r="89" spans="1:18" ht="12.75" hidden="1">
      <c r="A89" s="160">
        <f>ROW()</f>
        <v>89</v>
      </c>
      <c r="B89" s="190" t="s">
        <v>139</v>
      </c>
      <c r="C89" s="182" t="s">
        <v>119</v>
      </c>
      <c r="D89" s="184"/>
      <c r="E89" s="184">
        <v>-1494701.722071018</v>
      </c>
      <c r="F89" s="184">
        <v>35810862.141770095</v>
      </c>
      <c r="G89" s="185"/>
      <c r="H89" s="191">
        <f>+E89</f>
        <v>-1494701.722071018</v>
      </c>
      <c r="I89" s="236">
        <v>36558213.0028056</v>
      </c>
      <c r="J89" s="221">
        <v>40908</v>
      </c>
      <c r="K89" s="246"/>
      <c r="L89" s="198" t="e">
        <f>#REF!</f>
        <v>#REF!</v>
      </c>
      <c r="M89" s="199" t="e">
        <v>#REF!</v>
      </c>
      <c r="N89" s="199" t="e">
        <f t="shared" si="12"/>
        <v>#REF!</v>
      </c>
      <c r="O89" s="193" t="e">
        <f t="shared" si="13"/>
        <v>#REF!</v>
      </c>
      <c r="Q89" s="229" t="e">
        <f>I89*#REF!/0.65</f>
        <v>#REF!</v>
      </c>
      <c r="R89" s="229" t="e">
        <f>Q89-N89</f>
        <v>#REF!</v>
      </c>
    </row>
    <row r="90" spans="1:15" ht="12.75" hidden="1">
      <c r="A90" s="160">
        <f>ROW()</f>
        <v>90</v>
      </c>
      <c r="B90" s="190" t="s">
        <v>142</v>
      </c>
      <c r="C90" s="182" t="s">
        <v>119</v>
      </c>
      <c r="D90" s="184"/>
      <c r="E90" s="184">
        <v>-1494701.7220710255</v>
      </c>
      <c r="F90" s="184">
        <v>34316160.41969907</v>
      </c>
      <c r="G90" s="184"/>
      <c r="H90" s="191">
        <f>+E90</f>
        <v>-1494701.7220710255</v>
      </c>
      <c r="I90" s="236">
        <v>35063511.28073458</v>
      </c>
      <c r="J90" s="221">
        <v>41274</v>
      </c>
      <c r="K90" s="185"/>
      <c r="L90" s="198" t="e">
        <f>#REF!</f>
        <v>#REF!</v>
      </c>
      <c r="M90" s="199" t="e">
        <f>I90*L90</f>
        <v>#REF!</v>
      </c>
      <c r="N90" s="199" t="e">
        <f>+M90/(1-0.35)</f>
        <v>#REF!</v>
      </c>
      <c r="O90" s="193" t="e">
        <f>N90/12</f>
        <v>#REF!</v>
      </c>
    </row>
    <row r="91" spans="1:15" ht="12.75" hidden="1">
      <c r="A91" s="230">
        <f>ROW()</f>
        <v>91</v>
      </c>
      <c r="B91" s="247"/>
      <c r="C91" s="231"/>
      <c r="D91" s="213"/>
      <c r="E91" s="213"/>
      <c r="F91" s="213"/>
      <c r="G91" s="215"/>
      <c r="H91" s="232"/>
      <c r="I91" s="213"/>
      <c r="J91" s="217"/>
      <c r="K91" s="248"/>
      <c r="L91" s="248"/>
      <c r="M91" s="233"/>
      <c r="N91" s="233"/>
      <c r="O91" s="233"/>
    </row>
    <row r="92" spans="1:15" ht="12.75">
      <c r="A92" s="169">
        <f>ROW()</f>
        <v>92</v>
      </c>
      <c r="B92" s="171"/>
      <c r="C92" s="222"/>
      <c r="D92" s="202"/>
      <c r="E92" s="202"/>
      <c r="F92" s="202"/>
      <c r="G92" s="204"/>
      <c r="H92" s="223"/>
      <c r="I92" s="202"/>
      <c r="J92" s="224"/>
      <c r="K92" s="243"/>
      <c r="L92" s="243"/>
      <c r="M92" s="234"/>
      <c r="N92" s="234"/>
      <c r="O92" s="234"/>
    </row>
    <row r="93" spans="1:15" ht="12.75">
      <c r="A93" s="160">
        <f>ROW()</f>
        <v>93</v>
      </c>
      <c r="B93" s="180" t="s">
        <v>152</v>
      </c>
      <c r="C93" s="182"/>
      <c r="D93" s="184"/>
      <c r="E93" s="184"/>
      <c r="F93" s="184"/>
      <c r="G93" s="184"/>
      <c r="H93" s="226" t="s">
        <v>153</v>
      </c>
      <c r="I93" s="184"/>
      <c r="J93" s="188"/>
      <c r="K93" s="185"/>
      <c r="L93" s="185"/>
      <c r="M93" s="193"/>
      <c r="N93" s="193"/>
      <c r="O93" s="193"/>
    </row>
    <row r="94" spans="1:15" ht="12.75">
      <c r="A94" s="160">
        <f>ROW()</f>
        <v>94</v>
      </c>
      <c r="B94" s="160" t="s">
        <v>118</v>
      </c>
      <c r="C94" s="182" t="s">
        <v>119</v>
      </c>
      <c r="D94" s="184"/>
      <c r="E94" s="184"/>
      <c r="F94" s="184">
        <v>0</v>
      </c>
      <c r="G94" s="184"/>
      <c r="H94" s="226"/>
      <c r="I94" s="184"/>
      <c r="J94" s="188"/>
      <c r="K94" s="185"/>
      <c r="L94" s="185"/>
      <c r="M94" s="193"/>
      <c r="N94" s="193"/>
      <c r="O94" s="193"/>
    </row>
    <row r="95" spans="1:15" ht="12.75" hidden="1">
      <c r="A95" s="160">
        <f>ROW()</f>
        <v>95</v>
      </c>
      <c r="B95" s="190" t="s">
        <v>132</v>
      </c>
      <c r="C95" s="182" t="s">
        <v>119</v>
      </c>
      <c r="D95" s="184"/>
      <c r="E95" s="184"/>
      <c r="F95" s="184">
        <v>-24871494.4</v>
      </c>
      <c r="G95" s="184"/>
      <c r="H95" s="191"/>
      <c r="I95" s="184">
        <v>-24871494.4</v>
      </c>
      <c r="J95" s="221">
        <v>40178</v>
      </c>
      <c r="K95" s="185"/>
      <c r="L95" s="189">
        <f>$L$21</f>
        <v>0.07</v>
      </c>
      <c r="M95" s="193">
        <v>-62008.383298630135</v>
      </c>
      <c r="N95" s="193">
        <f>+M95/(1-0.35)</f>
        <v>-95397.51276712328</v>
      </c>
      <c r="O95" s="193">
        <f>N95/12</f>
        <v>-7949.792730593606</v>
      </c>
    </row>
    <row r="96" spans="1:15" ht="12.75">
      <c r="A96" s="160">
        <f>ROW()</f>
        <v>96</v>
      </c>
      <c r="B96" s="190" t="s">
        <v>137</v>
      </c>
      <c r="C96" s="182" t="s">
        <v>119</v>
      </c>
      <c r="D96" s="184"/>
      <c r="E96" s="184"/>
      <c r="F96" s="184">
        <v>-29911730</v>
      </c>
      <c r="G96" s="184"/>
      <c r="H96" s="191"/>
      <c r="I96" s="184">
        <v>-25951720.1725</v>
      </c>
      <c r="J96" s="221">
        <v>40543</v>
      </c>
      <c r="K96" s="185"/>
      <c r="L96" s="198" t="s">
        <v>138</v>
      </c>
      <c r="M96" s="193">
        <v>-1797565.4504140962</v>
      </c>
      <c r="N96" s="193">
        <f>+M96/(1-0.35)</f>
        <v>-2765485.3083293787</v>
      </c>
      <c r="O96" s="193">
        <f>N96/12</f>
        <v>-230457.10902744823</v>
      </c>
    </row>
    <row r="97" spans="1:18" ht="12.75" hidden="1">
      <c r="A97" s="160">
        <f>ROW()</f>
        <v>97</v>
      </c>
      <c r="B97" s="190" t="s">
        <v>139</v>
      </c>
      <c r="C97" s="182" t="s">
        <v>119</v>
      </c>
      <c r="D97" s="184"/>
      <c r="E97" s="184"/>
      <c r="F97" s="184">
        <f>F96</f>
        <v>-29911730</v>
      </c>
      <c r="G97" s="184"/>
      <c r="H97" s="191"/>
      <c r="I97" s="184">
        <f>F97</f>
        <v>-29911730</v>
      </c>
      <c r="J97" s="221">
        <v>40908</v>
      </c>
      <c r="K97" s="185"/>
      <c r="L97" s="198" t="e">
        <f>#REF!</f>
        <v>#REF!</v>
      </c>
      <c r="M97" s="193" t="e">
        <v>#REF!</v>
      </c>
      <c r="N97" s="193" t="e">
        <f>+M97/(1-0.35)</f>
        <v>#REF!</v>
      </c>
      <c r="O97" s="193" t="e">
        <f>N97/12</f>
        <v>#REF!</v>
      </c>
      <c r="Q97" s="229" t="e">
        <f>I97*#REF!/0.65</f>
        <v>#REF!</v>
      </c>
      <c r="R97" s="229" t="e">
        <f>Q97-N97</f>
        <v>#REF!</v>
      </c>
    </row>
    <row r="98" spans="1:15" ht="12.75" hidden="1">
      <c r="A98" s="160">
        <f>ROW()</f>
        <v>98</v>
      </c>
      <c r="B98" s="190" t="s">
        <v>142</v>
      </c>
      <c r="C98" s="182" t="s">
        <v>119</v>
      </c>
      <c r="D98" s="184"/>
      <c r="E98" s="184"/>
      <c r="F98" s="184">
        <f>F97</f>
        <v>-29911730</v>
      </c>
      <c r="G98" s="184"/>
      <c r="H98" s="191"/>
      <c r="I98" s="184">
        <f>I97</f>
        <v>-29911730</v>
      </c>
      <c r="J98" s="221">
        <v>41274</v>
      </c>
      <c r="K98" s="185"/>
      <c r="L98" s="198" t="e">
        <f>#REF!</f>
        <v>#REF!</v>
      </c>
      <c r="M98" s="199" t="e">
        <f>I98*L98</f>
        <v>#REF!</v>
      </c>
      <c r="N98" s="199" t="e">
        <f>+M98/(1-0.35)</f>
        <v>#REF!</v>
      </c>
      <c r="O98" s="193" t="e">
        <f>N98/12</f>
        <v>#REF!</v>
      </c>
    </row>
    <row r="99" spans="1:15" ht="12.75" hidden="1">
      <c r="A99" s="230">
        <f>ROW()</f>
        <v>99</v>
      </c>
      <c r="B99" s="237"/>
      <c r="C99" s="231"/>
      <c r="D99" s="213"/>
      <c r="E99" s="213"/>
      <c r="F99" s="213"/>
      <c r="G99" s="213"/>
      <c r="H99" s="232"/>
      <c r="I99" s="213"/>
      <c r="J99" s="242"/>
      <c r="K99" s="215"/>
      <c r="L99" s="215"/>
      <c r="M99" s="233"/>
      <c r="N99" s="233"/>
      <c r="O99" s="233"/>
    </row>
    <row r="100" spans="1:15" ht="12.75">
      <c r="A100" s="169">
        <f>ROW()</f>
        <v>100</v>
      </c>
      <c r="B100" s="238"/>
      <c r="C100" s="222"/>
      <c r="D100" s="202"/>
      <c r="E100" s="202"/>
      <c r="F100" s="202"/>
      <c r="G100" s="202"/>
      <c r="H100" s="223"/>
      <c r="I100" s="202"/>
      <c r="J100" s="249"/>
      <c r="K100" s="204"/>
      <c r="L100" s="204"/>
      <c r="M100" s="234"/>
      <c r="N100" s="234"/>
      <c r="O100" s="234"/>
    </row>
    <row r="101" spans="1:15" ht="12.75">
      <c r="A101" s="160">
        <f>ROW()</f>
        <v>101</v>
      </c>
      <c r="B101" s="180" t="s">
        <v>154</v>
      </c>
      <c r="C101" s="182"/>
      <c r="D101" s="184"/>
      <c r="E101" s="184"/>
      <c r="F101" s="184"/>
      <c r="G101" s="184"/>
      <c r="H101" s="226" t="s">
        <v>155</v>
      </c>
      <c r="I101" s="184"/>
      <c r="J101" s="188"/>
      <c r="K101" s="185"/>
      <c r="L101" s="185"/>
      <c r="M101" s="193"/>
      <c r="N101" s="193"/>
      <c r="O101" s="193"/>
    </row>
    <row r="102" spans="1:15" ht="12.75">
      <c r="A102" s="160">
        <f>ROW()</f>
        <v>102</v>
      </c>
      <c r="B102" s="160" t="s">
        <v>118</v>
      </c>
      <c r="C102" s="182" t="s">
        <v>119</v>
      </c>
      <c r="D102" s="184"/>
      <c r="E102" s="184"/>
      <c r="F102" s="184">
        <v>0</v>
      </c>
      <c r="G102" s="184"/>
      <c r="H102" s="226"/>
      <c r="I102" s="184"/>
      <c r="J102" s="188"/>
      <c r="K102" s="185"/>
      <c r="L102" s="185"/>
      <c r="M102" s="193"/>
      <c r="N102" s="193"/>
      <c r="O102" s="193"/>
    </row>
    <row r="103" spans="1:15" ht="12.75" hidden="1">
      <c r="A103" s="160">
        <f>ROW()</f>
        <v>103</v>
      </c>
      <c r="B103" s="190" t="s">
        <v>132</v>
      </c>
      <c r="C103" s="182" t="s">
        <v>119</v>
      </c>
      <c r="D103" s="184"/>
      <c r="E103" s="184"/>
      <c r="F103" s="184">
        <v>-11158000</v>
      </c>
      <c r="G103" s="184"/>
      <c r="H103" s="191"/>
      <c r="I103" s="184">
        <v>-11158000</v>
      </c>
      <c r="J103" s="221">
        <v>40178</v>
      </c>
      <c r="K103" s="185"/>
      <c r="L103" s="189">
        <f>$L$21</f>
        <v>0.07</v>
      </c>
      <c r="M103" s="193">
        <v>-27818.575342465756</v>
      </c>
      <c r="N103" s="193">
        <f>+M103/(1-0.35)</f>
        <v>-42797.808219178085</v>
      </c>
      <c r="O103" s="193">
        <f>N103/12</f>
        <v>-3566.4840182648404</v>
      </c>
    </row>
    <row r="104" spans="1:15" ht="12.75">
      <c r="A104" s="160">
        <f>ROW()</f>
        <v>104</v>
      </c>
      <c r="B104" s="190" t="s">
        <v>137</v>
      </c>
      <c r="C104" s="182" t="s">
        <v>119</v>
      </c>
      <c r="D104" s="184"/>
      <c r="E104" s="184"/>
      <c r="F104" s="184">
        <v>-11282061.525</v>
      </c>
      <c r="G104" s="184"/>
      <c r="H104" s="191"/>
      <c r="I104" s="184">
        <v>-12226571.646875</v>
      </c>
      <c r="J104" s="221">
        <v>40543</v>
      </c>
      <c r="K104" s="185"/>
      <c r="L104" s="198" t="s">
        <v>138</v>
      </c>
      <c r="M104" s="193">
        <v>-846882.6969213526</v>
      </c>
      <c r="N104" s="193">
        <f>+M104/(1-0.35)</f>
        <v>-1302896.4568020809</v>
      </c>
      <c r="O104" s="193">
        <f>N104/12</f>
        <v>-108574.70473350673</v>
      </c>
    </row>
    <row r="105" spans="1:18" ht="12.75" hidden="1">
      <c r="A105" s="160">
        <f>ROW()</f>
        <v>105</v>
      </c>
      <c r="B105" s="190" t="s">
        <v>139</v>
      </c>
      <c r="C105" s="182" t="s">
        <v>119</v>
      </c>
      <c r="D105" s="184"/>
      <c r="E105" s="184"/>
      <c r="F105" s="184" t="e">
        <v>#REF!</v>
      </c>
      <c r="G105" s="184"/>
      <c r="H105" s="191"/>
      <c r="I105" s="184" t="e">
        <v>#REF!</v>
      </c>
      <c r="J105" s="221">
        <v>40908</v>
      </c>
      <c r="K105" s="185"/>
      <c r="L105" s="198" t="e">
        <f>#REF!</f>
        <v>#REF!</v>
      </c>
      <c r="M105" s="193" t="e">
        <v>#REF!</v>
      </c>
      <c r="N105" s="193" t="e">
        <f>+M105/(1-0.35)</f>
        <v>#REF!</v>
      </c>
      <c r="O105" s="193" t="e">
        <f>N105/12</f>
        <v>#REF!</v>
      </c>
      <c r="Q105" s="229" t="e">
        <f>I105*#REF!/0.65</f>
        <v>#REF!</v>
      </c>
      <c r="R105" s="229" t="e">
        <f>Q105-N105</f>
        <v>#REF!</v>
      </c>
    </row>
    <row r="106" spans="1:15" ht="12.75" hidden="1">
      <c r="A106" s="160">
        <f>ROW()</f>
        <v>106</v>
      </c>
      <c r="B106" s="190" t="s">
        <v>142</v>
      </c>
      <c r="C106" s="182"/>
      <c r="D106" s="184"/>
      <c r="E106" s="184"/>
      <c r="F106" s="184">
        <v>-10235770.12500001</v>
      </c>
      <c r="G106" s="184"/>
      <c r="H106" s="191"/>
      <c r="I106" s="184">
        <f>F106</f>
        <v>-10235770.12500001</v>
      </c>
      <c r="J106" s="221">
        <v>41274</v>
      </c>
      <c r="K106" s="185"/>
      <c r="L106" s="198" t="e">
        <f>#REF!</f>
        <v>#REF!</v>
      </c>
      <c r="M106" s="199" t="e">
        <f>I106*L106</f>
        <v>#REF!</v>
      </c>
      <c r="N106" s="199" t="e">
        <f>+M106/(1-0.35)</f>
        <v>#REF!</v>
      </c>
      <c r="O106" s="193" t="e">
        <f>N106/12</f>
        <v>#REF!</v>
      </c>
    </row>
    <row r="107" spans="1:15" ht="12.75" hidden="1">
      <c r="A107" s="230">
        <f>ROW()</f>
        <v>107</v>
      </c>
      <c r="B107" s="190"/>
      <c r="C107" s="182"/>
      <c r="D107" s="184"/>
      <c r="E107" s="184"/>
      <c r="F107" s="184"/>
      <c r="G107" s="184"/>
      <c r="H107" s="191"/>
      <c r="I107" s="184"/>
      <c r="J107" s="188"/>
      <c r="K107" s="185"/>
      <c r="L107" s="185"/>
      <c r="M107" s="193"/>
      <c r="N107" s="193"/>
      <c r="O107" s="193"/>
    </row>
    <row r="108" spans="1:15" ht="12.75" hidden="1">
      <c r="A108" s="250">
        <f>ROW()</f>
        <v>108</v>
      </c>
      <c r="B108" s="171"/>
      <c r="C108" s="222"/>
      <c r="D108" s="202"/>
      <c r="E108" s="202"/>
      <c r="F108" s="202"/>
      <c r="G108" s="204"/>
      <c r="H108" s="223"/>
      <c r="I108" s="202"/>
      <c r="J108" s="224"/>
      <c r="K108" s="243"/>
      <c r="L108" s="243"/>
      <c r="M108" s="234"/>
      <c r="N108" s="234"/>
      <c r="O108" s="234"/>
    </row>
    <row r="109" spans="1:15" ht="12.75" hidden="1">
      <c r="A109" s="250">
        <f>ROW()</f>
        <v>109</v>
      </c>
      <c r="B109" s="180" t="s">
        <v>156</v>
      </c>
      <c r="C109" s="182"/>
      <c r="D109" s="184"/>
      <c r="E109" s="184"/>
      <c r="F109" s="184"/>
      <c r="G109" s="185"/>
      <c r="H109" s="226" t="s">
        <v>157</v>
      </c>
      <c r="I109" s="184"/>
      <c r="J109" s="221"/>
      <c r="K109" s="239"/>
      <c r="L109" s="239"/>
      <c r="M109" s="193"/>
      <c r="N109" s="193"/>
      <c r="O109" s="194"/>
    </row>
    <row r="110" spans="1:15" ht="12.75" hidden="1">
      <c r="A110" s="250">
        <f>ROW()</f>
        <v>110</v>
      </c>
      <c r="B110" s="190" t="s">
        <v>118</v>
      </c>
      <c r="C110" s="182" t="s">
        <v>119</v>
      </c>
      <c r="D110" s="184"/>
      <c r="E110" s="184"/>
      <c r="F110" s="184">
        <f>0</f>
        <v>0</v>
      </c>
      <c r="G110" s="185"/>
      <c r="H110" s="191"/>
      <c r="I110" s="184"/>
      <c r="J110" s="221"/>
      <c r="K110" s="185"/>
      <c r="L110" s="189"/>
      <c r="M110" s="193"/>
      <c r="N110" s="193"/>
      <c r="O110" s="251"/>
    </row>
    <row r="111" spans="1:15" ht="12.75" hidden="1">
      <c r="A111" s="250">
        <f>ROW()</f>
        <v>111</v>
      </c>
      <c r="B111" s="190" t="s">
        <v>124</v>
      </c>
      <c r="C111" s="182" t="s">
        <v>119</v>
      </c>
      <c r="D111" s="184">
        <v>0</v>
      </c>
      <c r="E111" s="184">
        <v>0</v>
      </c>
      <c r="F111" s="184">
        <v>-977293.0829999999</v>
      </c>
      <c r="G111" s="185"/>
      <c r="H111" s="191"/>
      <c r="I111" s="184"/>
      <c r="J111" s="221"/>
      <c r="K111" s="185"/>
      <c r="L111" s="189"/>
      <c r="M111" s="193"/>
      <c r="N111" s="193"/>
      <c r="O111" s="251"/>
    </row>
    <row r="112" spans="1:15" ht="12.75" hidden="1">
      <c r="A112" s="250">
        <f>ROW()</f>
        <v>112</v>
      </c>
      <c r="B112" s="190" t="s">
        <v>125</v>
      </c>
      <c r="C112" s="182" t="s">
        <v>119</v>
      </c>
      <c r="D112" s="184">
        <v>0</v>
      </c>
      <c r="E112" s="184">
        <v>632917.1562500001</v>
      </c>
      <c r="F112" s="184">
        <v>-6170942.273437503</v>
      </c>
      <c r="G112" s="185"/>
      <c r="H112" s="240">
        <v>0</v>
      </c>
      <c r="I112" s="236">
        <v>-1317325.5834375003</v>
      </c>
      <c r="J112" s="221">
        <v>38533</v>
      </c>
      <c r="K112" s="185"/>
      <c r="L112" s="198" t="str">
        <f>L82</f>
        <v>7.3%&amp;7.01%</v>
      </c>
      <c r="M112" s="199">
        <v>-62513.053967568776</v>
      </c>
      <c r="N112" s="199">
        <f aca="true" t="shared" si="14" ref="N112:N117">+M112/(1-0.35)</f>
        <v>-96173.92918087504</v>
      </c>
      <c r="O112" s="193">
        <f aca="true" t="shared" si="15" ref="O112:O117">N112/12</f>
        <v>-8014.494098406253</v>
      </c>
    </row>
    <row r="113" spans="1:15" ht="12.75" hidden="1">
      <c r="A113" s="250">
        <f>ROW()</f>
        <v>113</v>
      </c>
      <c r="B113" s="252" t="s">
        <v>127</v>
      </c>
      <c r="C113" s="201" t="s">
        <v>119</v>
      </c>
      <c r="D113" s="202">
        <v>0</v>
      </c>
      <c r="E113" s="203">
        <v>3797502.9375000005</v>
      </c>
      <c r="F113" s="203">
        <v>-3702565.364062503</v>
      </c>
      <c r="G113" s="204"/>
      <c r="H113" s="205">
        <v>2531668.6250000005</v>
      </c>
      <c r="I113" s="202">
        <v>-5490031.494187501</v>
      </c>
      <c r="J113" s="206">
        <v>38898</v>
      </c>
      <c r="K113" s="207"/>
      <c r="L113" s="208">
        <f>$L$17</f>
        <v>0.07010000000000001</v>
      </c>
      <c r="M113" s="209">
        <f>I113*L113</f>
        <v>-384851.2077425439</v>
      </c>
      <c r="N113" s="209">
        <f t="shared" si="14"/>
        <v>-592078.7811423752</v>
      </c>
      <c r="O113" s="210">
        <f t="shared" si="15"/>
        <v>-49339.89842853127</v>
      </c>
    </row>
    <row r="114" spans="1:15" ht="12.75" hidden="1">
      <c r="A114" s="250">
        <f>ROW()</f>
        <v>114</v>
      </c>
      <c r="B114" s="253"/>
      <c r="C114" s="212"/>
      <c r="D114" s="213"/>
      <c r="E114" s="214"/>
      <c r="F114" s="214"/>
      <c r="G114" s="215"/>
      <c r="H114" s="216">
        <v>1898751.4687500002</v>
      </c>
      <c r="I114" s="213">
        <v>-4319659.591406253</v>
      </c>
      <c r="J114" s="217">
        <v>39082</v>
      </c>
      <c r="K114" s="215"/>
      <c r="L114" s="218">
        <f>$L$17</f>
        <v>0.07010000000000001</v>
      </c>
      <c r="M114" s="219">
        <f>I114*L114</f>
        <v>-302808.1373575784</v>
      </c>
      <c r="N114" s="219">
        <f t="shared" si="14"/>
        <v>-465858.6728578129</v>
      </c>
      <c r="O114" s="220">
        <f>N114/12</f>
        <v>-38821.55607148441</v>
      </c>
    </row>
    <row r="115" spans="1:15" ht="12.75" hidden="1">
      <c r="A115" s="250">
        <f>ROW()</f>
        <v>115</v>
      </c>
      <c r="B115" s="190" t="s">
        <v>128</v>
      </c>
      <c r="C115" s="182" t="s">
        <v>119</v>
      </c>
      <c r="D115" s="184">
        <v>0</v>
      </c>
      <c r="E115" s="184">
        <v>3797502.9375000005</v>
      </c>
      <c r="F115" s="184">
        <v>-1234188.4546875036</v>
      </c>
      <c r="G115" s="185"/>
      <c r="H115" s="240">
        <v>3797502.9375000005</v>
      </c>
      <c r="I115" s="236">
        <v>-2468376.9093750035</v>
      </c>
      <c r="J115" s="221">
        <v>39447</v>
      </c>
      <c r="K115" s="185"/>
      <c r="L115" s="198" t="s">
        <v>129</v>
      </c>
      <c r="M115" s="199">
        <v>-174226.83374309106</v>
      </c>
      <c r="N115" s="199">
        <f t="shared" si="14"/>
        <v>-268041.28268167854</v>
      </c>
      <c r="O115" s="193">
        <f t="shared" si="15"/>
        <v>-22336.773556806544</v>
      </c>
    </row>
    <row r="116" spans="1:15" ht="12.75" hidden="1">
      <c r="A116" s="250">
        <f>ROW()</f>
        <v>116</v>
      </c>
      <c r="B116" s="190" t="s">
        <v>130</v>
      </c>
      <c r="C116" s="182" t="s">
        <v>119</v>
      </c>
      <c r="D116" s="184">
        <v>0</v>
      </c>
      <c r="E116" s="184">
        <v>1898751.4687500002</v>
      </c>
      <c r="F116" s="184">
        <v>-2.8230715543031693E-09</v>
      </c>
      <c r="G116" s="185"/>
      <c r="H116" s="240">
        <v>1898751.4687500002</v>
      </c>
      <c r="I116" s="236">
        <v>-308547.1136718778</v>
      </c>
      <c r="J116" s="221">
        <v>39813</v>
      </c>
      <c r="K116" s="185"/>
      <c r="L116" s="198" t="str">
        <f>$L$20</f>
        <v>7.06%&amp;7.00%</v>
      </c>
      <c r="M116" s="199">
        <v>-21752.571513867384</v>
      </c>
      <c r="N116" s="199">
        <f t="shared" si="14"/>
        <v>-33465.49463671905</v>
      </c>
      <c r="O116" s="193">
        <f t="shared" si="15"/>
        <v>-2788.7912197265873</v>
      </c>
    </row>
    <row r="117" spans="1:15" ht="12.75" hidden="1">
      <c r="A117" s="250">
        <f>ROW()</f>
        <v>117</v>
      </c>
      <c r="B117" s="190" t="s">
        <v>132</v>
      </c>
      <c r="C117" s="182" t="s">
        <v>119</v>
      </c>
      <c r="D117" s="184">
        <v>0</v>
      </c>
      <c r="E117" s="184">
        <v>0</v>
      </c>
      <c r="F117" s="184">
        <v>0</v>
      </c>
      <c r="G117" s="185"/>
      <c r="H117" s="240">
        <v>0</v>
      </c>
      <c r="I117" s="236">
        <v>0</v>
      </c>
      <c r="J117" s="221">
        <v>40178</v>
      </c>
      <c r="K117" s="185"/>
      <c r="L117" s="189">
        <f>$L$21</f>
        <v>0.07</v>
      </c>
      <c r="M117" s="199">
        <f>I117*L117</f>
        <v>0</v>
      </c>
      <c r="N117" s="199">
        <f t="shared" si="14"/>
        <v>0</v>
      </c>
      <c r="O117" s="193">
        <f t="shared" si="15"/>
        <v>0</v>
      </c>
    </row>
    <row r="118" spans="1:15" ht="12.75" hidden="1">
      <c r="A118" s="250">
        <f>ROW()</f>
        <v>118</v>
      </c>
      <c r="B118" s="254"/>
      <c r="C118" s="213"/>
      <c r="D118" s="213"/>
      <c r="E118" s="213"/>
      <c r="F118" s="213"/>
      <c r="G118" s="215"/>
      <c r="H118" s="232"/>
      <c r="I118" s="213"/>
      <c r="J118" s="217"/>
      <c r="K118" s="215"/>
      <c r="L118" s="218"/>
      <c r="M118" s="233"/>
      <c r="N118" s="233"/>
      <c r="O118" s="233"/>
    </row>
    <row r="119" spans="1:15" ht="12.75">
      <c r="A119" s="169">
        <f>ROW()</f>
        <v>119</v>
      </c>
      <c r="B119" s="255"/>
      <c r="C119" s="202"/>
      <c r="D119" s="202"/>
      <c r="E119" s="202"/>
      <c r="F119" s="202"/>
      <c r="G119" s="256"/>
      <c r="H119" s="202"/>
      <c r="I119" s="202"/>
      <c r="J119" s="224"/>
      <c r="K119" s="204"/>
      <c r="L119" s="208"/>
      <c r="M119" s="234"/>
      <c r="N119" s="234"/>
      <c r="O119" s="234"/>
    </row>
    <row r="120" spans="1:14" ht="12.75">
      <c r="A120" s="160">
        <f>ROW()</f>
        <v>120</v>
      </c>
      <c r="B120" s="180" t="s">
        <v>158</v>
      </c>
      <c r="C120" s="184"/>
      <c r="D120" s="184"/>
      <c r="E120" s="184"/>
      <c r="F120" s="184"/>
      <c r="G120" s="257"/>
      <c r="H120" s="258" t="s">
        <v>159</v>
      </c>
      <c r="I120" s="184"/>
      <c r="J120" s="259"/>
      <c r="K120" s="260"/>
      <c r="L120" s="261"/>
      <c r="M120" s="193"/>
      <c r="N120" s="193"/>
    </row>
    <row r="121" spans="1:14" ht="12.75" hidden="1">
      <c r="A121" s="160">
        <f>ROW()</f>
        <v>121</v>
      </c>
      <c r="B121" s="190" t="s">
        <v>118</v>
      </c>
      <c r="C121" s="182" t="s">
        <v>119</v>
      </c>
      <c r="D121" s="184"/>
      <c r="E121" s="184"/>
      <c r="F121" s="184">
        <v>10750000</v>
      </c>
      <c r="G121" s="257"/>
      <c r="H121" s="184"/>
      <c r="I121" s="184"/>
      <c r="J121" s="259"/>
      <c r="K121" s="260"/>
      <c r="L121" s="261"/>
      <c r="M121" s="193"/>
      <c r="N121" s="193"/>
    </row>
    <row r="122" spans="1:15" ht="12.75" hidden="1">
      <c r="A122" s="160">
        <f>ROW()</f>
        <v>122</v>
      </c>
      <c r="B122" s="190" t="s">
        <v>125</v>
      </c>
      <c r="C122" s="182" t="s">
        <v>119</v>
      </c>
      <c r="D122" s="184"/>
      <c r="E122" s="184">
        <v>0</v>
      </c>
      <c r="F122" s="184">
        <f>F121+E122</f>
        <v>10750000</v>
      </c>
      <c r="G122" s="257"/>
      <c r="H122" s="184">
        <v>0</v>
      </c>
      <c r="I122" s="184">
        <v>0</v>
      </c>
      <c r="J122" s="221">
        <v>38533</v>
      </c>
      <c r="K122" s="260"/>
      <c r="L122" s="198" t="str">
        <f>L112</f>
        <v>7.3%&amp;7.01%</v>
      </c>
      <c r="M122" s="193">
        <v>0</v>
      </c>
      <c r="N122" s="193">
        <v>0</v>
      </c>
      <c r="O122" s="193">
        <v>0</v>
      </c>
    </row>
    <row r="123" spans="1:15" ht="12.75" hidden="1">
      <c r="A123" s="160">
        <f>ROW()</f>
        <v>123</v>
      </c>
      <c r="B123" s="200" t="s">
        <v>127</v>
      </c>
      <c r="C123" s="201" t="s">
        <v>119</v>
      </c>
      <c r="D123" s="202"/>
      <c r="E123" s="202">
        <v>-1872029.49</v>
      </c>
      <c r="F123" s="202">
        <f>F122+E123-20000</f>
        <v>8857970.51</v>
      </c>
      <c r="G123" s="204"/>
      <c r="H123" s="205">
        <v>-367908.8928248915</v>
      </c>
      <c r="I123" s="202">
        <v>6670465.356423163</v>
      </c>
      <c r="J123" s="206">
        <v>38898</v>
      </c>
      <c r="K123" s="207"/>
      <c r="L123" s="208">
        <f>$L$17</f>
        <v>0.07010000000000001</v>
      </c>
      <c r="M123" s="209">
        <f>I123*L123</f>
        <v>467599.6214852638</v>
      </c>
      <c r="N123" s="209">
        <f aca="true" t="shared" si="16" ref="N123:N129">+M123/(1-0.35)</f>
        <v>719384.033054252</v>
      </c>
      <c r="O123" s="210">
        <f aca="true" t="shared" si="17" ref="O123:O128">N123/12</f>
        <v>59948.66942118767</v>
      </c>
    </row>
    <row r="124" spans="1:15" ht="12.75" hidden="1">
      <c r="A124" s="160">
        <f>ROW()</f>
        <v>124</v>
      </c>
      <c r="B124" s="211"/>
      <c r="C124" s="212"/>
      <c r="D124" s="213"/>
      <c r="E124" s="214"/>
      <c r="F124" s="214"/>
      <c r="G124" s="215"/>
      <c r="H124" s="216">
        <f>+E123-H123</f>
        <v>-1504120.5971751085</v>
      </c>
      <c r="I124" s="213">
        <v>9365524.824166667</v>
      </c>
      <c r="J124" s="217">
        <v>39082</v>
      </c>
      <c r="K124" s="215"/>
      <c r="L124" s="218">
        <f>$L$17</f>
        <v>0.07010000000000001</v>
      </c>
      <c r="M124" s="219">
        <f>I124*L124</f>
        <v>656523.2901740834</v>
      </c>
      <c r="N124" s="219">
        <f t="shared" si="16"/>
        <v>1010035.8310370514</v>
      </c>
      <c r="O124" s="220">
        <f t="shared" si="17"/>
        <v>84169.65258642095</v>
      </c>
    </row>
    <row r="125" spans="1:15" ht="12.75" hidden="1">
      <c r="A125" s="160">
        <f>ROW()</f>
        <v>125</v>
      </c>
      <c r="B125" s="190" t="s">
        <v>128</v>
      </c>
      <c r="C125" s="182" t="s">
        <v>119</v>
      </c>
      <c r="D125" s="184"/>
      <c r="E125" s="184">
        <v>-901653.7100000002</v>
      </c>
      <c r="F125" s="184">
        <f>F123+E125-518609</f>
        <v>7437707.8</v>
      </c>
      <c r="G125" s="257"/>
      <c r="H125" s="240">
        <f>E125</f>
        <v>-901653.7100000002</v>
      </c>
      <c r="I125" s="236">
        <v>8477695.015833335</v>
      </c>
      <c r="J125" s="221">
        <v>39447</v>
      </c>
      <c r="K125" s="260"/>
      <c r="L125" s="198" t="s">
        <v>129</v>
      </c>
      <c r="M125" s="199">
        <v>598385.9087477102</v>
      </c>
      <c r="N125" s="199">
        <f t="shared" si="16"/>
        <v>920593.7057657079</v>
      </c>
      <c r="O125" s="193">
        <f t="shared" si="17"/>
        <v>76716.14214714232</v>
      </c>
    </row>
    <row r="126" spans="1:15" ht="12.75" hidden="1">
      <c r="A126" s="160">
        <f>ROW()</f>
        <v>126</v>
      </c>
      <c r="B126" s="190" t="s">
        <v>130</v>
      </c>
      <c r="C126" s="182" t="s">
        <v>119</v>
      </c>
      <c r="D126" s="184"/>
      <c r="E126" s="184">
        <v>-1980754.0399999998</v>
      </c>
      <c r="F126" s="184">
        <f>F125+E126</f>
        <v>5456953.76</v>
      </c>
      <c r="G126" s="257"/>
      <c r="H126" s="240">
        <f>E126</f>
        <v>-1980754.0399999998</v>
      </c>
      <c r="I126" s="184">
        <v>6240829.689166665</v>
      </c>
      <c r="J126" s="221">
        <v>39813</v>
      </c>
      <c r="K126" s="260"/>
      <c r="L126" s="198" t="str">
        <f>$L$20</f>
        <v>7.06%&amp;7.00%</v>
      </c>
      <c r="M126" s="199">
        <v>440019.4569349999</v>
      </c>
      <c r="N126" s="199">
        <f t="shared" si="16"/>
        <v>676953.0106692306</v>
      </c>
      <c r="O126" s="193">
        <f t="shared" si="17"/>
        <v>56412.75088910255</v>
      </c>
    </row>
    <row r="127" spans="1:15" ht="12.75" hidden="1">
      <c r="A127" s="160">
        <f>ROW()</f>
        <v>127</v>
      </c>
      <c r="B127" s="190" t="s">
        <v>132</v>
      </c>
      <c r="C127" s="182" t="s">
        <v>119</v>
      </c>
      <c r="D127" s="184"/>
      <c r="E127" s="184">
        <v>-2323051.21</v>
      </c>
      <c r="F127" s="184">
        <v>2633902.719999999</v>
      </c>
      <c r="G127" s="257"/>
      <c r="H127" s="240">
        <f>E127</f>
        <v>-2323051.21</v>
      </c>
      <c r="I127" s="184">
        <v>3801721.3862499986</v>
      </c>
      <c r="J127" s="221">
        <v>40178</v>
      </c>
      <c r="K127" s="260"/>
      <c r="L127" s="262">
        <f>$L$21</f>
        <v>0.07</v>
      </c>
      <c r="M127" s="199">
        <v>266120.4970374999</v>
      </c>
      <c r="N127" s="199">
        <f t="shared" si="16"/>
        <v>409416.14928846137</v>
      </c>
      <c r="O127" s="193">
        <f t="shared" si="17"/>
        <v>34118.01244070511</v>
      </c>
    </row>
    <row r="128" spans="1:15" ht="12.75">
      <c r="A128" s="160">
        <f>ROW()</f>
        <v>128</v>
      </c>
      <c r="B128" s="190" t="s">
        <v>137</v>
      </c>
      <c r="C128" s="182" t="s">
        <v>119</v>
      </c>
      <c r="D128" s="184"/>
      <c r="E128" s="184">
        <v>-2325347.950000004</v>
      </c>
      <c r="F128" s="184">
        <v>308554.7699999947</v>
      </c>
      <c r="G128" s="257"/>
      <c r="H128" s="240">
        <f>E128</f>
        <v>-2325347.950000004</v>
      </c>
      <c r="I128" s="184">
        <v>1445640.3254166653</v>
      </c>
      <c r="J128" s="221">
        <v>40543</v>
      </c>
      <c r="K128" s="260"/>
      <c r="L128" s="198" t="s">
        <v>138</v>
      </c>
      <c r="M128" s="199">
        <v>100133.36632105241</v>
      </c>
      <c r="N128" s="199">
        <f t="shared" si="16"/>
        <v>154051.33280161908</v>
      </c>
      <c r="O128" s="193">
        <f t="shared" si="17"/>
        <v>12837.61106680159</v>
      </c>
    </row>
    <row r="129" spans="1:18" ht="12.75" hidden="1">
      <c r="A129" s="160">
        <f>ROW()</f>
        <v>129</v>
      </c>
      <c r="B129" s="190" t="s">
        <v>139</v>
      </c>
      <c r="C129" s="182" t="s">
        <v>119</v>
      </c>
      <c r="D129" s="184"/>
      <c r="E129" s="184">
        <v>-308554.76999999734</v>
      </c>
      <c r="F129" s="184">
        <v>-2.5902409106492996E-09</v>
      </c>
      <c r="G129" s="260"/>
      <c r="H129" s="240">
        <f>E129</f>
        <v>-308554.76999999734</v>
      </c>
      <c r="I129" s="184">
        <v>35638.67041666329</v>
      </c>
      <c r="J129" s="221">
        <v>40908</v>
      </c>
      <c r="K129" s="260"/>
      <c r="L129" s="198" t="e">
        <f>#REF!</f>
        <v>#REF!</v>
      </c>
      <c r="M129" s="199" t="e">
        <v>#REF!</v>
      </c>
      <c r="N129" s="199" t="e">
        <f t="shared" si="16"/>
        <v>#REF!</v>
      </c>
      <c r="O129" s="193" t="e">
        <f>N129/12</f>
        <v>#REF!</v>
      </c>
      <c r="Q129" s="229" t="e">
        <f>I129*#REF!/0.65</f>
        <v>#REF!</v>
      </c>
      <c r="R129" s="229" t="e">
        <f>Q129-N129</f>
        <v>#REF!</v>
      </c>
    </row>
    <row r="130" spans="1:15" ht="12.75" hidden="1">
      <c r="A130" s="230">
        <f>ROW()</f>
        <v>130</v>
      </c>
      <c r="B130" s="237"/>
      <c r="C130" s="231"/>
      <c r="D130" s="213"/>
      <c r="E130" s="213"/>
      <c r="F130" s="213"/>
      <c r="G130" s="263"/>
      <c r="H130" s="264"/>
      <c r="I130" s="213"/>
      <c r="J130" s="265"/>
      <c r="K130" s="266"/>
      <c r="L130" s="267"/>
      <c r="M130" s="219"/>
      <c r="N130" s="219"/>
      <c r="O130" s="233"/>
    </row>
    <row r="131" spans="1:15" ht="12.75">
      <c r="A131" s="169">
        <f>ROW()</f>
        <v>131</v>
      </c>
      <c r="B131" s="238"/>
      <c r="C131" s="222"/>
      <c r="D131" s="202"/>
      <c r="E131" s="202"/>
      <c r="F131" s="202"/>
      <c r="G131" s="268"/>
      <c r="H131" s="269"/>
      <c r="I131" s="202"/>
      <c r="J131" s="206"/>
      <c r="K131" s="270"/>
      <c r="L131" s="271"/>
      <c r="M131" s="209"/>
      <c r="N131" s="209"/>
      <c r="O131" s="234"/>
    </row>
    <row r="132" spans="1:14" ht="12.75">
      <c r="A132" s="160">
        <f>ROW()</f>
        <v>132</v>
      </c>
      <c r="B132" s="180" t="s">
        <v>160</v>
      </c>
      <c r="C132" s="184"/>
      <c r="D132" s="184"/>
      <c r="E132" s="184"/>
      <c r="F132" s="184"/>
      <c r="G132" s="185"/>
      <c r="H132" s="226" t="s">
        <v>161</v>
      </c>
      <c r="I132" s="184"/>
      <c r="J132" s="188"/>
      <c r="K132" s="185"/>
      <c r="L132" s="167"/>
      <c r="M132" s="193"/>
      <c r="N132" s="193"/>
    </row>
    <row r="133" spans="1:15" ht="12.75" hidden="1">
      <c r="A133" s="160">
        <f>ROW()</f>
        <v>133</v>
      </c>
      <c r="B133" s="244" t="s">
        <v>130</v>
      </c>
      <c r="C133" s="182" t="s">
        <v>119</v>
      </c>
      <c r="D133" s="184"/>
      <c r="E133" s="184">
        <v>-693692.3039541667</v>
      </c>
      <c r="F133" s="184">
        <v>7664769.167220833</v>
      </c>
      <c r="G133" s="257"/>
      <c r="H133" s="235">
        <f>E133</f>
        <v>-693692.3039541667</v>
      </c>
      <c r="I133" s="184">
        <v>7814471.913137154</v>
      </c>
      <c r="J133" s="221">
        <v>39813</v>
      </c>
      <c r="K133" s="260"/>
      <c r="L133" s="198" t="s">
        <v>131</v>
      </c>
      <c r="M133" s="199">
        <v>91147.01033262184</v>
      </c>
      <c r="N133" s="199">
        <f>+M133/(1-0.35)</f>
        <v>140226.16974249514</v>
      </c>
      <c r="O133" s="193">
        <f>N133/12</f>
        <v>11685.514145207928</v>
      </c>
    </row>
    <row r="134" spans="1:15" ht="12.75" hidden="1">
      <c r="A134" s="160">
        <f>ROW()</f>
        <v>134</v>
      </c>
      <c r="B134" s="244" t="s">
        <v>132</v>
      </c>
      <c r="C134" s="182" t="s">
        <v>119</v>
      </c>
      <c r="D134" s="184"/>
      <c r="E134" s="184">
        <v>-4162153.8237249996</v>
      </c>
      <c r="F134" s="184">
        <v>4959615.343495834</v>
      </c>
      <c r="G134" s="257"/>
      <c r="H134" s="235">
        <f>E134</f>
        <v>-4162153.8237249996</v>
      </c>
      <c r="I134" s="184">
        <v>6308567.255358334</v>
      </c>
      <c r="J134" s="221">
        <v>40178</v>
      </c>
      <c r="K134" s="260"/>
      <c r="L134" s="189">
        <f>$L$21</f>
        <v>0.07</v>
      </c>
      <c r="M134" s="199">
        <v>441599.7078750834</v>
      </c>
      <c r="N134" s="199">
        <f>+M134/(1-0.35)</f>
        <v>679384.1659616667</v>
      </c>
      <c r="O134" s="193">
        <f>N134/12</f>
        <v>56615.34716347223</v>
      </c>
    </row>
    <row r="135" spans="1:15" ht="12.75">
      <c r="A135" s="160">
        <f>ROW()</f>
        <v>135</v>
      </c>
      <c r="B135" s="244" t="s">
        <v>137</v>
      </c>
      <c r="C135" s="182" t="s">
        <v>119</v>
      </c>
      <c r="D135" s="184"/>
      <c r="E135" s="184">
        <v>-4162153.8237249996</v>
      </c>
      <c r="F135" s="184">
        <v>2254124.075326387</v>
      </c>
      <c r="G135" s="257"/>
      <c r="H135" s="235">
        <f>E135</f>
        <v>-4162153.8237249996</v>
      </c>
      <c r="I135" s="184">
        <v>3605722.95478148</v>
      </c>
      <c r="J135" s="221">
        <v>40543</v>
      </c>
      <c r="K135" s="260"/>
      <c r="L135" s="198" t="s">
        <v>138</v>
      </c>
      <c r="M135" s="199">
        <v>249753.11710352162</v>
      </c>
      <c r="N135" s="199">
        <f>+M135/(1-0.35)</f>
        <v>384235.56477464864</v>
      </c>
      <c r="O135" s="193">
        <f>N135/12</f>
        <v>32019.630397887388</v>
      </c>
    </row>
    <row r="136" spans="1:18" ht="12.75" hidden="1">
      <c r="A136" s="160">
        <f>ROW()</f>
        <v>136</v>
      </c>
      <c r="B136" s="244" t="s">
        <v>139</v>
      </c>
      <c r="C136" s="182" t="s">
        <v>119</v>
      </c>
      <c r="D136" s="184"/>
      <c r="E136" s="184">
        <v>-3468461.519770833</v>
      </c>
      <c r="F136" s="184">
        <v>-1281.8888888889505</v>
      </c>
      <c r="G136" s="257"/>
      <c r="H136" s="235">
        <f>E136</f>
        <v>-3468461.519770833</v>
      </c>
      <c r="I136" s="184">
        <v>938470.5962008107</v>
      </c>
      <c r="J136" s="221">
        <v>40908</v>
      </c>
      <c r="K136" s="260"/>
      <c r="L136" s="198" t="e">
        <f>#REF!</f>
        <v>#REF!</v>
      </c>
      <c r="M136" s="199" t="e">
        <v>#REF!</v>
      </c>
      <c r="N136" s="199" t="e">
        <f>+M136/(1-0.35)</f>
        <v>#REF!</v>
      </c>
      <c r="O136" s="193" t="e">
        <f>N136/12</f>
        <v>#REF!</v>
      </c>
      <c r="Q136" s="229" t="e">
        <f>I136*#REF!/0.65</f>
        <v>#REF!</v>
      </c>
      <c r="R136" s="229" t="e">
        <f>Q136-N136</f>
        <v>#REF!</v>
      </c>
    </row>
    <row r="137" spans="1:15" ht="12.75" hidden="1">
      <c r="A137" s="230">
        <f>ROW()</f>
        <v>137</v>
      </c>
      <c r="B137" s="237"/>
      <c r="C137" s="231"/>
      <c r="D137" s="213"/>
      <c r="E137" s="213"/>
      <c r="F137" s="213"/>
      <c r="G137" s="263"/>
      <c r="H137" s="264"/>
      <c r="I137" s="213"/>
      <c r="J137" s="265"/>
      <c r="K137" s="266"/>
      <c r="L137" s="267"/>
      <c r="M137" s="219"/>
      <c r="N137" s="219"/>
      <c r="O137" s="233"/>
    </row>
    <row r="138" spans="1:15" ht="12.75">
      <c r="A138" s="169">
        <f>ROW()</f>
        <v>138</v>
      </c>
      <c r="B138" s="238"/>
      <c r="C138" s="222"/>
      <c r="D138" s="202"/>
      <c r="E138" s="202"/>
      <c r="F138" s="202"/>
      <c r="G138" s="268"/>
      <c r="H138" s="269"/>
      <c r="I138" s="202"/>
      <c r="J138" s="206"/>
      <c r="K138" s="270"/>
      <c r="L138" s="271"/>
      <c r="M138" s="209"/>
      <c r="N138" s="209"/>
      <c r="O138" s="234"/>
    </row>
    <row r="139" spans="1:15" s="149" customFormat="1" ht="13.5" customHeight="1">
      <c r="A139" s="160">
        <f>ROW()</f>
        <v>139</v>
      </c>
      <c r="B139" s="180" t="s">
        <v>162</v>
      </c>
      <c r="C139" s="182"/>
      <c r="D139" s="184"/>
      <c r="E139" s="184"/>
      <c r="F139" s="184"/>
      <c r="G139" s="257"/>
      <c r="H139" s="226" t="s">
        <v>163</v>
      </c>
      <c r="I139" s="184"/>
      <c r="J139" s="196"/>
      <c r="K139" s="260"/>
      <c r="L139" s="262"/>
      <c r="M139" s="199"/>
      <c r="N139" s="199"/>
      <c r="O139" s="193"/>
    </row>
    <row r="140" spans="1:15" s="149" customFormat="1" ht="12.75" hidden="1">
      <c r="A140" s="160">
        <f>ROW()</f>
        <v>140</v>
      </c>
      <c r="B140" s="244" t="s">
        <v>130</v>
      </c>
      <c r="C140" s="182" t="s">
        <v>119</v>
      </c>
      <c r="D140" s="184"/>
      <c r="E140" s="184">
        <v>241916.66666666666</v>
      </c>
      <c r="F140" s="184">
        <v>-1729704.166666667</v>
      </c>
      <c r="G140" s="257"/>
      <c r="H140" s="240">
        <f>E140</f>
        <v>241916.66666666666</v>
      </c>
      <c r="I140" s="184">
        <v>-464681.5972222222</v>
      </c>
      <c r="J140" s="221">
        <v>39813</v>
      </c>
      <c r="K140" s="260"/>
      <c r="L140" s="198" t="s">
        <v>131</v>
      </c>
      <c r="M140" s="199">
        <v>-5421.285300925926</v>
      </c>
      <c r="N140" s="199">
        <f>+M140/(1-0.35)</f>
        <v>-8340.438924501424</v>
      </c>
      <c r="O140" s="193">
        <f>N140/12</f>
        <v>-695.0365770417853</v>
      </c>
    </row>
    <row r="141" spans="1:15" s="149" customFormat="1" ht="12.75" hidden="1">
      <c r="A141" s="160">
        <f>ROW()</f>
        <v>141</v>
      </c>
      <c r="B141" s="244" t="s">
        <v>132</v>
      </c>
      <c r="C141" s="182" t="s">
        <v>119</v>
      </c>
      <c r="D141" s="184"/>
      <c r="E141" s="184">
        <v>1451499.9999999998</v>
      </c>
      <c r="F141" s="184">
        <v>-786229.166666667</v>
      </c>
      <c r="G141" s="257"/>
      <c r="H141" s="240">
        <f>E141</f>
        <v>1451499.9999999998</v>
      </c>
      <c r="I141" s="184">
        <v>-1257966.6666666667</v>
      </c>
      <c r="J141" s="221">
        <v>40178</v>
      </c>
      <c r="K141" s="260"/>
      <c r="L141" s="189">
        <f>$L$21</f>
        <v>0.07</v>
      </c>
      <c r="M141" s="199">
        <v>-88057.66666666669</v>
      </c>
      <c r="N141" s="199">
        <f>+M141/(1-0.35)</f>
        <v>-135473.33333333337</v>
      </c>
      <c r="O141" s="193">
        <f>N141/12</f>
        <v>-11289.444444444447</v>
      </c>
    </row>
    <row r="142" spans="1:15" s="149" customFormat="1" ht="12.75">
      <c r="A142" s="160">
        <f>ROW()</f>
        <v>142</v>
      </c>
      <c r="B142" s="244" t="s">
        <v>137</v>
      </c>
      <c r="C142" s="182" t="s">
        <v>119</v>
      </c>
      <c r="D142" s="184"/>
      <c r="E142" s="184">
        <v>1209583.3333333333</v>
      </c>
      <c r="F142" s="184">
        <v>0</v>
      </c>
      <c r="G142" s="257"/>
      <c r="H142" s="240">
        <f>E142</f>
        <v>1209583.3333333333</v>
      </c>
      <c r="I142" s="184">
        <v>-327264.69444444455</v>
      </c>
      <c r="J142" s="221">
        <v>40543</v>
      </c>
      <c r="K142" s="260"/>
      <c r="L142" s="198" t="s">
        <v>138</v>
      </c>
      <c r="M142" s="199">
        <v>-22668.235629984785</v>
      </c>
      <c r="N142" s="199">
        <f>+M142/(1-0.35)</f>
        <v>-34874.208661515055</v>
      </c>
      <c r="O142" s="193">
        <f>N142/12</f>
        <v>-2906.1840551262544</v>
      </c>
    </row>
    <row r="143" spans="1:18" ht="12.75" hidden="1">
      <c r="A143" s="230">
        <f>ROW()</f>
        <v>143</v>
      </c>
      <c r="B143" s="244"/>
      <c r="C143" s="182"/>
      <c r="D143" s="184"/>
      <c r="E143" s="184"/>
      <c r="F143" s="184"/>
      <c r="G143" s="257"/>
      <c r="H143" s="240"/>
      <c r="I143" s="184"/>
      <c r="J143" s="221"/>
      <c r="K143" s="260"/>
      <c r="L143" s="198"/>
      <c r="M143" s="199"/>
      <c r="N143" s="199"/>
      <c r="O143" s="193"/>
      <c r="Q143" s="229" t="e">
        <f>I143*#REF!/0.65</f>
        <v>#REF!</v>
      </c>
      <c r="R143" s="229" t="e">
        <f>Q143-N143</f>
        <v>#REF!</v>
      </c>
    </row>
    <row r="144" spans="1:15" ht="12.75">
      <c r="A144" s="169">
        <f>ROW()</f>
        <v>144</v>
      </c>
      <c r="B144" s="272"/>
      <c r="C144" s="222"/>
      <c r="D144" s="202"/>
      <c r="E144" s="202"/>
      <c r="F144" s="202"/>
      <c r="G144" s="268"/>
      <c r="H144" s="273"/>
      <c r="I144" s="202"/>
      <c r="J144" s="206"/>
      <c r="K144" s="270"/>
      <c r="L144" s="208"/>
      <c r="M144" s="209"/>
      <c r="N144" s="209"/>
      <c r="O144" s="234"/>
    </row>
    <row r="145" spans="1:15" ht="12.75">
      <c r="A145" s="160">
        <f>ROW()</f>
        <v>145</v>
      </c>
      <c r="B145" s="180" t="s">
        <v>164</v>
      </c>
      <c r="C145" s="182"/>
      <c r="D145" s="184"/>
      <c r="E145" s="184"/>
      <c r="F145" s="184"/>
      <c r="G145" s="257"/>
      <c r="H145" s="226" t="s">
        <v>165</v>
      </c>
      <c r="I145" s="184"/>
      <c r="J145" s="196"/>
      <c r="K145" s="260"/>
      <c r="L145" s="189"/>
      <c r="M145" s="199"/>
      <c r="N145" s="199"/>
      <c r="O145" s="193"/>
    </row>
    <row r="146" spans="1:15" ht="12.75" hidden="1">
      <c r="A146" s="160">
        <f>ROW()</f>
        <v>146</v>
      </c>
      <c r="B146" s="244" t="s">
        <v>130</v>
      </c>
      <c r="C146" s="182" t="s">
        <v>119</v>
      </c>
      <c r="D146" s="184"/>
      <c r="E146" s="184">
        <v>0</v>
      </c>
      <c r="F146" s="184">
        <v>-2294526.55</v>
      </c>
      <c r="G146" s="257"/>
      <c r="H146" s="240">
        <f>E146</f>
        <v>0</v>
      </c>
      <c r="I146" s="184">
        <v>-477956.78125</v>
      </c>
      <c r="J146" s="221">
        <v>39813</v>
      </c>
      <c r="K146" s="260"/>
      <c r="L146" s="189">
        <f>$L$21</f>
        <v>0.07</v>
      </c>
      <c r="M146" s="199">
        <v>-8434.239528364073</v>
      </c>
      <c r="N146" s="199">
        <f>+M146/(1-0.35)</f>
        <v>-12975.753120560112</v>
      </c>
      <c r="O146" s="193">
        <f>N146/12</f>
        <v>-1081.312760046676</v>
      </c>
    </row>
    <row r="147" spans="1:15" ht="12.75" hidden="1">
      <c r="A147" s="160">
        <f>ROW()</f>
        <v>147</v>
      </c>
      <c r="B147" s="244" t="s">
        <v>132</v>
      </c>
      <c r="C147" s="182" t="s">
        <v>119</v>
      </c>
      <c r="D147" s="184"/>
      <c r="E147" s="184">
        <v>0</v>
      </c>
      <c r="F147" s="184">
        <v>-2294526.55</v>
      </c>
      <c r="G147" s="257"/>
      <c r="H147" s="240">
        <f aca="true" t="shared" si="18" ref="H147:H157">E147</f>
        <v>0</v>
      </c>
      <c r="I147" s="184">
        <v>-2294526.5500000003</v>
      </c>
      <c r="J147" s="221">
        <v>40178</v>
      </c>
      <c r="K147" s="260"/>
      <c r="L147" s="189">
        <f>$L$21</f>
        <v>0.07</v>
      </c>
      <c r="M147" s="199">
        <v>-160616.85850000003</v>
      </c>
      <c r="N147" s="199">
        <f aca="true" t="shared" si="19" ref="N147:N157">+M147/(1-0.35)</f>
        <v>-247102.85923076927</v>
      </c>
      <c r="O147" s="193">
        <f>N147/12</f>
        <v>-20591.90493589744</v>
      </c>
    </row>
    <row r="148" spans="1:15" ht="12.75">
      <c r="A148" s="160">
        <f>ROW()</f>
        <v>148</v>
      </c>
      <c r="B148" s="244" t="s">
        <v>137</v>
      </c>
      <c r="C148" s="182" t="s">
        <v>119</v>
      </c>
      <c r="D148" s="184"/>
      <c r="E148" s="184">
        <v>457531.3044444445</v>
      </c>
      <c r="F148" s="184">
        <v>-1996797.2021111113</v>
      </c>
      <c r="G148" s="257"/>
      <c r="H148" s="240">
        <f t="shared" si="18"/>
        <v>457531.3044444445</v>
      </c>
      <c r="I148" s="184">
        <v>-2135207.6825416666</v>
      </c>
      <c r="J148" s="221">
        <v>40543</v>
      </c>
      <c r="K148" s="260"/>
      <c r="L148" s="198" t="s">
        <v>138</v>
      </c>
      <c r="M148" s="199">
        <v>-147896.76884936553</v>
      </c>
      <c r="N148" s="199">
        <f t="shared" si="19"/>
        <v>-227533.49053748543</v>
      </c>
      <c r="O148" s="193">
        <f aca="true" t="shared" si="20" ref="O148:O157">N148/12</f>
        <v>-18961.124211457118</v>
      </c>
    </row>
    <row r="149" spans="1:18" ht="12.75" hidden="1">
      <c r="A149" s="160">
        <f>ROW()</f>
        <v>149</v>
      </c>
      <c r="B149" s="244" t="s">
        <v>139</v>
      </c>
      <c r="C149" s="182" t="s">
        <v>119</v>
      </c>
      <c r="D149" s="184"/>
      <c r="E149" s="184">
        <v>392169.6666666667</v>
      </c>
      <c r="F149" s="184">
        <v>-1741886.9187777783</v>
      </c>
      <c r="G149" s="257"/>
      <c r="H149" s="240">
        <f t="shared" si="18"/>
        <v>392169.6666666667</v>
      </c>
      <c r="I149" s="184">
        <v>-1869342.0604444447</v>
      </c>
      <c r="J149" s="221">
        <v>40908</v>
      </c>
      <c r="K149" s="260"/>
      <c r="L149" s="198" t="e">
        <f>#REF!</f>
        <v>#REF!</v>
      </c>
      <c r="M149" s="199" t="e">
        <v>#REF!</v>
      </c>
      <c r="N149" s="199" t="e">
        <f t="shared" si="19"/>
        <v>#REF!</v>
      </c>
      <c r="O149" s="193" t="e">
        <f t="shared" si="20"/>
        <v>#REF!</v>
      </c>
      <c r="Q149" s="229" t="e">
        <f>I149*#REF!/0.65</f>
        <v>#REF!</v>
      </c>
      <c r="R149" s="229" t="e">
        <f>Q149-N149</f>
        <v>#REF!</v>
      </c>
    </row>
    <row r="150" spans="1:15" ht="12.75" hidden="1">
      <c r="A150" s="160">
        <f>ROW()</f>
        <v>150</v>
      </c>
      <c r="B150" s="244" t="s">
        <v>142</v>
      </c>
      <c r="C150" s="182" t="s">
        <v>119</v>
      </c>
      <c r="D150" s="184"/>
      <c r="E150" s="184">
        <v>392169.6666666667</v>
      </c>
      <c r="F150" s="184">
        <v>-1486976.6354444453</v>
      </c>
      <c r="G150" s="257"/>
      <c r="H150" s="240">
        <f t="shared" si="18"/>
        <v>392169.6666666667</v>
      </c>
      <c r="I150" s="184">
        <v>-1614431.7771111114</v>
      </c>
      <c r="J150" s="221">
        <v>41274</v>
      </c>
      <c r="K150" s="260"/>
      <c r="L150" s="198" t="e">
        <f>#REF!</f>
        <v>#REF!</v>
      </c>
      <c r="M150" s="199" t="e">
        <f aca="true" t="shared" si="21" ref="M150:M157">I150*L150</f>
        <v>#REF!</v>
      </c>
      <c r="N150" s="199" t="e">
        <f t="shared" si="19"/>
        <v>#REF!</v>
      </c>
      <c r="O150" s="193" t="e">
        <f t="shared" si="20"/>
        <v>#REF!</v>
      </c>
    </row>
    <row r="151" spans="1:15" ht="12.75" hidden="1">
      <c r="A151" s="160">
        <f>ROW()</f>
        <v>151</v>
      </c>
      <c r="B151" s="244" t="s">
        <v>143</v>
      </c>
      <c r="C151" s="182" t="s">
        <v>119</v>
      </c>
      <c r="D151" s="184"/>
      <c r="E151" s="184">
        <v>392169.6666666667</v>
      </c>
      <c r="F151" s="184">
        <v>-1232066.3521111123</v>
      </c>
      <c r="G151" s="257"/>
      <c r="H151" s="240">
        <f t="shared" si="18"/>
        <v>392169.6666666667</v>
      </c>
      <c r="I151" s="184">
        <v>-1359521.493777779</v>
      </c>
      <c r="J151" s="221">
        <v>41639</v>
      </c>
      <c r="K151" s="260"/>
      <c r="L151" s="189">
        <f aca="true" t="shared" si="22" ref="L151:L157">$O$2</f>
        <v>0</v>
      </c>
      <c r="M151" s="199">
        <f t="shared" si="21"/>
        <v>0</v>
      </c>
      <c r="N151" s="199">
        <f t="shared" si="19"/>
        <v>0</v>
      </c>
      <c r="O151" s="193">
        <f t="shared" si="20"/>
        <v>0</v>
      </c>
    </row>
    <row r="152" spans="1:15" ht="12.75" hidden="1">
      <c r="A152" s="160">
        <f>ROW()</f>
        <v>152</v>
      </c>
      <c r="B152" s="244" t="s">
        <v>144</v>
      </c>
      <c r="C152" s="182" t="s">
        <v>119</v>
      </c>
      <c r="D152" s="184"/>
      <c r="E152" s="184">
        <v>392169.6666666667</v>
      </c>
      <c r="F152" s="184">
        <v>-977156.0687777794</v>
      </c>
      <c r="G152" s="257"/>
      <c r="H152" s="240">
        <f t="shared" si="18"/>
        <v>392169.6666666667</v>
      </c>
      <c r="I152" s="184">
        <v>-1104611.2104444457</v>
      </c>
      <c r="J152" s="221">
        <v>42004</v>
      </c>
      <c r="K152" s="260"/>
      <c r="L152" s="189">
        <f t="shared" si="22"/>
        <v>0</v>
      </c>
      <c r="M152" s="199">
        <f t="shared" si="21"/>
        <v>0</v>
      </c>
      <c r="N152" s="199">
        <f t="shared" si="19"/>
        <v>0</v>
      </c>
      <c r="O152" s="193">
        <f t="shared" si="20"/>
        <v>0</v>
      </c>
    </row>
    <row r="153" spans="1:15" ht="12.75" hidden="1">
      <c r="A153" s="160">
        <f>ROW()</f>
        <v>153</v>
      </c>
      <c r="B153" s="244" t="s">
        <v>145</v>
      </c>
      <c r="C153" s="182" t="s">
        <v>119</v>
      </c>
      <c r="D153" s="184"/>
      <c r="E153" s="184">
        <v>392169.6666666667</v>
      </c>
      <c r="F153" s="184">
        <v>-722245.7854444463</v>
      </c>
      <c r="G153" s="257"/>
      <c r="H153" s="240">
        <f t="shared" si="18"/>
        <v>392169.6666666667</v>
      </c>
      <c r="I153" s="184">
        <v>-849700.9271111129</v>
      </c>
      <c r="J153" s="221">
        <v>42369</v>
      </c>
      <c r="K153" s="260"/>
      <c r="L153" s="189">
        <f t="shared" si="22"/>
        <v>0</v>
      </c>
      <c r="M153" s="199">
        <f t="shared" si="21"/>
        <v>0</v>
      </c>
      <c r="N153" s="199">
        <f t="shared" si="19"/>
        <v>0</v>
      </c>
      <c r="O153" s="193">
        <f t="shared" si="20"/>
        <v>0</v>
      </c>
    </row>
    <row r="154" spans="1:15" ht="12.75" hidden="1">
      <c r="A154" s="160">
        <f>ROW()</f>
        <v>154</v>
      </c>
      <c r="B154" s="244" t="s">
        <v>146</v>
      </c>
      <c r="C154" s="182" t="s">
        <v>119</v>
      </c>
      <c r="D154" s="184"/>
      <c r="E154" s="184">
        <v>392169.6666666667</v>
      </c>
      <c r="F154" s="184">
        <v>-467335.5021111133</v>
      </c>
      <c r="G154" s="257"/>
      <c r="H154" s="240">
        <f t="shared" si="18"/>
        <v>392169.6666666667</v>
      </c>
      <c r="I154" s="184">
        <v>-594790.6437777798</v>
      </c>
      <c r="J154" s="221">
        <v>42735</v>
      </c>
      <c r="K154" s="260"/>
      <c r="L154" s="189">
        <f t="shared" si="22"/>
        <v>0</v>
      </c>
      <c r="M154" s="199">
        <f t="shared" si="21"/>
        <v>0</v>
      </c>
      <c r="N154" s="199">
        <f t="shared" si="19"/>
        <v>0</v>
      </c>
      <c r="O154" s="193">
        <f t="shared" si="20"/>
        <v>0</v>
      </c>
    </row>
    <row r="155" spans="1:15" ht="12.75" hidden="1">
      <c r="A155" s="160">
        <f>ROW()</f>
        <v>155</v>
      </c>
      <c r="B155" s="244" t="s">
        <v>147</v>
      </c>
      <c r="C155" s="182" t="s">
        <v>119</v>
      </c>
      <c r="D155" s="184"/>
      <c r="E155" s="184">
        <v>392169.6666666667</v>
      </c>
      <c r="F155" s="184">
        <v>-212425.21877778036</v>
      </c>
      <c r="G155" s="257"/>
      <c r="H155" s="240">
        <f t="shared" si="18"/>
        <v>392169.6666666667</v>
      </c>
      <c r="I155" s="184">
        <v>-339880.36044444685</v>
      </c>
      <c r="J155" s="221">
        <v>43100</v>
      </c>
      <c r="K155" s="260"/>
      <c r="L155" s="189">
        <f t="shared" si="22"/>
        <v>0</v>
      </c>
      <c r="M155" s="199">
        <f t="shared" si="21"/>
        <v>0</v>
      </c>
      <c r="N155" s="199">
        <f t="shared" si="19"/>
        <v>0</v>
      </c>
      <c r="O155" s="193">
        <f t="shared" si="20"/>
        <v>0</v>
      </c>
    </row>
    <row r="156" spans="1:15" ht="12.75" hidden="1">
      <c r="A156" s="160">
        <f>ROW()</f>
        <v>156</v>
      </c>
      <c r="B156" s="244" t="s">
        <v>166</v>
      </c>
      <c r="C156" s="182" t="s">
        <v>119</v>
      </c>
      <c r="D156" s="184"/>
      <c r="E156" s="184">
        <v>326808.05555555556</v>
      </c>
      <c r="F156" s="184">
        <v>0.017333330423571172</v>
      </c>
      <c r="G156" s="257"/>
      <c r="H156" s="240">
        <f t="shared" si="18"/>
        <v>326808.05555555556</v>
      </c>
      <c r="I156" s="184">
        <v>-88510.49771296572</v>
      </c>
      <c r="J156" s="221">
        <v>43465</v>
      </c>
      <c r="K156" s="260"/>
      <c r="L156" s="189">
        <f t="shared" si="22"/>
        <v>0</v>
      </c>
      <c r="M156" s="199">
        <f t="shared" si="21"/>
        <v>0</v>
      </c>
      <c r="N156" s="199">
        <f t="shared" si="19"/>
        <v>0</v>
      </c>
      <c r="O156" s="193">
        <f t="shared" si="20"/>
        <v>0</v>
      </c>
    </row>
    <row r="157" spans="1:15" ht="12.75" hidden="1">
      <c r="A157" s="160">
        <f>ROW()</f>
        <v>157</v>
      </c>
      <c r="B157" s="244" t="s">
        <v>167</v>
      </c>
      <c r="C157" s="182" t="s">
        <v>119</v>
      </c>
      <c r="D157" s="184"/>
      <c r="E157" s="184">
        <v>0</v>
      </c>
      <c r="F157" s="184">
        <v>0.017333330423571172</v>
      </c>
      <c r="G157" s="257"/>
      <c r="H157" s="240">
        <f t="shared" si="18"/>
        <v>0</v>
      </c>
      <c r="I157" s="184">
        <v>0.01733333042357117</v>
      </c>
      <c r="J157" s="221">
        <v>43830</v>
      </c>
      <c r="K157" s="260"/>
      <c r="L157" s="189">
        <f t="shared" si="22"/>
        <v>0</v>
      </c>
      <c r="M157" s="199">
        <f t="shared" si="21"/>
        <v>0</v>
      </c>
      <c r="N157" s="199">
        <f t="shared" si="19"/>
        <v>0</v>
      </c>
      <c r="O157" s="193">
        <f t="shared" si="20"/>
        <v>0</v>
      </c>
    </row>
    <row r="158" spans="1:15" ht="12.75" hidden="1">
      <c r="A158" s="230">
        <f>ROW()</f>
        <v>158</v>
      </c>
      <c r="B158" s="274"/>
      <c r="C158" s="231"/>
      <c r="D158" s="213"/>
      <c r="E158" s="213"/>
      <c r="F158" s="213"/>
      <c r="G158" s="263"/>
      <c r="H158" s="275"/>
      <c r="I158" s="213"/>
      <c r="J158" s="265"/>
      <c r="K158" s="266"/>
      <c r="L158" s="218"/>
      <c r="M158" s="219"/>
      <c r="N158" s="219"/>
      <c r="O158" s="233"/>
    </row>
    <row r="159" spans="1:15" ht="12.75">
      <c r="A159" s="169">
        <f>ROW()</f>
        <v>159</v>
      </c>
      <c r="B159" s="272"/>
      <c r="C159" s="222"/>
      <c r="D159" s="202"/>
      <c r="E159" s="202"/>
      <c r="F159" s="202"/>
      <c r="G159" s="268"/>
      <c r="H159" s="273"/>
      <c r="I159" s="202"/>
      <c r="J159" s="206"/>
      <c r="K159" s="270"/>
      <c r="L159" s="208"/>
      <c r="M159" s="209"/>
      <c r="N159" s="209"/>
      <c r="O159" s="234"/>
    </row>
    <row r="160" spans="1:15" ht="12.75">
      <c r="A160" s="160">
        <f>ROW()</f>
        <v>160</v>
      </c>
      <c r="B160" s="180" t="s">
        <v>168</v>
      </c>
      <c r="C160" s="182"/>
      <c r="D160" s="184"/>
      <c r="E160" s="184"/>
      <c r="F160" s="258"/>
      <c r="G160" s="276"/>
      <c r="H160" s="226" t="s">
        <v>169</v>
      </c>
      <c r="I160" s="189"/>
      <c r="J160" s="199"/>
      <c r="K160" s="199"/>
      <c r="L160" s="193"/>
      <c r="M160" s="199"/>
      <c r="N160" s="199"/>
      <c r="O160" s="193"/>
    </row>
    <row r="161" spans="1:15" ht="12.75" hidden="1">
      <c r="A161" s="160">
        <f>ROW()</f>
        <v>161</v>
      </c>
      <c r="B161" s="244" t="s">
        <v>130</v>
      </c>
      <c r="C161" s="182"/>
      <c r="D161" s="184"/>
      <c r="E161" s="184">
        <v>0</v>
      </c>
      <c r="F161" s="184" t="e">
        <v>#REF!</v>
      </c>
      <c r="G161" s="276"/>
      <c r="H161" s="191">
        <v>0</v>
      </c>
      <c r="I161" s="277">
        <v>76376.54166666667</v>
      </c>
      <c r="J161" s="221">
        <v>39813</v>
      </c>
      <c r="K161" s="199"/>
      <c r="L161" s="278" t="s">
        <v>170</v>
      </c>
      <c r="M161" s="199"/>
      <c r="N161" s="199"/>
      <c r="O161" s="193">
        <f>N161/12</f>
        <v>0</v>
      </c>
    </row>
    <row r="162" spans="1:15" ht="12.75" hidden="1">
      <c r="A162" s="160">
        <f>ROW()</f>
        <v>162</v>
      </c>
      <c r="B162" s="244" t="s">
        <v>132</v>
      </c>
      <c r="C162" s="182"/>
      <c r="D162" s="184"/>
      <c r="E162" s="184">
        <v>0</v>
      </c>
      <c r="F162" s="184"/>
      <c r="G162" s="276"/>
      <c r="H162" s="191"/>
      <c r="I162" s="279"/>
      <c r="J162" s="221">
        <v>40178</v>
      </c>
      <c r="K162" s="199"/>
      <c r="L162" s="278" t="s">
        <v>170</v>
      </c>
      <c r="M162" s="199"/>
      <c r="N162" s="199"/>
      <c r="O162" s="193">
        <f aca="true" t="shared" si="23" ref="O162:O167">N162/12</f>
        <v>0</v>
      </c>
    </row>
    <row r="163" spans="1:15" ht="12.75">
      <c r="A163" s="160">
        <f>ROW()</f>
        <v>163</v>
      </c>
      <c r="B163" s="244" t="s">
        <v>137</v>
      </c>
      <c r="C163" s="182"/>
      <c r="D163" s="184"/>
      <c r="E163" s="184">
        <v>-2159053</v>
      </c>
      <c r="F163" s="184">
        <v>26614738.14086189</v>
      </c>
      <c r="G163" s="257"/>
      <c r="H163" s="240">
        <f>E163</f>
        <v>-2159053</v>
      </c>
      <c r="I163" s="279">
        <v>26528891.378850214</v>
      </c>
      <c r="J163" s="221">
        <v>40543</v>
      </c>
      <c r="K163" s="260"/>
      <c r="L163" s="198" t="s">
        <v>138</v>
      </c>
      <c r="M163" s="199">
        <v>1344033.5873361593</v>
      </c>
      <c r="N163" s="199">
        <f>+M163/(1-0.35)</f>
        <v>2067743.980517168</v>
      </c>
      <c r="O163" s="193">
        <f>N163/9</f>
        <v>229749.33116857422</v>
      </c>
    </row>
    <row r="164" spans="1:18" ht="12.75" hidden="1">
      <c r="A164" s="160">
        <f>ROW()</f>
        <v>164</v>
      </c>
      <c r="B164" s="244" t="s">
        <v>139</v>
      </c>
      <c r="C164" s="182"/>
      <c r="D164" s="184"/>
      <c r="E164" s="184">
        <v>-2880972.5000005476</v>
      </c>
      <c r="F164" s="184">
        <v>24742106.015861534</v>
      </c>
      <c r="G164" s="257"/>
      <c r="H164" s="240">
        <f>E164</f>
        <v>-2880972.5000005476</v>
      </c>
      <c r="I164" s="279">
        <v>25677538.18669515</v>
      </c>
      <c r="J164" s="221">
        <v>40908</v>
      </c>
      <c r="K164" s="260"/>
      <c r="L164" s="198" t="e">
        <f>#REF!</f>
        <v>#REF!</v>
      </c>
      <c r="M164" s="199" t="e">
        <v>#REF!</v>
      </c>
      <c r="N164" s="199" t="e">
        <f>+M164/(1-0.35)</f>
        <v>#REF!</v>
      </c>
      <c r="O164" s="193" t="e">
        <f t="shared" si="23"/>
        <v>#REF!</v>
      </c>
      <c r="Q164" s="229" t="e">
        <f>I164*#REF!/0.65</f>
        <v>#REF!</v>
      </c>
      <c r="R164" s="229" t="e">
        <f>Q164-N164</f>
        <v>#REF!</v>
      </c>
    </row>
    <row r="165" spans="1:15" ht="12.75" hidden="1">
      <c r="A165" s="160">
        <f>ROW()</f>
        <v>165</v>
      </c>
      <c r="B165" s="244" t="s">
        <v>142</v>
      </c>
      <c r="C165" s="182"/>
      <c r="D165" s="184"/>
      <c r="E165" s="184">
        <v>-2872813.500001643</v>
      </c>
      <c r="F165" s="184">
        <v>22874777.240860455</v>
      </c>
      <c r="G165" s="257"/>
      <c r="H165" s="240">
        <f>E165</f>
        <v>-2872813.500001643</v>
      </c>
      <c r="I165" s="279">
        <v>23808441.62836098</v>
      </c>
      <c r="J165" s="221">
        <v>41274</v>
      </c>
      <c r="K165" s="260"/>
      <c r="L165" s="198" t="e">
        <f>#REF!</f>
        <v>#REF!</v>
      </c>
      <c r="M165" s="199" t="e">
        <f>I165*L165</f>
        <v>#REF!</v>
      </c>
      <c r="N165" s="199" t="e">
        <f>+M165/(1-0.35)</f>
        <v>#REF!</v>
      </c>
      <c r="O165" s="193" t="e">
        <f t="shared" si="23"/>
        <v>#REF!</v>
      </c>
    </row>
    <row r="166" spans="1:15" ht="12.75" hidden="1">
      <c r="A166" s="160">
        <f>ROW()</f>
        <v>166</v>
      </c>
      <c r="B166" s="244" t="s">
        <v>143</v>
      </c>
      <c r="C166" s="182"/>
      <c r="D166" s="184"/>
      <c r="E166" s="184">
        <v>-2872813.500001643</v>
      </c>
      <c r="F166" s="184">
        <v>21007448.46585937</v>
      </c>
      <c r="G166" s="257"/>
      <c r="H166" s="240">
        <f>E166</f>
        <v>-2872813.500001643</v>
      </c>
      <c r="I166" s="279">
        <v>21941112.853359908</v>
      </c>
      <c r="J166" s="221">
        <v>41639</v>
      </c>
      <c r="K166" s="260"/>
      <c r="L166" s="189">
        <f>$O$2</f>
        <v>0</v>
      </c>
      <c r="M166" s="199">
        <f>I166*L166</f>
        <v>0</v>
      </c>
      <c r="N166" s="199">
        <f>+M166/(1-0.35)</f>
        <v>0</v>
      </c>
      <c r="O166" s="193">
        <f t="shared" si="23"/>
        <v>0</v>
      </c>
    </row>
    <row r="167" spans="1:15" ht="12.75" hidden="1">
      <c r="A167" s="160">
        <f>ROW()</f>
        <v>167</v>
      </c>
      <c r="B167" s="244" t="s">
        <v>144</v>
      </c>
      <c r="C167" s="182"/>
      <c r="D167" s="184"/>
      <c r="E167" s="184">
        <v>-2872813.500001643</v>
      </c>
      <c r="F167" s="184">
        <v>19140119.690858282</v>
      </c>
      <c r="G167" s="257"/>
      <c r="H167" s="240">
        <f>E167</f>
        <v>-2872813.500001643</v>
      </c>
      <c r="I167" s="279">
        <v>20073784.078358814</v>
      </c>
      <c r="J167" s="221">
        <v>42004</v>
      </c>
      <c r="K167" s="260"/>
      <c r="L167" s="189">
        <f>$O$2</f>
        <v>0</v>
      </c>
      <c r="M167" s="199">
        <f>I167*L167</f>
        <v>0</v>
      </c>
      <c r="N167" s="199">
        <f>+M167/(1-0.35)</f>
        <v>0</v>
      </c>
      <c r="O167" s="193">
        <f t="shared" si="23"/>
        <v>0</v>
      </c>
    </row>
    <row r="168" spans="1:15" ht="12.75" hidden="1">
      <c r="A168" s="230">
        <f>ROW()</f>
        <v>168</v>
      </c>
      <c r="B168" s="244"/>
      <c r="C168" s="182"/>
      <c r="D168" s="184"/>
      <c r="E168" s="184"/>
      <c r="F168" s="184"/>
      <c r="G168" s="257"/>
      <c r="H168" s="240"/>
      <c r="I168" s="184"/>
      <c r="J168" s="196"/>
      <c r="K168" s="260"/>
      <c r="L168" s="189"/>
      <c r="M168" s="199"/>
      <c r="N168" s="199"/>
      <c r="O168" s="193"/>
    </row>
    <row r="169" spans="1:15" ht="12.75">
      <c r="A169" s="169">
        <f>ROW()</f>
        <v>169</v>
      </c>
      <c r="B169" s="272"/>
      <c r="C169" s="222"/>
      <c r="D169" s="202"/>
      <c r="E169" s="202"/>
      <c r="F169" s="202"/>
      <c r="G169" s="268"/>
      <c r="H169" s="273"/>
      <c r="I169" s="202"/>
      <c r="J169" s="206"/>
      <c r="K169" s="270"/>
      <c r="L169" s="208"/>
      <c r="M169" s="209"/>
      <c r="N169" s="209"/>
      <c r="O169" s="234"/>
    </row>
    <row r="170" spans="1:15" ht="12.75">
      <c r="A170" s="160">
        <f>ROW()</f>
        <v>170</v>
      </c>
      <c r="B170" s="180" t="s">
        <v>171</v>
      </c>
      <c r="C170" s="182"/>
      <c r="D170" s="184"/>
      <c r="E170" s="258"/>
      <c r="F170" s="258"/>
      <c r="G170" s="276"/>
      <c r="H170" s="226" t="s">
        <v>172</v>
      </c>
      <c r="I170" s="189"/>
      <c r="J170" s="199"/>
      <c r="K170" s="199"/>
      <c r="L170" s="189"/>
      <c r="M170" s="199"/>
      <c r="N170" s="199"/>
      <c r="O170" s="193"/>
    </row>
    <row r="171" spans="1:15" ht="12.75" hidden="1">
      <c r="A171" s="160">
        <f>ROW()</f>
        <v>171</v>
      </c>
      <c r="B171" s="244" t="s">
        <v>132</v>
      </c>
      <c r="C171" s="182"/>
      <c r="D171" s="184"/>
      <c r="E171" s="184">
        <v>0</v>
      </c>
      <c r="F171" s="184"/>
      <c r="G171" s="257"/>
      <c r="H171" s="240"/>
      <c r="I171" s="184"/>
      <c r="J171" s="221">
        <v>40178</v>
      </c>
      <c r="K171" s="260"/>
      <c r="L171" s="278" t="s">
        <v>170</v>
      </c>
      <c r="M171" s="199"/>
      <c r="N171" s="199">
        <f>+M171/(1-0.35)</f>
        <v>0</v>
      </c>
      <c r="O171" s="193">
        <f>N171/12</f>
        <v>0</v>
      </c>
    </row>
    <row r="172" spans="1:15" ht="12.75">
      <c r="A172" s="160">
        <f>ROW()</f>
        <v>172</v>
      </c>
      <c r="B172" s="244" t="s">
        <v>137</v>
      </c>
      <c r="C172" s="182"/>
      <c r="D172" s="184"/>
      <c r="E172" s="184">
        <v>-2102005.908375584</v>
      </c>
      <c r="F172" s="184">
        <v>1752245.1082231905</v>
      </c>
      <c r="G172" s="257"/>
      <c r="H172" s="240">
        <f>E172</f>
        <v>-2102005.908375584</v>
      </c>
      <c r="I172" s="184">
        <v>2331346.6928644767</v>
      </c>
      <c r="J172" s="221">
        <v>40543</v>
      </c>
      <c r="K172" s="260"/>
      <c r="L172" s="198" t="s">
        <v>138</v>
      </c>
      <c r="M172" s="280">
        <v>118113.04943684905</v>
      </c>
      <c r="N172" s="199">
        <f>+M172/(1-0.35)</f>
        <v>181712.38374899852</v>
      </c>
      <c r="O172" s="193">
        <f>N172/9</f>
        <v>20190.264860999836</v>
      </c>
    </row>
    <row r="173" spans="1:18" ht="12.75" hidden="1">
      <c r="A173" s="160">
        <f>ROW()</f>
        <v>173</v>
      </c>
      <c r="B173" s="244" t="s">
        <v>139</v>
      </c>
      <c r="C173" s="182"/>
      <c r="D173" s="184"/>
      <c r="E173" s="184">
        <v>-2345652.417406028</v>
      </c>
      <c r="F173" s="184">
        <v>227571.03690927388</v>
      </c>
      <c r="G173" s="257"/>
      <c r="H173" s="240">
        <f>E173</f>
        <v>-2345652.417406028</v>
      </c>
      <c r="I173" s="184">
        <v>887508.3248418823</v>
      </c>
      <c r="J173" s="221">
        <v>40908</v>
      </c>
      <c r="K173" s="260"/>
      <c r="L173" s="198" t="e">
        <f>#REF!</f>
        <v>#REF!</v>
      </c>
      <c r="M173" s="199" t="e">
        <v>#REF!</v>
      </c>
      <c r="N173" s="199" t="e">
        <f>+M173/(1-0.35)</f>
        <v>#REF!</v>
      </c>
      <c r="O173" s="193" t="e">
        <f>N173/12</f>
        <v>#REF!</v>
      </c>
      <c r="Q173" s="229" t="e">
        <f>I173*#REF!/0.65</f>
        <v>#REF!</v>
      </c>
      <c r="R173" s="229" t="e">
        <f>Q173-N173</f>
        <v>#REF!</v>
      </c>
    </row>
    <row r="174" spans="1:15" ht="12.75" hidden="1">
      <c r="A174" s="160">
        <f>ROW()</f>
        <v>174</v>
      </c>
      <c r="B174" s="244" t="s">
        <v>142</v>
      </c>
      <c r="C174" s="182"/>
      <c r="D174" s="184"/>
      <c r="E174" s="184">
        <v>-350105.9942183895</v>
      </c>
      <c r="F174" s="184">
        <v>2.1406673207093263</v>
      </c>
      <c r="G174" s="257"/>
      <c r="H174" s="240">
        <f>E174</f>
        <v>-350105.9942183895</v>
      </c>
      <c r="I174" s="184">
        <v>28448.25269756544</v>
      </c>
      <c r="J174" s="221">
        <v>41274</v>
      </c>
      <c r="K174" s="260"/>
      <c r="L174" s="198" t="e">
        <f>#REF!</f>
        <v>#REF!</v>
      </c>
      <c r="M174" s="199" t="e">
        <f>I174*L174</f>
        <v>#REF!</v>
      </c>
      <c r="N174" s="199" t="e">
        <f>+M174/(1-0.35)</f>
        <v>#REF!</v>
      </c>
      <c r="O174" s="193" t="e">
        <f>N174/12</f>
        <v>#REF!</v>
      </c>
    </row>
    <row r="175" spans="1:15" ht="12.75" hidden="1">
      <c r="A175" s="230">
        <f>ROW()</f>
        <v>175</v>
      </c>
      <c r="B175" s="244"/>
      <c r="C175" s="182"/>
      <c r="D175" s="184"/>
      <c r="E175" s="184"/>
      <c r="F175" s="184"/>
      <c r="G175" s="257"/>
      <c r="H175" s="240"/>
      <c r="I175" s="184"/>
      <c r="J175" s="196"/>
      <c r="K175" s="260"/>
      <c r="L175" s="189"/>
      <c r="M175" s="199"/>
      <c r="N175" s="199"/>
      <c r="O175" s="193"/>
    </row>
    <row r="176" spans="1:15" ht="12.75">
      <c r="A176" s="169">
        <f>ROW()</f>
        <v>176</v>
      </c>
      <c r="B176" s="272"/>
      <c r="C176" s="222"/>
      <c r="D176" s="202"/>
      <c r="E176" s="202"/>
      <c r="F176" s="202"/>
      <c r="G176" s="268"/>
      <c r="H176" s="273"/>
      <c r="I176" s="202"/>
      <c r="J176" s="206"/>
      <c r="K176" s="270"/>
      <c r="L176" s="208"/>
      <c r="M176" s="209"/>
      <c r="N176" s="209"/>
      <c r="O176" s="234"/>
    </row>
    <row r="177" spans="1:15" ht="12.75">
      <c r="A177" s="160">
        <f>ROW()</f>
        <v>177</v>
      </c>
      <c r="B177" s="180" t="s">
        <v>173</v>
      </c>
      <c r="C177" s="182"/>
      <c r="D177" s="184"/>
      <c r="E177" s="184"/>
      <c r="F177" s="258"/>
      <c r="G177" s="257"/>
      <c r="H177" s="226" t="s">
        <v>174</v>
      </c>
      <c r="I177" s="184"/>
      <c r="J177" s="221"/>
      <c r="K177" s="260"/>
      <c r="L177" s="189"/>
      <c r="M177" s="199"/>
      <c r="N177" s="199"/>
      <c r="O177" s="193"/>
    </row>
    <row r="178" spans="1:15" ht="12.75">
      <c r="A178" s="160">
        <f>ROW()</f>
        <v>178</v>
      </c>
      <c r="B178" s="244" t="s">
        <v>137</v>
      </c>
      <c r="C178" s="182"/>
      <c r="D178" s="184"/>
      <c r="E178" s="184">
        <v>403219.66019417474</v>
      </c>
      <c r="F178" s="184">
        <v>-2737413.470873787</v>
      </c>
      <c r="G178" s="257"/>
      <c r="H178" s="240">
        <f>E178</f>
        <v>403219.66019417474</v>
      </c>
      <c r="I178" s="184">
        <v>-2267178.4245550167</v>
      </c>
      <c r="J178" s="221">
        <v>40543</v>
      </c>
      <c r="K178" s="260"/>
      <c r="L178" s="198" t="s">
        <v>138</v>
      </c>
      <c r="M178" s="199">
        <v>-127036.52914794302</v>
      </c>
      <c r="N178" s="199">
        <f>+M178/(1-0.35)</f>
        <v>-195440.8140737585</v>
      </c>
      <c r="O178" s="193">
        <f>N178/((296/365)*12)</f>
        <v>-20083.304374133404</v>
      </c>
    </row>
    <row r="179" spans="1:18" ht="12.75" hidden="1">
      <c r="A179" s="160">
        <f>ROW()</f>
        <v>179</v>
      </c>
      <c r="B179" s="244" t="s">
        <v>139</v>
      </c>
      <c r="C179" s="182"/>
      <c r="D179" s="184"/>
      <c r="E179" s="184">
        <v>537626.2135922329</v>
      </c>
      <c r="F179" s="184">
        <v>-2387956.4320388352</v>
      </c>
      <c r="G179" s="257"/>
      <c r="H179" s="240">
        <f aca="true" t="shared" si="24" ref="H179:H186">E179</f>
        <v>537626.2135922329</v>
      </c>
      <c r="I179" s="184">
        <v>-2562684.951456311</v>
      </c>
      <c r="J179" s="221">
        <v>40908</v>
      </c>
      <c r="K179" s="260"/>
      <c r="L179" s="198" t="e">
        <f>#REF!</f>
        <v>#REF!</v>
      </c>
      <c r="M179" s="199" t="e">
        <v>#REF!</v>
      </c>
      <c r="N179" s="199" t="e">
        <f aca="true" t="shared" si="25" ref="N179:N186">+M179/(1-0.35)</f>
        <v>#REF!</v>
      </c>
      <c r="O179" s="193" t="e">
        <f>N179/12</f>
        <v>#REF!</v>
      </c>
      <c r="Q179" s="229" t="e">
        <f>I179*#REF!/0.65</f>
        <v>#REF!</v>
      </c>
      <c r="R179" s="229" t="e">
        <f>Q179-N179</f>
        <v>#REF!</v>
      </c>
    </row>
    <row r="180" spans="1:15" ht="12.75" hidden="1">
      <c r="A180" s="160">
        <f>ROW()</f>
        <v>180</v>
      </c>
      <c r="B180" s="244" t="s">
        <v>142</v>
      </c>
      <c r="C180" s="182"/>
      <c r="D180" s="184"/>
      <c r="E180" s="184">
        <v>537626.2135922329</v>
      </c>
      <c r="F180" s="184">
        <v>-2038499.3932038834</v>
      </c>
      <c r="G180" s="257"/>
      <c r="H180" s="240">
        <f t="shared" si="24"/>
        <v>537626.2135922329</v>
      </c>
      <c r="I180" s="184">
        <v>-2213227.9126213593</v>
      </c>
      <c r="J180" s="221">
        <v>41274</v>
      </c>
      <c r="K180" s="260"/>
      <c r="L180" s="198" t="e">
        <f>#REF!</f>
        <v>#REF!</v>
      </c>
      <c r="M180" s="199" t="e">
        <f>I180*L180</f>
        <v>#REF!</v>
      </c>
      <c r="N180" s="199" t="e">
        <f t="shared" si="25"/>
        <v>#REF!</v>
      </c>
      <c r="O180" s="193" t="e">
        <f aca="true" t="shared" si="26" ref="O180:O186">N180/12</f>
        <v>#REF!</v>
      </c>
    </row>
    <row r="181" spans="1:15" ht="12.75" hidden="1">
      <c r="A181" s="160">
        <f>ROW()</f>
        <v>181</v>
      </c>
      <c r="B181" s="244" t="s">
        <v>143</v>
      </c>
      <c r="C181" s="182"/>
      <c r="D181" s="184"/>
      <c r="E181" s="184">
        <v>537626.2135922329</v>
      </c>
      <c r="F181" s="184">
        <v>-1689042.3543689311</v>
      </c>
      <c r="G181" s="257"/>
      <c r="H181" s="240">
        <f t="shared" si="24"/>
        <v>537626.2135922329</v>
      </c>
      <c r="I181" s="184">
        <v>-1863770.8737864075</v>
      </c>
      <c r="J181" s="221">
        <v>41639</v>
      </c>
      <c r="K181" s="260"/>
      <c r="L181" s="189">
        <f aca="true" t="shared" si="27" ref="L181:L186">$O$2</f>
        <v>0</v>
      </c>
      <c r="M181" s="199">
        <f aca="true" t="shared" si="28" ref="M181:M186">I181*L181</f>
        <v>0</v>
      </c>
      <c r="N181" s="199">
        <f t="shared" si="25"/>
        <v>0</v>
      </c>
      <c r="O181" s="193">
        <f t="shared" si="26"/>
        <v>0</v>
      </c>
    </row>
    <row r="182" spans="1:15" ht="12.75" hidden="1">
      <c r="A182" s="160">
        <f>ROW()</f>
        <v>182</v>
      </c>
      <c r="B182" s="244" t="s">
        <v>144</v>
      </c>
      <c r="C182" s="182"/>
      <c r="D182" s="184"/>
      <c r="E182" s="184">
        <v>537626.2135922329</v>
      </c>
      <c r="F182" s="184">
        <v>-1339585.3155339805</v>
      </c>
      <c r="G182" s="257"/>
      <c r="H182" s="240">
        <f t="shared" si="24"/>
        <v>537626.2135922329</v>
      </c>
      <c r="I182" s="184">
        <v>-1514313.834951456</v>
      </c>
      <c r="J182" s="221">
        <v>42004</v>
      </c>
      <c r="K182" s="260"/>
      <c r="L182" s="189">
        <f t="shared" si="27"/>
        <v>0</v>
      </c>
      <c r="M182" s="199">
        <f t="shared" si="28"/>
        <v>0</v>
      </c>
      <c r="N182" s="199">
        <f t="shared" si="25"/>
        <v>0</v>
      </c>
      <c r="O182" s="193">
        <f t="shared" si="26"/>
        <v>0</v>
      </c>
    </row>
    <row r="183" spans="1:15" ht="12.75" hidden="1">
      <c r="A183" s="160">
        <f>ROW()</f>
        <v>183</v>
      </c>
      <c r="B183" s="244" t="s">
        <v>145</v>
      </c>
      <c r="C183" s="182"/>
      <c r="D183" s="184"/>
      <c r="E183" s="184">
        <v>537626.2135922329</v>
      </c>
      <c r="F183" s="184">
        <v>-990128.2766990302</v>
      </c>
      <c r="G183" s="257"/>
      <c r="H183" s="240">
        <f t="shared" si="24"/>
        <v>537626.2135922329</v>
      </c>
      <c r="I183" s="184">
        <v>-1164856.7961165055</v>
      </c>
      <c r="J183" s="221">
        <v>42369</v>
      </c>
      <c r="K183" s="260"/>
      <c r="L183" s="189">
        <f t="shared" si="27"/>
        <v>0</v>
      </c>
      <c r="M183" s="199">
        <f t="shared" si="28"/>
        <v>0</v>
      </c>
      <c r="N183" s="199">
        <f t="shared" si="25"/>
        <v>0</v>
      </c>
      <c r="O183" s="193">
        <f t="shared" si="26"/>
        <v>0</v>
      </c>
    </row>
    <row r="184" spans="1:15" ht="12.75" hidden="1">
      <c r="A184" s="160">
        <f>ROW()</f>
        <v>184</v>
      </c>
      <c r="B184" s="244" t="s">
        <v>146</v>
      </c>
      <c r="C184" s="182"/>
      <c r="D184" s="184"/>
      <c r="E184" s="184">
        <v>537626.2135922329</v>
      </c>
      <c r="F184" s="184">
        <v>-640671.2378640799</v>
      </c>
      <c r="G184" s="257"/>
      <c r="H184" s="240">
        <f t="shared" si="24"/>
        <v>537626.2135922329</v>
      </c>
      <c r="I184" s="184">
        <v>-815399.757281555</v>
      </c>
      <c r="J184" s="221">
        <v>42735</v>
      </c>
      <c r="K184" s="260"/>
      <c r="L184" s="189">
        <f t="shared" si="27"/>
        <v>0</v>
      </c>
      <c r="M184" s="199">
        <f t="shared" si="28"/>
        <v>0</v>
      </c>
      <c r="N184" s="199">
        <f t="shared" si="25"/>
        <v>0</v>
      </c>
      <c r="O184" s="193">
        <f t="shared" si="26"/>
        <v>0</v>
      </c>
    </row>
    <row r="185" spans="1:15" ht="12.75" hidden="1">
      <c r="A185" s="160">
        <f>ROW()</f>
        <v>185</v>
      </c>
      <c r="B185" s="244" t="s">
        <v>147</v>
      </c>
      <c r="C185" s="182"/>
      <c r="D185" s="184"/>
      <c r="E185" s="184">
        <v>537626.2135922329</v>
      </c>
      <c r="F185" s="184">
        <v>-291214.1990291295</v>
      </c>
      <c r="G185" s="257"/>
      <c r="H185" s="240">
        <f t="shared" si="24"/>
        <v>537626.2135922329</v>
      </c>
      <c r="I185" s="184">
        <v>-465942.7184466047</v>
      </c>
      <c r="J185" s="221">
        <v>43100</v>
      </c>
      <c r="K185" s="260"/>
      <c r="L185" s="189">
        <f t="shared" si="27"/>
        <v>0</v>
      </c>
      <c r="M185" s="199">
        <f t="shared" si="28"/>
        <v>0</v>
      </c>
      <c r="N185" s="199">
        <f t="shared" si="25"/>
        <v>0</v>
      </c>
      <c r="O185" s="193">
        <f t="shared" si="26"/>
        <v>0</v>
      </c>
    </row>
    <row r="186" spans="1:15" ht="12.75" hidden="1">
      <c r="A186" s="160">
        <f>ROW()</f>
        <v>186</v>
      </c>
      <c r="B186" s="244" t="s">
        <v>166</v>
      </c>
      <c r="C186" s="182"/>
      <c r="D186" s="184"/>
      <c r="E186" s="184">
        <v>448021.8446601941</v>
      </c>
      <c r="F186" s="184">
        <v>0</v>
      </c>
      <c r="G186" s="257"/>
      <c r="H186" s="240">
        <f t="shared" si="24"/>
        <v>448021.8446601941</v>
      </c>
      <c r="I186" s="184">
        <v>-121339.24959547223</v>
      </c>
      <c r="J186" s="221">
        <v>43465</v>
      </c>
      <c r="K186" s="260"/>
      <c r="L186" s="189">
        <f t="shared" si="27"/>
        <v>0</v>
      </c>
      <c r="M186" s="199">
        <f t="shared" si="28"/>
        <v>0</v>
      </c>
      <c r="N186" s="199">
        <f t="shared" si="25"/>
        <v>0</v>
      </c>
      <c r="O186" s="193">
        <f t="shared" si="26"/>
        <v>0</v>
      </c>
    </row>
    <row r="187" spans="1:15" ht="12.75" hidden="1">
      <c r="A187" s="230">
        <f>ROW()</f>
        <v>187</v>
      </c>
      <c r="B187" s="244"/>
      <c r="C187" s="182"/>
      <c r="D187" s="184"/>
      <c r="E187" s="184"/>
      <c r="F187" s="184"/>
      <c r="G187" s="257"/>
      <c r="H187" s="240"/>
      <c r="I187" s="184"/>
      <c r="J187" s="196"/>
      <c r="K187" s="260"/>
      <c r="L187" s="189"/>
      <c r="M187" s="199"/>
      <c r="N187" s="199"/>
      <c r="O187" s="193"/>
    </row>
    <row r="188" spans="1:15" ht="12.75">
      <c r="A188" s="169">
        <f>ROW()</f>
        <v>188</v>
      </c>
      <c r="B188" s="272"/>
      <c r="C188" s="222"/>
      <c r="D188" s="202"/>
      <c r="E188" s="202"/>
      <c r="F188" s="202"/>
      <c r="G188" s="268"/>
      <c r="H188" s="273"/>
      <c r="I188" s="202"/>
      <c r="J188" s="206"/>
      <c r="K188" s="270"/>
      <c r="L188" s="208"/>
      <c r="M188" s="209"/>
      <c r="N188" s="209"/>
      <c r="O188" s="234"/>
    </row>
    <row r="189" spans="1:15" ht="12.75">
      <c r="A189" s="160">
        <f>ROW()</f>
        <v>189</v>
      </c>
      <c r="B189" s="180" t="s">
        <v>175</v>
      </c>
      <c r="C189" s="182"/>
      <c r="D189" s="184"/>
      <c r="E189" s="184"/>
      <c r="F189" s="258"/>
      <c r="G189" s="257"/>
      <c r="H189" s="240"/>
      <c r="I189" s="184"/>
      <c r="J189" s="221"/>
      <c r="K189" s="260"/>
      <c r="L189" s="189"/>
      <c r="M189" s="199"/>
      <c r="N189" s="199"/>
      <c r="O189" s="193"/>
    </row>
    <row r="190" spans="1:15" ht="12.75">
      <c r="A190" s="160">
        <f>ROW()</f>
        <v>190</v>
      </c>
      <c r="B190" s="180" t="s">
        <v>176</v>
      </c>
      <c r="C190" s="182"/>
      <c r="D190" s="184"/>
      <c r="E190" s="184"/>
      <c r="F190" s="258"/>
      <c r="G190" s="257"/>
      <c r="H190" s="226" t="s">
        <v>177</v>
      </c>
      <c r="I190" s="184"/>
      <c r="J190" s="221"/>
      <c r="K190" s="260"/>
      <c r="L190" s="189"/>
      <c r="M190" s="199"/>
      <c r="N190" s="199"/>
      <c r="O190" s="193"/>
    </row>
    <row r="191" spans="1:15" ht="12.75" hidden="1">
      <c r="A191" s="160">
        <f>ROW()</f>
        <v>191</v>
      </c>
      <c r="B191" s="244" t="s">
        <v>132</v>
      </c>
      <c r="C191" s="182"/>
      <c r="D191" s="184"/>
      <c r="E191" s="184"/>
      <c r="F191" s="184"/>
      <c r="G191" s="257"/>
      <c r="H191" s="281"/>
      <c r="I191" s="184"/>
      <c r="J191" s="221">
        <v>40178</v>
      </c>
      <c r="K191" s="260"/>
      <c r="L191" s="278" t="s">
        <v>170</v>
      </c>
      <c r="M191" s="199"/>
      <c r="N191" s="199"/>
      <c r="O191" s="193"/>
    </row>
    <row r="192" spans="1:15" ht="12.75">
      <c r="A192" s="160">
        <f>ROW()</f>
        <v>192</v>
      </c>
      <c r="B192" s="244" t="s">
        <v>137</v>
      </c>
      <c r="C192" s="182"/>
      <c r="D192" s="184"/>
      <c r="E192" s="184">
        <v>-164390.0922350861</v>
      </c>
      <c r="F192" s="184">
        <v>141403.3987096775</v>
      </c>
      <c r="G192" s="257"/>
      <c r="H192" s="281">
        <f>E192</f>
        <v>-164390.0922350861</v>
      </c>
      <c r="I192" s="184">
        <v>115872.28795698927</v>
      </c>
      <c r="J192" s="221">
        <v>40543</v>
      </c>
      <c r="K192" s="260"/>
      <c r="L192" s="198" t="s">
        <v>138</v>
      </c>
      <c r="M192" s="199">
        <v>5870.439312056565</v>
      </c>
      <c r="N192" s="199">
        <f>+M192/(1-0.35)</f>
        <v>9031.445095471638</v>
      </c>
      <c r="O192" s="193">
        <f>N192/8</f>
        <v>1128.9306369339547</v>
      </c>
    </row>
    <row r="193" spans="1:18" ht="12" customHeight="1" hidden="1">
      <c r="A193" s="160">
        <f>ROW()</f>
        <v>193</v>
      </c>
      <c r="B193" s="244" t="s">
        <v>139</v>
      </c>
      <c r="C193" s="182"/>
      <c r="D193" s="184"/>
      <c r="E193" s="184">
        <v>-141403.69935483873</v>
      </c>
      <c r="F193" s="184">
        <v>-0.3006451610708609</v>
      </c>
      <c r="G193" s="257"/>
      <c r="H193" s="281">
        <f>E193</f>
        <v>-141403.69935483873</v>
      </c>
      <c r="I193" s="184">
        <v>70701.54903225822</v>
      </c>
      <c r="J193" s="221">
        <v>40908</v>
      </c>
      <c r="K193" s="260"/>
      <c r="L193" s="198" t="e">
        <f>#REF!</f>
        <v>#REF!</v>
      </c>
      <c r="M193" s="199" t="e">
        <v>#REF!</v>
      </c>
      <c r="N193" s="199" t="e">
        <f>+M193/(1-0.35)</f>
        <v>#REF!</v>
      </c>
      <c r="O193" s="193" t="e">
        <f>N193/12</f>
        <v>#REF!</v>
      </c>
      <c r="Q193" s="229" t="e">
        <f>I193*#REF!/0.65</f>
        <v>#REF!</v>
      </c>
      <c r="R193" s="229" t="e">
        <f>Q193-N193</f>
        <v>#REF!</v>
      </c>
    </row>
    <row r="194" spans="1:15" ht="12.75" hidden="1">
      <c r="A194" s="230">
        <f>ROW()</f>
        <v>194</v>
      </c>
      <c r="B194" s="244"/>
      <c r="C194" s="182"/>
      <c r="D194" s="184"/>
      <c r="E194" s="184"/>
      <c r="F194" s="184"/>
      <c r="G194" s="257"/>
      <c r="H194" s="240"/>
      <c r="I194" s="184"/>
      <c r="J194" s="196"/>
      <c r="K194" s="260"/>
      <c r="L194" s="189"/>
      <c r="M194" s="199"/>
      <c r="N194" s="199"/>
      <c r="O194" s="193"/>
    </row>
    <row r="195" spans="1:15" ht="12.75">
      <c r="A195" s="169">
        <f>ROW()</f>
        <v>195</v>
      </c>
      <c r="B195" s="272"/>
      <c r="C195" s="222"/>
      <c r="D195" s="202"/>
      <c r="E195" s="202"/>
      <c r="F195" s="202"/>
      <c r="G195" s="268"/>
      <c r="H195" s="273"/>
      <c r="I195" s="202"/>
      <c r="J195" s="206"/>
      <c r="K195" s="270"/>
      <c r="L195" s="208"/>
      <c r="M195" s="209"/>
      <c r="N195" s="209"/>
      <c r="O195" s="234"/>
    </row>
    <row r="196" spans="1:15" ht="12.75">
      <c r="A196" s="160">
        <f>ROW()</f>
        <v>196</v>
      </c>
      <c r="B196" s="180" t="s">
        <v>178</v>
      </c>
      <c r="C196" s="182"/>
      <c r="D196" s="184"/>
      <c r="E196" s="184"/>
      <c r="F196" s="184"/>
      <c r="G196" s="257"/>
      <c r="H196" s="240"/>
      <c r="I196" s="184"/>
      <c r="J196" s="221"/>
      <c r="K196" s="260"/>
      <c r="L196" s="189"/>
      <c r="M196" s="199"/>
      <c r="N196" s="199"/>
      <c r="O196" s="193"/>
    </row>
    <row r="197" spans="1:15" ht="12.75">
      <c r="A197" s="160">
        <f>ROW()</f>
        <v>197</v>
      </c>
      <c r="B197" s="180" t="s">
        <v>176</v>
      </c>
      <c r="C197" s="182"/>
      <c r="D197" s="184"/>
      <c r="E197" s="184"/>
      <c r="F197" s="258"/>
      <c r="G197" s="257"/>
      <c r="H197" s="226" t="s">
        <v>179</v>
      </c>
      <c r="I197" s="184"/>
      <c r="J197" s="221"/>
      <c r="K197" s="260"/>
      <c r="L197" s="189"/>
      <c r="M197" s="199"/>
      <c r="N197" s="199"/>
      <c r="O197" s="193"/>
    </row>
    <row r="198" spans="1:15" ht="12.75" hidden="1">
      <c r="A198" s="160">
        <f>ROW()</f>
        <v>198</v>
      </c>
      <c r="B198" s="244" t="s">
        <v>132</v>
      </c>
      <c r="C198" s="182"/>
      <c r="D198" s="184"/>
      <c r="E198" s="184"/>
      <c r="F198" s="184"/>
      <c r="G198" s="257"/>
      <c r="H198" s="281"/>
      <c r="I198" s="184"/>
      <c r="J198" s="221">
        <v>40178</v>
      </c>
      <c r="K198" s="260"/>
      <c r="L198" s="278" t="s">
        <v>170</v>
      </c>
      <c r="M198" s="199"/>
      <c r="N198" s="199"/>
      <c r="O198" s="193"/>
    </row>
    <row r="199" spans="1:15" ht="12.75">
      <c r="A199" s="160">
        <f>ROW()</f>
        <v>199</v>
      </c>
      <c r="B199" s="244" t="s">
        <v>137</v>
      </c>
      <c r="C199" s="182"/>
      <c r="D199" s="184"/>
      <c r="E199" s="184">
        <v>-260349.29753424652</v>
      </c>
      <c r="F199" s="184">
        <v>413676.9900000002</v>
      </c>
      <c r="G199" s="257"/>
      <c r="H199" s="281">
        <f>E199</f>
        <v>-260349.29753424652</v>
      </c>
      <c r="I199" s="184">
        <v>590967.09</v>
      </c>
      <c r="J199" s="221">
        <v>40543</v>
      </c>
      <c r="K199" s="260"/>
      <c r="L199" s="198" t="s">
        <v>138</v>
      </c>
      <c r="M199" s="199">
        <v>29940.173776109586</v>
      </c>
      <c r="N199" s="199">
        <f>+M199/(1-0.35)</f>
        <v>46061.80580939936</v>
      </c>
      <c r="O199" s="193">
        <f>N199/9</f>
        <v>5117.978423266595</v>
      </c>
    </row>
    <row r="200" spans="1:18" ht="12.75" hidden="1">
      <c r="A200" s="160">
        <f>ROW()</f>
        <v>200</v>
      </c>
      <c r="B200" s="244" t="s">
        <v>139</v>
      </c>
      <c r="C200" s="182"/>
      <c r="D200" s="184"/>
      <c r="E200" s="184">
        <v>-354580.19999999995</v>
      </c>
      <c r="F200" s="184">
        <v>59096.7900000005</v>
      </c>
      <c r="G200" s="257"/>
      <c r="H200" s="281">
        <f>E200</f>
        <v>-354580.19999999995</v>
      </c>
      <c r="I200" s="184">
        <v>265935.2400000003</v>
      </c>
      <c r="J200" s="221">
        <v>40908</v>
      </c>
      <c r="K200" s="260"/>
      <c r="L200" s="198" t="e">
        <f>#REF!</f>
        <v>#REF!</v>
      </c>
      <c r="M200" s="199" t="e">
        <v>#REF!</v>
      </c>
      <c r="N200" s="199" t="e">
        <f>+M200/(1-0.35)</f>
        <v>#REF!</v>
      </c>
      <c r="O200" s="193" t="e">
        <f>N200/12</f>
        <v>#REF!</v>
      </c>
      <c r="Q200" s="229" t="e">
        <f>I200*#REF!/0.65</f>
        <v>#REF!</v>
      </c>
      <c r="R200" s="229" t="e">
        <f>Q200-N200</f>
        <v>#REF!</v>
      </c>
    </row>
    <row r="201" spans="1:15" ht="12.75" hidden="1">
      <c r="A201" s="160">
        <f>ROW()</f>
        <v>201</v>
      </c>
      <c r="B201" s="244" t="s">
        <v>142</v>
      </c>
      <c r="C201" s="182"/>
      <c r="D201" s="184"/>
      <c r="E201" s="184">
        <v>-59096.7</v>
      </c>
      <c r="F201" s="184">
        <v>0</v>
      </c>
      <c r="G201" s="257"/>
      <c r="H201" s="281">
        <f>E201</f>
        <v>-59096.7</v>
      </c>
      <c r="I201" s="184">
        <v>11080.657500000152</v>
      </c>
      <c r="J201" s="221">
        <v>41274</v>
      </c>
      <c r="K201" s="260"/>
      <c r="L201" s="198" t="e">
        <f>#REF!</f>
        <v>#REF!</v>
      </c>
      <c r="M201" s="199" t="e">
        <f>I201*L201</f>
        <v>#REF!</v>
      </c>
      <c r="N201" s="199" t="e">
        <f>+M201/(1-0.35)</f>
        <v>#REF!</v>
      </c>
      <c r="O201" s="193" t="e">
        <f>N201/12</f>
        <v>#REF!</v>
      </c>
    </row>
    <row r="202" spans="1:15" ht="12.75" hidden="1">
      <c r="A202" s="160">
        <f>ROW()</f>
        <v>202</v>
      </c>
      <c r="B202" s="244"/>
      <c r="C202" s="182"/>
      <c r="D202" s="184"/>
      <c r="E202" s="184"/>
      <c r="F202" s="184"/>
      <c r="G202" s="257"/>
      <c r="H202" s="240"/>
      <c r="I202" s="184"/>
      <c r="J202" s="196"/>
      <c r="K202" s="260"/>
      <c r="L202" s="189"/>
      <c r="M202" s="199"/>
      <c r="N202" s="199"/>
      <c r="O202" s="193"/>
    </row>
    <row r="203" spans="1:15" ht="12.75" hidden="1">
      <c r="A203" s="230">
        <f>ROW()</f>
        <v>203</v>
      </c>
      <c r="B203" s="274"/>
      <c r="C203" s="231"/>
      <c r="D203" s="213"/>
      <c r="E203" s="213"/>
      <c r="F203" s="213"/>
      <c r="G203" s="263"/>
      <c r="H203" s="275"/>
      <c r="I203" s="213"/>
      <c r="J203" s="265"/>
      <c r="K203" s="266"/>
      <c r="L203" s="218"/>
      <c r="M203" s="219"/>
      <c r="N203" s="219"/>
      <c r="O203" s="233"/>
    </row>
    <row r="204" spans="1:15" ht="12.75">
      <c r="A204" s="169">
        <f>ROW()</f>
        <v>204</v>
      </c>
      <c r="B204" s="272"/>
      <c r="C204" s="222"/>
      <c r="D204" s="202"/>
      <c r="E204" s="202"/>
      <c r="F204" s="202"/>
      <c r="G204" s="268"/>
      <c r="H204" s="273"/>
      <c r="I204" s="202"/>
      <c r="J204" s="206"/>
      <c r="K204" s="270"/>
      <c r="L204" s="208"/>
      <c r="M204" s="209"/>
      <c r="N204" s="209"/>
      <c r="O204" s="234"/>
    </row>
    <row r="205" spans="1:15" ht="12.75">
      <c r="A205" s="160">
        <f>ROW()</f>
        <v>205</v>
      </c>
      <c r="B205" s="180" t="s">
        <v>180</v>
      </c>
      <c r="C205" s="182"/>
      <c r="D205" s="184"/>
      <c r="E205" s="184"/>
      <c r="F205" s="184"/>
      <c r="G205" s="257"/>
      <c r="H205" s="240"/>
      <c r="I205" s="184"/>
      <c r="J205" s="221"/>
      <c r="K205" s="260"/>
      <c r="L205" s="189"/>
      <c r="M205" s="199"/>
      <c r="N205" s="199"/>
      <c r="O205" s="193"/>
    </row>
    <row r="206" spans="1:15" ht="12.75">
      <c r="A206" s="160">
        <f>ROW()</f>
        <v>206</v>
      </c>
      <c r="B206" s="180" t="s">
        <v>176</v>
      </c>
      <c r="C206" s="182"/>
      <c r="D206" s="184"/>
      <c r="E206" s="184"/>
      <c r="F206" s="258"/>
      <c r="G206" s="257"/>
      <c r="H206" s="226" t="s">
        <v>181</v>
      </c>
      <c r="I206" s="184"/>
      <c r="J206" s="221"/>
      <c r="K206" s="260"/>
      <c r="L206" s="189"/>
      <c r="M206" s="199"/>
      <c r="N206" s="199"/>
      <c r="O206" s="193"/>
    </row>
    <row r="207" spans="1:15" ht="12.75" hidden="1">
      <c r="A207" s="160">
        <f>ROW()</f>
        <v>207</v>
      </c>
      <c r="B207" s="244" t="s">
        <v>130</v>
      </c>
      <c r="C207" s="182"/>
      <c r="D207" s="184"/>
      <c r="E207" s="184">
        <v>0</v>
      </c>
      <c r="F207" s="184">
        <v>170476</v>
      </c>
      <c r="G207" s="257"/>
      <c r="H207" s="281" t="s">
        <v>182</v>
      </c>
      <c r="I207" s="282">
        <v>7103.166666666667</v>
      </c>
      <c r="J207" s="221"/>
      <c r="K207" s="260"/>
      <c r="L207" s="278" t="s">
        <v>170</v>
      </c>
      <c r="M207" s="199"/>
      <c r="N207" s="199"/>
      <c r="O207" s="193"/>
    </row>
    <row r="208" spans="1:15" ht="12.75" hidden="1">
      <c r="A208" s="160">
        <f>ROW()</f>
        <v>208</v>
      </c>
      <c r="B208" s="244" t="s">
        <v>132</v>
      </c>
      <c r="C208" s="182"/>
      <c r="D208" s="184"/>
      <c r="E208" s="184"/>
      <c r="F208" s="184"/>
      <c r="G208" s="257"/>
      <c r="H208" s="281"/>
      <c r="I208" s="184"/>
      <c r="J208" s="221">
        <v>40178</v>
      </c>
      <c r="K208" s="260"/>
      <c r="L208" s="278" t="s">
        <v>170</v>
      </c>
      <c r="M208" s="199"/>
      <c r="N208" s="199"/>
      <c r="O208" s="193"/>
    </row>
    <row r="209" spans="1:15" ht="12.75">
      <c r="A209" s="160">
        <f>ROW()</f>
        <v>209</v>
      </c>
      <c r="B209" s="244" t="s">
        <v>137</v>
      </c>
      <c r="C209" s="182"/>
      <c r="D209" s="184"/>
      <c r="E209" s="184">
        <v>-87619.9934246575</v>
      </c>
      <c r="F209" s="184">
        <v>0</v>
      </c>
      <c r="G209" s="257"/>
      <c r="H209" s="281">
        <f>E209</f>
        <v>-87619.9934246575</v>
      </c>
      <c r="I209" s="184">
        <v>62507.86666666666</v>
      </c>
      <c r="J209" s="221">
        <v>40543</v>
      </c>
      <c r="K209" s="260"/>
      <c r="L209" s="198" t="s">
        <v>138</v>
      </c>
      <c r="M209" s="199">
        <v>3166.8369052054795</v>
      </c>
      <c r="N209" s="199">
        <f>+M209/(1-0.35)</f>
        <v>4872.056777239199</v>
      </c>
      <c r="O209" s="193">
        <f>N209/9</f>
        <v>541.3396419154665</v>
      </c>
    </row>
    <row r="210" spans="1:18" ht="12.75" hidden="1">
      <c r="A210" s="160">
        <f>ROW()</f>
        <v>210</v>
      </c>
      <c r="B210" s="244" t="s">
        <v>139</v>
      </c>
      <c r="C210" s="182"/>
      <c r="D210" s="184"/>
      <c r="E210" s="184">
        <v>0</v>
      </c>
      <c r="F210" s="184">
        <v>0</v>
      </c>
      <c r="G210" s="257"/>
      <c r="H210" s="281">
        <f>E210</f>
        <v>0</v>
      </c>
      <c r="I210" s="184">
        <v>0</v>
      </c>
      <c r="J210" s="221">
        <v>40908</v>
      </c>
      <c r="K210" s="260"/>
      <c r="L210" s="198" t="e">
        <f>#REF!</f>
        <v>#REF!</v>
      </c>
      <c r="M210" s="199">
        <v>0</v>
      </c>
      <c r="N210" s="199">
        <f>+M210/(1-0.35)</f>
        <v>0</v>
      </c>
      <c r="O210" s="193">
        <f>N210/12</f>
        <v>0</v>
      </c>
      <c r="Q210" s="229" t="e">
        <f>I210*#REF!/0.65</f>
        <v>#REF!</v>
      </c>
      <c r="R210" s="229" t="e">
        <f>Q210-N210</f>
        <v>#REF!</v>
      </c>
    </row>
    <row r="211" spans="1:15" ht="12.75" hidden="1">
      <c r="A211" s="160">
        <f>ROW()</f>
        <v>211</v>
      </c>
      <c r="B211" s="244"/>
      <c r="C211" s="182"/>
      <c r="D211" s="184"/>
      <c r="E211" s="184"/>
      <c r="F211" s="184"/>
      <c r="G211" s="257"/>
      <c r="H211" s="281"/>
      <c r="I211" s="184"/>
      <c r="J211" s="221"/>
      <c r="K211" s="260"/>
      <c r="L211" s="189"/>
      <c r="M211" s="199"/>
      <c r="N211" s="199"/>
      <c r="O211" s="193"/>
    </row>
    <row r="212" spans="1:15" ht="12.75" hidden="1">
      <c r="A212" s="230">
        <f>ROW()</f>
        <v>212</v>
      </c>
      <c r="B212" s="274"/>
      <c r="C212" s="231"/>
      <c r="D212" s="213"/>
      <c r="E212" s="213"/>
      <c r="F212" s="213"/>
      <c r="G212" s="263"/>
      <c r="H212" s="283"/>
      <c r="I212" s="213"/>
      <c r="J212" s="217"/>
      <c r="K212" s="266"/>
      <c r="L212" s="218"/>
      <c r="M212" s="219"/>
      <c r="N212" s="219"/>
      <c r="O212" s="233"/>
    </row>
    <row r="213" spans="1:15" ht="12.75">
      <c r="A213" s="169">
        <f>ROW()</f>
        <v>213</v>
      </c>
      <c r="B213" s="272"/>
      <c r="C213" s="222"/>
      <c r="D213" s="202"/>
      <c r="E213" s="202"/>
      <c r="F213" s="202"/>
      <c r="G213" s="268"/>
      <c r="H213" s="284"/>
      <c r="I213" s="202"/>
      <c r="J213" s="224"/>
      <c r="K213" s="270"/>
      <c r="L213" s="208"/>
      <c r="M213" s="209"/>
      <c r="N213" s="209"/>
      <c r="O213" s="234"/>
    </row>
    <row r="214" spans="1:15" ht="12.75">
      <c r="A214" s="160">
        <f>ROW()</f>
        <v>214</v>
      </c>
      <c r="B214" s="180" t="s">
        <v>183</v>
      </c>
      <c r="C214" s="182"/>
      <c r="D214" s="184"/>
      <c r="E214" s="184"/>
      <c r="F214" s="184"/>
      <c r="G214" s="257"/>
      <c r="H214" s="281"/>
      <c r="I214" s="184"/>
      <c r="J214" s="221"/>
      <c r="K214" s="260"/>
      <c r="L214" s="189"/>
      <c r="M214" s="199"/>
      <c r="N214" s="199"/>
      <c r="O214" s="193"/>
    </row>
    <row r="215" spans="1:15" ht="12.75">
      <c r="A215" s="160">
        <f>ROW()</f>
        <v>215</v>
      </c>
      <c r="B215" s="180" t="s">
        <v>184</v>
      </c>
      <c r="C215" s="182"/>
      <c r="D215" s="184"/>
      <c r="E215" s="184"/>
      <c r="F215" s="258"/>
      <c r="G215" s="257"/>
      <c r="H215" s="226" t="s">
        <v>185</v>
      </c>
      <c r="I215" s="184"/>
      <c r="J215" s="221"/>
      <c r="K215" s="260"/>
      <c r="L215" s="189"/>
      <c r="M215" s="199"/>
      <c r="N215" s="199"/>
      <c r="O215" s="193"/>
    </row>
    <row r="216" spans="1:19" ht="12.75">
      <c r="A216" s="160">
        <f>ROW()</f>
        <v>216</v>
      </c>
      <c r="B216" s="244" t="s">
        <v>137</v>
      </c>
      <c r="C216" s="182"/>
      <c r="D216" s="184"/>
      <c r="E216" s="285">
        <v>-335014.7905991661</v>
      </c>
      <c r="F216" s="184">
        <v>1042903.1860869566</v>
      </c>
      <c r="G216" s="257"/>
      <c r="H216" s="286">
        <f>E216</f>
        <v>-335014.7905991661</v>
      </c>
      <c r="I216" s="184">
        <v>678973.4284420289</v>
      </c>
      <c r="J216" s="221">
        <v>40543</v>
      </c>
      <c r="K216" s="260"/>
      <c r="L216" s="198" t="s">
        <v>138</v>
      </c>
      <c r="M216" s="199">
        <v>27467.730532534242</v>
      </c>
      <c r="N216" s="199">
        <f>+M216/(1-0.35)</f>
        <v>42258.0469731296</v>
      </c>
      <c r="O216" s="193">
        <f>N216/7</f>
        <v>6036.863853304229</v>
      </c>
      <c r="S216" s="287"/>
    </row>
    <row r="217" spans="1:18" ht="12.75" hidden="1">
      <c r="A217" s="160">
        <f>ROW()</f>
        <v>217</v>
      </c>
      <c r="B217" s="244" t="s">
        <v>139</v>
      </c>
      <c r="C217" s="182"/>
      <c r="D217" s="184"/>
      <c r="E217" s="285">
        <v>-782177.3895652174</v>
      </c>
      <c r="F217" s="184">
        <v>260725.7965217391</v>
      </c>
      <c r="G217" s="257"/>
      <c r="H217" s="286">
        <f>E217</f>
        <v>-782177.3895652174</v>
      </c>
      <c r="I217" s="184">
        <v>651814.4913043479</v>
      </c>
      <c r="J217" s="221">
        <v>40908</v>
      </c>
      <c r="K217" s="260"/>
      <c r="L217" s="198" t="e">
        <f>#REF!</f>
        <v>#REF!</v>
      </c>
      <c r="M217" s="199" t="e">
        <v>#REF!</v>
      </c>
      <c r="N217" s="199" t="e">
        <f>+M217/(1-0.35)</f>
        <v>#REF!</v>
      </c>
      <c r="O217" s="193" t="e">
        <f>N217/12</f>
        <v>#REF!</v>
      </c>
      <c r="Q217" s="229" t="e">
        <f>I217*#REF!/0.65</f>
        <v>#REF!</v>
      </c>
      <c r="R217" s="229" t="e">
        <f>Q217-N217</f>
        <v>#REF!</v>
      </c>
    </row>
    <row r="218" spans="1:21" ht="12.75" hidden="1">
      <c r="A218" s="160">
        <f>ROW()</f>
        <v>218</v>
      </c>
      <c r="B218" s="244" t="s">
        <v>142</v>
      </c>
      <c r="C218" s="182"/>
      <c r="D218" s="184"/>
      <c r="E218" s="285">
        <v>-260725.79652173913</v>
      </c>
      <c r="F218" s="184">
        <v>0</v>
      </c>
      <c r="G218" s="257"/>
      <c r="H218" s="286">
        <f>E218</f>
        <v>-260725.79652173913</v>
      </c>
      <c r="I218" s="184">
        <v>43454.29942028985</v>
      </c>
      <c r="J218" s="221">
        <v>41274</v>
      </c>
      <c r="K218" s="260"/>
      <c r="L218" s="198" t="e">
        <f>#REF!</f>
        <v>#REF!</v>
      </c>
      <c r="M218" s="199" t="e">
        <f>I218*L218</f>
        <v>#REF!</v>
      </c>
      <c r="N218" s="199" t="e">
        <f>+M218/(1-0.35)</f>
        <v>#REF!</v>
      </c>
      <c r="O218" s="193" t="e">
        <f>N218/12</f>
        <v>#REF!</v>
      </c>
      <c r="S218" s="287"/>
      <c r="T218" s="287"/>
      <c r="U218" s="287"/>
    </row>
    <row r="219" spans="1:15" ht="12.75" hidden="1">
      <c r="A219" s="230">
        <f>ROW()</f>
        <v>219</v>
      </c>
      <c r="B219" s="244"/>
      <c r="C219" s="182"/>
      <c r="D219" s="184"/>
      <c r="E219" s="184"/>
      <c r="F219" s="184"/>
      <c r="G219" s="257"/>
      <c r="H219" s="281"/>
      <c r="I219" s="184"/>
      <c r="J219" s="221"/>
      <c r="K219" s="260"/>
      <c r="L219" s="189"/>
      <c r="M219" s="199"/>
      <c r="N219" s="199"/>
      <c r="O219" s="193"/>
    </row>
    <row r="220" spans="1:15" ht="12.75">
      <c r="A220" s="169">
        <f>ROW()</f>
        <v>220</v>
      </c>
      <c r="B220" s="272"/>
      <c r="C220" s="222"/>
      <c r="D220" s="202"/>
      <c r="E220" s="202"/>
      <c r="F220" s="202"/>
      <c r="G220" s="268"/>
      <c r="H220" s="284"/>
      <c r="I220" s="202"/>
      <c r="J220" s="224"/>
      <c r="K220" s="270"/>
      <c r="L220" s="208"/>
      <c r="M220" s="209"/>
      <c r="N220" s="209"/>
      <c r="O220" s="234"/>
    </row>
    <row r="221" spans="1:15" ht="12.75" hidden="1">
      <c r="A221" s="160">
        <f>ROW()</f>
        <v>221</v>
      </c>
      <c r="B221" s="288" t="s">
        <v>186</v>
      </c>
      <c r="C221" s="182"/>
      <c r="D221" s="184"/>
      <c r="E221" s="184"/>
      <c r="F221" s="258"/>
      <c r="G221" s="257"/>
      <c r="H221" s="226" t="s">
        <v>187</v>
      </c>
      <c r="I221" s="184"/>
      <c r="J221" s="221"/>
      <c r="K221" s="260"/>
      <c r="L221" s="189"/>
      <c r="M221" s="199"/>
      <c r="N221" s="199"/>
      <c r="O221" s="193"/>
    </row>
    <row r="222" spans="1:15" ht="12.75" hidden="1">
      <c r="A222" s="160">
        <f>ROW()</f>
        <v>222</v>
      </c>
      <c r="B222" s="288" t="s">
        <v>188</v>
      </c>
      <c r="C222" s="182"/>
      <c r="D222" s="184"/>
      <c r="E222" s="184"/>
      <c r="F222" s="258"/>
      <c r="G222" s="257"/>
      <c r="H222" s="281"/>
      <c r="I222" s="184"/>
      <c r="J222" s="221"/>
      <c r="K222" s="260"/>
      <c r="L222" s="189"/>
      <c r="M222" s="199"/>
      <c r="N222" s="199"/>
      <c r="O222" s="193"/>
    </row>
    <row r="223" spans="1:18" ht="12.75" hidden="1">
      <c r="A223" s="160">
        <f>ROW()</f>
        <v>223</v>
      </c>
      <c r="B223" s="244" t="s">
        <v>139</v>
      </c>
      <c r="C223" s="182"/>
      <c r="D223" s="184"/>
      <c r="E223" s="184">
        <v>-1168222.4700833324</v>
      </c>
      <c r="F223" s="282">
        <v>121252616.86461237</v>
      </c>
      <c r="G223" s="257"/>
      <c r="H223" s="281">
        <f>E223</f>
        <v>-1168222.4700833324</v>
      </c>
      <c r="I223" s="184" t="e">
        <v>#REF!</v>
      </c>
      <c r="J223" s="221">
        <v>40908</v>
      </c>
      <c r="K223" s="260"/>
      <c r="L223" s="198" t="e">
        <f>#REF!</f>
        <v>#REF!</v>
      </c>
      <c r="M223" s="199" t="e">
        <v>#REF!</v>
      </c>
      <c r="N223" s="199" t="e">
        <f>+M223/(1-0.35)</f>
        <v>#REF!</v>
      </c>
      <c r="O223" s="193" t="e">
        <f>N223/4</f>
        <v>#REF!</v>
      </c>
      <c r="Q223" s="229" t="e">
        <f>I223*#REF!/0.65/365*122</f>
        <v>#REF!</v>
      </c>
      <c r="R223" s="229" t="e">
        <f>Q223-N223</f>
        <v>#REF!</v>
      </c>
    </row>
    <row r="224" spans="1:15" ht="12.75" hidden="1">
      <c r="A224" s="160">
        <f>ROW()</f>
        <v>224</v>
      </c>
      <c r="B224" s="244" t="s">
        <v>142</v>
      </c>
      <c r="C224" s="182"/>
      <c r="D224" s="184"/>
      <c r="E224" s="184">
        <v>-7009334.820499993</v>
      </c>
      <c r="F224" s="282">
        <v>115139049.23128739</v>
      </c>
      <c r="G224" s="257"/>
      <c r="H224" s="281">
        <f>E224</f>
        <v>-7009334.820499993</v>
      </c>
      <c r="I224" s="184">
        <v>118195833.04794988</v>
      </c>
      <c r="J224" s="221">
        <v>41274</v>
      </c>
      <c r="K224" s="260"/>
      <c r="L224" s="198" t="e">
        <f>#REF!</f>
        <v>#REF!</v>
      </c>
      <c r="M224" s="199" t="e">
        <f>I224*L224</f>
        <v>#REF!</v>
      </c>
      <c r="N224" s="199" t="e">
        <f>+M224/(1-0.35)</f>
        <v>#REF!</v>
      </c>
      <c r="O224" s="193" t="e">
        <f>N224/12</f>
        <v>#REF!</v>
      </c>
    </row>
    <row r="225" spans="1:15" ht="12.75" hidden="1">
      <c r="A225" s="160">
        <f>ROW()</f>
        <v>225</v>
      </c>
      <c r="B225" s="244"/>
      <c r="C225" s="182"/>
      <c r="D225" s="184"/>
      <c r="E225" s="184"/>
      <c r="F225" s="184"/>
      <c r="G225" s="257"/>
      <c r="H225" s="281"/>
      <c r="I225" s="184"/>
      <c r="J225" s="221"/>
      <c r="K225" s="260"/>
      <c r="L225" s="189"/>
      <c r="M225" s="199"/>
      <c r="N225" s="199"/>
      <c r="O225" s="193"/>
    </row>
    <row r="226" spans="1:17" ht="12.75" hidden="1">
      <c r="A226" s="230">
        <f>ROW()</f>
        <v>226</v>
      </c>
      <c r="B226" s="274"/>
      <c r="C226" s="231"/>
      <c r="D226" s="213"/>
      <c r="E226" s="213"/>
      <c r="F226" s="213"/>
      <c r="G226" s="263"/>
      <c r="H226" s="283"/>
      <c r="I226" s="213"/>
      <c r="J226" s="217"/>
      <c r="K226" s="266"/>
      <c r="L226" s="218"/>
      <c r="M226" s="219"/>
      <c r="N226" s="219"/>
      <c r="O226" s="233"/>
      <c r="P226" s="289"/>
      <c r="Q226" s="289"/>
    </row>
    <row r="227" spans="1:17" ht="12.75" hidden="1">
      <c r="A227" s="169">
        <f>ROW()</f>
        <v>227</v>
      </c>
      <c r="B227" s="272"/>
      <c r="C227" s="222"/>
      <c r="D227" s="202"/>
      <c r="E227" s="202"/>
      <c r="F227" s="202"/>
      <c r="G227" s="268"/>
      <c r="H227" s="284"/>
      <c r="I227" s="202"/>
      <c r="J227" s="224"/>
      <c r="K227" s="270"/>
      <c r="L227" s="208"/>
      <c r="M227" s="209"/>
      <c r="N227" s="209"/>
      <c r="O227" s="234"/>
      <c r="P227" s="289"/>
      <c r="Q227" s="289"/>
    </row>
    <row r="228" spans="1:15" ht="12.75" hidden="1">
      <c r="A228" s="160">
        <f>ROW()</f>
        <v>228</v>
      </c>
      <c r="B228" s="288" t="s">
        <v>189</v>
      </c>
      <c r="C228" s="182"/>
      <c r="D228" s="184"/>
      <c r="E228" s="184"/>
      <c r="F228" s="184"/>
      <c r="G228" s="257"/>
      <c r="H228" s="281"/>
      <c r="I228" s="184"/>
      <c r="J228" s="221"/>
      <c r="K228" s="260"/>
      <c r="L228" s="189"/>
      <c r="M228" s="199"/>
      <c r="N228" s="199"/>
      <c r="O228" s="193"/>
    </row>
    <row r="229" spans="1:29" ht="12.75" hidden="1">
      <c r="A229" s="160">
        <f>ROW()</f>
        <v>229</v>
      </c>
      <c r="B229" s="244" t="s">
        <v>139</v>
      </c>
      <c r="C229" s="182"/>
      <c r="D229" s="184"/>
      <c r="E229" s="184">
        <v>0</v>
      </c>
      <c r="F229" s="184">
        <v>18500000</v>
      </c>
      <c r="G229" s="257"/>
      <c r="H229" s="281">
        <v>0</v>
      </c>
      <c r="I229" s="184" t="e">
        <v>#REF!</v>
      </c>
      <c r="J229" s="221">
        <v>40908</v>
      </c>
      <c r="K229" s="260"/>
      <c r="L229" s="198" t="e">
        <f>#REF!</f>
        <v>#REF!</v>
      </c>
      <c r="M229" s="199" t="e">
        <v>#REF!</v>
      </c>
      <c r="N229" s="199" t="e">
        <f>+M229/(1-0.35)</f>
        <v>#REF!</v>
      </c>
      <c r="O229" s="193" t="e">
        <f>N229/4</f>
        <v>#REF!</v>
      </c>
      <c r="Q229" s="229" t="e">
        <f>I229*#REF!/0.65/365*122</f>
        <v>#REF!</v>
      </c>
      <c r="R229" s="229" t="e">
        <f>Q229-N229</f>
        <v>#REF!</v>
      </c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144"/>
    </row>
    <row r="230" spans="1:29" ht="12.75" hidden="1">
      <c r="A230" s="160">
        <f>ROW()</f>
        <v>230</v>
      </c>
      <c r="B230" s="244" t="s">
        <v>142</v>
      </c>
      <c r="C230" s="182"/>
      <c r="D230" s="184"/>
      <c r="E230" s="184">
        <v>0</v>
      </c>
      <c r="F230" s="184">
        <v>18500000</v>
      </c>
      <c r="G230" s="257"/>
      <c r="H230" s="281">
        <v>0</v>
      </c>
      <c r="I230" s="184">
        <v>18500000</v>
      </c>
      <c r="J230" s="221">
        <v>41274</v>
      </c>
      <c r="K230" s="260"/>
      <c r="L230" s="198" t="e">
        <f>#REF!</f>
        <v>#REF!</v>
      </c>
      <c r="M230" s="199" t="e">
        <f>I230*L230</f>
        <v>#REF!</v>
      </c>
      <c r="N230" s="199" t="e">
        <f>+M230/(1-0.35)</f>
        <v>#REF!</v>
      </c>
      <c r="O230" s="193" t="e">
        <f>N230/12</f>
        <v>#REF!</v>
      </c>
      <c r="Q230" s="290"/>
      <c r="V230" s="287"/>
      <c r="W230" s="287"/>
      <c r="X230" s="287"/>
      <c r="Y230" s="287"/>
      <c r="Z230" s="287"/>
      <c r="AA230" s="287"/>
      <c r="AB230" s="287"/>
      <c r="AC230" s="287"/>
    </row>
    <row r="231" spans="1:29" ht="12.75" hidden="1">
      <c r="A231" s="160">
        <f>ROW()</f>
        <v>231</v>
      </c>
      <c r="B231" s="244"/>
      <c r="C231" s="182"/>
      <c r="D231" s="184"/>
      <c r="E231" s="184"/>
      <c r="F231" s="184"/>
      <c r="G231" s="257"/>
      <c r="H231" s="281"/>
      <c r="I231" s="184"/>
      <c r="J231" s="221"/>
      <c r="K231" s="260"/>
      <c r="L231" s="189"/>
      <c r="M231" s="199"/>
      <c r="N231" s="199"/>
      <c r="O231" s="193"/>
      <c r="Q231" s="290"/>
      <c r="V231" s="287"/>
      <c r="W231" s="287"/>
      <c r="X231" s="287"/>
      <c r="Y231" s="287"/>
      <c r="Z231" s="287"/>
      <c r="AA231" s="287"/>
      <c r="AB231" s="287"/>
      <c r="AC231" s="287"/>
    </row>
    <row r="232" spans="1:29" ht="12.75" hidden="1">
      <c r="A232" s="230">
        <f>ROW()</f>
        <v>232</v>
      </c>
      <c r="B232" s="274"/>
      <c r="C232" s="231"/>
      <c r="D232" s="213"/>
      <c r="E232" s="213"/>
      <c r="F232" s="213"/>
      <c r="G232" s="263"/>
      <c r="H232" s="283"/>
      <c r="I232" s="213"/>
      <c r="J232" s="217"/>
      <c r="K232" s="266"/>
      <c r="L232" s="218"/>
      <c r="M232" s="219"/>
      <c r="N232" s="219"/>
      <c r="O232" s="233"/>
      <c r="Q232" s="290"/>
      <c r="V232" s="287"/>
      <c r="W232" s="287"/>
      <c r="X232" s="287"/>
      <c r="Y232" s="287"/>
      <c r="Z232" s="287"/>
      <c r="AA232" s="287"/>
      <c r="AB232" s="287"/>
      <c r="AC232" s="287"/>
    </row>
    <row r="233" spans="1:29" ht="12.75" hidden="1">
      <c r="A233" s="230">
        <f>ROW()</f>
        <v>233</v>
      </c>
      <c r="B233" s="244"/>
      <c r="C233" s="182"/>
      <c r="D233" s="184"/>
      <c r="E233" s="184"/>
      <c r="F233" s="184"/>
      <c r="G233" s="257"/>
      <c r="H233" s="281"/>
      <c r="I233" s="184"/>
      <c r="J233" s="221"/>
      <c r="K233" s="260"/>
      <c r="L233" s="189"/>
      <c r="M233" s="199"/>
      <c r="N233" s="199"/>
      <c r="O233" s="193"/>
      <c r="Q233" s="290"/>
      <c r="V233" s="287"/>
      <c r="W233" s="287"/>
      <c r="X233" s="287"/>
      <c r="Y233" s="287"/>
      <c r="Z233" s="287"/>
      <c r="AA233" s="287"/>
      <c r="AB233" s="287"/>
      <c r="AC233" s="287"/>
    </row>
    <row r="234" spans="1:29" ht="12.75">
      <c r="A234" s="230">
        <f>ROW()</f>
        <v>234</v>
      </c>
      <c r="B234" s="291" t="s">
        <v>190</v>
      </c>
      <c r="C234" s="182"/>
      <c r="D234" s="184"/>
      <c r="E234" s="184"/>
      <c r="F234" s="184"/>
      <c r="G234" s="257"/>
      <c r="H234" s="226" t="s">
        <v>191</v>
      </c>
      <c r="I234" s="184"/>
      <c r="J234" s="221"/>
      <c r="K234" s="260"/>
      <c r="L234" s="189"/>
      <c r="M234" s="199"/>
      <c r="N234" s="199"/>
      <c r="O234" s="193"/>
      <c r="Q234" s="290"/>
      <c r="V234" s="287"/>
      <c r="W234" s="287"/>
      <c r="X234" s="287"/>
      <c r="Y234" s="287"/>
      <c r="Z234" s="287"/>
      <c r="AA234" s="287"/>
      <c r="AB234" s="287"/>
      <c r="AC234" s="287"/>
    </row>
    <row r="235" spans="1:29" ht="12.75">
      <c r="A235" s="230">
        <f>ROW()</f>
        <v>235</v>
      </c>
      <c r="B235" s="244" t="s">
        <v>137</v>
      </c>
      <c r="C235" s="182"/>
      <c r="D235" s="184"/>
      <c r="E235" s="184">
        <v>0</v>
      </c>
      <c r="F235" s="184">
        <v>640860.606521739</v>
      </c>
      <c r="G235" s="257"/>
      <c r="H235" s="281">
        <f>E235</f>
        <v>0</v>
      </c>
      <c r="I235" s="184">
        <v>82650.67346014491</v>
      </c>
      <c r="J235" s="221">
        <v>40543</v>
      </c>
      <c r="K235" s="260"/>
      <c r="L235" s="198" t="s">
        <v>138</v>
      </c>
      <c r="M235" s="199">
        <v>953.0868071061643</v>
      </c>
      <c r="N235" s="199">
        <f>+M235/(1-0.35)</f>
        <v>1466.2873955479452</v>
      </c>
      <c r="O235" s="193">
        <f>N235/2</f>
        <v>733.1436977739726</v>
      </c>
      <c r="Q235" s="290"/>
      <c r="V235" s="287"/>
      <c r="W235" s="287"/>
      <c r="X235" s="287"/>
      <c r="Y235" s="287"/>
      <c r="Z235" s="287"/>
      <c r="AA235" s="287"/>
      <c r="AB235" s="287"/>
      <c r="AC235" s="287"/>
    </row>
    <row r="236" spans="1:29" ht="12.75" hidden="1">
      <c r="A236" s="230">
        <f>ROW()</f>
        <v>236</v>
      </c>
      <c r="B236" s="244" t="s">
        <v>139</v>
      </c>
      <c r="C236" s="182"/>
      <c r="D236" s="184"/>
      <c r="E236" s="292">
        <v>-366206.06086956523</v>
      </c>
      <c r="F236" s="184">
        <v>274654.5456521738</v>
      </c>
      <c r="G236" s="257"/>
      <c r="H236" s="281">
        <f>E236</f>
        <v>-366206.06086956523</v>
      </c>
      <c r="I236" s="184">
        <v>457757.5760869565</v>
      </c>
      <c r="J236" s="221">
        <v>40908</v>
      </c>
      <c r="K236" s="260"/>
      <c r="L236" s="198" t="e">
        <f>#REF!</f>
        <v>#REF!</v>
      </c>
      <c r="M236" s="199" t="e">
        <v>#REF!</v>
      </c>
      <c r="N236" s="199" t="e">
        <f>+M236/(1-0.35)</f>
        <v>#REF!</v>
      </c>
      <c r="O236" s="193" t="e">
        <f>N236/12</f>
        <v>#REF!</v>
      </c>
      <c r="Q236" s="229" t="e">
        <f>I236*#REF!/0.65</f>
        <v>#REF!</v>
      </c>
      <c r="V236" s="287"/>
      <c r="W236" s="287"/>
      <c r="X236" s="287"/>
      <c r="Y236" s="287"/>
      <c r="Z236" s="287"/>
      <c r="AA236" s="287"/>
      <c r="AB236" s="287"/>
      <c r="AC236" s="287"/>
    </row>
    <row r="237" spans="1:29" ht="12.75" hidden="1">
      <c r="A237" s="230">
        <f>ROW()</f>
        <v>237</v>
      </c>
      <c r="B237" s="244" t="s">
        <v>142</v>
      </c>
      <c r="C237" s="182"/>
      <c r="D237" s="184"/>
      <c r="E237" s="292">
        <v>-274654.54565217387</v>
      </c>
      <c r="F237" s="184">
        <v>-91551.51521739119</v>
      </c>
      <c r="G237" s="257"/>
      <c r="H237" s="281">
        <f>E237</f>
        <v>-274654.54565217387</v>
      </c>
      <c r="I237" s="184">
        <v>91551.51521739125</v>
      </c>
      <c r="J237" s="221">
        <v>41274</v>
      </c>
      <c r="K237" s="260"/>
      <c r="L237" s="198" t="e">
        <f>#REF!</f>
        <v>#REF!</v>
      </c>
      <c r="M237" s="199" t="e">
        <f>I237*L237</f>
        <v>#REF!</v>
      </c>
      <c r="N237" s="199" t="e">
        <f>+M237/(1-0.35)</f>
        <v>#REF!</v>
      </c>
      <c r="O237" s="193" t="e">
        <f>N237/12</f>
        <v>#REF!</v>
      </c>
      <c r="Q237" s="290"/>
      <c r="V237" s="287"/>
      <c r="W237" s="287"/>
      <c r="X237" s="287"/>
      <c r="Y237" s="287"/>
      <c r="Z237" s="287"/>
      <c r="AA237" s="287"/>
      <c r="AB237" s="287"/>
      <c r="AC237" s="287"/>
    </row>
    <row r="238" spans="1:29" ht="12.75" hidden="1">
      <c r="A238" s="230">
        <f>ROW()</f>
        <v>238</v>
      </c>
      <c r="B238" s="244"/>
      <c r="C238" s="182"/>
      <c r="D238" s="184"/>
      <c r="E238" s="184"/>
      <c r="F238" s="184"/>
      <c r="G238" s="257"/>
      <c r="H238" s="281"/>
      <c r="I238" s="184"/>
      <c r="J238" s="221"/>
      <c r="K238" s="260"/>
      <c r="L238" s="189"/>
      <c r="M238" s="199"/>
      <c r="N238" s="199"/>
      <c r="O238" s="193"/>
      <c r="Q238" s="290"/>
      <c r="V238" s="287"/>
      <c r="W238" s="287"/>
      <c r="X238" s="287"/>
      <c r="Y238" s="287"/>
      <c r="Z238" s="287"/>
      <c r="AA238" s="287"/>
      <c r="AB238" s="287"/>
      <c r="AC238" s="287"/>
    </row>
    <row r="239" spans="1:29" ht="12.75" hidden="1">
      <c r="A239" s="230">
        <f>ROW()</f>
        <v>239</v>
      </c>
      <c r="B239" s="272"/>
      <c r="C239" s="222"/>
      <c r="D239" s="202"/>
      <c r="E239" s="202"/>
      <c r="F239" s="202"/>
      <c r="G239" s="268"/>
      <c r="H239" s="284"/>
      <c r="I239" s="202"/>
      <c r="J239" s="224"/>
      <c r="K239" s="270"/>
      <c r="L239" s="208"/>
      <c r="M239" s="209"/>
      <c r="N239" s="209"/>
      <c r="O239" s="234"/>
      <c r="Q239" s="290"/>
      <c r="V239" s="287"/>
      <c r="W239" s="287"/>
      <c r="X239" s="287"/>
      <c r="Y239" s="287"/>
      <c r="Z239" s="287"/>
      <c r="AA239" s="287"/>
      <c r="AB239" s="287"/>
      <c r="AC239" s="287"/>
    </row>
    <row r="240" spans="1:29" ht="12.75" hidden="1">
      <c r="A240" s="230">
        <f>ROW()</f>
        <v>240</v>
      </c>
      <c r="B240" s="288" t="s">
        <v>192</v>
      </c>
      <c r="C240" s="182"/>
      <c r="D240" s="184"/>
      <c r="E240" s="184"/>
      <c r="F240" s="258"/>
      <c r="G240" s="257"/>
      <c r="H240" s="226" t="s">
        <v>193</v>
      </c>
      <c r="I240" s="184"/>
      <c r="J240" s="221"/>
      <c r="K240" s="260"/>
      <c r="L240" s="189"/>
      <c r="M240" s="199"/>
      <c r="N240" s="199"/>
      <c r="O240" s="193"/>
      <c r="Q240" s="290"/>
      <c r="V240" s="287"/>
      <c r="W240" s="287"/>
      <c r="X240" s="287"/>
      <c r="Y240" s="287"/>
      <c r="Z240" s="287"/>
      <c r="AA240" s="287"/>
      <c r="AB240" s="287"/>
      <c r="AC240" s="287"/>
    </row>
    <row r="241" spans="1:29" ht="12.75" hidden="1">
      <c r="A241" s="230">
        <f>ROW()</f>
        <v>241</v>
      </c>
      <c r="B241" s="288" t="s">
        <v>194</v>
      </c>
      <c r="C241" s="182"/>
      <c r="D241" s="184"/>
      <c r="E241" s="184"/>
      <c r="F241" s="258"/>
      <c r="G241" s="257"/>
      <c r="H241" s="281"/>
      <c r="I241" s="184"/>
      <c r="J241" s="221"/>
      <c r="K241" s="260"/>
      <c r="L241" s="189"/>
      <c r="M241" s="199"/>
      <c r="N241" s="199"/>
      <c r="O241" s="193"/>
      <c r="Q241" s="290"/>
      <c r="V241" s="287"/>
      <c r="W241" s="287"/>
      <c r="X241" s="287"/>
      <c r="Y241" s="287"/>
      <c r="Z241" s="287"/>
      <c r="AA241" s="287"/>
      <c r="AB241" s="287"/>
      <c r="AC241" s="287"/>
    </row>
    <row r="242" spans="1:29" ht="12.75" hidden="1">
      <c r="A242" s="230">
        <f>ROW()</f>
        <v>242</v>
      </c>
      <c r="B242" s="244" t="s">
        <v>139</v>
      </c>
      <c r="C242" s="182"/>
      <c r="D242" s="184"/>
      <c r="E242" s="184">
        <v>-555555.5555555556</v>
      </c>
      <c r="F242" s="184">
        <v>4444444.444444444</v>
      </c>
      <c r="G242" s="257"/>
      <c r="H242" s="281">
        <f>E242</f>
        <v>-555555.5555555556</v>
      </c>
      <c r="I242" s="184">
        <v>4722222.222222222</v>
      </c>
      <c r="J242" s="221">
        <v>40908</v>
      </c>
      <c r="K242" s="260"/>
      <c r="L242" s="198" t="e">
        <f>#REF!</f>
        <v>#REF!</v>
      </c>
      <c r="M242" s="199" t="e">
        <v>#REF!</v>
      </c>
      <c r="N242" s="199" t="e">
        <f>+M242/(1-0.35)</f>
        <v>#REF!</v>
      </c>
      <c r="O242" s="193" t="e">
        <f>N242/4</f>
        <v>#REF!</v>
      </c>
      <c r="Q242" s="229"/>
      <c r="R242" s="229"/>
      <c r="V242" s="287"/>
      <c r="W242" s="287"/>
      <c r="X242" s="287"/>
      <c r="Y242" s="287"/>
      <c r="Z242" s="287"/>
      <c r="AA242" s="287"/>
      <c r="AB242" s="287"/>
      <c r="AC242" s="287"/>
    </row>
    <row r="243" spans="1:29" ht="12.75" hidden="1">
      <c r="A243" s="230">
        <f>ROW()</f>
        <v>243</v>
      </c>
      <c r="B243" s="244" t="s">
        <v>142</v>
      </c>
      <c r="C243" s="182"/>
      <c r="D243" s="184"/>
      <c r="E243" s="184">
        <v>-555555.5555555556</v>
      </c>
      <c r="F243" s="184">
        <v>3888888.888888889</v>
      </c>
      <c r="G243" s="257"/>
      <c r="H243" s="281">
        <f>E243</f>
        <v>-555555.5555555556</v>
      </c>
      <c r="I243" s="184">
        <v>4166666.6666666665</v>
      </c>
      <c r="J243" s="221">
        <v>41274</v>
      </c>
      <c r="K243" s="260"/>
      <c r="L243" s="198" t="e">
        <f>#REF!</f>
        <v>#REF!</v>
      </c>
      <c r="M243" s="199" t="e">
        <f>I243*L243</f>
        <v>#REF!</v>
      </c>
      <c r="N243" s="199" t="e">
        <f>+M243/(1-0.35)</f>
        <v>#REF!</v>
      </c>
      <c r="O243" s="193" t="e">
        <f>N243/12</f>
        <v>#REF!</v>
      </c>
      <c r="Q243" s="290"/>
      <c r="V243" s="287"/>
      <c r="W243" s="287"/>
      <c r="X243" s="287"/>
      <c r="Y243" s="287"/>
      <c r="Z243" s="287"/>
      <c r="AA243" s="287"/>
      <c r="AB243" s="287"/>
      <c r="AC243" s="287"/>
    </row>
    <row r="244" spans="1:29" ht="12.75" hidden="1">
      <c r="A244" s="230">
        <f>ROW()</f>
        <v>244</v>
      </c>
      <c r="B244" s="244"/>
      <c r="C244" s="182"/>
      <c r="D244" s="184"/>
      <c r="E244" s="184"/>
      <c r="F244" s="184"/>
      <c r="G244" s="263"/>
      <c r="H244" s="293"/>
      <c r="I244" s="184"/>
      <c r="J244" s="221"/>
      <c r="K244" s="260"/>
      <c r="L244" s="189"/>
      <c r="M244" s="199"/>
      <c r="N244" s="199"/>
      <c r="O244" s="193"/>
      <c r="Q244" s="290"/>
      <c r="V244" s="287"/>
      <c r="W244" s="287"/>
      <c r="X244" s="287"/>
      <c r="Y244" s="287"/>
      <c r="Z244" s="287"/>
      <c r="AA244" s="287"/>
      <c r="AB244" s="287"/>
      <c r="AC244" s="287"/>
    </row>
    <row r="245" spans="1:15" ht="12.75">
      <c r="A245" s="230">
        <f>ROW()</f>
        <v>245</v>
      </c>
      <c r="B245" s="255"/>
      <c r="C245" s="202"/>
      <c r="D245" s="202"/>
      <c r="E245" s="202"/>
      <c r="F245" s="202"/>
      <c r="G245" s="204"/>
      <c r="H245" s="202"/>
      <c r="I245" s="202"/>
      <c r="J245" s="249"/>
      <c r="K245" s="204"/>
      <c r="L245" s="178"/>
      <c r="M245" s="234"/>
      <c r="N245" s="234"/>
      <c r="O245" s="170"/>
    </row>
    <row r="246" spans="1:29" ht="12.75">
      <c r="A246" s="230">
        <f>ROW()</f>
        <v>246</v>
      </c>
      <c r="B246" s="294"/>
      <c r="C246" s="295"/>
      <c r="D246" s="295"/>
      <c r="E246" s="296"/>
      <c r="F246" s="296"/>
      <c r="G246" s="297"/>
      <c r="H246" s="298"/>
      <c r="I246" s="298"/>
      <c r="J246" s="299"/>
      <c r="K246" s="300"/>
      <c r="L246" s="301" t="s">
        <v>105</v>
      </c>
      <c r="M246" s="302"/>
      <c r="N246" s="302"/>
      <c r="O246" s="303"/>
      <c r="Q246" s="287"/>
      <c r="R246" s="287"/>
      <c r="S246" s="287"/>
      <c r="T246" s="287"/>
      <c r="U246" s="287"/>
      <c r="V246" s="287"/>
      <c r="W246" s="287"/>
      <c r="X246" s="287"/>
      <c r="Y246" s="287"/>
      <c r="Z246" s="287"/>
      <c r="AA246" s="287"/>
      <c r="AB246" s="287"/>
      <c r="AC246" s="287"/>
    </row>
    <row r="247" spans="1:15" ht="12.75">
      <c r="A247" s="230">
        <f>ROW()</f>
        <v>247</v>
      </c>
      <c r="B247" s="304" t="s">
        <v>195</v>
      </c>
      <c r="C247" s="151"/>
      <c r="D247" s="151"/>
      <c r="E247" s="305" t="s">
        <v>196</v>
      </c>
      <c r="F247" s="305" t="s">
        <v>197</v>
      </c>
      <c r="G247" s="306"/>
      <c r="H247" s="153" t="s">
        <v>108</v>
      </c>
      <c r="I247" s="140" t="s">
        <v>110</v>
      </c>
      <c r="J247" s="155"/>
      <c r="K247" s="154"/>
      <c r="L247" s="156" t="s">
        <v>111</v>
      </c>
      <c r="M247" s="156" t="s">
        <v>112</v>
      </c>
      <c r="N247" s="307" t="s">
        <v>113</v>
      </c>
      <c r="O247" s="308" t="s">
        <v>114</v>
      </c>
    </row>
    <row r="248" spans="1:15" ht="12.75">
      <c r="A248" s="230">
        <f>ROW()</f>
        <v>248</v>
      </c>
      <c r="B248" s="309"/>
      <c r="C248" s="310"/>
      <c r="D248" s="310"/>
      <c r="E248" s="311"/>
      <c r="F248" s="311"/>
      <c r="G248" s="166"/>
      <c r="H248" s="227"/>
      <c r="I248" s="227"/>
      <c r="J248" s="221"/>
      <c r="K248" s="185"/>
      <c r="L248" s="227"/>
      <c r="M248" s="312" t="s">
        <v>198</v>
      </c>
      <c r="N248" s="312"/>
      <c r="O248" s="313"/>
    </row>
    <row r="249" spans="1:16" ht="12.75" hidden="1">
      <c r="A249" s="230">
        <f>ROW()</f>
        <v>249</v>
      </c>
      <c r="B249" s="314" t="s">
        <v>199</v>
      </c>
      <c r="C249" s="310"/>
      <c r="D249" s="310"/>
      <c r="E249" s="315">
        <v>38169</v>
      </c>
      <c r="F249" s="315">
        <v>38533</v>
      </c>
      <c r="G249" s="166"/>
      <c r="H249" s="316">
        <f aca="true" t="shared" si="29" ref="H249:I256">SUMIF($J$16:$J$248,$J249,H$16:H$248)</f>
        <v>-23312821.722071</v>
      </c>
      <c r="I249" s="316">
        <f t="shared" si="29"/>
        <v>307685359.4082415</v>
      </c>
      <c r="J249" s="317">
        <v>38533</v>
      </c>
      <c r="K249" s="318"/>
      <c r="L249" s="198" t="str">
        <f>L112</f>
        <v>7.3%&amp;7.01%</v>
      </c>
      <c r="M249" s="316">
        <f aca="true" t="shared" si="30" ref="M249:M257">SUMIF($J$16:$J$248,$J249,M$16:M$248)</f>
        <v>21421859.42707611</v>
      </c>
      <c r="N249" s="319">
        <f aca="true" t="shared" si="31" ref="N249:N257">M249/0.65</f>
        <v>32956706.81088632</v>
      </c>
      <c r="O249" s="320">
        <f aca="true" t="shared" si="32" ref="O249:O254">N249/12</f>
        <v>2746392.234240527</v>
      </c>
      <c r="P249" s="321"/>
    </row>
    <row r="250" spans="1:16" ht="12.75" hidden="1">
      <c r="A250" s="230">
        <f>ROW()</f>
        <v>250</v>
      </c>
      <c r="B250" s="314" t="s">
        <v>200</v>
      </c>
      <c r="C250" s="310"/>
      <c r="D250" s="310"/>
      <c r="E250" s="315">
        <v>38534</v>
      </c>
      <c r="F250" s="315">
        <v>38898</v>
      </c>
      <c r="G250" s="166"/>
      <c r="H250" s="316">
        <f t="shared" si="29"/>
        <v>-24507562.335726786</v>
      </c>
      <c r="I250" s="316">
        <f t="shared" si="29"/>
        <v>277936545.3670526</v>
      </c>
      <c r="J250" s="317">
        <v>38898</v>
      </c>
      <c r="K250" s="318"/>
      <c r="L250" s="322">
        <f>$L$17</f>
        <v>0.07010000000000001</v>
      </c>
      <c r="M250" s="316">
        <f t="shared" si="30"/>
        <v>19483351.830230385</v>
      </c>
      <c r="N250" s="319">
        <f t="shared" si="31"/>
        <v>29974387.431123666</v>
      </c>
      <c r="O250" s="320">
        <f t="shared" si="32"/>
        <v>2497865.6192603055</v>
      </c>
      <c r="P250" s="321"/>
    </row>
    <row r="251" spans="1:16" ht="12.75" hidden="1">
      <c r="A251" s="230">
        <f>ROW()</f>
        <v>251</v>
      </c>
      <c r="B251" s="323" t="s">
        <v>201</v>
      </c>
      <c r="C251" s="324"/>
      <c r="D251" s="324"/>
      <c r="E251" s="325">
        <v>38899</v>
      </c>
      <c r="F251" s="325">
        <v>39082</v>
      </c>
      <c r="G251" s="326"/>
      <c r="H251" s="327">
        <f t="shared" si="29"/>
        <v>-13730530.335291505</v>
      </c>
      <c r="I251" s="327">
        <f t="shared" si="29"/>
        <v>265779411.31623667</v>
      </c>
      <c r="J251" s="328">
        <v>39082</v>
      </c>
      <c r="K251" s="329"/>
      <c r="L251" s="330">
        <f>$L$17</f>
        <v>0.07010000000000001</v>
      </c>
      <c r="M251" s="327">
        <f t="shared" si="30"/>
        <v>18631136.733268194</v>
      </c>
      <c r="N251" s="331">
        <f t="shared" si="31"/>
        <v>28663287.281951066</v>
      </c>
      <c r="O251" s="332">
        <f>N251/12</f>
        <v>2388607.2734959223</v>
      </c>
      <c r="P251" s="321"/>
    </row>
    <row r="252" spans="1:16" ht="12.75" hidden="1">
      <c r="A252" s="230">
        <f>ROW()</f>
        <v>252</v>
      </c>
      <c r="B252" s="314" t="s">
        <v>202</v>
      </c>
      <c r="C252" s="310"/>
      <c r="D252" s="310"/>
      <c r="E252" s="315">
        <v>39083</v>
      </c>
      <c r="F252" s="315">
        <v>39447</v>
      </c>
      <c r="G252" s="166"/>
      <c r="H252" s="316">
        <f t="shared" si="29"/>
        <v>-29546472.84040191</v>
      </c>
      <c r="I252" s="316">
        <f t="shared" si="29"/>
        <v>237077363.23879805</v>
      </c>
      <c r="J252" s="221">
        <v>39447</v>
      </c>
      <c r="K252" s="185"/>
      <c r="L252" s="198" t="s">
        <v>129</v>
      </c>
      <c r="M252" s="316">
        <f t="shared" si="30"/>
        <v>16733764.682523713</v>
      </c>
      <c r="N252" s="319">
        <f t="shared" si="31"/>
        <v>25744253.357728787</v>
      </c>
      <c r="O252" s="320">
        <f t="shared" si="32"/>
        <v>2145354.4464773987</v>
      </c>
      <c r="P252" s="321"/>
    </row>
    <row r="253" spans="1:16" ht="12.75" hidden="1">
      <c r="A253" s="230">
        <f>ROW()</f>
        <v>253</v>
      </c>
      <c r="B253" s="314" t="s">
        <v>203</v>
      </c>
      <c r="C253" s="310"/>
      <c r="D253" s="310"/>
      <c r="E253" s="315">
        <v>39448</v>
      </c>
      <c r="F253" s="315">
        <v>39813</v>
      </c>
      <c r="G253" s="166"/>
      <c r="H253" s="316">
        <f t="shared" si="29"/>
        <v>-35237099.930608526</v>
      </c>
      <c r="I253" s="316">
        <f t="shared" si="29"/>
        <v>208317115.5741784</v>
      </c>
      <c r="J253" s="221">
        <v>39813</v>
      </c>
      <c r="K253" s="185"/>
      <c r="L253" s="198" t="str">
        <f>$L$20</f>
        <v>7.06%&amp;7.00%</v>
      </c>
      <c r="M253" s="316">
        <f t="shared" si="30"/>
        <v>14273840.286950283</v>
      </c>
      <c r="N253" s="319">
        <f t="shared" si="31"/>
        <v>21959754.287615817</v>
      </c>
      <c r="O253" s="320">
        <f>N253/12</f>
        <v>1829979.5239679848</v>
      </c>
      <c r="P253" s="321"/>
    </row>
    <row r="254" spans="1:17" ht="12.75" hidden="1">
      <c r="A254" s="230">
        <f>ROW()</f>
        <v>254</v>
      </c>
      <c r="B254" s="314" t="s">
        <v>204</v>
      </c>
      <c r="C254" s="310"/>
      <c r="D254" s="310"/>
      <c r="E254" s="315">
        <v>39814</v>
      </c>
      <c r="F254" s="315">
        <v>40178</v>
      </c>
      <c r="G254" s="166"/>
      <c r="H254" s="316">
        <f t="shared" si="29"/>
        <v>-42731026.75579602</v>
      </c>
      <c r="I254" s="316">
        <f t="shared" si="29"/>
        <v>132574299.56855597</v>
      </c>
      <c r="J254" s="221">
        <v>40178</v>
      </c>
      <c r="K254" s="185"/>
      <c r="L254" s="262">
        <f>$L$21</f>
        <v>0.07</v>
      </c>
      <c r="M254" s="316">
        <f t="shared" si="30"/>
        <v>11712438.619157825</v>
      </c>
      <c r="N254" s="319">
        <f t="shared" si="31"/>
        <v>18019136.337165885</v>
      </c>
      <c r="O254" s="320">
        <f t="shared" si="32"/>
        <v>1501594.6947638236</v>
      </c>
      <c r="P254" s="321"/>
      <c r="Q254" s="229"/>
    </row>
    <row r="255" spans="1:16" ht="12.75">
      <c r="A255" s="230">
        <f>ROW()</f>
        <v>255</v>
      </c>
      <c r="B255" s="333" t="s">
        <v>205</v>
      </c>
      <c r="C255" s="334"/>
      <c r="D255" s="334"/>
      <c r="E255" s="335">
        <v>40179</v>
      </c>
      <c r="F255" s="335">
        <v>40543</v>
      </c>
      <c r="G255" s="336"/>
      <c r="H255" s="337">
        <f t="shared" si="29"/>
        <v>-52079922.5399928</v>
      </c>
      <c r="I255" s="337">
        <f t="shared" si="29"/>
        <v>128404538.59198247</v>
      </c>
      <c r="J255" s="338">
        <v>40543</v>
      </c>
      <c r="K255" s="339"/>
      <c r="L255" s="340" t="s">
        <v>138</v>
      </c>
      <c r="M255" s="337">
        <f>SUMIF($J$16:$J$248,$J255,M$16:M$248)</f>
        <v>8348513.287561213</v>
      </c>
      <c r="N255" s="341">
        <f>M255/0.65</f>
        <v>12843866.59624802</v>
      </c>
      <c r="O255" s="342">
        <f>N255/12</f>
        <v>1070322.2163540015</v>
      </c>
      <c r="P255" s="343"/>
    </row>
    <row r="256" spans="1:18" ht="12.75" hidden="1">
      <c r="A256" s="230">
        <f>ROW()</f>
        <v>256</v>
      </c>
      <c r="B256" s="314" t="s">
        <v>206</v>
      </c>
      <c r="C256" s="310"/>
      <c r="D256" s="310"/>
      <c r="E256" s="315">
        <v>40544</v>
      </c>
      <c r="F256" s="315">
        <v>40908</v>
      </c>
      <c r="G256" s="166"/>
      <c r="H256" s="316">
        <f t="shared" si="29"/>
        <v>-57092312.42441804</v>
      </c>
      <c r="I256" s="316" t="e">
        <f t="shared" si="29"/>
        <v>#REF!</v>
      </c>
      <c r="J256" s="221">
        <v>40908</v>
      </c>
      <c r="K256" s="185"/>
      <c r="L256" s="198">
        <v>0.069</v>
      </c>
      <c r="M256" s="316" t="e">
        <f t="shared" si="30"/>
        <v>#REF!</v>
      </c>
      <c r="N256" s="319" t="e">
        <f t="shared" si="31"/>
        <v>#REF!</v>
      </c>
      <c r="O256" s="320" t="e">
        <f>N256/12</f>
        <v>#REF!</v>
      </c>
      <c r="P256" s="344"/>
      <c r="Q256" s="229"/>
      <c r="R256" s="229"/>
    </row>
    <row r="257" spans="1:16" ht="12.75" hidden="1">
      <c r="A257" s="230">
        <f>ROW()</f>
        <v>257</v>
      </c>
      <c r="B257" s="314" t="s">
        <v>207</v>
      </c>
      <c r="C257" s="310"/>
      <c r="D257" s="310"/>
      <c r="E257" s="315">
        <v>40909</v>
      </c>
      <c r="F257" s="315">
        <v>41274</v>
      </c>
      <c r="G257" s="166"/>
      <c r="H257" s="316">
        <f>SUMIF($J$16:$J$248,$J257,H$16:H$248)</f>
        <v>-15473812.75426162</v>
      </c>
      <c r="I257" s="316">
        <f>SUMIF($J$38:$J$248,$J257,I$38:I$248)</f>
        <v>192813862.35381484</v>
      </c>
      <c r="J257" s="221">
        <v>41274</v>
      </c>
      <c r="K257" s="185"/>
      <c r="L257" s="198" t="e">
        <f>#REF!</f>
        <v>#REF!</v>
      </c>
      <c r="M257" s="316" t="e">
        <f t="shared" si="30"/>
        <v>#REF!</v>
      </c>
      <c r="N257" s="319" t="e">
        <f t="shared" si="31"/>
        <v>#REF!</v>
      </c>
      <c r="O257" s="320" t="e">
        <f>N257/12</f>
        <v>#REF!</v>
      </c>
      <c r="P257" s="344"/>
    </row>
    <row r="258" spans="1:15" ht="12.75">
      <c r="A258" s="230">
        <f>ROW()</f>
        <v>258</v>
      </c>
      <c r="B258" s="345"/>
      <c r="C258" s="346"/>
      <c r="D258" s="346"/>
      <c r="E258" s="347"/>
      <c r="F258" s="347"/>
      <c r="G258" s="306"/>
      <c r="H258" s="348"/>
      <c r="I258" s="348"/>
      <c r="J258" s="349"/>
      <c r="K258" s="350"/>
      <c r="L258" s="351"/>
      <c r="M258" s="352"/>
      <c r="N258" s="352"/>
      <c r="O258" s="353"/>
    </row>
    <row r="259" spans="1:14" ht="12.75" hidden="1">
      <c r="A259" s="230">
        <f>ROW()</f>
        <v>259</v>
      </c>
      <c r="B259" s="354"/>
      <c r="C259" s="295"/>
      <c r="D259" s="295"/>
      <c r="E259" s="296"/>
      <c r="F259" s="296"/>
      <c r="G259" s="297"/>
      <c r="H259" s="298"/>
      <c r="I259" s="298"/>
      <c r="J259" s="299"/>
      <c r="K259" s="300"/>
      <c r="L259" s="355"/>
      <c r="M259" s="298"/>
      <c r="N259" s="298"/>
    </row>
    <row r="260" spans="1:19" ht="12.75">
      <c r="A260" s="230">
        <f>ROW()</f>
        <v>260</v>
      </c>
      <c r="B260" s="356" t="s">
        <v>208</v>
      </c>
      <c r="S260" s="358"/>
    </row>
    <row r="261" spans="1:12" ht="12.75">
      <c r="A261" s="230">
        <f>ROW()</f>
        <v>261</v>
      </c>
      <c r="B261" s="356" t="s">
        <v>209</v>
      </c>
      <c r="F261" s="357"/>
      <c r="G261" s="357"/>
      <c r="H261" s="139"/>
      <c r="I261" s="130"/>
      <c r="J261" s="136"/>
      <c r="K261" s="136"/>
      <c r="L261" s="149"/>
    </row>
    <row r="262" spans="1:12" ht="12.75">
      <c r="A262" s="230">
        <f>ROW()</f>
        <v>262</v>
      </c>
      <c r="B262" s="359" t="s">
        <v>210</v>
      </c>
      <c r="F262" s="357"/>
      <c r="G262" s="357"/>
      <c r="H262" s="139"/>
      <c r="I262" s="130"/>
      <c r="J262" s="136"/>
      <c r="K262" s="136"/>
      <c r="L262" s="149"/>
    </row>
    <row r="263" spans="1:2" ht="12.75">
      <c r="A263" s="160">
        <f>ROW()</f>
        <v>263</v>
      </c>
      <c r="B263" s="356" t="s">
        <v>211</v>
      </c>
    </row>
    <row r="264" spans="1:2" ht="12.75">
      <c r="A264" s="160"/>
      <c r="B264" s="359"/>
    </row>
    <row r="265" ht="12.75">
      <c r="A265" s="160"/>
    </row>
    <row r="266" spans="1:2" ht="12.75">
      <c r="A266" s="160"/>
      <c r="B266" s="360"/>
    </row>
    <row r="267" spans="1:2" ht="12.75">
      <c r="A267" s="160"/>
      <c r="B267" s="360"/>
    </row>
    <row r="321" ht="12.75"/>
    <row r="322" ht="12.75"/>
    <row r="323" ht="12.75"/>
    <row r="408" ht="12.75"/>
    <row r="409" ht="12.75"/>
    <row r="410" ht="12.75"/>
    <row r="411" ht="12.75"/>
    <row r="412" ht="12.75"/>
  </sheetData>
  <sheetProtection/>
  <printOptions horizontalCentered="1"/>
  <pageMargins left="0.25" right="0.25" top="0.37" bottom="0.47" header="0.24" footer="0.22"/>
  <pageSetup cellComments="asDisplayed" fitToHeight="0" fitToWidth="1" horizontalDpi="600" verticalDpi="600" orientation="landscape" r:id="rId3"/>
  <headerFooter alignWithMargins="0">
    <oddFooter>&amp;R&amp;"Arial,Regular"&amp;10Page &amp;P of &amp;N</oddFooter>
  </headerFooter>
  <rowBreaks count="1" manualBreakCount="1">
    <brk id="159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5"/>
  <sheetViews>
    <sheetView zoomScaleSheetLayoutView="88" zoomScalePageLayoutView="0" workbookViewId="0" topLeftCell="A1">
      <pane xSplit="2" ySplit="13" topLeftCell="C14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C5" sqref="C5"/>
    </sheetView>
  </sheetViews>
  <sheetFormatPr defaultColWidth="9.140625" defaultRowHeight="15"/>
  <cols>
    <col min="1" max="1" width="3.7109375" style="42" customWidth="1"/>
    <col min="2" max="2" width="38.7109375" style="42" customWidth="1"/>
    <col min="3" max="3" width="10.7109375" style="42" customWidth="1"/>
    <col min="4" max="4" width="10.00390625" style="42" customWidth="1"/>
    <col min="5" max="5" width="9.57421875" style="42" customWidth="1"/>
    <col min="6" max="6" width="9.7109375" style="42" customWidth="1"/>
    <col min="7" max="8" width="9.421875" style="42" customWidth="1"/>
    <col min="9" max="9" width="9.8515625" style="42" customWidth="1"/>
    <col min="10" max="10" width="10.140625" style="42" customWidth="1"/>
    <col min="11" max="11" width="10.00390625" style="42" customWidth="1"/>
    <col min="12" max="12" width="9.57421875" style="42" customWidth="1"/>
    <col min="13" max="13" width="9.8515625" style="42" customWidth="1"/>
    <col min="14" max="14" width="9.421875" style="42" customWidth="1"/>
    <col min="15" max="15" width="9.00390625" style="42" customWidth="1"/>
    <col min="16" max="16" width="9.28125" style="42" customWidth="1"/>
    <col min="17" max="17" width="8.00390625" style="42" bestFit="1" customWidth="1"/>
    <col min="18" max="18" width="10.00390625" style="42" customWidth="1"/>
    <col min="19" max="19" width="12.421875" style="42" hidden="1" customWidth="1"/>
    <col min="20" max="20" width="13.140625" style="42" hidden="1" customWidth="1"/>
    <col min="21" max="21" width="12.57421875" style="42" hidden="1" customWidth="1"/>
    <col min="22" max="23" width="13.140625" style="42" hidden="1" customWidth="1"/>
    <col min="24" max="24" width="13.7109375" style="42" hidden="1" customWidth="1"/>
    <col min="25" max="26" width="14.7109375" style="42" hidden="1" customWidth="1"/>
    <col min="27" max="27" width="0" style="42" hidden="1" customWidth="1"/>
    <col min="28" max="16384" width="9.140625" style="42" customWidth="1"/>
  </cols>
  <sheetData>
    <row r="1" spans="1:18" ht="12.75">
      <c r="A1" s="41"/>
      <c r="R1" s="43"/>
    </row>
    <row r="2" ht="12.75">
      <c r="B2" s="44"/>
    </row>
    <row r="3" ht="12.75">
      <c r="A3" s="41" t="s">
        <v>58</v>
      </c>
    </row>
    <row r="4" ht="12.75">
      <c r="A4" s="41" t="s">
        <v>59</v>
      </c>
    </row>
    <row r="5" spans="1:2" ht="12.75">
      <c r="A5" s="41" t="s">
        <v>60</v>
      </c>
      <c r="B5" s="44"/>
    </row>
    <row r="6" ht="12.75"/>
    <row r="7" ht="13.5" thickBot="1"/>
    <row r="8" spans="1:18" s="44" customFormat="1" ht="12.75">
      <c r="A8" s="45"/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8"/>
    </row>
    <row r="9" spans="1:18" s="44" customFormat="1" ht="12.75">
      <c r="A9" s="409" t="s">
        <v>61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1"/>
    </row>
    <row r="10" spans="1:18" s="44" customFormat="1" ht="12.75">
      <c r="A10" s="409"/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1"/>
    </row>
    <row r="11" spans="1:18" s="44" customFormat="1" ht="12.75">
      <c r="A11" s="49"/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s="44" customFormat="1" ht="12.75">
      <c r="A12" s="49">
        <f>ROW()</f>
        <v>12</v>
      </c>
      <c r="B12" s="50" t="s">
        <v>62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2"/>
    </row>
    <row r="13" spans="1:56" s="44" customFormat="1" ht="12.75">
      <c r="A13" s="49">
        <f>ROW()</f>
        <v>13</v>
      </c>
      <c r="B13" s="53"/>
      <c r="C13" s="54">
        <v>1998</v>
      </c>
      <c r="D13" s="54">
        <v>1999</v>
      </c>
      <c r="E13" s="54">
        <v>2000</v>
      </c>
      <c r="F13" s="54">
        <v>2001</v>
      </c>
      <c r="G13" s="54">
        <v>2002</v>
      </c>
      <c r="H13" s="54">
        <v>2003</v>
      </c>
      <c r="I13" s="54">
        <v>2004</v>
      </c>
      <c r="J13" s="54">
        <v>2005</v>
      </c>
      <c r="K13" s="54">
        <v>2006</v>
      </c>
      <c r="L13" s="54">
        <v>2007</v>
      </c>
      <c r="M13" s="54">
        <v>2008</v>
      </c>
      <c r="N13" s="54">
        <v>2009</v>
      </c>
      <c r="O13" s="54">
        <v>2010</v>
      </c>
      <c r="P13" s="54">
        <v>2011</v>
      </c>
      <c r="Q13" s="54">
        <v>2012</v>
      </c>
      <c r="R13" s="55" t="s">
        <v>3</v>
      </c>
      <c r="S13" s="56">
        <v>40299</v>
      </c>
      <c r="T13" s="56">
        <v>40330</v>
      </c>
      <c r="U13" s="56">
        <v>40360</v>
      </c>
      <c r="V13" s="56">
        <v>40391</v>
      </c>
      <c r="W13" s="56">
        <v>40422</v>
      </c>
      <c r="X13" s="56">
        <v>40452</v>
      </c>
      <c r="Y13" s="56">
        <v>40483</v>
      </c>
      <c r="Z13" s="56">
        <v>40513</v>
      </c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</row>
    <row r="14" spans="1:56" s="44" customFormat="1" ht="12.75">
      <c r="A14" s="49">
        <f>ROW()</f>
        <v>14</v>
      </c>
      <c r="B14" s="57" t="s">
        <v>23</v>
      </c>
      <c r="C14" s="58">
        <v>215000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/>
      <c r="N14" s="58"/>
      <c r="O14" s="58"/>
      <c r="P14" s="58"/>
      <c r="Q14" s="58"/>
      <c r="R14" s="59">
        <f>SUM(C14:Q14)</f>
        <v>215000</v>
      </c>
      <c r="S14" s="60" t="s">
        <v>63</v>
      </c>
      <c r="T14" s="61" t="s">
        <v>63</v>
      </c>
      <c r="U14" s="61" t="s">
        <v>63</v>
      </c>
      <c r="V14" s="61" t="s">
        <v>63</v>
      </c>
      <c r="W14" s="61" t="s">
        <v>63</v>
      </c>
      <c r="X14" s="61" t="s">
        <v>63</v>
      </c>
      <c r="Y14" s="61" t="s">
        <v>63</v>
      </c>
      <c r="Z14" s="61" t="s">
        <v>63</v>
      </c>
      <c r="AA14" s="62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</row>
    <row r="15" spans="1:26" s="44" customFormat="1" ht="12.75">
      <c r="A15" s="49">
        <f>ROW()</f>
        <v>15</v>
      </c>
      <c r="B15" s="57" t="s">
        <v>64</v>
      </c>
      <c r="C15" s="58">
        <v>8754</v>
      </c>
      <c r="D15" s="58">
        <v>8795</v>
      </c>
      <c r="E15" s="58">
        <v>8849</v>
      </c>
      <c r="F15" s="58">
        <v>8838</v>
      </c>
      <c r="G15" s="58">
        <v>6562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>
        <f>SUM(C15:Q15)</f>
        <v>41798</v>
      </c>
      <c r="S15" s="63">
        <f>SUM(C14:N16)*1000</f>
        <v>78162000</v>
      </c>
      <c r="T15" s="63">
        <f>SUM(C14:N16)*1000</f>
        <v>78162000</v>
      </c>
      <c r="U15" s="63">
        <f>SUM(C14:N16)*1000</f>
        <v>78162000</v>
      </c>
      <c r="V15" s="63">
        <f>SUM(C14:N16)*1000</f>
        <v>78162000</v>
      </c>
      <c r="W15" s="63">
        <f>SUM(C14:N16)*1000</f>
        <v>78162000</v>
      </c>
      <c r="X15" s="63">
        <f>SUM(C14:N16)*1000</f>
        <v>78162000</v>
      </c>
      <c r="Y15" s="63">
        <f>SUM(C14:N16)*1000</f>
        <v>78162000</v>
      </c>
      <c r="Z15" s="63">
        <f>SUM(C14:N16)*1000</f>
        <v>78162000</v>
      </c>
    </row>
    <row r="16" spans="1:26" s="44" customFormat="1" ht="12.75">
      <c r="A16" s="49">
        <f>ROW()</f>
        <v>16</v>
      </c>
      <c r="B16" s="57" t="s">
        <v>65</v>
      </c>
      <c r="C16" s="58">
        <v>-1952</v>
      </c>
      <c r="D16" s="58">
        <v>-3863</v>
      </c>
      <c r="E16" s="58">
        <v>-5463</v>
      </c>
      <c r="F16" s="58">
        <v>-7382</v>
      </c>
      <c r="G16" s="58">
        <v>-9494</v>
      </c>
      <c r="H16" s="58">
        <v>-11924</v>
      </c>
      <c r="I16" s="58">
        <v>-14744</v>
      </c>
      <c r="J16" s="58">
        <v>-17908</v>
      </c>
      <c r="K16" s="58">
        <v>-20615</v>
      </c>
      <c r="L16" s="58">
        <v>-24343</v>
      </c>
      <c r="M16" s="58">
        <v>-28272</v>
      </c>
      <c r="N16" s="58">
        <v>-32676</v>
      </c>
      <c r="O16" s="58">
        <v>-37533</v>
      </c>
      <c r="P16" s="58">
        <v>-40629</v>
      </c>
      <c r="Q16" s="58">
        <v>0</v>
      </c>
      <c r="R16" s="59">
        <f>SUM(C16:Q16)</f>
        <v>-256798</v>
      </c>
      <c r="S16" s="63">
        <f>O16/12*1000</f>
        <v>-3127750</v>
      </c>
      <c r="T16" s="63">
        <f>O16/12*1000</f>
        <v>-3127750</v>
      </c>
      <c r="U16" s="63">
        <f>O16/12*1000</f>
        <v>-3127750</v>
      </c>
      <c r="V16" s="63">
        <f>O16/12*1000</f>
        <v>-3127750</v>
      </c>
      <c r="W16" s="63">
        <f>O16/12*1000</f>
        <v>-3127750</v>
      </c>
      <c r="X16" s="63">
        <f>O16/12*1000</f>
        <v>-3127750</v>
      </c>
      <c r="Y16" s="63">
        <f>O16/12*1000</f>
        <v>-3127750</v>
      </c>
      <c r="Z16" s="63">
        <f>O16/12*1000</f>
        <v>-3127750</v>
      </c>
    </row>
    <row r="17" spans="1:26" s="44" customFormat="1" ht="12.75">
      <c r="A17" s="49">
        <f>ROW()</f>
        <v>17</v>
      </c>
      <c r="B17" s="57" t="s">
        <v>66</v>
      </c>
      <c r="C17" s="58">
        <v>-2948</v>
      </c>
      <c r="D17" s="58">
        <v>-2848</v>
      </c>
      <c r="E17" s="58">
        <v>-2772</v>
      </c>
      <c r="F17" s="58">
        <v>-2654</v>
      </c>
      <c r="G17" s="58">
        <v>-1733</v>
      </c>
      <c r="H17" s="58">
        <v>709</v>
      </c>
      <c r="I17" s="58">
        <v>876</v>
      </c>
      <c r="J17" s="58">
        <v>1065</v>
      </c>
      <c r="K17" s="58">
        <v>1225</v>
      </c>
      <c r="L17" s="58">
        <v>1447</v>
      </c>
      <c r="M17" s="58">
        <v>1681</v>
      </c>
      <c r="N17" s="58">
        <v>1943</v>
      </c>
      <c r="O17" s="58">
        <v>2231</v>
      </c>
      <c r="P17" s="58">
        <v>1778</v>
      </c>
      <c r="Q17" s="58">
        <v>0</v>
      </c>
      <c r="R17" s="59">
        <f>SUM(C17:Q17)</f>
        <v>0</v>
      </c>
      <c r="S17" s="64">
        <f>S16*5</f>
        <v>-15638750</v>
      </c>
      <c r="T17" s="65">
        <f>T16*6</f>
        <v>-18766500</v>
      </c>
      <c r="U17" s="65">
        <f>U16*7</f>
        <v>-21894250</v>
      </c>
      <c r="V17" s="65">
        <f>V16*8</f>
        <v>-25022000</v>
      </c>
      <c r="W17" s="65">
        <f>W16*9</f>
        <v>-28149750</v>
      </c>
      <c r="X17" s="65">
        <f>X16*10</f>
        <v>-31277500</v>
      </c>
      <c r="Y17" s="65">
        <f>Y16*11</f>
        <v>-34405250</v>
      </c>
      <c r="Z17" s="65">
        <f>Z16*12</f>
        <v>-37533000</v>
      </c>
    </row>
    <row r="18" spans="1:29" s="44" customFormat="1" ht="12.75">
      <c r="A18" s="49">
        <f>ROW()</f>
        <v>18</v>
      </c>
      <c r="B18" s="57" t="s">
        <v>67</v>
      </c>
      <c r="C18" s="66">
        <f>SUM(C14:C17)</f>
        <v>218854</v>
      </c>
      <c r="D18" s="66">
        <f aca="true" t="shared" si="0" ref="D18:Q18">C18+SUM(D14:D17)</f>
        <v>220938</v>
      </c>
      <c r="E18" s="66">
        <f t="shared" si="0"/>
        <v>221552</v>
      </c>
      <c r="F18" s="66">
        <f t="shared" si="0"/>
        <v>220354</v>
      </c>
      <c r="G18" s="66">
        <f t="shared" si="0"/>
        <v>215689</v>
      </c>
      <c r="H18" s="66">
        <f t="shared" si="0"/>
        <v>204474</v>
      </c>
      <c r="I18" s="66">
        <f t="shared" si="0"/>
        <v>190606</v>
      </c>
      <c r="J18" s="66">
        <f t="shared" si="0"/>
        <v>173763</v>
      </c>
      <c r="K18" s="66">
        <f t="shared" si="0"/>
        <v>154373</v>
      </c>
      <c r="L18" s="66">
        <f t="shared" si="0"/>
        <v>131477</v>
      </c>
      <c r="M18" s="66">
        <f t="shared" si="0"/>
        <v>104886</v>
      </c>
      <c r="N18" s="66">
        <f t="shared" si="0"/>
        <v>74153</v>
      </c>
      <c r="O18" s="66">
        <f>N18+SUM(O14:O17)</f>
        <v>38851</v>
      </c>
      <c r="P18" s="66">
        <f>O18+SUM(P14:P17)</f>
        <v>0</v>
      </c>
      <c r="Q18" s="66">
        <f t="shared" si="0"/>
        <v>0</v>
      </c>
      <c r="R18" s="67">
        <f>SUM(R14:R17)</f>
        <v>0</v>
      </c>
      <c r="S18" s="63">
        <f aca="true" t="shared" si="1" ref="S18:Z18">S15+S17</f>
        <v>62523250</v>
      </c>
      <c r="T18" s="63">
        <f t="shared" si="1"/>
        <v>59395500</v>
      </c>
      <c r="U18" s="63">
        <f t="shared" si="1"/>
        <v>56267750</v>
      </c>
      <c r="V18" s="63">
        <f t="shared" si="1"/>
        <v>53140000</v>
      </c>
      <c r="W18" s="63">
        <f t="shared" si="1"/>
        <v>50012250</v>
      </c>
      <c r="X18" s="63">
        <f t="shared" si="1"/>
        <v>46884500</v>
      </c>
      <c r="Y18" s="63">
        <f t="shared" si="1"/>
        <v>43756750</v>
      </c>
      <c r="Z18" s="63">
        <f t="shared" si="1"/>
        <v>40629000</v>
      </c>
      <c r="AC18" s="63">
        <f>N18-O18</f>
        <v>35302</v>
      </c>
    </row>
    <row r="19" spans="1:26" s="44" customFormat="1" ht="13.5" thickBot="1">
      <c r="A19" s="68">
        <f>ROW()</f>
        <v>19</v>
      </c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1"/>
      <c r="S19" s="72" t="s">
        <v>68</v>
      </c>
      <c r="T19" s="72" t="s">
        <v>68</v>
      </c>
      <c r="U19" s="72" t="s">
        <v>68</v>
      </c>
      <c r="V19" s="72" t="s">
        <v>68</v>
      </c>
      <c r="W19" s="72" t="s">
        <v>68</v>
      </c>
      <c r="X19" s="72" t="s">
        <v>68</v>
      </c>
      <c r="Y19" s="72" t="s">
        <v>68</v>
      </c>
      <c r="Z19" s="72" t="s">
        <v>68</v>
      </c>
    </row>
    <row r="20" spans="1:26" s="44" customFormat="1" ht="13.5" thickBot="1">
      <c r="A20" s="73">
        <f>ROW()</f>
        <v>20</v>
      </c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74"/>
      <c r="S20" s="75">
        <f>T20</f>
        <v>-4009000</v>
      </c>
      <c r="T20" s="75">
        <f>U20</f>
        <v>-4009000</v>
      </c>
      <c r="U20" s="75">
        <f>V20</f>
        <v>-4009000</v>
      </c>
      <c r="V20" s="75">
        <f>W20</f>
        <v>-4009000</v>
      </c>
      <c r="W20" s="75">
        <f>X20</f>
        <v>-4009000</v>
      </c>
      <c r="X20" s="75">
        <f>SUM(C17:N17)*1000</f>
        <v>-4009000</v>
      </c>
      <c r="Y20" s="75">
        <f>SUM(C17:N17)*1000</f>
        <v>-4009000</v>
      </c>
      <c r="Z20" s="75">
        <f>Y20</f>
        <v>-4009000</v>
      </c>
    </row>
    <row r="21" spans="1:26" ht="12.75">
      <c r="A21" s="76">
        <f>ROW()</f>
        <v>21</v>
      </c>
      <c r="B21" s="412" t="str">
        <f>"Monthly Spread of Lines "&amp;A14&amp;" through "&amp;A18</f>
        <v>Monthly Spread of Lines 14 through 18</v>
      </c>
      <c r="C21" s="413"/>
      <c r="D21" s="413"/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4"/>
      <c r="S21" s="77">
        <f>$O$17*1000/12*5</f>
        <v>929583.3333333333</v>
      </c>
      <c r="T21" s="77">
        <f>$O$17*1000/12*6</f>
        <v>1115500</v>
      </c>
      <c r="U21" s="77">
        <f>$O$17*1000/12*7</f>
        <v>1301416.6666666665</v>
      </c>
      <c r="V21" s="77">
        <f>$O$17*1000/12*8</f>
        <v>1487333.3333333333</v>
      </c>
      <c r="W21" s="77">
        <f>$O$17*1000/12*9</f>
        <v>1673250</v>
      </c>
      <c r="X21" s="77">
        <f>$O$17*1000/12*10</f>
        <v>1859166.6666666665</v>
      </c>
      <c r="Y21" s="77">
        <f>$O$17*1000/12*11</f>
        <v>2045083.3333333333</v>
      </c>
      <c r="Z21" s="77">
        <f>$O$17*1000/12*12</f>
        <v>2231000</v>
      </c>
    </row>
    <row r="22" spans="1:26" ht="12.75">
      <c r="A22" s="76">
        <f>ROW()</f>
        <v>22</v>
      </c>
      <c r="B22" s="415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6"/>
      <c r="S22" s="78">
        <f aca="true" t="shared" si="2" ref="S22:Z22">S20+S21</f>
        <v>-3079416.666666667</v>
      </c>
      <c r="T22" s="78">
        <f t="shared" si="2"/>
        <v>-2893500</v>
      </c>
      <c r="U22" s="78">
        <f t="shared" si="2"/>
        <v>-2707583.3333333335</v>
      </c>
      <c r="V22" s="78">
        <f t="shared" si="2"/>
        <v>-2521666.666666667</v>
      </c>
      <c r="W22" s="78">
        <f t="shared" si="2"/>
        <v>-2335750</v>
      </c>
      <c r="X22" s="78">
        <f t="shared" si="2"/>
        <v>-2149833.3333333335</v>
      </c>
      <c r="Y22" s="78">
        <f t="shared" si="2"/>
        <v>-1963916.6666666667</v>
      </c>
      <c r="Z22" s="78">
        <f t="shared" si="2"/>
        <v>-1778000</v>
      </c>
    </row>
    <row r="23" spans="1:18" ht="12.75">
      <c r="A23" s="76">
        <f>ROW()</f>
        <v>23</v>
      </c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4" spans="1:25" ht="12.75">
      <c r="A24" s="76">
        <f>ROW()</f>
        <v>24</v>
      </c>
      <c r="B24" s="82" t="s">
        <v>69</v>
      </c>
      <c r="C24" s="83"/>
      <c r="D24" s="83">
        <f aca="true" t="shared" si="3" ref="D24:P24">C18</f>
        <v>218854</v>
      </c>
      <c r="E24" s="83">
        <f t="shared" si="3"/>
        <v>220938</v>
      </c>
      <c r="F24" s="83">
        <f t="shared" si="3"/>
        <v>221552</v>
      </c>
      <c r="G24" s="83">
        <f t="shared" si="3"/>
        <v>220354</v>
      </c>
      <c r="H24" s="83">
        <f t="shared" si="3"/>
        <v>215689</v>
      </c>
      <c r="I24" s="83">
        <f t="shared" si="3"/>
        <v>204474</v>
      </c>
      <c r="J24" s="83">
        <f t="shared" si="3"/>
        <v>190606</v>
      </c>
      <c r="K24" s="83">
        <f t="shared" si="3"/>
        <v>173763</v>
      </c>
      <c r="L24" s="83">
        <f t="shared" si="3"/>
        <v>154373</v>
      </c>
      <c r="M24" s="84">
        <f t="shared" si="3"/>
        <v>131477</v>
      </c>
      <c r="N24" s="84">
        <f t="shared" si="3"/>
        <v>104886</v>
      </c>
      <c r="O24" s="83">
        <f t="shared" si="3"/>
        <v>74153</v>
      </c>
      <c r="P24" s="83">
        <f t="shared" si="3"/>
        <v>38851</v>
      </c>
      <c r="Q24" s="84">
        <v>0</v>
      </c>
      <c r="R24" s="85"/>
      <c r="S24" s="86"/>
      <c r="Y24" s="87">
        <f>O17/12*1000</f>
        <v>185916.66666666666</v>
      </c>
    </row>
    <row r="25" spans="1:18" ht="12.75">
      <c r="A25" s="76">
        <f>ROW()</f>
        <v>25</v>
      </c>
      <c r="B25" s="82" t="s">
        <v>70</v>
      </c>
      <c r="C25" s="83"/>
      <c r="D25" s="83">
        <f>ROUND(D24+(D$15/12)+(D$16/12)+(D$17/12),0)</f>
        <v>219028</v>
      </c>
      <c r="E25" s="83">
        <f aca="true" t="shared" si="4" ref="E25:F36">ROUND(E24+(E$15/12)+(E$16/12)+(E$17/12),0)</f>
        <v>220989</v>
      </c>
      <c r="F25" s="83">
        <f t="shared" si="4"/>
        <v>221452</v>
      </c>
      <c r="G25" s="83">
        <f>ROUND(G24+(G$15/9)+(G$16/12)+(G$17/12),0)</f>
        <v>220148</v>
      </c>
      <c r="H25" s="83">
        <f>ROUND(H24+(H$16/12)+(H$17/12),0)+1</f>
        <v>214755</v>
      </c>
      <c r="I25" s="83">
        <f aca="true" t="shared" si="5" ref="I25:P26">ROUND(I24+(I$16/12)+(I$17/12),0)</f>
        <v>203318</v>
      </c>
      <c r="J25" s="83">
        <f t="shared" si="5"/>
        <v>189202</v>
      </c>
      <c r="K25" s="83">
        <f t="shared" si="5"/>
        <v>172147</v>
      </c>
      <c r="L25" s="83">
        <f t="shared" si="5"/>
        <v>152465</v>
      </c>
      <c r="M25" s="84">
        <f t="shared" si="5"/>
        <v>129261</v>
      </c>
      <c r="N25" s="84">
        <f t="shared" si="5"/>
        <v>102325</v>
      </c>
      <c r="O25" s="83">
        <f t="shared" si="5"/>
        <v>71211</v>
      </c>
      <c r="P25" s="83">
        <f t="shared" si="5"/>
        <v>35613</v>
      </c>
      <c r="Q25" s="84">
        <v>0</v>
      </c>
      <c r="R25" s="85"/>
    </row>
    <row r="26" spans="1:18" ht="12.75">
      <c r="A26" s="76">
        <f>ROW()</f>
        <v>26</v>
      </c>
      <c r="B26" s="82" t="s">
        <v>71</v>
      </c>
      <c r="C26" s="83"/>
      <c r="D26" s="83">
        <f>ROUND(D25+(D$15/12)+(D$16/12)+(D$17/12),0)-1</f>
        <v>219201</v>
      </c>
      <c r="E26" s="83">
        <f t="shared" si="4"/>
        <v>221040</v>
      </c>
      <c r="F26" s="83">
        <f t="shared" si="4"/>
        <v>221352</v>
      </c>
      <c r="G26" s="83">
        <f>ROUND(G25+(G$15/9)+(G$16/12)+(G$17/12),0)</f>
        <v>219942</v>
      </c>
      <c r="H26" s="83">
        <f>ROUND(H25+(H$16/12)+(H$17/12),0)+1</f>
        <v>213821</v>
      </c>
      <c r="I26" s="83">
        <f t="shared" si="5"/>
        <v>202162</v>
      </c>
      <c r="J26" s="83">
        <f t="shared" si="5"/>
        <v>187798</v>
      </c>
      <c r="K26" s="83">
        <f t="shared" si="5"/>
        <v>170531</v>
      </c>
      <c r="L26" s="83">
        <f t="shared" si="5"/>
        <v>150557</v>
      </c>
      <c r="M26" s="84">
        <f t="shared" si="5"/>
        <v>127045</v>
      </c>
      <c r="N26" s="84">
        <f t="shared" si="5"/>
        <v>99764</v>
      </c>
      <c r="O26" s="83">
        <f t="shared" si="5"/>
        <v>68269</v>
      </c>
      <c r="P26" s="83">
        <f t="shared" si="5"/>
        <v>32375</v>
      </c>
      <c r="Q26" s="84">
        <v>0</v>
      </c>
      <c r="R26" s="85"/>
    </row>
    <row r="27" spans="1:18" ht="12.75">
      <c r="A27" s="76">
        <f>ROW()</f>
        <v>27</v>
      </c>
      <c r="B27" s="82" t="s">
        <v>72</v>
      </c>
      <c r="C27" s="83"/>
      <c r="D27" s="83">
        <f>ROUND(D26+(D$15/12)+(D$16/12)+(D$17/12),0)</f>
        <v>219375</v>
      </c>
      <c r="E27" s="83">
        <f>ROUND(E26+(E$15/12)+(E$16/12)+(E$17/12),0)</f>
        <v>221091</v>
      </c>
      <c r="F27" s="83">
        <f>ROUND(F26+(F$15/12)+(F$16/12)+(F$17/12),0)+1</f>
        <v>221253</v>
      </c>
      <c r="G27" s="83">
        <f>ROUND(G26+(G$15/9)+(G$16/12)+(G$17/12),0)</f>
        <v>219736</v>
      </c>
      <c r="H27" s="83">
        <f aca="true" t="shared" si="6" ref="H27:N27">ROUND(H26+(H$16/12)+(H$17/12),0)</f>
        <v>212886</v>
      </c>
      <c r="I27" s="83">
        <f t="shared" si="6"/>
        <v>201006</v>
      </c>
      <c r="J27" s="83">
        <f t="shared" si="6"/>
        <v>186394</v>
      </c>
      <c r="K27" s="83">
        <f t="shared" si="6"/>
        <v>168915</v>
      </c>
      <c r="L27" s="83">
        <f t="shared" si="6"/>
        <v>148649</v>
      </c>
      <c r="M27" s="84">
        <f t="shared" si="6"/>
        <v>124829</v>
      </c>
      <c r="N27" s="84">
        <f t="shared" si="6"/>
        <v>97203</v>
      </c>
      <c r="O27" s="83">
        <f>ROUND(O26+(O$16/12)+(O$17/12),0)+1</f>
        <v>65328</v>
      </c>
      <c r="P27" s="83">
        <f>ROUND(P26+(P$16/12)+(P$17/12),0)+1</f>
        <v>29138</v>
      </c>
      <c r="Q27" s="84">
        <v>0</v>
      </c>
      <c r="R27" s="85"/>
    </row>
    <row r="28" spans="1:20" ht="12.75">
      <c r="A28" s="76">
        <f>ROW()</f>
        <v>28</v>
      </c>
      <c r="B28" s="82" t="s">
        <v>73</v>
      </c>
      <c r="C28" s="83"/>
      <c r="D28" s="83">
        <f>ROUND(D27+(D$15/12)+(D$16/12)+(D$17/12),0)</f>
        <v>219549</v>
      </c>
      <c r="E28" s="83">
        <f t="shared" si="4"/>
        <v>221142</v>
      </c>
      <c r="F28" s="83">
        <f t="shared" si="4"/>
        <v>221153</v>
      </c>
      <c r="G28" s="83">
        <f>ROUND(G27+(G$15/9)+(G$16/12)+(G$17/12),0)</f>
        <v>219530</v>
      </c>
      <c r="H28" s="83">
        <f>ROUND(H27+(H$16/12)+(H$17/12),0)</f>
        <v>211951</v>
      </c>
      <c r="I28" s="83">
        <f>ROUND(I27+(I$16/12)+(I$17/12),0)</f>
        <v>199850</v>
      </c>
      <c r="J28" s="83">
        <f>ROUND(J27+(J$16/12)+(J$17/12),0)</f>
        <v>184990</v>
      </c>
      <c r="K28" s="83">
        <f>ROUND(K27+(K$16/12)+(K$17/12),0)</f>
        <v>167299</v>
      </c>
      <c r="L28" s="83">
        <f>ROUND(L27+(L$16/12)+(L$17/12),0)-1</f>
        <v>146740</v>
      </c>
      <c r="M28" s="84">
        <f aca="true" t="shared" si="7" ref="M28:P29">ROUND(M27+(M$16/12)+(M$17/12),0)</f>
        <v>122613</v>
      </c>
      <c r="N28" s="84">
        <f t="shared" si="7"/>
        <v>94642</v>
      </c>
      <c r="O28" s="83">
        <f t="shared" si="7"/>
        <v>62386</v>
      </c>
      <c r="P28" s="83">
        <f t="shared" si="7"/>
        <v>25900</v>
      </c>
      <c r="Q28" s="84">
        <v>0</v>
      </c>
      <c r="R28" s="85"/>
      <c r="T28" s="86">
        <f>O16/12*9</f>
        <v>-28149.75</v>
      </c>
    </row>
    <row r="29" spans="1:20" ht="12.75">
      <c r="A29" s="76">
        <f>ROW()</f>
        <v>29</v>
      </c>
      <c r="B29" s="82" t="s">
        <v>74</v>
      </c>
      <c r="C29" s="83"/>
      <c r="D29" s="83">
        <f>ROUND(D28+(D$15/12)+(D$16/12)+(D$17/12),0)</f>
        <v>219723</v>
      </c>
      <c r="E29" s="83">
        <f t="shared" si="4"/>
        <v>221193</v>
      </c>
      <c r="F29" s="83">
        <f t="shared" si="4"/>
        <v>221053</v>
      </c>
      <c r="G29" s="83">
        <f>ROUND(G28+(G$15/9)+(G$16/12)+(G$17/12),0)-1</f>
        <v>219323</v>
      </c>
      <c r="H29" s="83">
        <f>ROUND(H28+(H$16/12)+(H$17/12),0)+1</f>
        <v>211017</v>
      </c>
      <c r="I29" s="83">
        <f>ROUND(I28+(I$16/12)+(I$17/12),0)</f>
        <v>198694</v>
      </c>
      <c r="J29" s="83">
        <f>ROUND(J28+(J$16/12)+(J$17/12),0)+1</f>
        <v>183587</v>
      </c>
      <c r="K29" s="83">
        <f aca="true" t="shared" si="8" ref="K29:L32">ROUND(K28+(K$16/12)+(K$17/12),0)</f>
        <v>165683</v>
      </c>
      <c r="L29" s="83">
        <f t="shared" si="8"/>
        <v>144832</v>
      </c>
      <c r="M29" s="84">
        <f t="shared" si="7"/>
        <v>120397</v>
      </c>
      <c r="N29" s="84">
        <f t="shared" si="7"/>
        <v>92081</v>
      </c>
      <c r="O29" s="83">
        <f t="shared" si="7"/>
        <v>59444</v>
      </c>
      <c r="P29" s="84">
        <f t="shared" si="7"/>
        <v>22662</v>
      </c>
      <c r="Q29" s="84">
        <v>0</v>
      </c>
      <c r="R29" s="85"/>
      <c r="T29" s="87">
        <f>P16/12*3</f>
        <v>-10157.25</v>
      </c>
    </row>
    <row r="30" spans="1:21" ht="12.75">
      <c r="A30" s="76">
        <f>ROW()</f>
        <v>30</v>
      </c>
      <c r="B30" s="82" t="s">
        <v>75</v>
      </c>
      <c r="C30" s="83"/>
      <c r="D30" s="83">
        <f>ROUND(D29+(D$15/12)+(D$16/12)+(D$17/12),0)-1</f>
        <v>219896</v>
      </c>
      <c r="E30" s="83">
        <f>ROUND(E29+(E$15/12)+(E$16/12)+(E$17/12),0)</f>
        <v>221244</v>
      </c>
      <c r="F30" s="83">
        <f>ROUND(F29+(F$15/12)+(F$16/12)+(F$17/12),0)</f>
        <v>220953</v>
      </c>
      <c r="G30" s="83">
        <f>ROUND(G29+(G$15/9)+(G$16/12)+(G$17/12),0)</f>
        <v>219117</v>
      </c>
      <c r="H30" s="83">
        <f>ROUND(H29+(H$16/12)+(H$17/12),0)</f>
        <v>210082</v>
      </c>
      <c r="I30" s="83">
        <f>ROUND(I29+(I$16/12)+(I$17/12),0)+1</f>
        <v>197539</v>
      </c>
      <c r="J30" s="83">
        <f>ROUND(J29+(J$16/12)+(J$17/12),0)+1</f>
        <v>182184</v>
      </c>
      <c r="K30" s="83">
        <f t="shared" si="8"/>
        <v>164067</v>
      </c>
      <c r="L30" s="83">
        <f t="shared" si="8"/>
        <v>142924</v>
      </c>
      <c r="M30" s="84">
        <f aca="true" t="shared" si="9" ref="M30:M35">ROUND(M29+(M$16/12)+(M$17/12),0)</f>
        <v>118181</v>
      </c>
      <c r="N30" s="84">
        <f>ROUND(N29+(N$16/12)+(N$17/12),0)-1</f>
        <v>89519</v>
      </c>
      <c r="O30" s="83">
        <f>ROUND(O29+(O$16/12)+(O$17/12),0)</f>
        <v>56502</v>
      </c>
      <c r="P30" s="84">
        <f>ROUND(P29+(P$16/12)+(P$17/12),0)+1</f>
        <v>19425</v>
      </c>
      <c r="Q30" s="84">
        <v>0</v>
      </c>
      <c r="R30" s="85"/>
      <c r="T30" s="86">
        <f>SUM(T28:T29)</f>
        <v>-38307</v>
      </c>
      <c r="U30" s="88">
        <f>T30/12</f>
        <v>-3192.25</v>
      </c>
    </row>
    <row r="31" spans="1:21" ht="12.75">
      <c r="A31" s="76">
        <f>ROW()</f>
        <v>31</v>
      </c>
      <c r="B31" s="82" t="s">
        <v>76</v>
      </c>
      <c r="C31" s="83"/>
      <c r="D31" s="83">
        <f>ROUND(D30+(D$15/12)+(D$16/12)+(D$17/12),0)</f>
        <v>220070</v>
      </c>
      <c r="E31" s="83">
        <f t="shared" si="4"/>
        <v>221295</v>
      </c>
      <c r="F31" s="83">
        <f t="shared" si="4"/>
        <v>220853</v>
      </c>
      <c r="G31" s="83">
        <f>ROUND(G30+(G$15/9)+(G$16/12)+(G$17/12),0)</f>
        <v>218911</v>
      </c>
      <c r="H31" s="83">
        <f>ROUND(H30+(H$16/12)+(H$17/12),0)+1</f>
        <v>209148</v>
      </c>
      <c r="I31" s="83">
        <f>ROUND(I30+(I$16/12)+(I$17/12),0)</f>
        <v>196383</v>
      </c>
      <c r="J31" s="83">
        <f>ROUND(J30+(J$16/12)+(J$17/12),0)+1</f>
        <v>180781</v>
      </c>
      <c r="K31" s="83">
        <f t="shared" si="8"/>
        <v>162451</v>
      </c>
      <c r="L31" s="83">
        <f t="shared" si="8"/>
        <v>141016</v>
      </c>
      <c r="M31" s="84">
        <f t="shared" si="9"/>
        <v>115965</v>
      </c>
      <c r="N31" s="84">
        <f>ROUND(N30+(N$16/12)+(N$17/12),0)</f>
        <v>86958</v>
      </c>
      <c r="O31" s="83">
        <f>ROUND(O30+(O$16/12)+(O$17/12),0)</f>
        <v>53560</v>
      </c>
      <c r="P31" s="84">
        <f>ROUND(P30+(P$16/12)+(P$17/12),0)</f>
        <v>16187</v>
      </c>
      <c r="Q31" s="84">
        <v>0</v>
      </c>
      <c r="R31" s="85"/>
      <c r="T31" s="89">
        <f>P16/12*9</f>
        <v>-30471.75</v>
      </c>
      <c r="U31" s="88">
        <f>T31/8</f>
        <v>-3808.96875</v>
      </c>
    </row>
    <row r="32" spans="1:20" ht="12.75">
      <c r="A32" s="76">
        <f>ROW()</f>
        <v>32</v>
      </c>
      <c r="B32" s="82" t="s">
        <v>77</v>
      </c>
      <c r="C32" s="83"/>
      <c r="D32" s="83">
        <f>ROUND(D31+(D$15/12)+(D$16/12)+(D$17/12),0)</f>
        <v>220244</v>
      </c>
      <c r="E32" s="83">
        <f t="shared" si="4"/>
        <v>221346</v>
      </c>
      <c r="F32" s="83">
        <f t="shared" si="4"/>
        <v>220753</v>
      </c>
      <c r="G32" s="83">
        <f>ROUND(G31+(G$15/9)+(G$16/12)+(G$17/12),0)-1</f>
        <v>218704</v>
      </c>
      <c r="H32" s="83">
        <f>ROUND(H31+(H$16/12)+(H$17/12),0)</f>
        <v>208213</v>
      </c>
      <c r="I32" s="83">
        <f>ROUND(I31+(I$16/12)+(I$17/12),0)</f>
        <v>195227</v>
      </c>
      <c r="J32" s="83">
        <f>ROUND(J31+(J$16/12)+(J$17/12),0)+1</f>
        <v>179378</v>
      </c>
      <c r="K32" s="83">
        <f t="shared" si="8"/>
        <v>160835</v>
      </c>
      <c r="L32" s="83">
        <f t="shared" si="8"/>
        <v>139108</v>
      </c>
      <c r="M32" s="84">
        <f t="shared" si="9"/>
        <v>113749</v>
      </c>
      <c r="N32" s="84">
        <f>ROUND(N31+(N$16/12)+(N$17/12),0)</f>
        <v>84397</v>
      </c>
      <c r="O32" s="83">
        <f>ROUND(O31+(O$16/12)+(O$17/12),0)</f>
        <v>50618</v>
      </c>
      <c r="P32" s="84">
        <f>ROUND(P31+(P$16/12)+(P$17/12),0)</f>
        <v>12949</v>
      </c>
      <c r="Q32" s="84">
        <v>0</v>
      </c>
      <c r="R32" s="85"/>
      <c r="T32" s="87"/>
    </row>
    <row r="33" spans="1:18" ht="12.75">
      <c r="A33" s="76">
        <f>ROW()</f>
        <v>33</v>
      </c>
      <c r="B33" s="82" t="s">
        <v>78</v>
      </c>
      <c r="C33" s="83"/>
      <c r="D33" s="83">
        <f>ROUND(D32+(D$15/12)+(D$16/12)+(D$17/12),0)-1</f>
        <v>220417</v>
      </c>
      <c r="E33" s="83">
        <f>ROUND(E32+(E$15/12)+(E$16/12)+(E$17/12),0)+1</f>
        <v>221398</v>
      </c>
      <c r="F33" s="83">
        <f>ROUND(F32+(F$15/12)+(F$16/12)+(F$17/12),0)+1</f>
        <v>220654</v>
      </c>
      <c r="G33" s="83">
        <f>ROUND(G32+(G$15/9)+(G$16/12)+(G$17/12),0)</f>
        <v>218498</v>
      </c>
      <c r="H33" s="83">
        <f>ROUND(H32+(H$16/12)+(H$17/12),0)</f>
        <v>207278</v>
      </c>
      <c r="I33" s="83">
        <f>ROUND(I32+(I$16/12)+(I$17/12),0)+1</f>
        <v>194072</v>
      </c>
      <c r="J33" s="83">
        <f>ROUND(J32+(J$16/12)+(J$17/12),0)+1</f>
        <v>177975</v>
      </c>
      <c r="K33" s="83">
        <f>ROUND(K32+(K$16/12)+(K$17/12),0)+1</f>
        <v>159220</v>
      </c>
      <c r="L33" s="83">
        <f>ROUND(L32+(L$16/12)+(L$17/12),0)</f>
        <v>137200</v>
      </c>
      <c r="M33" s="84">
        <f t="shared" si="9"/>
        <v>111533</v>
      </c>
      <c r="N33" s="84">
        <f>ROUND(N32+(N$16/12)+(N$17/12),0)-1</f>
        <v>81835</v>
      </c>
      <c r="O33" s="83">
        <f>ROUND(O32+(O$16/12)+(O$17/12),0)</f>
        <v>47676</v>
      </c>
      <c r="P33" s="84">
        <f>ROUND(P32+(P$16/12)+(P$17/12),0)+1</f>
        <v>9712</v>
      </c>
      <c r="Q33" s="84">
        <v>0</v>
      </c>
      <c r="R33" s="85"/>
    </row>
    <row r="34" spans="1:18" ht="12.75">
      <c r="A34" s="76">
        <f>ROW()</f>
        <v>34</v>
      </c>
      <c r="B34" s="82" t="s">
        <v>79</v>
      </c>
      <c r="C34" s="83"/>
      <c r="D34" s="83">
        <f>ROUND(D33+(D$15/12)+(D$16/12)+(D$17/12),0)</f>
        <v>220591</v>
      </c>
      <c r="E34" s="83">
        <f t="shared" si="4"/>
        <v>221449</v>
      </c>
      <c r="F34" s="83">
        <f t="shared" si="4"/>
        <v>220554</v>
      </c>
      <c r="G34" s="83">
        <f>ROUND(G33+(G$16/12)+(G$17/12),0)-1</f>
        <v>217561</v>
      </c>
      <c r="H34" s="83">
        <f>ROUND(H33+(H$16/12)+(H$17/12),0)+1</f>
        <v>206344</v>
      </c>
      <c r="I34" s="83">
        <f>ROUND(I33+(I$16/12)+(I$17/12),0)+1</f>
        <v>192917</v>
      </c>
      <c r="J34" s="83">
        <f>ROUND(J33+(J$16/12)+(J$17/12),0)</f>
        <v>176571</v>
      </c>
      <c r="K34" s="83">
        <f>ROUND(K33+(K$16/12)+(K$17/12),0)</f>
        <v>157604</v>
      </c>
      <c r="L34" s="83">
        <f>ROUND(L33+(L$16/12)+(L$17/12),0)</f>
        <v>135292</v>
      </c>
      <c r="M34" s="84">
        <f t="shared" si="9"/>
        <v>109317</v>
      </c>
      <c r="N34" s="84">
        <f>ROUND(N33+(N$16/12)+(N$17/12),0)</f>
        <v>79274</v>
      </c>
      <c r="O34" s="83">
        <f aca="true" t="shared" si="10" ref="N34:P35">ROUND(O33+(O$16/12)+(O$17/12),0)</f>
        <v>44734</v>
      </c>
      <c r="P34" s="84">
        <f t="shared" si="10"/>
        <v>6474</v>
      </c>
      <c r="Q34" s="83">
        <v>0</v>
      </c>
      <c r="R34" s="85"/>
    </row>
    <row r="35" spans="1:18" ht="12.75">
      <c r="A35" s="76">
        <f>ROW()</f>
        <v>35</v>
      </c>
      <c r="B35" s="82" t="s">
        <v>80</v>
      </c>
      <c r="C35" s="83"/>
      <c r="D35" s="83">
        <f>ROUND(D34+(D$15/12)+(D$16/12)+(D$17/12),0)</f>
        <v>220765</v>
      </c>
      <c r="E35" s="83">
        <f>ROUND(E34+(E$15/12)+(E$16/12)+(E$17/12),0)+1</f>
        <v>221501</v>
      </c>
      <c r="F35" s="83">
        <f>ROUND(F34+(F$15/12)+(F$16/12)+(F$17/12),0)</f>
        <v>220454</v>
      </c>
      <c r="G35" s="83">
        <f>ROUND(G34+(G$16/12)+(G$17/12),0)</f>
        <v>216625</v>
      </c>
      <c r="H35" s="83">
        <f>ROUND(H34+(H$16/12)+(H$17/12),0)</f>
        <v>205409</v>
      </c>
      <c r="I35" s="83">
        <f>ROUND(I34+(I$16/12)+(I$17/12),0)</f>
        <v>191761</v>
      </c>
      <c r="J35" s="83">
        <f>ROUND(J34+(J$16/12)+(J$17/12),0)</f>
        <v>175167</v>
      </c>
      <c r="K35" s="83">
        <f>ROUND(K34+(K$16/12)+(K$17/12),0)</f>
        <v>155988</v>
      </c>
      <c r="L35" s="83">
        <f>ROUND(L34+(L$16/12)+(L$17/12),0)</f>
        <v>133384</v>
      </c>
      <c r="M35" s="84">
        <f t="shared" si="9"/>
        <v>107101</v>
      </c>
      <c r="N35" s="84">
        <f t="shared" si="10"/>
        <v>76713</v>
      </c>
      <c r="O35" s="83">
        <f>ROUND(O34+(O$16/12)+(O$17/12),0)</f>
        <v>41792</v>
      </c>
      <c r="P35" s="84">
        <f t="shared" si="10"/>
        <v>3236</v>
      </c>
      <c r="Q35" s="83">
        <v>0</v>
      </c>
      <c r="R35" s="85"/>
    </row>
    <row r="36" spans="1:18" ht="12.75">
      <c r="A36" s="76">
        <f>ROW()</f>
        <v>36</v>
      </c>
      <c r="B36" s="82" t="s">
        <v>69</v>
      </c>
      <c r="C36" s="83"/>
      <c r="D36" s="83">
        <f>ROUND(D35+(D$15/12)+(D$16/12)+(D$17/12),0)-1</f>
        <v>220938</v>
      </c>
      <c r="E36" s="83">
        <f t="shared" si="4"/>
        <v>221552</v>
      </c>
      <c r="F36" s="83">
        <f t="shared" si="4"/>
        <v>220354</v>
      </c>
      <c r="G36" s="83">
        <f>ROUND(G35+(G$16/12)+(G$17/12),0)</f>
        <v>215689</v>
      </c>
      <c r="H36" s="83">
        <f>ROUND(H35+(H$16/12)+(H$17/12),0)</f>
        <v>204474</v>
      </c>
      <c r="I36" s="83">
        <f>ROUND(I35+(I$16/12)+(I$17/12),0)+1</f>
        <v>190606</v>
      </c>
      <c r="J36" s="83">
        <f>ROUND(J35+(J$16/12)+(J$17/12),0)</f>
        <v>173763</v>
      </c>
      <c r="K36" s="83">
        <f>ROUND(K35+(K$16/12)+(K$17/12),0)+1</f>
        <v>154373</v>
      </c>
      <c r="L36" s="83">
        <f>ROUND(L35+(L$16/12)+(L$17/12),0)+1</f>
        <v>131477</v>
      </c>
      <c r="M36" s="84">
        <f>ROUND(M35+(M$16/12)+(M$17/12),0)+1</f>
        <v>104886</v>
      </c>
      <c r="N36" s="84">
        <f>ROUND(N35+(N$16/12)+(N$17/12),0)+1</f>
        <v>74153</v>
      </c>
      <c r="O36" s="83">
        <f>ROUND(O35+(O$16/12)+(O$17/12),0)+1</f>
        <v>38851</v>
      </c>
      <c r="P36" s="84">
        <f>ROUND(P35+(P$16/12)+(P$17/12),0)+1+1</f>
        <v>0</v>
      </c>
      <c r="Q36" s="83">
        <v>0</v>
      </c>
      <c r="R36" s="85"/>
    </row>
    <row r="37" spans="1:18" ht="13.5" thickBot="1">
      <c r="A37" s="76">
        <f>ROW()</f>
        <v>37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5"/>
    </row>
    <row r="38" spans="1:18" ht="13.5" customHeight="1" thickBot="1">
      <c r="A38" s="76">
        <f>ROW()</f>
        <v>38</v>
      </c>
      <c r="B38" s="90" t="s">
        <v>81</v>
      </c>
      <c r="C38" s="91"/>
      <c r="D38" s="91"/>
      <c r="E38" s="91"/>
      <c r="F38" s="91"/>
      <c r="G38" s="92" t="s">
        <v>82</v>
      </c>
      <c r="H38" s="92" t="s">
        <v>83</v>
      </c>
      <c r="I38" s="93" t="s">
        <v>84</v>
      </c>
      <c r="J38" s="93" t="s">
        <v>85</v>
      </c>
      <c r="K38" s="93" t="s">
        <v>86</v>
      </c>
      <c r="L38" s="93" t="s">
        <v>87</v>
      </c>
      <c r="M38" s="93" t="s">
        <v>88</v>
      </c>
      <c r="N38" s="93" t="s">
        <v>89</v>
      </c>
      <c r="O38" s="93" t="s">
        <v>90</v>
      </c>
      <c r="P38" s="93" t="s">
        <v>91</v>
      </c>
      <c r="Q38" s="93" t="s">
        <v>92</v>
      </c>
      <c r="R38" s="94"/>
    </row>
    <row r="39" spans="1:18" ht="13.5" thickBot="1">
      <c r="A39" s="76">
        <f>ROW()</f>
        <v>39</v>
      </c>
      <c r="B39" s="90" t="s">
        <v>93</v>
      </c>
      <c r="C39" s="95"/>
      <c r="D39" s="95"/>
      <c r="E39" s="95"/>
      <c r="F39" s="95"/>
      <c r="G39" s="92">
        <v>41122</v>
      </c>
      <c r="H39" s="92">
        <v>39661</v>
      </c>
      <c r="I39" s="93">
        <v>38533</v>
      </c>
      <c r="J39" s="93">
        <v>38898</v>
      </c>
      <c r="K39" s="93">
        <v>39082</v>
      </c>
      <c r="L39" s="93">
        <v>39447</v>
      </c>
      <c r="M39" s="93">
        <v>39813</v>
      </c>
      <c r="N39" s="93">
        <v>40178</v>
      </c>
      <c r="O39" s="93">
        <v>40543</v>
      </c>
      <c r="P39" s="93">
        <v>40908</v>
      </c>
      <c r="Q39" s="93">
        <v>41274</v>
      </c>
      <c r="R39" s="94"/>
    </row>
    <row r="40" spans="1:18" s="44" customFormat="1" ht="12.75">
      <c r="A40" s="76">
        <f>ROW()</f>
        <v>40</v>
      </c>
      <c r="B40" s="79"/>
      <c r="C40" s="80"/>
      <c r="D40" s="80"/>
      <c r="E40" s="80"/>
      <c r="F40" s="80"/>
      <c r="G40" s="96"/>
      <c r="H40" s="96"/>
      <c r="I40" s="97"/>
      <c r="J40" s="97"/>
      <c r="K40" s="80"/>
      <c r="L40" s="80"/>
      <c r="M40" s="80"/>
      <c r="N40" s="80"/>
      <c r="O40" s="80"/>
      <c r="P40" s="80"/>
      <c r="Q40" s="98"/>
      <c r="R40" s="99"/>
    </row>
    <row r="41" spans="1:18" ht="12.75">
      <c r="A41" s="76">
        <f>ROW()</f>
        <v>41</v>
      </c>
      <c r="B41" s="82" t="s">
        <v>65</v>
      </c>
      <c r="C41" s="100"/>
      <c r="D41" s="100"/>
      <c r="E41" s="83"/>
      <c r="F41" s="83"/>
      <c r="G41" s="101">
        <f>P16/12*4+Q16/12*8</f>
        <v>-13543</v>
      </c>
      <c r="H41" s="101">
        <f>L16/12*4+M16/12*8</f>
        <v>-26962.333333333332</v>
      </c>
      <c r="I41" s="102">
        <f>I16/12*6+J16/12*6</f>
        <v>-16326</v>
      </c>
      <c r="J41" s="102">
        <f>J16/12*6+K16/12*6</f>
        <v>-19261.5</v>
      </c>
      <c r="K41" s="102">
        <f>K16/12*6</f>
        <v>-10307.5</v>
      </c>
      <c r="L41" s="102">
        <f aca="true" t="shared" si="11" ref="L41:Q41">L16</f>
        <v>-24343</v>
      </c>
      <c r="M41" s="102">
        <f t="shared" si="11"/>
        <v>-28272</v>
      </c>
      <c r="N41" s="102">
        <f t="shared" si="11"/>
        <v>-32676</v>
      </c>
      <c r="O41" s="102">
        <f t="shared" si="11"/>
        <v>-37533</v>
      </c>
      <c r="P41" s="102">
        <f t="shared" si="11"/>
        <v>-40629</v>
      </c>
      <c r="Q41" s="102">
        <f t="shared" si="11"/>
        <v>0</v>
      </c>
      <c r="R41" s="94"/>
    </row>
    <row r="42" spans="1:18" ht="12.75">
      <c r="A42" s="76">
        <f>ROW()</f>
        <v>42</v>
      </c>
      <c r="B42" s="103"/>
      <c r="C42" s="51"/>
      <c r="D42" s="51"/>
      <c r="E42" s="84"/>
      <c r="F42" s="84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99"/>
    </row>
    <row r="43" spans="1:18" ht="12.75">
      <c r="A43" s="76">
        <f>ROW()</f>
        <v>43</v>
      </c>
      <c r="B43" s="82" t="s">
        <v>94</v>
      </c>
      <c r="C43" s="100"/>
      <c r="D43" s="100"/>
      <c r="E43" s="83"/>
      <c r="F43" s="83"/>
      <c r="G43" s="104">
        <f>(P32+Q32+(SUM(P33:P36)+SUM(Q24:Q31))*2)/24</f>
        <v>2158.0416666666665</v>
      </c>
      <c r="H43" s="104">
        <f>(L32+M32+(SUM(L33:L36)+SUM(M25:M31))*2)/24</f>
        <v>126839.375</v>
      </c>
      <c r="I43" s="104">
        <f>(I30+J30+(SUM(I31:I36)+SUM(J25:J29))*2)/24</f>
        <v>190233.20833333334</v>
      </c>
      <c r="J43" s="104">
        <f>(J30+K30+(SUM(J31:J36)+SUM(K25:K29))*2)/24</f>
        <v>173444.625</v>
      </c>
      <c r="K43" s="105">
        <f>(K30+K36+(SUM(K31:K35))*2)/12</f>
        <v>159219.66666666666</v>
      </c>
      <c r="L43" s="104">
        <f aca="true" t="shared" si="12" ref="L43:Q43">(L24+L36+(SUM(L25:L35))*2)/24</f>
        <v>142924.33333333334</v>
      </c>
      <c r="M43" s="104">
        <f t="shared" si="12"/>
        <v>118181.04166666667</v>
      </c>
      <c r="N43" s="104">
        <f t="shared" si="12"/>
        <v>89519.20833333333</v>
      </c>
      <c r="O43" s="104">
        <f>(O24+O36+(SUM(O25:O35))*2)/24</f>
        <v>56501.833333333336</v>
      </c>
      <c r="P43" s="105">
        <f t="shared" si="12"/>
        <v>19424.708333333332</v>
      </c>
      <c r="Q43" s="105">
        <f t="shared" si="12"/>
        <v>0</v>
      </c>
      <c r="R43" s="94"/>
    </row>
    <row r="44" spans="1:18" ht="12.75">
      <c r="A44" s="76">
        <f>ROW()</f>
        <v>44</v>
      </c>
      <c r="B44" s="106"/>
      <c r="C44" s="107"/>
      <c r="D44" s="107"/>
      <c r="E44" s="108"/>
      <c r="F44" s="108"/>
      <c r="G44" s="84"/>
      <c r="H44" s="84"/>
      <c r="I44" s="108"/>
      <c r="J44" s="109"/>
      <c r="K44" s="108"/>
      <c r="L44" s="108"/>
      <c r="M44" s="108"/>
      <c r="N44" s="108"/>
      <c r="O44" s="108"/>
      <c r="P44" s="108"/>
      <c r="Q44" s="108"/>
      <c r="R44" s="110"/>
    </row>
    <row r="45" spans="1:18" ht="13.5" customHeight="1" hidden="1" thickBot="1">
      <c r="A45" s="76">
        <f>ROW()</f>
        <v>45</v>
      </c>
      <c r="B45" s="417" t="s">
        <v>95</v>
      </c>
      <c r="C45" s="91"/>
      <c r="D45" s="91"/>
      <c r="E45" s="91"/>
      <c r="F45" s="91"/>
      <c r="G45" s="95"/>
      <c r="H45" s="111"/>
      <c r="I45" s="419" t="s">
        <v>96</v>
      </c>
      <c r="J45" s="419"/>
      <c r="K45" s="421" t="s">
        <v>97</v>
      </c>
      <c r="L45" s="421"/>
      <c r="M45" s="113"/>
      <c r="N45" s="114"/>
      <c r="O45" s="114"/>
      <c r="P45" s="114"/>
      <c r="Q45" s="114"/>
      <c r="R45" s="115"/>
    </row>
    <row r="46" spans="1:18" ht="12.75" customHeight="1" hidden="1">
      <c r="A46" s="76">
        <f>ROW()</f>
        <v>46</v>
      </c>
      <c r="B46" s="418"/>
      <c r="C46" s="95"/>
      <c r="D46" s="95"/>
      <c r="E46" s="95"/>
      <c r="F46" s="95"/>
      <c r="G46" s="95"/>
      <c r="H46" s="111"/>
      <c r="I46" s="420"/>
      <c r="J46" s="420"/>
      <c r="K46" s="422"/>
      <c r="L46" s="422"/>
      <c r="M46" s="95"/>
      <c r="N46" s="117"/>
      <c r="O46" s="117"/>
      <c r="P46" s="117"/>
      <c r="Q46" s="117"/>
      <c r="R46" s="118"/>
    </row>
    <row r="47" spans="1:18" s="44" customFormat="1" ht="12.75" customHeight="1" hidden="1">
      <c r="A47" s="76">
        <f>ROW()</f>
        <v>47</v>
      </c>
      <c r="B47" s="79"/>
      <c r="C47" s="80"/>
      <c r="D47" s="80"/>
      <c r="E47" s="80"/>
      <c r="F47" s="80"/>
      <c r="G47" s="80"/>
      <c r="H47" s="97"/>
      <c r="I47" s="97"/>
      <c r="J47" s="97"/>
      <c r="K47" s="97"/>
      <c r="L47" s="80"/>
      <c r="M47" s="80"/>
      <c r="N47" s="80"/>
      <c r="O47" s="80"/>
      <c r="P47" s="80"/>
      <c r="Q47" s="80"/>
      <c r="R47" s="81"/>
    </row>
    <row r="48" spans="1:18" ht="12.75" customHeight="1" hidden="1">
      <c r="A48" s="76">
        <f>ROW()</f>
        <v>48</v>
      </c>
      <c r="B48" s="82" t="s">
        <v>65</v>
      </c>
      <c r="C48" s="100"/>
      <c r="D48" s="100"/>
      <c r="E48" s="83"/>
      <c r="F48" s="83"/>
      <c r="G48" s="83"/>
      <c r="H48" s="83"/>
      <c r="I48" s="83"/>
      <c r="J48" s="83">
        <f>(I16/12*9)+(J16/12*3)</f>
        <v>-15535</v>
      </c>
      <c r="K48" s="83">
        <f>(J16/12*1)+(K16/12*11)</f>
        <v>-20389.416666666668</v>
      </c>
      <c r="L48" s="83"/>
      <c r="M48" s="83"/>
      <c r="N48" s="83"/>
      <c r="O48" s="83"/>
      <c r="P48" s="83"/>
      <c r="Q48" s="83"/>
      <c r="R48" s="85"/>
    </row>
    <row r="49" spans="1:18" ht="12.75" customHeight="1" hidden="1">
      <c r="A49" s="76">
        <f>ROW()</f>
        <v>49</v>
      </c>
      <c r="B49" s="82" t="s">
        <v>94</v>
      </c>
      <c r="C49" s="100"/>
      <c r="D49" s="100"/>
      <c r="E49" s="83"/>
      <c r="F49" s="83"/>
      <c r="G49" s="83"/>
      <c r="H49" s="83"/>
      <c r="I49" s="83"/>
      <c r="J49" s="105">
        <f>(I27+J27+(SUM(I28:I36)+SUM(J25:J26))*2)/24</f>
        <v>193979.08333333334</v>
      </c>
      <c r="K49" s="83">
        <f>(J35+K35+SUM(K24:K34)*2)/24</f>
        <v>165674.375</v>
      </c>
      <c r="L49" s="83"/>
      <c r="M49" s="83"/>
      <c r="N49" s="83"/>
      <c r="O49" s="83"/>
      <c r="P49" s="83"/>
      <c r="Q49" s="83"/>
      <c r="R49" s="85"/>
    </row>
    <row r="50" spans="1:18" ht="12.75" customHeight="1" hidden="1">
      <c r="A50" s="76">
        <f>ROW()</f>
        <v>50</v>
      </c>
      <c r="B50" s="106"/>
      <c r="C50" s="107"/>
      <c r="D50" s="107"/>
      <c r="E50" s="108"/>
      <c r="F50" s="108"/>
      <c r="G50" s="83"/>
      <c r="H50" s="83"/>
      <c r="I50" s="108"/>
      <c r="J50" s="109"/>
      <c r="K50" s="108"/>
      <c r="L50" s="108"/>
      <c r="M50" s="108"/>
      <c r="N50" s="108"/>
      <c r="O50" s="108"/>
      <c r="P50" s="108"/>
      <c r="Q50" s="108"/>
      <c r="R50" s="110"/>
    </row>
    <row r="51" spans="1:18" ht="12.75" hidden="1">
      <c r="A51" s="119">
        <f>ROW()</f>
        <v>51</v>
      </c>
      <c r="B51" s="107"/>
      <c r="C51" s="107"/>
      <c r="D51" s="107"/>
      <c r="E51" s="107"/>
      <c r="F51" s="108"/>
      <c r="G51" s="83"/>
      <c r="H51" s="83"/>
      <c r="I51" s="108"/>
      <c r="J51" s="108"/>
      <c r="K51" s="108"/>
      <c r="L51" s="108"/>
      <c r="M51" s="108"/>
      <c r="N51" s="108"/>
      <c r="O51" s="108"/>
      <c r="P51" s="108"/>
      <c r="Q51" s="108"/>
      <c r="R51" s="120"/>
    </row>
    <row r="52" spans="1:8" ht="12.75" hidden="1">
      <c r="A52" s="76"/>
      <c r="G52" s="100"/>
      <c r="H52" s="100"/>
    </row>
    <row r="53" spans="1:18" ht="12.75">
      <c r="A53" s="76">
        <f>ROW()</f>
        <v>53</v>
      </c>
      <c r="B53" s="41"/>
      <c r="G53" s="121"/>
      <c r="H53" s="122"/>
      <c r="I53" s="123"/>
      <c r="J53" s="123"/>
      <c r="R53" s="100"/>
    </row>
    <row r="54" spans="1:18" ht="12.75" hidden="1">
      <c r="A54" s="76">
        <f>ROW()</f>
        <v>54</v>
      </c>
      <c r="B54" s="412" t="str">
        <f>"Monthly Spread of Lines "&amp;A17</f>
        <v>Monthly Spread of Lines 17</v>
      </c>
      <c r="C54" s="413"/>
      <c r="D54" s="413"/>
      <c r="E54" s="413"/>
      <c r="F54" s="413"/>
      <c r="G54" s="410"/>
      <c r="H54" s="410"/>
      <c r="I54" s="413"/>
      <c r="J54" s="413"/>
      <c r="K54" s="413"/>
      <c r="L54" s="413"/>
      <c r="M54" s="413"/>
      <c r="N54" s="413"/>
      <c r="O54" s="413"/>
      <c r="P54" s="413"/>
      <c r="Q54" s="413"/>
      <c r="R54" s="416"/>
    </row>
    <row r="55" spans="1:18" ht="12.75" hidden="1">
      <c r="A55" s="76">
        <f>ROW()</f>
        <v>55</v>
      </c>
      <c r="B55" s="415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  <c r="Q55" s="410"/>
      <c r="R55" s="416"/>
    </row>
    <row r="56" spans="1:18" ht="12.75" hidden="1">
      <c r="A56" s="76">
        <f>ROW()</f>
        <v>56</v>
      </c>
      <c r="B56" s="79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1"/>
    </row>
    <row r="57" spans="1:18" ht="12.75" hidden="1">
      <c r="A57" s="76">
        <f>ROW()</f>
        <v>57</v>
      </c>
      <c r="B57" s="82" t="s">
        <v>69</v>
      </c>
      <c r="C57" s="83"/>
      <c r="D57" s="83">
        <f>C17</f>
        <v>-2948</v>
      </c>
      <c r="E57" s="83">
        <f aca="true" t="shared" si="13" ref="E57:P57">D69</f>
        <v>-5795.999999999998</v>
      </c>
      <c r="F57" s="83">
        <f t="shared" si="13"/>
        <v>-8567.999999999998</v>
      </c>
      <c r="G57" s="83">
        <f t="shared" si="13"/>
        <v>-11221.99999999999</v>
      </c>
      <c r="H57" s="83">
        <f t="shared" si="13"/>
        <v>-12954.999999999984</v>
      </c>
      <c r="I57" s="83">
        <f t="shared" si="13"/>
        <v>-12245.999999999976</v>
      </c>
      <c r="J57" s="83">
        <f t="shared" si="13"/>
        <v>-11369.999999999976</v>
      </c>
      <c r="K57" s="83">
        <f t="shared" si="13"/>
        <v>-10304.999999999976</v>
      </c>
      <c r="L57" s="83">
        <f t="shared" si="13"/>
        <v>-9079.999999999969</v>
      </c>
      <c r="M57" s="83">
        <f t="shared" si="13"/>
        <v>-7632.999999999966</v>
      </c>
      <c r="N57" s="83">
        <f t="shared" si="13"/>
        <v>-5951.99999999997</v>
      </c>
      <c r="O57" s="83">
        <f t="shared" si="13"/>
        <v>-4008.999999999967</v>
      </c>
      <c r="P57" s="83">
        <f t="shared" si="13"/>
        <v>-1777.9999999999682</v>
      </c>
      <c r="Q57" s="83">
        <f>P51</f>
        <v>0</v>
      </c>
      <c r="R57" s="85">
        <v>0</v>
      </c>
    </row>
    <row r="58" spans="1:18" ht="12.75" hidden="1">
      <c r="A58" s="76">
        <f>ROW()</f>
        <v>58</v>
      </c>
      <c r="B58" s="82" t="s">
        <v>70</v>
      </c>
      <c r="C58" s="83"/>
      <c r="D58" s="83">
        <f aca="true" t="shared" si="14" ref="D58:P69">D$17/12+D57</f>
        <v>-3185.3333333333335</v>
      </c>
      <c r="E58" s="83">
        <f t="shared" si="14"/>
        <v>-6026.999999999998</v>
      </c>
      <c r="F58" s="83">
        <f t="shared" si="14"/>
        <v>-8789.166666666664</v>
      </c>
      <c r="G58" s="83">
        <f t="shared" si="14"/>
        <v>-11366.416666666657</v>
      </c>
      <c r="H58" s="83">
        <f t="shared" si="14"/>
        <v>-12895.91666666665</v>
      </c>
      <c r="I58" s="83">
        <f t="shared" si="14"/>
        <v>-12172.999999999976</v>
      </c>
      <c r="J58" s="83">
        <f t="shared" si="14"/>
        <v>-11281.249999999976</v>
      </c>
      <c r="K58" s="83">
        <f t="shared" si="14"/>
        <v>-10202.916666666642</v>
      </c>
      <c r="L58" s="83">
        <f t="shared" si="14"/>
        <v>-8959.416666666635</v>
      </c>
      <c r="M58" s="83">
        <f t="shared" si="14"/>
        <v>-7492.916666666633</v>
      </c>
      <c r="N58" s="83">
        <f t="shared" si="14"/>
        <v>-5790.083333333303</v>
      </c>
      <c r="O58" s="83">
        <f t="shared" si="14"/>
        <v>-3823.0833333333003</v>
      </c>
      <c r="P58" s="83">
        <f t="shared" si="14"/>
        <v>-1629.8333333333014</v>
      </c>
      <c r="Q58" s="83">
        <f aca="true" t="shared" si="15" ref="Q58:Q69">ROUND(Q57+(Q$16/12)+(Q$17/12),0)</f>
        <v>0</v>
      </c>
      <c r="R58" s="85">
        <v>0</v>
      </c>
    </row>
    <row r="59" spans="1:18" ht="12.75" hidden="1">
      <c r="A59" s="76">
        <f>ROW()</f>
        <v>59</v>
      </c>
      <c r="B59" s="82" t="s">
        <v>71</v>
      </c>
      <c r="C59" s="83"/>
      <c r="D59" s="83">
        <f t="shared" si="14"/>
        <v>-3422.666666666667</v>
      </c>
      <c r="E59" s="83">
        <f t="shared" si="14"/>
        <v>-6257.999999999998</v>
      </c>
      <c r="F59" s="83">
        <f t="shared" si="14"/>
        <v>-9010.33333333333</v>
      </c>
      <c r="G59" s="83">
        <f t="shared" si="14"/>
        <v>-11510.833333333323</v>
      </c>
      <c r="H59" s="83">
        <f t="shared" si="14"/>
        <v>-12836.833333333316</v>
      </c>
      <c r="I59" s="83">
        <f t="shared" si="14"/>
        <v>-12099.999999999976</v>
      </c>
      <c r="J59" s="83">
        <f t="shared" si="14"/>
        <v>-11192.499999999976</v>
      </c>
      <c r="K59" s="83">
        <f t="shared" si="14"/>
        <v>-10100.833333333308</v>
      </c>
      <c r="L59" s="83">
        <f t="shared" si="14"/>
        <v>-8838.833333333301</v>
      </c>
      <c r="M59" s="83">
        <f t="shared" si="14"/>
        <v>-7352.8333333333</v>
      </c>
      <c r="N59" s="83">
        <f t="shared" si="14"/>
        <v>-5628.166666666636</v>
      </c>
      <c r="O59" s="83">
        <f t="shared" si="14"/>
        <v>-3637.166666666634</v>
      </c>
      <c r="P59" s="83">
        <f t="shared" si="14"/>
        <v>-1481.6666666666347</v>
      </c>
      <c r="Q59" s="83">
        <f t="shared" si="15"/>
        <v>0</v>
      </c>
      <c r="R59" s="85">
        <v>0</v>
      </c>
    </row>
    <row r="60" spans="1:18" ht="12.75" hidden="1">
      <c r="A60" s="76">
        <f>ROW()</f>
        <v>60</v>
      </c>
      <c r="B60" s="82" t="s">
        <v>72</v>
      </c>
      <c r="C60" s="83"/>
      <c r="D60" s="83">
        <f t="shared" si="14"/>
        <v>-3660.0000000000005</v>
      </c>
      <c r="E60" s="83">
        <f t="shared" si="14"/>
        <v>-6488.999999999998</v>
      </c>
      <c r="F60" s="83">
        <f t="shared" si="14"/>
        <v>-9231.499999999996</v>
      </c>
      <c r="G60" s="83">
        <f t="shared" si="14"/>
        <v>-11655.249999999989</v>
      </c>
      <c r="H60" s="83">
        <f t="shared" si="14"/>
        <v>-12777.749999999982</v>
      </c>
      <c r="I60" s="83">
        <f t="shared" si="14"/>
        <v>-12026.999999999976</v>
      </c>
      <c r="J60" s="83">
        <f t="shared" si="14"/>
        <v>-11103.749999999976</v>
      </c>
      <c r="K60" s="83">
        <f t="shared" si="14"/>
        <v>-9998.749999999975</v>
      </c>
      <c r="L60" s="83">
        <f t="shared" si="14"/>
        <v>-8718.249999999967</v>
      </c>
      <c r="M60" s="83">
        <f t="shared" si="14"/>
        <v>-7212.749999999967</v>
      </c>
      <c r="N60" s="83">
        <f t="shared" si="14"/>
        <v>-5466.249999999969</v>
      </c>
      <c r="O60" s="83">
        <f t="shared" si="14"/>
        <v>-3451.2499999999673</v>
      </c>
      <c r="P60" s="83">
        <f t="shared" si="14"/>
        <v>-1333.499999999968</v>
      </c>
      <c r="Q60" s="83">
        <f t="shared" si="15"/>
        <v>0</v>
      </c>
      <c r="R60" s="85">
        <v>0</v>
      </c>
    </row>
    <row r="61" spans="1:18" ht="12.75" hidden="1">
      <c r="A61" s="76">
        <f>ROW()</f>
        <v>61</v>
      </c>
      <c r="B61" s="82" t="s">
        <v>73</v>
      </c>
      <c r="C61" s="83"/>
      <c r="D61" s="83">
        <f t="shared" si="14"/>
        <v>-3897.333333333334</v>
      </c>
      <c r="E61" s="83">
        <f t="shared" si="14"/>
        <v>-6719.999999999998</v>
      </c>
      <c r="F61" s="83">
        <f t="shared" si="14"/>
        <v>-9452.666666666662</v>
      </c>
      <c r="G61" s="83">
        <f t="shared" si="14"/>
        <v>-11799.666666666655</v>
      </c>
      <c r="H61" s="83">
        <f t="shared" si="14"/>
        <v>-12718.666666666648</v>
      </c>
      <c r="I61" s="83">
        <f t="shared" si="14"/>
        <v>-11953.999999999976</v>
      </c>
      <c r="J61" s="83">
        <f t="shared" si="14"/>
        <v>-11014.999999999976</v>
      </c>
      <c r="K61" s="83">
        <f t="shared" si="14"/>
        <v>-9896.66666666664</v>
      </c>
      <c r="L61" s="83">
        <f t="shared" si="14"/>
        <v>-8597.666666666633</v>
      </c>
      <c r="M61" s="83">
        <f t="shared" si="14"/>
        <v>-7072.666666666634</v>
      </c>
      <c r="N61" s="83">
        <f t="shared" si="14"/>
        <v>-5304.333333333302</v>
      </c>
      <c r="O61" s="83">
        <f t="shared" si="14"/>
        <v>-3265.3333333333007</v>
      </c>
      <c r="P61" s="83">
        <f t="shared" si="14"/>
        <v>-1185.3333333333012</v>
      </c>
      <c r="Q61" s="83">
        <f t="shared" si="15"/>
        <v>0</v>
      </c>
      <c r="R61" s="85">
        <v>0</v>
      </c>
    </row>
    <row r="62" spans="1:18" ht="12.75" hidden="1">
      <c r="A62" s="76">
        <f>ROW()</f>
        <v>62</v>
      </c>
      <c r="B62" s="82" t="s">
        <v>74</v>
      </c>
      <c r="C62" s="83"/>
      <c r="D62" s="83">
        <f t="shared" si="14"/>
        <v>-4134.666666666667</v>
      </c>
      <c r="E62" s="83">
        <f t="shared" si="14"/>
        <v>-6950.999999999998</v>
      </c>
      <c r="F62" s="83">
        <f t="shared" si="14"/>
        <v>-9673.833333333328</v>
      </c>
      <c r="G62" s="83">
        <f t="shared" si="14"/>
        <v>-11944.083333333321</v>
      </c>
      <c r="H62" s="83">
        <f t="shared" si="14"/>
        <v>-12659.583333333314</v>
      </c>
      <c r="I62" s="83">
        <f t="shared" si="14"/>
        <v>-11880.999999999976</v>
      </c>
      <c r="J62" s="83">
        <f t="shared" si="14"/>
        <v>-10926.249999999976</v>
      </c>
      <c r="K62" s="83">
        <f t="shared" si="14"/>
        <v>-9794.583333333307</v>
      </c>
      <c r="L62" s="83">
        <f t="shared" si="14"/>
        <v>-8477.0833333333</v>
      </c>
      <c r="M62" s="83">
        <f t="shared" si="14"/>
        <v>-6932.583333333301</v>
      </c>
      <c r="N62" s="83">
        <f t="shared" si="14"/>
        <v>-5142.416666666635</v>
      </c>
      <c r="O62" s="83">
        <f t="shared" si="14"/>
        <v>-3079.4166666666342</v>
      </c>
      <c r="P62" s="83">
        <f t="shared" si="14"/>
        <v>-1037.1666666666345</v>
      </c>
      <c r="Q62" s="83">
        <f t="shared" si="15"/>
        <v>0</v>
      </c>
      <c r="R62" s="85">
        <v>0</v>
      </c>
    </row>
    <row r="63" spans="1:18" ht="12.75" hidden="1">
      <c r="A63" s="76">
        <f>ROW()</f>
        <v>63</v>
      </c>
      <c r="B63" s="82" t="s">
        <v>75</v>
      </c>
      <c r="C63" s="83"/>
      <c r="D63" s="83">
        <f t="shared" si="14"/>
        <v>-4372</v>
      </c>
      <c r="E63" s="83">
        <f t="shared" si="14"/>
        <v>-7181.999999999998</v>
      </c>
      <c r="F63" s="83">
        <f t="shared" si="14"/>
        <v>-9894.999999999995</v>
      </c>
      <c r="G63" s="83">
        <f t="shared" si="14"/>
        <v>-12088.499999999987</v>
      </c>
      <c r="H63" s="83">
        <f t="shared" si="14"/>
        <v>-12600.49999999998</v>
      </c>
      <c r="I63" s="83">
        <f t="shared" si="14"/>
        <v>-11807.999999999976</v>
      </c>
      <c r="J63" s="83">
        <f t="shared" si="14"/>
        <v>-10837.499999999976</v>
      </c>
      <c r="K63" s="83">
        <f t="shared" si="14"/>
        <v>-9692.499999999973</v>
      </c>
      <c r="L63" s="83">
        <f t="shared" si="14"/>
        <v>-8356.499999999965</v>
      </c>
      <c r="M63" s="83">
        <f t="shared" si="14"/>
        <v>-6792.499999999968</v>
      </c>
      <c r="N63" s="83">
        <f t="shared" si="14"/>
        <v>-4980.499999999968</v>
      </c>
      <c r="O63" s="83">
        <f t="shared" si="14"/>
        <v>-2893.4999999999677</v>
      </c>
      <c r="P63" s="83">
        <f t="shared" si="14"/>
        <v>-888.9999999999678</v>
      </c>
      <c r="Q63" s="83">
        <f t="shared" si="15"/>
        <v>0</v>
      </c>
      <c r="R63" s="85">
        <v>0</v>
      </c>
    </row>
    <row r="64" spans="1:18" ht="12.75" hidden="1">
      <c r="A64" s="76">
        <f>ROW()</f>
        <v>64</v>
      </c>
      <c r="B64" s="82" t="s">
        <v>76</v>
      </c>
      <c r="C64" s="83"/>
      <c r="D64" s="83">
        <f t="shared" si="14"/>
        <v>-4609.333333333333</v>
      </c>
      <c r="E64" s="83">
        <f t="shared" si="14"/>
        <v>-7412.999999999998</v>
      </c>
      <c r="F64" s="83">
        <f t="shared" si="14"/>
        <v>-10116.16666666666</v>
      </c>
      <c r="G64" s="83">
        <f t="shared" si="14"/>
        <v>-12232.916666666653</v>
      </c>
      <c r="H64" s="83">
        <f t="shared" si="14"/>
        <v>-12541.416666666646</v>
      </c>
      <c r="I64" s="83">
        <f t="shared" si="14"/>
        <v>-11734.999999999976</v>
      </c>
      <c r="J64" s="83">
        <f t="shared" si="14"/>
        <v>-10748.749999999976</v>
      </c>
      <c r="K64" s="83">
        <f t="shared" si="14"/>
        <v>-9590.416666666639</v>
      </c>
      <c r="L64" s="83">
        <f t="shared" si="14"/>
        <v>-8235.916666666631</v>
      </c>
      <c r="M64" s="83">
        <f t="shared" si="14"/>
        <v>-6652.416666666635</v>
      </c>
      <c r="N64" s="83">
        <f t="shared" si="14"/>
        <v>-4818.583333333301</v>
      </c>
      <c r="O64" s="83">
        <f t="shared" si="14"/>
        <v>-2707.583333333301</v>
      </c>
      <c r="P64" s="83">
        <f t="shared" si="14"/>
        <v>-740.8333333333012</v>
      </c>
      <c r="Q64" s="83">
        <f t="shared" si="15"/>
        <v>0</v>
      </c>
      <c r="R64" s="85">
        <v>0</v>
      </c>
    </row>
    <row r="65" spans="1:18" ht="12.75" hidden="1">
      <c r="A65" s="76">
        <f>ROW()</f>
        <v>65</v>
      </c>
      <c r="B65" s="82" t="s">
        <v>77</v>
      </c>
      <c r="C65" s="83"/>
      <c r="D65" s="83">
        <f t="shared" si="14"/>
        <v>-4846.666666666666</v>
      </c>
      <c r="E65" s="83">
        <f t="shared" si="14"/>
        <v>-7643.999999999998</v>
      </c>
      <c r="F65" s="83">
        <f t="shared" si="14"/>
        <v>-10337.333333333327</v>
      </c>
      <c r="G65" s="83">
        <f t="shared" si="14"/>
        <v>-12377.33333333332</v>
      </c>
      <c r="H65" s="83">
        <f t="shared" si="14"/>
        <v>-12482.333333333312</v>
      </c>
      <c r="I65" s="83">
        <f t="shared" si="14"/>
        <v>-11661.999999999976</v>
      </c>
      <c r="J65" s="83">
        <f t="shared" si="14"/>
        <v>-10659.999999999976</v>
      </c>
      <c r="K65" s="83">
        <f t="shared" si="14"/>
        <v>-9488.333333333305</v>
      </c>
      <c r="L65" s="83">
        <f t="shared" si="14"/>
        <v>-8115.3333333332985</v>
      </c>
      <c r="M65" s="83">
        <f t="shared" si="14"/>
        <v>-6512.333333333302</v>
      </c>
      <c r="N65" s="83">
        <f t="shared" si="14"/>
        <v>-4656.666666666634</v>
      </c>
      <c r="O65" s="83">
        <f t="shared" si="14"/>
        <v>-2521.6666666666347</v>
      </c>
      <c r="P65" s="83">
        <f t="shared" si="14"/>
        <v>-592.6666666666346</v>
      </c>
      <c r="Q65" s="83">
        <f t="shared" si="15"/>
        <v>0</v>
      </c>
      <c r="R65" s="85">
        <v>0</v>
      </c>
    </row>
    <row r="66" spans="1:18" ht="12.75" hidden="1">
      <c r="A66" s="76">
        <f>ROW()</f>
        <v>66</v>
      </c>
      <c r="B66" s="82" t="s">
        <v>78</v>
      </c>
      <c r="C66" s="83"/>
      <c r="D66" s="83">
        <f t="shared" si="14"/>
        <v>-5083.999999999999</v>
      </c>
      <c r="E66" s="83">
        <f t="shared" si="14"/>
        <v>-7874.999999999998</v>
      </c>
      <c r="F66" s="83">
        <f t="shared" si="14"/>
        <v>-10558.499999999993</v>
      </c>
      <c r="G66" s="83">
        <f t="shared" si="14"/>
        <v>-12521.749999999985</v>
      </c>
      <c r="H66" s="83">
        <f t="shared" si="14"/>
        <v>-12423.249999999978</v>
      </c>
      <c r="I66" s="83">
        <f t="shared" si="14"/>
        <v>-11588.999999999976</v>
      </c>
      <c r="J66" s="83">
        <f t="shared" si="14"/>
        <v>-10571.249999999976</v>
      </c>
      <c r="K66" s="83">
        <f t="shared" si="14"/>
        <v>-9386.24999999997</v>
      </c>
      <c r="L66" s="83">
        <f t="shared" si="14"/>
        <v>-7994.749999999965</v>
      </c>
      <c r="M66" s="83">
        <f t="shared" si="14"/>
        <v>-6372.249999999969</v>
      </c>
      <c r="N66" s="83">
        <f t="shared" si="14"/>
        <v>-4494.749999999967</v>
      </c>
      <c r="O66" s="83">
        <f t="shared" si="14"/>
        <v>-2335.749999999968</v>
      </c>
      <c r="P66" s="83">
        <f t="shared" si="14"/>
        <v>-444.49999999996794</v>
      </c>
      <c r="Q66" s="83">
        <f t="shared" si="15"/>
        <v>0</v>
      </c>
      <c r="R66" s="85">
        <v>0</v>
      </c>
    </row>
    <row r="67" spans="1:18" ht="12.75" hidden="1">
      <c r="A67" s="76">
        <f>ROW()</f>
        <v>67</v>
      </c>
      <c r="B67" s="82" t="s">
        <v>79</v>
      </c>
      <c r="C67" s="83"/>
      <c r="D67" s="83">
        <f t="shared" si="14"/>
        <v>-5321.333333333332</v>
      </c>
      <c r="E67" s="83">
        <f t="shared" si="14"/>
        <v>-8105.999999999998</v>
      </c>
      <c r="F67" s="83">
        <f t="shared" si="14"/>
        <v>-10779.666666666659</v>
      </c>
      <c r="G67" s="83">
        <f t="shared" si="14"/>
        <v>-12666.166666666652</v>
      </c>
      <c r="H67" s="83">
        <f t="shared" si="14"/>
        <v>-12364.166666666644</v>
      </c>
      <c r="I67" s="83">
        <f t="shared" si="14"/>
        <v>-11515.999999999976</v>
      </c>
      <c r="J67" s="83">
        <f t="shared" si="14"/>
        <v>-10482.499999999976</v>
      </c>
      <c r="K67" s="83">
        <f t="shared" si="14"/>
        <v>-9284.166666666637</v>
      </c>
      <c r="L67" s="83">
        <f t="shared" si="14"/>
        <v>-7874.166666666632</v>
      </c>
      <c r="M67" s="83">
        <f t="shared" si="14"/>
        <v>-6232.166666666636</v>
      </c>
      <c r="N67" s="83">
        <f t="shared" si="14"/>
        <v>-4332.8333333333</v>
      </c>
      <c r="O67" s="83">
        <f t="shared" si="14"/>
        <v>-2149.8333333333017</v>
      </c>
      <c r="P67" s="83">
        <f t="shared" si="14"/>
        <v>-296.3333333333013</v>
      </c>
      <c r="Q67" s="83">
        <f t="shared" si="15"/>
        <v>0</v>
      </c>
      <c r="R67" s="85">
        <v>0</v>
      </c>
    </row>
    <row r="68" spans="1:18" ht="12.75" hidden="1">
      <c r="A68" s="76">
        <f>ROW()</f>
        <v>68</v>
      </c>
      <c r="B68" s="82" t="s">
        <v>80</v>
      </c>
      <c r="C68" s="83"/>
      <c r="D68" s="83">
        <f t="shared" si="14"/>
        <v>-5558.666666666665</v>
      </c>
      <c r="E68" s="83">
        <f t="shared" si="14"/>
        <v>-8336.999999999998</v>
      </c>
      <c r="F68" s="83">
        <f t="shared" si="14"/>
        <v>-11000.833333333325</v>
      </c>
      <c r="G68" s="83">
        <f t="shared" si="14"/>
        <v>-12810.583333333318</v>
      </c>
      <c r="H68" s="83">
        <f t="shared" si="14"/>
        <v>-12305.08333333331</v>
      </c>
      <c r="I68" s="83">
        <f t="shared" si="14"/>
        <v>-11442.999999999976</v>
      </c>
      <c r="J68" s="83">
        <f t="shared" si="14"/>
        <v>-10393.749999999976</v>
      </c>
      <c r="K68" s="83">
        <f t="shared" si="14"/>
        <v>-9182.083333333303</v>
      </c>
      <c r="L68" s="83">
        <f t="shared" si="14"/>
        <v>-7753.583333333299</v>
      </c>
      <c r="M68" s="83">
        <f t="shared" si="14"/>
        <v>-6092.083333333303</v>
      </c>
      <c r="N68" s="83">
        <f t="shared" si="14"/>
        <v>-4170.916666666633</v>
      </c>
      <c r="O68" s="83">
        <f t="shared" si="14"/>
        <v>-1963.916666666635</v>
      </c>
      <c r="P68" s="83">
        <f t="shared" si="14"/>
        <v>-148.16666666663465</v>
      </c>
      <c r="Q68" s="83">
        <f t="shared" si="15"/>
        <v>0</v>
      </c>
      <c r="R68" s="85">
        <v>0</v>
      </c>
    </row>
    <row r="69" spans="1:18" ht="12.75" hidden="1">
      <c r="A69" s="76">
        <f>ROW()</f>
        <v>69</v>
      </c>
      <c r="B69" s="82" t="s">
        <v>69</v>
      </c>
      <c r="C69" s="83"/>
      <c r="D69" s="83">
        <f t="shared" si="14"/>
        <v>-5795.999999999998</v>
      </c>
      <c r="E69" s="83">
        <f t="shared" si="14"/>
        <v>-8567.999999999998</v>
      </c>
      <c r="F69" s="83">
        <f t="shared" si="14"/>
        <v>-11221.99999999999</v>
      </c>
      <c r="G69" s="83">
        <f t="shared" si="14"/>
        <v>-12954.999999999984</v>
      </c>
      <c r="H69" s="83">
        <f t="shared" si="14"/>
        <v>-12245.999999999976</v>
      </c>
      <c r="I69" s="83">
        <f t="shared" si="14"/>
        <v>-11369.999999999976</v>
      </c>
      <c r="J69" s="83">
        <f t="shared" si="14"/>
        <v>-10304.999999999976</v>
      </c>
      <c r="K69" s="83">
        <f t="shared" si="14"/>
        <v>-9079.999999999969</v>
      </c>
      <c r="L69" s="83">
        <f t="shared" si="14"/>
        <v>-7632.999999999966</v>
      </c>
      <c r="M69" s="83">
        <f t="shared" si="14"/>
        <v>-5951.99999999997</v>
      </c>
      <c r="N69" s="83">
        <f t="shared" si="14"/>
        <v>-4008.999999999967</v>
      </c>
      <c r="O69" s="83">
        <f t="shared" si="14"/>
        <v>-1777.9999999999682</v>
      </c>
      <c r="P69" s="83">
        <f t="shared" si="14"/>
        <v>3.200284481863491E-11</v>
      </c>
      <c r="Q69" s="83">
        <f t="shared" si="15"/>
        <v>0</v>
      </c>
      <c r="R69" s="85">
        <v>0</v>
      </c>
    </row>
    <row r="70" spans="1:18" ht="12.75" hidden="1">
      <c r="A70" s="76">
        <f>ROW()</f>
        <v>70</v>
      </c>
      <c r="B70" s="82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5"/>
    </row>
    <row r="71" spans="1:18" ht="13.5" hidden="1" thickBot="1">
      <c r="A71" s="76">
        <f>ROW()</f>
        <v>71</v>
      </c>
      <c r="B71" s="124" t="s">
        <v>98</v>
      </c>
      <c r="C71" s="91"/>
      <c r="D71" s="91"/>
      <c r="E71" s="91"/>
      <c r="F71" s="91"/>
      <c r="G71" s="91"/>
      <c r="H71" s="125"/>
      <c r="I71" s="112"/>
      <c r="J71" s="93" t="s">
        <v>84</v>
      </c>
      <c r="K71" s="93" t="s">
        <v>85</v>
      </c>
      <c r="L71" s="93" t="s">
        <v>86</v>
      </c>
      <c r="M71" s="93" t="s">
        <v>87</v>
      </c>
      <c r="N71" s="93" t="s">
        <v>88</v>
      </c>
      <c r="O71" s="93" t="s">
        <v>89</v>
      </c>
      <c r="P71" s="93" t="s">
        <v>90</v>
      </c>
      <c r="Q71" s="93" t="s">
        <v>91</v>
      </c>
      <c r="R71" s="93" t="s">
        <v>92</v>
      </c>
    </row>
    <row r="72" spans="1:18" ht="13.5" hidden="1" thickBot="1">
      <c r="A72" s="76">
        <f>ROW()</f>
        <v>72</v>
      </c>
      <c r="B72" s="124" t="s">
        <v>99</v>
      </c>
      <c r="C72" s="95"/>
      <c r="D72" s="95"/>
      <c r="E72" s="95"/>
      <c r="F72" s="95"/>
      <c r="G72" s="95"/>
      <c r="H72" s="111"/>
      <c r="I72" s="116"/>
      <c r="J72" s="93">
        <v>38533</v>
      </c>
      <c r="K72" s="93">
        <v>38898</v>
      </c>
      <c r="L72" s="93">
        <v>39263</v>
      </c>
      <c r="M72" s="93">
        <v>39629</v>
      </c>
      <c r="N72" s="93">
        <v>39994</v>
      </c>
      <c r="O72" s="93">
        <v>40359</v>
      </c>
      <c r="P72" s="93">
        <v>40724</v>
      </c>
      <c r="Q72" s="93">
        <v>41090</v>
      </c>
      <c r="R72" s="93">
        <v>41455</v>
      </c>
    </row>
    <row r="73" spans="1:18" ht="12.75" hidden="1">
      <c r="A73" s="76">
        <f>ROW()</f>
        <v>73</v>
      </c>
      <c r="B73" s="79"/>
      <c r="C73" s="80"/>
      <c r="D73" s="80"/>
      <c r="E73" s="80"/>
      <c r="F73" s="80"/>
      <c r="G73" s="80"/>
      <c r="H73" s="97"/>
      <c r="I73" s="97"/>
      <c r="J73" s="97"/>
      <c r="K73" s="97"/>
      <c r="L73" s="80"/>
      <c r="M73" s="80"/>
      <c r="N73" s="80"/>
      <c r="O73" s="80"/>
      <c r="P73" s="80"/>
      <c r="Q73" s="80"/>
      <c r="R73" s="81"/>
    </row>
    <row r="74" spans="1:18" ht="12.75" hidden="1">
      <c r="A74" s="76">
        <f>ROW()</f>
        <v>74</v>
      </c>
      <c r="B74" s="82" t="s">
        <v>94</v>
      </c>
      <c r="C74" s="100"/>
      <c r="D74" s="100"/>
      <c r="E74" s="83"/>
      <c r="F74" s="83"/>
      <c r="G74" s="83"/>
      <c r="H74" s="83"/>
      <c r="I74" s="83"/>
      <c r="J74" s="105">
        <f>(I63+J63+(SUM(I64:I69)+SUM(J58:J62))*2)/24+0.5</f>
        <v>-11345.874999999976</v>
      </c>
      <c r="K74" s="105">
        <f aca="true" t="shared" si="16" ref="K74:R74">(J63+K63+(SUM(J64:J69)+SUM(K58:K62))*2)/24</f>
        <v>-10284.999999999976</v>
      </c>
      <c r="L74" s="105">
        <f t="shared" si="16"/>
        <v>-9052.249999999969</v>
      </c>
      <c r="M74" s="105">
        <f t="shared" si="16"/>
        <v>-7603.749999999966</v>
      </c>
      <c r="N74" s="105">
        <f t="shared" si="16"/>
        <v>-5919.249999999968</v>
      </c>
      <c r="O74" s="105">
        <f t="shared" si="16"/>
        <v>-3972.9999999999673</v>
      </c>
      <c r="P74" s="105">
        <f t="shared" si="16"/>
        <v>-1834.6249999999682</v>
      </c>
      <c r="Q74" s="105">
        <f t="shared" si="16"/>
        <v>-222.2499999999827</v>
      </c>
      <c r="R74" s="85">
        <f t="shared" si="16"/>
        <v>0</v>
      </c>
    </row>
    <row r="75" spans="1:18" ht="12.75" hidden="1">
      <c r="A75" s="76">
        <f>ROW()</f>
        <v>75</v>
      </c>
      <c r="B75" s="106"/>
      <c r="C75" s="107"/>
      <c r="D75" s="107"/>
      <c r="E75" s="108"/>
      <c r="F75" s="108"/>
      <c r="G75" s="108"/>
      <c r="H75" s="108"/>
      <c r="I75" s="108"/>
      <c r="J75" s="109"/>
      <c r="K75" s="108"/>
      <c r="L75" s="108"/>
      <c r="M75" s="108"/>
      <c r="N75" s="108"/>
      <c r="O75" s="108"/>
      <c r="P75" s="108"/>
      <c r="Q75" s="108"/>
      <c r="R75" s="110"/>
    </row>
    <row r="76" ht="12.75"/>
    <row r="77" ht="12.75"/>
  </sheetData>
  <sheetProtection/>
  <mergeCells count="6">
    <mergeCell ref="A9:R10"/>
    <mergeCell ref="B21:R22"/>
    <mergeCell ref="B45:B46"/>
    <mergeCell ref="I45:J46"/>
    <mergeCell ref="K45:L46"/>
    <mergeCell ref="B54:R55"/>
  </mergeCells>
  <printOptions horizontalCentered="1"/>
  <pageMargins left="0" right="0" top="0.5" bottom="0.25" header="0.5" footer="0.25"/>
  <pageSetup cellComments="asDisplayed" fitToHeight="1" fitToWidth="1" horizontalDpi="600" verticalDpi="600" orientation="landscape" scale="6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64"/>
  <sheetViews>
    <sheetView showGridLines="0" zoomScalePageLayoutView="0" workbookViewId="0" topLeftCell="A1">
      <pane xSplit="4" ySplit="3" topLeftCell="J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J31" sqref="J31"/>
    </sheetView>
  </sheetViews>
  <sheetFormatPr defaultColWidth="9.140625" defaultRowHeight="15"/>
  <cols>
    <col min="1" max="1" width="3.421875" style="1" customWidth="1"/>
    <col min="2" max="2" width="4.28125" style="1" customWidth="1"/>
    <col min="3" max="3" width="32.421875" style="1" customWidth="1"/>
    <col min="4" max="4" width="6.57421875" style="1" customWidth="1"/>
    <col min="5" max="19" width="10.7109375" style="1" customWidth="1"/>
    <col min="20" max="20" width="9.140625" style="1" customWidth="1"/>
    <col min="21" max="21" width="10.421875" style="1" bestFit="1" customWidth="1"/>
    <col min="22" max="16384" width="9.140625" style="1" customWidth="1"/>
  </cols>
  <sheetData>
    <row r="2" spans="3:4" ht="12.75">
      <c r="C2" s="1" t="s">
        <v>2</v>
      </c>
      <c r="D2" s="2">
        <v>0.35</v>
      </c>
    </row>
    <row r="3" spans="5:19" ht="12.75">
      <c r="E3" s="3">
        <v>1998</v>
      </c>
      <c r="F3" s="3">
        <v>1999</v>
      </c>
      <c r="G3" s="3">
        <v>2000</v>
      </c>
      <c r="H3" s="3">
        <v>2001</v>
      </c>
      <c r="I3" s="3">
        <v>2002</v>
      </c>
      <c r="J3" s="3">
        <v>2003</v>
      </c>
      <c r="K3" s="3">
        <v>2004</v>
      </c>
      <c r="L3" s="3">
        <v>2005</v>
      </c>
      <c r="M3" s="3">
        <v>2006</v>
      </c>
      <c r="N3" s="3">
        <v>2007</v>
      </c>
      <c r="O3" s="3">
        <v>2008</v>
      </c>
      <c r="P3" s="3">
        <v>2009</v>
      </c>
      <c r="Q3" s="3">
        <v>2010</v>
      </c>
      <c r="R3" s="3">
        <v>2011</v>
      </c>
      <c r="S3" s="3" t="s">
        <v>3</v>
      </c>
    </row>
    <row r="4" spans="1:19" ht="12.75">
      <c r="A4" s="4" t="s">
        <v>4</v>
      </c>
      <c r="E4" s="5" t="s">
        <v>5</v>
      </c>
      <c r="F4" s="6"/>
      <c r="G4" s="6"/>
      <c r="H4" s="5"/>
      <c r="I4" s="6"/>
      <c r="J4" s="6"/>
      <c r="K4" s="6"/>
      <c r="L4" s="6"/>
      <c r="M4" s="6"/>
      <c r="N4" s="6"/>
      <c r="O4" s="5"/>
      <c r="P4" s="6"/>
      <c r="Q4" s="6"/>
      <c r="R4" s="6"/>
      <c r="S4" s="6"/>
    </row>
    <row r="5" spans="1:19" ht="12.75">
      <c r="A5" s="7"/>
      <c r="B5" s="1" t="s">
        <v>6</v>
      </c>
      <c r="E5" s="5"/>
      <c r="F5" s="6"/>
      <c r="G5" s="6"/>
      <c r="H5" s="5"/>
      <c r="I5" s="6"/>
      <c r="J5" s="6"/>
      <c r="K5" s="6"/>
      <c r="L5" s="6"/>
      <c r="M5" s="6"/>
      <c r="N5" s="6"/>
      <c r="O5" s="5"/>
      <c r="P5" s="6"/>
      <c r="Q5" s="6"/>
      <c r="R5" s="6"/>
      <c r="S5" s="6"/>
    </row>
    <row r="6" spans="1:19" ht="12.75">
      <c r="A6" s="7"/>
      <c r="B6" s="7">
        <v>1</v>
      </c>
      <c r="C6" s="1" t="s">
        <v>7</v>
      </c>
      <c r="E6" s="8">
        <v>-22168.486974479994</v>
      </c>
      <c r="F6" s="8">
        <v>-26811.505341482396</v>
      </c>
      <c r="G6" s="8">
        <v>-30736.964475100453</v>
      </c>
      <c r="H6" s="8">
        <v>-35296.00643044525</v>
      </c>
      <c r="I6" s="8">
        <v>-40158.99426591157</v>
      </c>
      <c r="J6" s="8">
        <v>-45379.22180130501</v>
      </c>
      <c r="K6" s="8">
        <v>-51108.59213173588</v>
      </c>
      <c r="L6" s="8">
        <v>-57430.29909828037</v>
      </c>
      <c r="M6" s="8">
        <v>-62441.93446824609</v>
      </c>
      <c r="N6" s="8">
        <v>-69648.37522161142</v>
      </c>
      <c r="O6" s="8">
        <v>-77047.68864137419</v>
      </c>
      <c r="P6" s="8">
        <v>-85266.14585581476</v>
      </c>
      <c r="Q6" s="8">
        <v>-94216.11004105108</v>
      </c>
      <c r="R6" s="8">
        <v>-103801.45453954421</v>
      </c>
      <c r="S6" s="9">
        <v>-801511.7792863826</v>
      </c>
    </row>
    <row r="7" spans="1:19" ht="12.75">
      <c r="A7" s="7"/>
      <c r="B7" s="7">
        <v>2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ht="12.75">
      <c r="A8" s="7"/>
      <c r="B8" s="7">
        <v>3</v>
      </c>
      <c r="C8" s="1" t="s">
        <v>8</v>
      </c>
      <c r="E8" s="10">
        <v>1952</v>
      </c>
      <c r="F8" s="10">
        <v>3863</v>
      </c>
      <c r="G8" s="10">
        <v>5463</v>
      </c>
      <c r="H8" s="10">
        <v>7382</v>
      </c>
      <c r="I8" s="10">
        <v>9494</v>
      </c>
      <c r="J8" s="10">
        <v>11924</v>
      </c>
      <c r="K8" s="10">
        <v>14744</v>
      </c>
      <c r="L8" s="10">
        <v>17908</v>
      </c>
      <c r="M8" s="10">
        <v>20615</v>
      </c>
      <c r="N8" s="10">
        <v>24343</v>
      </c>
      <c r="O8" s="10">
        <v>28272</v>
      </c>
      <c r="P8" s="10">
        <v>32676</v>
      </c>
      <c r="Q8" s="10">
        <v>37533</v>
      </c>
      <c r="R8" s="10">
        <v>42816</v>
      </c>
      <c r="S8" s="10">
        <v>258985</v>
      </c>
    </row>
    <row r="9" spans="1:19" ht="12.75">
      <c r="A9" s="7"/>
      <c r="B9" s="7">
        <v>4</v>
      </c>
      <c r="C9" s="1" t="s">
        <v>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>
      <c r="A10" s="7"/>
      <c r="B10" s="7">
        <v>5</v>
      </c>
      <c r="C10" s="11" t="s">
        <v>10</v>
      </c>
      <c r="E10" s="12">
        <v>-5017</v>
      </c>
      <c r="F10" s="12">
        <v>-5017</v>
      </c>
      <c r="G10" s="12">
        <v>-5017</v>
      </c>
      <c r="H10" s="12">
        <v>-5017</v>
      </c>
      <c r="I10" s="12">
        <v>-5017</v>
      </c>
      <c r="J10" s="12">
        <v>-5017</v>
      </c>
      <c r="K10" s="12">
        <v>-5017</v>
      </c>
      <c r="L10" s="12">
        <v>-5017</v>
      </c>
      <c r="M10" s="12">
        <v>-5017</v>
      </c>
      <c r="N10" s="12">
        <v>-5017</v>
      </c>
      <c r="O10" s="12">
        <v>-5017</v>
      </c>
      <c r="P10" s="12">
        <v>-5017</v>
      </c>
      <c r="Q10" s="12">
        <v>-5017</v>
      </c>
      <c r="R10" s="12">
        <v>-10029</v>
      </c>
      <c r="S10" s="10">
        <v>-75250</v>
      </c>
    </row>
    <row r="11" spans="1:19" ht="12.75">
      <c r="A11" s="7"/>
      <c r="B11" s="7">
        <v>6</v>
      </c>
      <c r="C11" s="11" t="s">
        <v>11</v>
      </c>
      <c r="E11" s="10">
        <v>-6127.911999999999</v>
      </c>
      <c r="F11" s="10">
        <v>-6157.088</v>
      </c>
      <c r="G11" s="10">
        <v>-6194.86</v>
      </c>
      <c r="H11" s="10">
        <v>-6186.684</v>
      </c>
      <c r="I11" s="10">
        <v>-6124.51</v>
      </c>
      <c r="J11" s="10">
        <v>-5922.097999999999</v>
      </c>
      <c r="K11" s="10">
        <v>-5570.936</v>
      </c>
      <c r="L11" s="10">
        <v>-5140.982</v>
      </c>
      <c r="M11" s="10">
        <v>-4633.72</v>
      </c>
      <c r="N11" s="10">
        <v>-4041.716</v>
      </c>
      <c r="O11" s="10">
        <v>-3348.898</v>
      </c>
      <c r="P11" s="10">
        <v>-2546.3619999999996</v>
      </c>
      <c r="Q11" s="10">
        <v>-1621.8719999999998</v>
      </c>
      <c r="R11" s="10">
        <v>-563.8639999999999</v>
      </c>
      <c r="S11" s="10">
        <v>-64181.502000000015</v>
      </c>
    </row>
    <row r="12" spans="1:19" ht="12.75">
      <c r="A12" s="7"/>
      <c r="B12" s="7">
        <v>7</v>
      </c>
      <c r="C12" s="1" t="s">
        <v>12</v>
      </c>
      <c r="E12" s="10">
        <v>2948</v>
      </c>
      <c r="F12" s="10">
        <v>2848</v>
      </c>
      <c r="G12" s="10">
        <v>2772</v>
      </c>
      <c r="H12" s="10">
        <v>2654</v>
      </c>
      <c r="I12" s="10">
        <v>2498</v>
      </c>
      <c r="J12" s="10">
        <v>-709</v>
      </c>
      <c r="K12" s="10">
        <v>-876</v>
      </c>
      <c r="L12" s="10">
        <v>-1065</v>
      </c>
      <c r="M12" s="10">
        <v>-1225</v>
      </c>
      <c r="N12" s="10">
        <v>-1447</v>
      </c>
      <c r="O12" s="10">
        <v>-1681</v>
      </c>
      <c r="P12" s="10">
        <v>-1943</v>
      </c>
      <c r="Q12" s="10">
        <v>-2231</v>
      </c>
      <c r="R12" s="10">
        <v>-2546</v>
      </c>
      <c r="S12" s="10">
        <v>-3</v>
      </c>
    </row>
    <row r="13" spans="1:19" ht="12.75">
      <c r="A13" s="7"/>
      <c r="B13" s="7">
        <v>8</v>
      </c>
      <c r="C13" s="11" t="s">
        <v>13</v>
      </c>
      <c r="E13" s="13">
        <v>7758.970441067998</v>
      </c>
      <c r="F13" s="13">
        <v>9384.026869518839</v>
      </c>
      <c r="G13" s="13">
        <v>10757.937566285158</v>
      </c>
      <c r="H13" s="13">
        <v>12353.602250655838</v>
      </c>
      <c r="I13" s="13">
        <v>14055.64799306905</v>
      </c>
      <c r="J13" s="13">
        <v>15882.727630456751</v>
      </c>
      <c r="K13" s="13">
        <v>17888.007246107558</v>
      </c>
      <c r="L13" s="13">
        <v>20100.604684398128</v>
      </c>
      <c r="M13" s="13">
        <v>21854.67706388613</v>
      </c>
      <c r="N13" s="13">
        <v>24376.931327563998</v>
      </c>
      <c r="O13" s="13">
        <v>26966.691024480966</v>
      </c>
      <c r="P13" s="13">
        <v>29843.15104953516</v>
      </c>
      <c r="Q13" s="13">
        <v>32975.63851436788</v>
      </c>
      <c r="R13" s="13">
        <v>36330.509088840474</v>
      </c>
      <c r="S13" s="13">
        <v>280529.1227502339</v>
      </c>
    </row>
    <row r="14" spans="1:19" ht="12.75">
      <c r="A14" s="7"/>
      <c r="B14" s="7">
        <v>9</v>
      </c>
      <c r="C14" s="1" t="s">
        <v>14</v>
      </c>
      <c r="E14" s="13">
        <v>-20654.428533411996</v>
      </c>
      <c r="F14" s="13">
        <v>-21890.566471963557</v>
      </c>
      <c r="G14" s="13">
        <v>-22955.886908815293</v>
      </c>
      <c r="H14" s="13">
        <v>-24110.088179789418</v>
      </c>
      <c r="I14" s="13">
        <v>-25252.856272842524</v>
      </c>
      <c r="J14" s="13">
        <v>-29220.592170848257</v>
      </c>
      <c r="K14" s="13">
        <v>-29940.520885628324</v>
      </c>
      <c r="L14" s="13">
        <v>-30644.676413882236</v>
      </c>
      <c r="M14" s="13">
        <v>-30847.977404359957</v>
      </c>
      <c r="N14" s="13">
        <v>-31434.159894047425</v>
      </c>
      <c r="O14" s="13">
        <v>-31855.895616893224</v>
      </c>
      <c r="P14" s="13">
        <v>-32253.356806279597</v>
      </c>
      <c r="Q14" s="13">
        <v>-32577.34352668321</v>
      </c>
      <c r="R14" s="13">
        <v>-37793.80945070374</v>
      </c>
      <c r="S14" s="13">
        <v>-401432.15853614867</v>
      </c>
    </row>
    <row r="15" spans="1:19" ht="12.75">
      <c r="A15" s="7"/>
      <c r="B15" s="7">
        <v>10</v>
      </c>
      <c r="C15" s="1" t="s">
        <v>15</v>
      </c>
      <c r="E15" s="10">
        <v>20654.428533411996</v>
      </c>
      <c r="F15" s="10">
        <v>21890.566471963557</v>
      </c>
      <c r="G15" s="10">
        <v>22955.886908815293</v>
      </c>
      <c r="H15" s="10">
        <v>24110.088179789418</v>
      </c>
      <c r="I15" s="10">
        <v>25252.856272842524</v>
      </c>
      <c r="J15" s="10">
        <v>29220.592170848257</v>
      </c>
      <c r="K15" s="10">
        <v>29940.520885628324</v>
      </c>
      <c r="L15" s="10">
        <v>30644.676413882236</v>
      </c>
      <c r="M15" s="10">
        <v>30847.977404359957</v>
      </c>
      <c r="N15" s="10">
        <v>31434.159894047425</v>
      </c>
      <c r="O15" s="10">
        <v>31855.895616893224</v>
      </c>
      <c r="P15" s="10">
        <v>32253.356806279597</v>
      </c>
      <c r="Q15" s="10">
        <v>32577.34352668321</v>
      </c>
      <c r="R15" s="10">
        <v>37793.80945070374</v>
      </c>
      <c r="S15" s="10">
        <v>401432.15853614867</v>
      </c>
    </row>
    <row r="16" spans="1:19" ht="12.75">
      <c r="A16" s="7"/>
      <c r="B16" s="7">
        <v>11</v>
      </c>
      <c r="C16" s="1" t="s">
        <v>16</v>
      </c>
      <c r="D16" s="10"/>
      <c r="E16" s="13">
        <v>8754</v>
      </c>
      <c r="F16" s="13">
        <v>8795</v>
      </c>
      <c r="G16" s="13">
        <v>8849</v>
      </c>
      <c r="H16" s="13">
        <v>8838</v>
      </c>
      <c r="I16" s="13">
        <v>8749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43985</v>
      </c>
    </row>
    <row r="17" spans="1:19" ht="12.75">
      <c r="A17" s="7"/>
      <c r="B17" s="7">
        <v>12</v>
      </c>
      <c r="C17" s="1" t="s">
        <v>17</v>
      </c>
      <c r="E17" s="13">
        <v>29408.428533411996</v>
      </c>
      <c r="F17" s="13">
        <v>30685.566471963557</v>
      </c>
      <c r="G17" s="13">
        <v>31804.886908815293</v>
      </c>
      <c r="H17" s="13">
        <v>32948.08817978942</v>
      </c>
      <c r="I17" s="13">
        <v>34001.856272842524</v>
      </c>
      <c r="J17" s="13">
        <v>29220.592170848257</v>
      </c>
      <c r="K17" s="13">
        <v>29940.520885628324</v>
      </c>
      <c r="L17" s="13">
        <v>30644.676413882236</v>
      </c>
      <c r="M17" s="13">
        <v>30847.977404359957</v>
      </c>
      <c r="N17" s="13">
        <v>31434.159894047425</v>
      </c>
      <c r="O17" s="13">
        <v>31855.895616893224</v>
      </c>
      <c r="P17" s="13">
        <v>32253.356806279597</v>
      </c>
      <c r="Q17" s="13">
        <v>32577.34352668321</v>
      </c>
      <c r="R17" s="13">
        <v>37793.80945070374</v>
      </c>
      <c r="S17" s="13">
        <v>445417.15853614867</v>
      </c>
    </row>
    <row r="18" spans="1:19" ht="12.75">
      <c r="A18" s="7"/>
      <c r="B18" s="7">
        <v>13</v>
      </c>
      <c r="C18" s="1" t="s">
        <v>18</v>
      </c>
      <c r="E18" s="14">
        <v>17508.32</v>
      </c>
      <c r="F18" s="14">
        <v>17591.68</v>
      </c>
      <c r="G18" s="14">
        <v>17699.6</v>
      </c>
      <c r="H18" s="14">
        <v>17676.24</v>
      </c>
      <c r="I18" s="14">
        <v>17498.6</v>
      </c>
      <c r="J18" s="14">
        <v>16920.28</v>
      </c>
      <c r="K18" s="14">
        <v>15916.96</v>
      </c>
      <c r="L18" s="14">
        <v>14688.52</v>
      </c>
      <c r="M18" s="14">
        <v>13239.2</v>
      </c>
      <c r="N18" s="14">
        <v>11547.76</v>
      </c>
      <c r="O18" s="14">
        <v>9568.28</v>
      </c>
      <c r="P18" s="14">
        <v>7275.32</v>
      </c>
      <c r="Q18" s="14">
        <v>4633.92</v>
      </c>
      <c r="R18" s="14">
        <v>1611.04</v>
      </c>
      <c r="S18" s="13">
        <v>183375.72</v>
      </c>
    </row>
    <row r="19" spans="1:19" ht="12.75">
      <c r="A19" s="7"/>
      <c r="B19" s="7">
        <v>14</v>
      </c>
      <c r="C19" s="1" t="s">
        <v>19</v>
      </c>
      <c r="E19" s="15">
        <v>11900.108533411996</v>
      </c>
      <c r="F19" s="15">
        <v>13093.886471963557</v>
      </c>
      <c r="G19" s="15">
        <v>14105.286908815291</v>
      </c>
      <c r="H19" s="15">
        <v>15271.848179789416</v>
      </c>
      <c r="I19" s="15">
        <v>16503.256272842526</v>
      </c>
      <c r="J19" s="15">
        <v>12300.312170848258</v>
      </c>
      <c r="K19" s="15">
        <v>14023.560885628323</v>
      </c>
      <c r="L19" s="15">
        <v>15956.156413882236</v>
      </c>
      <c r="M19" s="15">
        <v>17608.777404359957</v>
      </c>
      <c r="N19" s="15">
        <v>19886.399894047427</v>
      </c>
      <c r="O19" s="15">
        <v>22287.61561689322</v>
      </c>
      <c r="P19" s="15">
        <v>24978.036806279597</v>
      </c>
      <c r="Q19" s="15">
        <v>27943.42352668321</v>
      </c>
      <c r="R19" s="15">
        <v>36182.76945070374</v>
      </c>
      <c r="S19" s="15">
        <v>262041.4385361486</v>
      </c>
    </row>
    <row r="20" spans="1:19" ht="13.5" thickBot="1">
      <c r="A20" s="7"/>
      <c r="B20" s="7">
        <v>15</v>
      </c>
      <c r="C20" s="1" t="s">
        <v>20</v>
      </c>
      <c r="E20" s="16">
        <v>18307.8592821723</v>
      </c>
      <c r="F20" s="16">
        <v>20144.44072609778</v>
      </c>
      <c r="G20" s="16">
        <v>21700.44139817737</v>
      </c>
      <c r="H20" s="16">
        <v>23495.15104582987</v>
      </c>
      <c r="I20" s="16">
        <v>25389.625035142348</v>
      </c>
      <c r="J20" s="16">
        <v>18923.557185920396</v>
      </c>
      <c r="K20" s="16">
        <v>21574.709054812804</v>
      </c>
      <c r="L20" s="16">
        <v>24547.932944434207</v>
      </c>
      <c r="M20" s="16">
        <v>27090.426775938395</v>
      </c>
      <c r="N20" s="16">
        <v>30594.461375457577</v>
      </c>
      <c r="O20" s="16">
        <v>34288.639410604956</v>
      </c>
      <c r="P20" s="16">
        <v>38427.74893273784</v>
      </c>
      <c r="Q20" s="16">
        <v>42989.8823487434</v>
      </c>
      <c r="R20" s="16">
        <v>55665.79915492883</v>
      </c>
      <c r="S20" s="16">
        <v>403140.67467099783</v>
      </c>
    </row>
    <row r="21" spans="1:19" ht="13.5" thickTop="1">
      <c r="A21" s="7"/>
      <c r="B21" s="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2.75">
      <c r="A22" s="18" t="s">
        <v>21</v>
      </c>
      <c r="B22" s="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2" ht="12.75">
      <c r="A23" s="7"/>
      <c r="B23" s="1" t="s">
        <v>22</v>
      </c>
    </row>
    <row r="24" spans="1:19" ht="12.75">
      <c r="A24" s="7"/>
      <c r="B24" s="7">
        <v>16</v>
      </c>
      <c r="C24" s="1" t="s">
        <v>23</v>
      </c>
      <c r="E24" s="9">
        <v>215000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215000</v>
      </c>
    </row>
    <row r="25" spans="1:19" ht="12.75">
      <c r="A25" s="7"/>
      <c r="B25" s="7">
        <v>17</v>
      </c>
      <c r="C25" s="1" t="s">
        <v>24</v>
      </c>
      <c r="D25" s="10"/>
      <c r="E25" s="12">
        <v>8754</v>
      </c>
      <c r="F25" s="12">
        <v>8795</v>
      </c>
      <c r="G25" s="12">
        <v>8849</v>
      </c>
      <c r="H25" s="12">
        <v>8838</v>
      </c>
      <c r="I25" s="12">
        <v>8749</v>
      </c>
      <c r="J25" s="10"/>
      <c r="K25" s="10"/>
      <c r="L25" s="10"/>
      <c r="M25" s="10"/>
      <c r="N25" s="10"/>
      <c r="O25" s="10"/>
      <c r="P25" s="10"/>
      <c r="Q25" s="10"/>
      <c r="R25" s="10"/>
      <c r="S25" s="19">
        <v>43985</v>
      </c>
    </row>
    <row r="26" spans="1:19" ht="12.75">
      <c r="A26" s="7"/>
      <c r="B26" s="20" t="s">
        <v>25</v>
      </c>
      <c r="C26" s="21" t="s">
        <v>26</v>
      </c>
      <c r="D26" s="22"/>
      <c r="E26" s="23"/>
      <c r="F26" s="23"/>
      <c r="G26" s="23"/>
      <c r="H26" s="23"/>
      <c r="I26" s="23">
        <v>-2187</v>
      </c>
      <c r="J26" s="22"/>
      <c r="K26" s="22"/>
      <c r="L26" s="22"/>
      <c r="M26" s="22"/>
      <c r="N26" s="22"/>
      <c r="O26" s="22"/>
      <c r="P26" s="22"/>
      <c r="Q26" s="22"/>
      <c r="R26" s="22"/>
      <c r="S26" s="24">
        <v>-2187</v>
      </c>
    </row>
    <row r="27" spans="1:19" ht="12.75">
      <c r="A27" s="7"/>
      <c r="B27" s="7">
        <v>18</v>
      </c>
      <c r="C27" s="1" t="s">
        <v>27</v>
      </c>
      <c r="E27" s="25">
        <v>-1952</v>
      </c>
      <c r="F27" s="25">
        <v>-3863</v>
      </c>
      <c r="G27" s="25">
        <v>-5463</v>
      </c>
      <c r="H27" s="25">
        <v>-7382</v>
      </c>
      <c r="I27" s="25">
        <v>-9494</v>
      </c>
      <c r="J27" s="25">
        <v>-11924</v>
      </c>
      <c r="K27" s="25">
        <v>-14744</v>
      </c>
      <c r="L27" s="25">
        <v>-17908</v>
      </c>
      <c r="M27" s="25">
        <v>-20615</v>
      </c>
      <c r="N27" s="25">
        <v>-24343</v>
      </c>
      <c r="O27" s="25">
        <v>-28272</v>
      </c>
      <c r="P27" s="25">
        <v>-32676</v>
      </c>
      <c r="Q27" s="25">
        <v>-37533</v>
      </c>
      <c r="R27" s="25">
        <v>-42816</v>
      </c>
      <c r="S27" s="19">
        <v>-258985</v>
      </c>
    </row>
    <row r="28" spans="1:19" ht="12.75">
      <c r="A28" s="7"/>
      <c r="B28" s="20" t="s">
        <v>28</v>
      </c>
      <c r="C28" s="21" t="s">
        <v>29</v>
      </c>
      <c r="D28" s="21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>
        <v>2187</v>
      </c>
      <c r="S28" s="24">
        <v>2187</v>
      </c>
    </row>
    <row r="29" spans="1:19" ht="12.75">
      <c r="A29" s="7"/>
      <c r="B29" s="7">
        <v>19</v>
      </c>
      <c r="C29" s="1" t="s">
        <v>30</v>
      </c>
      <c r="E29" s="27">
        <v>221802</v>
      </c>
      <c r="F29" s="27">
        <v>226734</v>
      </c>
      <c r="G29" s="27">
        <v>230120</v>
      </c>
      <c r="H29" s="27">
        <v>231576</v>
      </c>
      <c r="I29" s="27">
        <v>228644</v>
      </c>
      <c r="J29" s="27">
        <v>216720</v>
      </c>
      <c r="K29" s="27">
        <v>201976</v>
      </c>
      <c r="L29" s="27">
        <v>184068</v>
      </c>
      <c r="M29" s="27">
        <v>163453</v>
      </c>
      <c r="N29" s="27">
        <v>139110</v>
      </c>
      <c r="O29" s="27">
        <v>110838</v>
      </c>
      <c r="P29" s="27">
        <v>78162</v>
      </c>
      <c r="Q29" s="27">
        <v>40629</v>
      </c>
      <c r="R29" s="27">
        <v>0</v>
      </c>
      <c r="S29" s="27">
        <v>0</v>
      </c>
    </row>
    <row r="30" spans="1:19" ht="12.75">
      <c r="A30" s="7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8" ht="12.75">
      <c r="A31" s="7"/>
      <c r="B31" s="7"/>
      <c r="E31" s="28"/>
      <c r="F31" s="29"/>
      <c r="G31" s="29"/>
      <c r="H31" s="29"/>
    </row>
    <row r="32" spans="1:2" ht="12.75">
      <c r="A32" s="7"/>
      <c r="B32" s="1" t="s">
        <v>31</v>
      </c>
    </row>
    <row r="33" spans="1:19" ht="12.75">
      <c r="A33" s="7"/>
      <c r="B33" s="7">
        <v>20</v>
      </c>
      <c r="C33" s="1" t="s">
        <v>32</v>
      </c>
      <c r="E33" s="9">
        <v>-3064</v>
      </c>
      <c r="F33" s="9">
        <v>-3078</v>
      </c>
      <c r="G33" s="9">
        <v>-3097</v>
      </c>
      <c r="H33" s="9">
        <v>-3093</v>
      </c>
      <c r="I33" s="9">
        <v>-3062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-15394</v>
      </c>
    </row>
    <row r="34" spans="1:19" ht="12.75">
      <c r="A34" s="7"/>
      <c r="B34" s="20" t="s">
        <v>33</v>
      </c>
      <c r="C34" s="21" t="s">
        <v>34</v>
      </c>
      <c r="D34" s="21"/>
      <c r="E34" s="24"/>
      <c r="F34" s="24"/>
      <c r="G34" s="24"/>
      <c r="H34" s="24"/>
      <c r="I34" s="24">
        <v>765</v>
      </c>
      <c r="J34" s="24"/>
      <c r="K34" s="24"/>
      <c r="L34" s="24"/>
      <c r="M34" s="24"/>
      <c r="N34" s="24"/>
      <c r="O34" s="24"/>
      <c r="P34" s="24"/>
      <c r="Q34" s="24"/>
      <c r="R34" s="24"/>
      <c r="S34" s="24">
        <v>765</v>
      </c>
    </row>
    <row r="35" spans="1:19" ht="12.75">
      <c r="A35" s="7"/>
      <c r="B35" s="7">
        <v>21</v>
      </c>
      <c r="C35" s="1" t="s">
        <v>35</v>
      </c>
      <c r="E35" s="19">
        <v>116</v>
      </c>
      <c r="F35" s="19">
        <v>230</v>
      </c>
      <c r="G35" s="19">
        <v>325</v>
      </c>
      <c r="H35" s="19">
        <v>439</v>
      </c>
      <c r="I35" s="19">
        <v>564</v>
      </c>
      <c r="J35" s="19">
        <v>709</v>
      </c>
      <c r="K35" s="19">
        <v>876</v>
      </c>
      <c r="L35" s="19">
        <v>1065</v>
      </c>
      <c r="M35" s="19">
        <v>1225</v>
      </c>
      <c r="N35" s="19">
        <v>1447</v>
      </c>
      <c r="O35" s="19">
        <v>1681</v>
      </c>
      <c r="P35" s="19">
        <v>1943</v>
      </c>
      <c r="Q35" s="19">
        <v>2231</v>
      </c>
      <c r="R35" s="19" t="s">
        <v>36</v>
      </c>
      <c r="S35" s="30">
        <v>15397</v>
      </c>
    </row>
    <row r="36" spans="1:19" ht="12.75">
      <c r="A36" s="7"/>
      <c r="B36" s="20" t="s">
        <v>37</v>
      </c>
      <c r="C36" s="21" t="s">
        <v>38</v>
      </c>
      <c r="D36" s="21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>
        <v>-767</v>
      </c>
      <c r="S36" s="31">
        <v>-767</v>
      </c>
    </row>
    <row r="37" spans="1:19" ht="12.75">
      <c r="A37" s="7"/>
      <c r="B37" s="7">
        <v>22</v>
      </c>
      <c r="C37" s="1" t="s">
        <v>39</v>
      </c>
      <c r="E37" s="27">
        <v>-2948</v>
      </c>
      <c r="F37" s="27">
        <v>-5796</v>
      </c>
      <c r="G37" s="27">
        <v>-8568</v>
      </c>
      <c r="H37" s="27">
        <v>-11222</v>
      </c>
      <c r="I37" s="27">
        <v>-12955</v>
      </c>
      <c r="J37" s="27">
        <v>-12246</v>
      </c>
      <c r="K37" s="27">
        <v>-11370</v>
      </c>
      <c r="L37" s="27">
        <v>-10305</v>
      </c>
      <c r="M37" s="27">
        <v>-9080</v>
      </c>
      <c r="N37" s="27">
        <v>-7633</v>
      </c>
      <c r="O37" s="27">
        <v>-5952</v>
      </c>
      <c r="P37" s="27">
        <v>-4009</v>
      </c>
      <c r="Q37" s="27">
        <v>-1778</v>
      </c>
      <c r="R37" s="27">
        <v>1</v>
      </c>
      <c r="S37" s="27">
        <v>1</v>
      </c>
    </row>
    <row r="38" spans="2:19" ht="13.5" thickBot="1">
      <c r="B38" s="7">
        <v>23</v>
      </c>
      <c r="C38" s="1" t="s">
        <v>40</v>
      </c>
      <c r="E38" s="32">
        <v>218854</v>
      </c>
      <c r="F38" s="32">
        <v>220938</v>
      </c>
      <c r="G38" s="32">
        <v>221552</v>
      </c>
      <c r="H38" s="32">
        <v>220354</v>
      </c>
      <c r="I38" s="32">
        <v>215689</v>
      </c>
      <c r="J38" s="32">
        <v>204474</v>
      </c>
      <c r="K38" s="32">
        <v>190606</v>
      </c>
      <c r="L38" s="32">
        <v>173763</v>
      </c>
      <c r="M38" s="32">
        <v>154373</v>
      </c>
      <c r="N38" s="32">
        <v>131477</v>
      </c>
      <c r="O38" s="32">
        <v>104886</v>
      </c>
      <c r="P38" s="32">
        <v>74153</v>
      </c>
      <c r="Q38" s="32">
        <v>38851</v>
      </c>
      <c r="R38" s="32">
        <v>1</v>
      </c>
      <c r="S38" s="32">
        <v>1</v>
      </c>
    </row>
    <row r="39" ht="13.5" thickTop="1">
      <c r="B39" s="7"/>
    </row>
    <row r="40" spans="2:19" ht="12.75">
      <c r="B40" s="7">
        <v>24</v>
      </c>
      <c r="C40" s="1" t="s">
        <v>41</v>
      </c>
      <c r="E40" s="9">
        <v>-1621</v>
      </c>
      <c r="F40" s="9">
        <v>-3207</v>
      </c>
      <c r="G40" s="9">
        <v>-4535</v>
      </c>
      <c r="H40" s="9">
        <v>-6129</v>
      </c>
      <c r="I40" s="9">
        <v>-7882</v>
      </c>
      <c r="J40" s="9">
        <v>-9899</v>
      </c>
      <c r="K40" s="9">
        <v>-12240</v>
      </c>
      <c r="L40" s="9">
        <v>-14866</v>
      </c>
      <c r="M40" s="9">
        <v>-17114</v>
      </c>
      <c r="N40" s="9">
        <v>-20208</v>
      </c>
      <c r="O40" s="423">
        <v>-23471</v>
      </c>
      <c r="P40" s="9">
        <v>-27127</v>
      </c>
      <c r="Q40" s="9">
        <v>-31158</v>
      </c>
      <c r="R40" s="9">
        <v>-35543</v>
      </c>
      <c r="S40" s="9">
        <v>-215000</v>
      </c>
    </row>
    <row r="41" spans="2:21" ht="12.75">
      <c r="B41" s="7">
        <v>25</v>
      </c>
      <c r="C41" s="1" t="s">
        <v>42</v>
      </c>
      <c r="E41" s="19">
        <v>-331</v>
      </c>
      <c r="F41" s="19">
        <v>-656</v>
      </c>
      <c r="G41" s="19">
        <v>-928</v>
      </c>
      <c r="H41" s="19">
        <v>-1253</v>
      </c>
      <c r="I41" s="19">
        <v>-1612</v>
      </c>
      <c r="J41" s="19">
        <v>-2025</v>
      </c>
      <c r="K41" s="19">
        <v>-2504</v>
      </c>
      <c r="L41" s="19">
        <v>-3042</v>
      </c>
      <c r="M41" s="19">
        <v>-3501</v>
      </c>
      <c r="N41" s="19">
        <v>-4134</v>
      </c>
      <c r="O41" s="19">
        <v>-4802</v>
      </c>
      <c r="P41" s="19">
        <v>-5550</v>
      </c>
      <c r="Q41" s="19">
        <v>-6374</v>
      </c>
      <c r="R41" s="19">
        <v>-7273</v>
      </c>
      <c r="S41" s="30">
        <v>-43985</v>
      </c>
      <c r="U41" s="30">
        <f>(Q41*9/12+(R41+R42)*3/12)*1000</f>
        <v>-6050500</v>
      </c>
    </row>
    <row r="42" spans="2:19" ht="12.75">
      <c r="B42" s="20" t="s">
        <v>43</v>
      </c>
      <c r="C42" s="21" t="s">
        <v>44</v>
      </c>
      <c r="D42" s="21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>
        <v>0</v>
      </c>
      <c r="R42" s="24">
        <f>2190+3</f>
        <v>2193</v>
      </c>
      <c r="S42" s="31">
        <v>2190.4285714285716</v>
      </c>
    </row>
    <row r="43" spans="2:19" ht="13.5" thickBot="1">
      <c r="B43" s="7"/>
      <c r="E43" s="33">
        <v>-1952</v>
      </c>
      <c r="F43" s="33">
        <v>-3863</v>
      </c>
      <c r="G43" s="33">
        <v>-5463</v>
      </c>
      <c r="H43" s="33">
        <v>-7382</v>
      </c>
      <c r="I43" s="33">
        <v>-9494</v>
      </c>
      <c r="J43" s="33">
        <v>-11924</v>
      </c>
      <c r="K43" s="33">
        <v>-14744</v>
      </c>
      <c r="L43" s="33">
        <v>-17908</v>
      </c>
      <c r="M43" s="33">
        <v>-20615</v>
      </c>
      <c r="N43" s="33">
        <v>-24342</v>
      </c>
      <c r="O43" s="33">
        <v>-28273</v>
      </c>
      <c r="P43" s="33">
        <v>-32677</v>
      </c>
      <c r="Q43" s="33">
        <v>-37532</v>
      </c>
      <c r="R43" s="33">
        <v>-40625.57142857143</v>
      </c>
      <c r="S43" s="33">
        <v>-256794.57142857142</v>
      </c>
    </row>
    <row r="44" spans="2:28" ht="13.5" thickTop="1">
      <c r="B44" s="7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2:19" s="9" customFormat="1" ht="12.75">
      <c r="B45" s="7">
        <v>26</v>
      </c>
      <c r="C45" s="9" t="s">
        <v>19</v>
      </c>
      <c r="E45" s="8">
        <v>4660.166974479995</v>
      </c>
      <c r="F45" s="8">
        <v>9219.825341482396</v>
      </c>
      <c r="G45" s="8">
        <v>13037.36447510045</v>
      </c>
      <c r="H45" s="8">
        <v>17619.766430445252</v>
      </c>
      <c r="I45" s="8">
        <v>22660.39426591157</v>
      </c>
      <c r="J45" s="8">
        <v>28458.94180130501</v>
      </c>
      <c r="K45" s="8">
        <v>35191.63213173588</v>
      </c>
      <c r="L45" s="8">
        <v>42741.77909828037</v>
      </c>
      <c r="M45" s="8">
        <v>49202.73446824608</v>
      </c>
      <c r="N45" s="8">
        <v>58100.61522161142</v>
      </c>
      <c r="O45" s="8">
        <v>67479.40864137419</v>
      </c>
      <c r="P45" s="8">
        <v>77990.82585581476</v>
      </c>
      <c r="Q45" s="8">
        <v>89582.19004105109</v>
      </c>
      <c r="R45" s="8">
        <v>102190.41453954422</v>
      </c>
      <c r="S45" s="9">
        <v>618136.0592863826</v>
      </c>
    </row>
    <row r="46" spans="2:19" ht="12.75">
      <c r="B46" s="7">
        <v>27</v>
      </c>
      <c r="C46" s="1" t="s">
        <v>45</v>
      </c>
      <c r="E46" s="35">
        <v>0.007539</v>
      </c>
      <c r="F46" s="35">
        <v>0.014916</v>
      </c>
      <c r="G46" s="35">
        <v>0.021091</v>
      </c>
      <c r="H46" s="35">
        <v>0.028505</v>
      </c>
      <c r="I46" s="35">
        <v>0.036659</v>
      </c>
      <c r="J46" s="35">
        <v>0.04604</v>
      </c>
      <c r="K46" s="35">
        <v>0.056932</v>
      </c>
      <c r="L46" s="35">
        <v>0.069146</v>
      </c>
      <c r="M46" s="35">
        <v>0.079599</v>
      </c>
      <c r="N46" s="35">
        <v>0.093993</v>
      </c>
      <c r="O46" s="35">
        <v>0.109166</v>
      </c>
      <c r="P46" s="35">
        <v>0.126171</v>
      </c>
      <c r="Q46" s="35">
        <v>0.144923</v>
      </c>
      <c r="R46" s="35">
        <v>0.165319</v>
      </c>
      <c r="S46" s="35">
        <v>0.9999990000000001</v>
      </c>
    </row>
    <row r="47" spans="1:19" s="9" customFormat="1" ht="12.75">
      <c r="A47" s="36"/>
      <c r="B47" s="7">
        <v>28</v>
      </c>
      <c r="C47" s="9" t="s">
        <v>46</v>
      </c>
      <c r="E47" s="9">
        <v>5690</v>
      </c>
      <c r="F47" s="9">
        <v>5717</v>
      </c>
      <c r="G47" s="9">
        <v>5752</v>
      </c>
      <c r="H47" s="9">
        <v>5745</v>
      </c>
      <c r="I47" s="9">
        <v>5687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28591</v>
      </c>
    </row>
    <row r="48" spans="1:19" s="9" customFormat="1" ht="12.75">
      <c r="A48" s="36"/>
      <c r="B48" s="20" t="s">
        <v>47</v>
      </c>
      <c r="C48" s="37" t="s">
        <v>48</v>
      </c>
      <c r="D48" s="37"/>
      <c r="E48" s="37">
        <v>0</v>
      </c>
      <c r="F48" s="37">
        <v>0</v>
      </c>
      <c r="G48" s="37">
        <v>0</v>
      </c>
      <c r="H48" s="37">
        <v>0</v>
      </c>
      <c r="I48" s="37">
        <v>-1422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-1422</v>
      </c>
    </row>
    <row r="49" spans="2:19" s="9" customFormat="1" ht="12.75">
      <c r="B49" s="7">
        <v>29</v>
      </c>
      <c r="C49" s="9" t="s">
        <v>49</v>
      </c>
      <c r="E49" s="9">
        <v>-1836</v>
      </c>
      <c r="F49" s="9">
        <v>-3633</v>
      </c>
      <c r="G49" s="9">
        <v>-5138</v>
      </c>
      <c r="H49" s="9">
        <v>-6943</v>
      </c>
      <c r="I49" s="9">
        <v>-8930</v>
      </c>
      <c r="J49" s="9">
        <v>-11215</v>
      </c>
      <c r="K49" s="9">
        <v>-13868</v>
      </c>
      <c r="L49" s="9">
        <v>-16843</v>
      </c>
      <c r="M49" s="9">
        <v>-19390</v>
      </c>
      <c r="N49" s="9">
        <v>-22896</v>
      </c>
      <c r="O49" s="9">
        <v>-26591</v>
      </c>
      <c r="P49" s="9">
        <v>-30733</v>
      </c>
      <c r="Q49" s="9">
        <v>-35302</v>
      </c>
      <c r="R49" s="9">
        <v>-40270</v>
      </c>
      <c r="S49" s="9">
        <v>-243588</v>
      </c>
    </row>
    <row r="50" spans="2:19" s="9" customFormat="1" ht="12.75">
      <c r="B50" s="20" t="s">
        <v>50</v>
      </c>
      <c r="C50" s="37" t="s">
        <v>51</v>
      </c>
      <c r="D50" s="37"/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1420</v>
      </c>
      <c r="S50" s="37">
        <v>1420</v>
      </c>
    </row>
    <row r="51" spans="2:19" ht="12.75">
      <c r="B51" s="7"/>
      <c r="C51" s="9" t="s">
        <v>52</v>
      </c>
      <c r="D51" s="2">
        <v>0.5</v>
      </c>
      <c r="E51" s="10">
        <v>5690</v>
      </c>
      <c r="F51" s="10">
        <v>5717</v>
      </c>
      <c r="G51" s="10">
        <v>5752</v>
      </c>
      <c r="H51" s="10">
        <v>5745</v>
      </c>
      <c r="I51" s="38">
        <v>5687</v>
      </c>
      <c r="J51" s="10"/>
      <c r="S51" s="9">
        <v>28591</v>
      </c>
    </row>
    <row r="52" spans="1:4" ht="12.75">
      <c r="A52" s="1" t="s">
        <v>53</v>
      </c>
      <c r="D52" s="2"/>
    </row>
    <row r="53" spans="1:2" ht="12.75">
      <c r="A53" s="7"/>
      <c r="B53" s="1" t="s">
        <v>22</v>
      </c>
    </row>
    <row r="54" spans="1:19" ht="12.75">
      <c r="A54" s="39" t="s">
        <v>54</v>
      </c>
      <c r="B54" s="7">
        <v>1</v>
      </c>
      <c r="C54" s="1" t="s">
        <v>23</v>
      </c>
      <c r="E54" s="9">
        <v>215000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215000</v>
      </c>
    </row>
    <row r="55" spans="1:19" ht="12.75">
      <c r="A55" s="39" t="s">
        <v>54</v>
      </c>
      <c r="B55" s="7">
        <v>2</v>
      </c>
      <c r="C55" s="1" t="s">
        <v>24</v>
      </c>
      <c r="D55" s="10"/>
      <c r="E55" s="12">
        <v>5690</v>
      </c>
      <c r="F55" s="12">
        <v>5717</v>
      </c>
      <c r="G55" s="12">
        <v>5752</v>
      </c>
      <c r="H55" s="12">
        <v>5745</v>
      </c>
      <c r="I55" s="12">
        <v>5687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9">
        <v>28591</v>
      </c>
    </row>
    <row r="56" spans="1:19" ht="12.75">
      <c r="A56" s="39" t="s">
        <v>54</v>
      </c>
      <c r="B56" s="20" t="s">
        <v>55</v>
      </c>
      <c r="C56" s="21" t="s">
        <v>56</v>
      </c>
      <c r="D56" s="22"/>
      <c r="E56" s="23">
        <v>0</v>
      </c>
      <c r="F56" s="23">
        <v>0</v>
      </c>
      <c r="G56" s="23">
        <v>0</v>
      </c>
      <c r="H56" s="23">
        <v>0</v>
      </c>
      <c r="I56" s="23">
        <v>-1422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4">
        <v>-1422</v>
      </c>
    </row>
    <row r="57" spans="1:19" ht="12.75">
      <c r="A57" s="39" t="s">
        <v>54</v>
      </c>
      <c r="B57" s="7">
        <v>3</v>
      </c>
      <c r="C57" s="1" t="s">
        <v>8</v>
      </c>
      <c r="E57" s="14">
        <v>-1836</v>
      </c>
      <c r="F57" s="14">
        <v>-3633</v>
      </c>
      <c r="G57" s="14">
        <v>-5138</v>
      </c>
      <c r="H57" s="14">
        <v>-6943</v>
      </c>
      <c r="I57" s="14">
        <v>-8930</v>
      </c>
      <c r="J57" s="14">
        <v>-11215</v>
      </c>
      <c r="K57" s="14">
        <v>-13868</v>
      </c>
      <c r="L57" s="14">
        <v>-16843</v>
      </c>
      <c r="M57" s="14">
        <v>-19390</v>
      </c>
      <c r="N57" s="14">
        <v>-22896</v>
      </c>
      <c r="O57" s="14">
        <v>-26591</v>
      </c>
      <c r="P57" s="14">
        <v>-30733</v>
      </c>
      <c r="Q57" s="14">
        <v>-35302</v>
      </c>
      <c r="R57" s="14">
        <v>-40270</v>
      </c>
      <c r="S57" s="19">
        <v>-243588</v>
      </c>
    </row>
    <row r="58" spans="1:19" ht="12.75">
      <c r="A58" s="39" t="s">
        <v>54</v>
      </c>
      <c r="B58" s="7">
        <v>4</v>
      </c>
      <c r="C58" s="1" t="s">
        <v>30</v>
      </c>
      <c r="E58" s="27">
        <v>218854</v>
      </c>
      <c r="F58" s="27">
        <v>220938</v>
      </c>
      <c r="G58" s="27">
        <v>221552</v>
      </c>
      <c r="H58" s="27">
        <v>220354</v>
      </c>
      <c r="I58" s="27">
        <v>217111</v>
      </c>
      <c r="J58" s="27">
        <v>205896</v>
      </c>
      <c r="K58" s="27">
        <v>192028</v>
      </c>
      <c r="L58" s="27">
        <v>175185</v>
      </c>
      <c r="M58" s="27">
        <v>155795</v>
      </c>
      <c r="N58" s="27">
        <v>132899</v>
      </c>
      <c r="O58" s="27">
        <v>106308</v>
      </c>
      <c r="P58" s="27">
        <v>75575</v>
      </c>
      <c r="Q58" s="27">
        <v>40273</v>
      </c>
      <c r="R58" s="27">
        <v>3</v>
      </c>
      <c r="S58" s="27">
        <v>-1419</v>
      </c>
    </row>
    <row r="59" spans="1:19" ht="12.75">
      <c r="A59" s="39" t="s">
        <v>54</v>
      </c>
      <c r="B59" s="7">
        <v>5</v>
      </c>
      <c r="C59" s="1" t="s">
        <v>18</v>
      </c>
      <c r="D59" s="40">
        <v>0.08</v>
      </c>
      <c r="E59" s="10">
        <v>17508.32</v>
      </c>
      <c r="F59" s="10">
        <v>17591.68</v>
      </c>
      <c r="G59" s="10">
        <v>17699.6</v>
      </c>
      <c r="H59" s="10">
        <v>17676.24</v>
      </c>
      <c r="I59" s="10">
        <v>17498.6</v>
      </c>
      <c r="J59" s="10">
        <v>16920.28</v>
      </c>
      <c r="K59" s="10">
        <v>15916.96</v>
      </c>
      <c r="L59" s="10">
        <v>14688.52</v>
      </c>
      <c r="M59" s="10">
        <v>13239.2</v>
      </c>
      <c r="N59" s="10">
        <v>11547.76</v>
      </c>
      <c r="O59" s="10">
        <v>9568.28</v>
      </c>
      <c r="P59" s="10">
        <v>7275.32</v>
      </c>
      <c r="Q59" s="10">
        <v>4633.92</v>
      </c>
      <c r="R59" s="10">
        <v>1611.04</v>
      </c>
      <c r="S59" s="19">
        <v>183375.72</v>
      </c>
    </row>
    <row r="60" spans="1:19" ht="12.75">
      <c r="A60" s="39" t="s">
        <v>54</v>
      </c>
      <c r="B60" s="7">
        <v>6</v>
      </c>
      <c r="C60" s="1" t="s">
        <v>7</v>
      </c>
      <c r="D60" s="2"/>
      <c r="E60" s="13">
        <v>22168.486974479994</v>
      </c>
      <c r="F60" s="13">
        <v>26811.505341482396</v>
      </c>
      <c r="G60" s="13">
        <v>30736.964475100453</v>
      </c>
      <c r="H60" s="13">
        <v>35296.00643044525</v>
      </c>
      <c r="I60" s="13">
        <v>40158.99426591157</v>
      </c>
      <c r="J60" s="13">
        <v>45379.22180130501</v>
      </c>
      <c r="K60" s="13">
        <v>51108.59213173588</v>
      </c>
      <c r="L60" s="13">
        <v>57430.29909828037</v>
      </c>
      <c r="M60" s="13">
        <v>62441.93446824609</v>
      </c>
      <c r="N60" s="13">
        <v>69648.37522161142</v>
      </c>
      <c r="O60" s="13">
        <v>77047.68864137419</v>
      </c>
      <c r="P60" s="13">
        <v>85266.14585581476</v>
      </c>
      <c r="Q60" s="13">
        <v>94216.11004105108</v>
      </c>
      <c r="R60" s="13">
        <v>103801.45453954421</v>
      </c>
      <c r="S60" s="13">
        <v>801511.7792863826</v>
      </c>
    </row>
    <row r="61" spans="1:19" ht="12.75">
      <c r="A61" s="39" t="s">
        <v>54</v>
      </c>
      <c r="B61" s="7">
        <v>7</v>
      </c>
      <c r="C61" s="1" t="s">
        <v>19</v>
      </c>
      <c r="E61" s="13">
        <v>4660.166974479995</v>
      </c>
      <c r="F61" s="13">
        <v>9219.825341482396</v>
      </c>
      <c r="G61" s="13">
        <v>13037.36447510045</v>
      </c>
      <c r="H61" s="13">
        <v>17619.766430445252</v>
      </c>
      <c r="I61" s="13">
        <v>22660.39426591157</v>
      </c>
      <c r="J61" s="13">
        <v>28458.94180130501</v>
      </c>
      <c r="K61" s="13">
        <v>35191.63213173588</v>
      </c>
      <c r="L61" s="13">
        <v>42741.77909828037</v>
      </c>
      <c r="M61" s="13">
        <v>49202.73446824608</v>
      </c>
      <c r="N61" s="13">
        <v>58100.61522161142</v>
      </c>
      <c r="O61" s="13">
        <v>67479.40864137419</v>
      </c>
      <c r="P61" s="13">
        <v>77990.82585581476</v>
      </c>
      <c r="Q61" s="13">
        <v>89582.19004105109</v>
      </c>
      <c r="R61" s="13">
        <v>102190.41453954422</v>
      </c>
      <c r="S61" s="13">
        <v>618136.0592863826</v>
      </c>
    </row>
    <row r="64" ht="12.75">
      <c r="A64" s="1" t="s">
        <v>57</v>
      </c>
    </row>
  </sheetData>
  <sheetProtection/>
  <printOptions/>
  <pageMargins left="0.37" right="0.28" top="0.85" bottom="0.37" header="0.45" footer="0.21"/>
  <pageSetup fitToWidth="2" horizontalDpi="600" verticalDpi="600" orientation="landscape" scale="65" r:id="rId1"/>
  <headerFooter alignWithMargins="0">
    <oddHeader>&amp;L&amp;"Arial,Bold"&amp;14Tenaska REVISED Accounting Procedures
&amp;C&amp;"Arial,Bold"Calculation of Rebundled Power Costs
With Amortization Based on Net Gas Cost Savings</oddHeader>
    <oddFooter>&amp;L&amp;D &amp;T&amp;R&amp;8Page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</dc:creator>
  <cp:keywords/>
  <dc:description/>
  <cp:lastModifiedBy>Rob-zilla</cp:lastModifiedBy>
  <cp:lastPrinted>2011-05-27T21:16:10Z</cp:lastPrinted>
  <dcterms:created xsi:type="dcterms:W3CDTF">2011-03-29T18:35:31Z</dcterms:created>
  <dcterms:modified xsi:type="dcterms:W3CDTF">2012-01-12T17:33:11Z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