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220066/Staffs Testimony and Exhibits/"/>
    </mc:Choice>
  </mc:AlternateContent>
  <xr:revisionPtr revIDLastSave="0" documentId="13_ncr:1_{15ADA12A-66F5-4F25-AAAB-0A4D6E62DE89}" xr6:coauthVersionLast="47" xr6:coauthVersionMax="47" xr10:uidLastSave="{00000000-0000-0000-0000-000000000000}"/>
  <bookViews>
    <workbookView xWindow="-120" yWindow="-120" windowWidth="29040" windowHeight="17640" activeTab="7" xr2:uid="{00000000-000D-0000-FFFF-FFFF00000000}"/>
  </bookViews>
  <sheets>
    <sheet name="Revenue Requirement Calculation" sheetId="14" r:id="rId1"/>
    <sheet name="E34402" sheetId="21" r:id="rId2"/>
    <sheet name="E3631" sheetId="37" r:id="rId3"/>
    <sheet name="E3940" sheetId="33" r:id="rId4"/>
    <sheet name="E3950" sheetId="34" r:id="rId5"/>
    <sheet name="Closings By Depr Grp" sheetId="11" r:id="rId6"/>
    <sheet name="CWIP Closings" sheetId="1" r:id="rId7"/>
    <sheet name="MACRS" sheetId="12" r:id="rId8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_xlnm.Print_Area" localSheetId="0">'Revenue Requirement Calculation'!$A$1:$J$44</definedName>
    <definedName name="RENAME" localSheetId="1" hidden="1">#REF!</definedName>
    <definedName name="RENAME" localSheetId="2" hidden="1">#REF!</definedName>
    <definedName name="RENAME" localSheetId="3" hidden="1">#REF!</definedName>
    <definedName name="RENAME" localSheetId="4" hidden="1">#REF!</definedName>
    <definedName name="RENAME" hidden="1">#REF!</definedName>
    <definedName name="RENAME2" localSheetId="1" hidden="1">#REF!</definedName>
    <definedName name="RENAME2" localSheetId="2" hidden="1">#REF!</definedName>
    <definedName name="RENAME2" localSheetId="3" hidden="1">#REF!</definedName>
    <definedName name="RENAME2" localSheetId="4" hidden="1">#REF!</definedName>
    <definedName name="RENAME2" hidden="1">#REF!</definedName>
    <definedName name="TEst" localSheetId="2" hidden="1">{#N/A,#N/A,FALSE,"Coversheet";#N/A,#N/A,FALSE,"QA"}</definedName>
    <definedName name="TEst" hidden="1">{#N/A,#N/A,FALSE,"Coversheet";#N/A,#N/A,FALSE,"QA"}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hidden="1">#REF!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I13" i="1"/>
  <c r="I12" i="1"/>
  <c r="I8" i="1"/>
  <c r="A22" i="14"/>
  <c r="F13" i="34"/>
  <c r="F12" i="34"/>
  <c r="F13" i="33"/>
  <c r="F12" i="33"/>
  <c r="F13" i="37"/>
  <c r="F12" i="37"/>
  <c r="F13" i="21"/>
  <c r="F12" i="21"/>
  <c r="Q90" i="37"/>
  <c r="Q89" i="37"/>
  <c r="Q88" i="37"/>
  <c r="Q87" i="37"/>
  <c r="Q86" i="37"/>
  <c r="Q85" i="37"/>
  <c r="Q84" i="37"/>
  <c r="Q83" i="37"/>
  <c r="Q82" i="37"/>
  <c r="Q81" i="37"/>
  <c r="L81" i="37"/>
  <c r="K81" i="37"/>
  <c r="J81" i="37"/>
  <c r="I81" i="37"/>
  <c r="H81" i="37"/>
  <c r="G81" i="37"/>
  <c r="C81" i="37"/>
  <c r="Q80" i="37"/>
  <c r="M80" i="37"/>
  <c r="L80" i="37"/>
  <c r="K80" i="37"/>
  <c r="J80" i="37"/>
  <c r="I80" i="37"/>
  <c r="H80" i="37"/>
  <c r="G80" i="37"/>
  <c r="F80" i="37"/>
  <c r="E80" i="37"/>
  <c r="C80" i="37"/>
  <c r="Q79" i="37"/>
  <c r="Q64" i="37"/>
  <c r="Q63" i="37"/>
  <c r="Q62" i="37"/>
  <c r="Q61" i="37"/>
  <c r="Q60" i="37"/>
  <c r="Q59" i="37"/>
  <c r="Q58" i="37"/>
  <c r="Q57" i="37"/>
  <c r="Q56" i="37"/>
  <c r="Q55" i="37"/>
  <c r="Q54" i="37"/>
  <c r="Q53" i="37"/>
  <c r="Q38" i="37"/>
  <c r="Q37" i="37"/>
  <c r="Q36" i="37"/>
  <c r="Q35" i="37"/>
  <c r="Q34" i="37"/>
  <c r="Q33" i="37"/>
  <c r="Q32" i="37"/>
  <c r="Q31" i="37"/>
  <c r="Q30" i="37"/>
  <c r="Q29" i="37"/>
  <c r="Q28" i="37"/>
  <c r="Q27" i="37"/>
  <c r="D19" i="37"/>
  <c r="D20" i="37" s="1"/>
  <c r="D21" i="37" s="1"/>
  <c r="D22" i="37" s="1"/>
  <c r="D23" i="37" s="1"/>
  <c r="D24" i="37" s="1"/>
  <c r="D25" i="37" s="1"/>
  <c r="D26" i="37" s="1"/>
  <c r="D27" i="37" s="1"/>
  <c r="D28" i="37" s="1"/>
  <c r="D29" i="37" s="1"/>
  <c r="D18" i="37"/>
  <c r="AQ9" i="37"/>
  <c r="Q91" i="37" l="1"/>
  <c r="V79" i="37" s="1"/>
  <c r="U79" i="37" s="1"/>
  <c r="D81" i="37"/>
  <c r="D80" i="37"/>
  <c r="Q65" i="37"/>
  <c r="V53" i="37" s="1"/>
  <c r="Q39" i="37"/>
  <c r="V27" i="37" s="1"/>
  <c r="V80" i="37" l="1"/>
  <c r="V81" i="37" s="1"/>
  <c r="U27" i="37"/>
  <c r="V28" i="37"/>
  <c r="U53" i="37"/>
  <c r="V54" i="37"/>
  <c r="U80" i="37" l="1"/>
  <c r="U81" i="37"/>
  <c r="V82" i="37"/>
  <c r="V55" i="37"/>
  <c r="U54" i="37"/>
  <c r="U28" i="37"/>
  <c r="V29" i="37"/>
  <c r="V30" i="37" l="1"/>
  <c r="U29" i="37"/>
  <c r="U55" i="37"/>
  <c r="V56" i="37"/>
  <c r="V83" i="37"/>
  <c r="U82" i="37"/>
  <c r="V57" i="37" l="1"/>
  <c r="U56" i="37"/>
  <c r="V31" i="37"/>
  <c r="U30" i="37"/>
  <c r="V84" i="37"/>
  <c r="U83" i="37"/>
  <c r="V32" i="37" l="1"/>
  <c r="U31" i="37"/>
  <c r="U84" i="37"/>
  <c r="V85" i="37"/>
  <c r="U57" i="37"/>
  <c r="V58" i="37"/>
  <c r="V86" i="37" l="1"/>
  <c r="U85" i="37"/>
  <c r="U32" i="37"/>
  <c r="V33" i="37"/>
  <c r="V59" i="37"/>
  <c r="U58" i="37"/>
  <c r="U86" i="37" l="1"/>
  <c r="V87" i="37"/>
  <c r="U59" i="37"/>
  <c r="V60" i="37"/>
  <c r="V34" i="37"/>
  <c r="U33" i="37"/>
  <c r="U34" i="37" l="1"/>
  <c r="V35" i="37"/>
  <c r="V61" i="37"/>
  <c r="U60" i="37"/>
  <c r="V88" i="37"/>
  <c r="U87" i="37"/>
  <c r="V36" i="37" l="1"/>
  <c r="U35" i="37"/>
  <c r="U61" i="37"/>
  <c r="V62" i="37"/>
  <c r="U88" i="37"/>
  <c r="V89" i="37"/>
  <c r="U36" i="37" l="1"/>
  <c r="V37" i="37"/>
  <c r="V90" i="37"/>
  <c r="U90" i="37" s="1"/>
  <c r="U89" i="37"/>
  <c r="V63" i="37"/>
  <c r="U62" i="37"/>
  <c r="U63" i="37" l="1"/>
  <c r="V64" i="37"/>
  <c r="U64" i="37" s="1"/>
  <c r="V38" i="37"/>
  <c r="U38" i="37" s="1"/>
  <c r="U37" i="37"/>
  <c r="R12" i="1" l="1"/>
  <c r="BG13" i="1"/>
  <c r="AW10" i="11" s="1"/>
  <c r="BF13" i="1"/>
  <c r="AV10" i="11" s="1"/>
  <c r="BE13" i="1"/>
  <c r="AU10" i="11" s="1"/>
  <c r="BD13" i="1"/>
  <c r="AT10" i="11" s="1"/>
  <c r="BC13" i="1"/>
  <c r="AS10" i="11" s="1"/>
  <c r="BB13" i="1"/>
  <c r="AR10" i="11" s="1"/>
  <c r="BA13" i="1"/>
  <c r="AQ10" i="11" s="1"/>
  <c r="AZ13" i="1"/>
  <c r="AP10" i="11" s="1"/>
  <c r="AY13" i="1"/>
  <c r="AO10" i="11" s="1"/>
  <c r="AX13" i="1"/>
  <c r="AN10" i="11" s="1"/>
  <c r="AW13" i="1"/>
  <c r="AM10" i="11" s="1"/>
  <c r="AV13" i="1"/>
  <c r="AL10" i="11" s="1"/>
  <c r="AU13" i="1"/>
  <c r="AK10" i="11" s="1"/>
  <c r="AT13" i="1"/>
  <c r="AJ10" i="11" s="1"/>
  <c r="AS13" i="1"/>
  <c r="AI10" i="11" s="1"/>
  <c r="AR13" i="1"/>
  <c r="AH10" i="11" s="1"/>
  <c r="AQ13" i="1"/>
  <c r="AG10" i="11" s="1"/>
  <c r="AP13" i="1"/>
  <c r="AF10" i="11" s="1"/>
  <c r="AO13" i="1"/>
  <c r="AE10" i="11" s="1"/>
  <c r="AN13" i="1"/>
  <c r="AD10" i="11" s="1"/>
  <c r="AM13" i="1"/>
  <c r="AC10" i="11" s="1"/>
  <c r="AL13" i="1"/>
  <c r="AB10" i="11" s="1"/>
  <c r="AK13" i="1"/>
  <c r="AA10" i="11" s="1"/>
  <c r="AJ13" i="1"/>
  <c r="Z10" i="11" s="1"/>
  <c r="AI13" i="1"/>
  <c r="Y10" i="11" s="1"/>
  <c r="AH13" i="1"/>
  <c r="X10" i="11" s="1"/>
  <c r="AG13" i="1"/>
  <c r="W10" i="11" s="1"/>
  <c r="AF13" i="1"/>
  <c r="V10" i="11" s="1"/>
  <c r="AE13" i="1"/>
  <c r="U10" i="11" s="1"/>
  <c r="AD13" i="1"/>
  <c r="T10" i="11" s="1"/>
  <c r="AC13" i="1"/>
  <c r="S10" i="11" s="1"/>
  <c r="AB13" i="1"/>
  <c r="R10" i="11" s="1"/>
  <c r="AA13" i="1"/>
  <c r="Q10" i="11" s="1"/>
  <c r="Z13" i="1"/>
  <c r="P10" i="11" s="1"/>
  <c r="Y13" i="1"/>
  <c r="O10" i="11" s="1"/>
  <c r="X13" i="1"/>
  <c r="N10" i="11" s="1"/>
  <c r="W13" i="1"/>
  <c r="M10" i="11" s="1"/>
  <c r="V13" i="1"/>
  <c r="L10" i="11" s="1"/>
  <c r="U13" i="1"/>
  <c r="K10" i="11" s="1"/>
  <c r="T13" i="1"/>
  <c r="J10" i="11" s="1"/>
  <c r="S13" i="1"/>
  <c r="I10" i="11" s="1"/>
  <c r="R13" i="1"/>
  <c r="H10" i="11" s="1"/>
  <c r="Q13" i="1"/>
  <c r="G10" i="11" s="1"/>
  <c r="P13" i="1"/>
  <c r="F10" i="11" s="1"/>
  <c r="O13" i="1"/>
  <c r="E10" i="11" s="1"/>
  <c r="N13" i="1"/>
  <c r="D10" i="11" s="1"/>
  <c r="M13" i="1"/>
  <c r="C10" i="11" s="1"/>
  <c r="L13" i="1"/>
  <c r="B10" i="11" s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AX10" i="11" l="1"/>
  <c r="B30" i="21" a="1"/>
  <c r="H11" i="1"/>
  <c r="G11" i="1"/>
  <c r="F11" i="1"/>
  <c r="H10" i="1"/>
  <c r="G10" i="1"/>
  <c r="F10" i="1"/>
  <c r="H9" i="1"/>
  <c r="G9" i="1"/>
  <c r="F9" i="1"/>
  <c r="E11" i="1"/>
  <c r="E10" i="1"/>
  <c r="E9" i="1"/>
  <c r="J10" i="1" l="1"/>
  <c r="G14" i="1"/>
  <c r="J9" i="1"/>
  <c r="E14" i="1"/>
  <c r="H14" i="1"/>
  <c r="J11" i="1"/>
  <c r="F14" i="1"/>
  <c r="L11" i="1"/>
  <c r="W11" i="1"/>
  <c r="V11" i="1"/>
  <c r="U11" i="1"/>
  <c r="T11" i="1"/>
  <c r="S11" i="1"/>
  <c r="N11" i="1"/>
  <c r="R11" i="1"/>
  <c r="Q11" i="1"/>
  <c r="P11" i="1"/>
  <c r="O11" i="1"/>
  <c r="M11" i="1"/>
  <c r="AG10" i="1"/>
  <c r="AF10" i="1"/>
  <c r="AH10" i="1"/>
  <c r="AE10" i="1"/>
  <c r="AD10" i="1"/>
  <c r="AC10" i="1"/>
  <c r="AB10" i="1"/>
  <c r="AA10" i="1"/>
  <c r="Z10" i="1"/>
  <c r="Y10" i="1"/>
  <c r="X10" i="1"/>
  <c r="AI10" i="1"/>
  <c r="AJ10" i="1"/>
  <c r="AU10" i="1"/>
  <c r="AS10" i="1"/>
  <c r="AR10" i="1"/>
  <c r="AQ10" i="1"/>
  <c r="AP10" i="1"/>
  <c r="AO10" i="1"/>
  <c r="AL10" i="1"/>
  <c r="AN10" i="1"/>
  <c r="AM10" i="1"/>
  <c r="AK10" i="1"/>
  <c r="AT10" i="1"/>
  <c r="BF10" i="1"/>
  <c r="BE10" i="1"/>
  <c r="BD10" i="1"/>
  <c r="BC10" i="1"/>
  <c r="BB10" i="1"/>
  <c r="BA10" i="1"/>
  <c r="AX10" i="1"/>
  <c r="AZ10" i="1"/>
  <c r="AY10" i="1"/>
  <c r="AW10" i="1"/>
  <c r="AV10" i="1"/>
  <c r="BG10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J11" i="1"/>
  <c r="AS11" i="1"/>
  <c r="AR11" i="1"/>
  <c r="AQ11" i="1"/>
  <c r="AP11" i="1"/>
  <c r="AO11" i="1"/>
  <c r="AN11" i="1"/>
  <c r="AM11" i="1"/>
  <c r="AL11" i="1"/>
  <c r="AK11" i="1"/>
  <c r="AU11" i="1"/>
  <c r="AT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L10" i="1"/>
  <c r="W10" i="1"/>
  <c r="U10" i="1"/>
  <c r="V10" i="1"/>
  <c r="T10" i="1"/>
  <c r="S10" i="1"/>
  <c r="Q10" i="1"/>
  <c r="R10" i="1"/>
  <c r="P10" i="1"/>
  <c r="O10" i="1"/>
  <c r="N10" i="1"/>
  <c r="M10" i="1"/>
  <c r="B32" i="21"/>
  <c r="B55" i="21"/>
  <c r="B64" i="21"/>
  <c r="B61" i="21"/>
  <c r="B58" i="21"/>
  <c r="B43" i="21"/>
  <c r="B52" i="21"/>
  <c r="B49" i="21"/>
  <c r="B46" i="21"/>
  <c r="B31" i="21"/>
  <c r="B40" i="21"/>
  <c r="B37" i="21"/>
  <c r="B34" i="21"/>
  <c r="B66" i="21"/>
  <c r="B75" i="21"/>
  <c r="B72" i="21"/>
  <c r="B69" i="21"/>
  <c r="B54" i="21"/>
  <c r="B60" i="21"/>
  <c r="B42" i="21"/>
  <c r="B48" i="21"/>
  <c r="B30" i="21"/>
  <c r="B39" i="21"/>
  <c r="B33" i="21"/>
  <c r="B74" i="21"/>
  <c r="B68" i="21"/>
  <c r="B65" i="21"/>
  <c r="B59" i="21"/>
  <c r="B63" i="21"/>
  <c r="B57" i="21"/>
  <c r="B51" i="21"/>
  <c r="B45" i="21"/>
  <c r="B36" i="21"/>
  <c r="B77" i="21"/>
  <c r="B71" i="21"/>
  <c r="B62" i="21"/>
  <c r="B56" i="21"/>
  <c r="B76" i="21"/>
  <c r="B67" i="21"/>
  <c r="B41" i="21"/>
  <c r="B50" i="21"/>
  <c r="B73" i="21"/>
  <c r="B47" i="21"/>
  <c r="B35" i="21"/>
  <c r="B44" i="21"/>
  <c r="B38" i="21"/>
  <c r="B70" i="21"/>
  <c r="B53" i="2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Q90" i="34" l="1"/>
  <c r="Q89" i="34"/>
  <c r="Q88" i="34"/>
  <c r="Q87" i="34"/>
  <c r="Q86" i="34"/>
  <c r="Q85" i="34"/>
  <c r="Q84" i="34"/>
  <c r="Q83" i="34"/>
  <c r="Q82" i="34"/>
  <c r="Q81" i="34"/>
  <c r="L81" i="34"/>
  <c r="K81" i="34"/>
  <c r="J81" i="34"/>
  <c r="I81" i="34"/>
  <c r="H81" i="34"/>
  <c r="G81" i="34"/>
  <c r="C81" i="34"/>
  <c r="Q80" i="34"/>
  <c r="M80" i="34"/>
  <c r="L80" i="34"/>
  <c r="K80" i="34"/>
  <c r="J80" i="34"/>
  <c r="I80" i="34"/>
  <c r="H80" i="34"/>
  <c r="G80" i="34"/>
  <c r="F80" i="34"/>
  <c r="E80" i="34"/>
  <c r="C80" i="34"/>
  <c r="Q79" i="34"/>
  <c r="Q64" i="34"/>
  <c r="Q63" i="34"/>
  <c r="Q62" i="34"/>
  <c r="Q61" i="34"/>
  <c r="Q60" i="34"/>
  <c r="Q59" i="34"/>
  <c r="Q58" i="34"/>
  <c r="Q57" i="34"/>
  <c r="Q56" i="34"/>
  <c r="Q55" i="34"/>
  <c r="Q54" i="34"/>
  <c r="Q53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D18" i="34"/>
  <c r="D19" i="34" s="1"/>
  <c r="D20" i="34" s="1"/>
  <c r="D21" i="34" s="1"/>
  <c r="D22" i="34" s="1"/>
  <c r="D23" i="34" s="1"/>
  <c r="D24" i="34" s="1"/>
  <c r="D25" i="34" s="1"/>
  <c r="D26" i="34" s="1"/>
  <c r="D27" i="34" s="1"/>
  <c r="D28" i="34" s="1"/>
  <c r="D29" i="34" s="1"/>
  <c r="AQ9" i="34"/>
  <c r="Q90" i="33"/>
  <c r="Q89" i="33"/>
  <c r="Q88" i="33"/>
  <c r="Q87" i="33"/>
  <c r="Q86" i="33"/>
  <c r="Q85" i="33"/>
  <c r="Q84" i="33"/>
  <c r="Q83" i="33"/>
  <c r="Q82" i="33"/>
  <c r="Q81" i="33"/>
  <c r="L81" i="33"/>
  <c r="K81" i="33"/>
  <c r="J81" i="33"/>
  <c r="I81" i="33"/>
  <c r="H81" i="33"/>
  <c r="G81" i="33"/>
  <c r="C81" i="33"/>
  <c r="Q80" i="33"/>
  <c r="M80" i="33"/>
  <c r="L80" i="33"/>
  <c r="K80" i="33"/>
  <c r="J80" i="33"/>
  <c r="I80" i="33"/>
  <c r="H80" i="33"/>
  <c r="G80" i="33"/>
  <c r="F80" i="33"/>
  <c r="E80" i="33"/>
  <c r="C80" i="33"/>
  <c r="Q79" i="33"/>
  <c r="Q64" i="33"/>
  <c r="Q63" i="33"/>
  <c r="Q62" i="33"/>
  <c r="Q61" i="33"/>
  <c r="Q60" i="33"/>
  <c r="Q59" i="33"/>
  <c r="Q58" i="33"/>
  <c r="Q57" i="33"/>
  <c r="Q56" i="33"/>
  <c r="Q55" i="33"/>
  <c r="Q54" i="33"/>
  <c r="Q53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D19" i="33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18" i="33"/>
  <c r="AQ9" i="33"/>
  <c r="Q90" i="21"/>
  <c r="Q89" i="21"/>
  <c r="Q88" i="21"/>
  <c r="Q87" i="21"/>
  <c r="Q86" i="21"/>
  <c r="Q85" i="21"/>
  <c r="Q84" i="21"/>
  <c r="Q83" i="21"/>
  <c r="Q82" i="21"/>
  <c r="Q81" i="21"/>
  <c r="L81" i="21"/>
  <c r="K81" i="21"/>
  <c r="J81" i="21"/>
  <c r="I81" i="21"/>
  <c r="H81" i="21"/>
  <c r="G81" i="21"/>
  <c r="C81" i="21"/>
  <c r="Q80" i="21"/>
  <c r="M80" i="21"/>
  <c r="L80" i="21"/>
  <c r="K80" i="21"/>
  <c r="J80" i="21"/>
  <c r="I80" i="21"/>
  <c r="H80" i="21"/>
  <c r="G80" i="21"/>
  <c r="F80" i="21"/>
  <c r="E80" i="21"/>
  <c r="C80" i="21"/>
  <c r="Q79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D18" i="2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AQ9" i="21"/>
  <c r="Q91" i="21" l="1"/>
  <c r="V79" i="21" s="1"/>
  <c r="V80" i="21" s="1"/>
  <c r="Q39" i="33"/>
  <c r="V27" i="33" s="1"/>
  <c r="Q91" i="33"/>
  <c r="V79" i="33" s="1"/>
  <c r="Q39" i="34"/>
  <c r="V27" i="34" s="1"/>
  <c r="V28" i="34" s="1"/>
  <c r="Q91" i="34"/>
  <c r="V79" i="34" s="1"/>
  <c r="Q39" i="21"/>
  <c r="V27" i="21" s="1"/>
  <c r="V28" i="21" s="1"/>
  <c r="Q65" i="21"/>
  <c r="V53" i="21" s="1"/>
  <c r="V54" i="21" s="1"/>
  <c r="Q65" i="33"/>
  <c r="V53" i="33" s="1"/>
  <c r="V54" i="33" s="1"/>
  <c r="Q65" i="34"/>
  <c r="V53" i="34" s="1"/>
  <c r="D81" i="34"/>
  <c r="D80" i="34"/>
  <c r="U53" i="34"/>
  <c r="V54" i="34"/>
  <c r="U79" i="34"/>
  <c r="V80" i="34"/>
  <c r="U27" i="34"/>
  <c r="D81" i="33"/>
  <c r="D80" i="33"/>
  <c r="U27" i="33"/>
  <c r="V28" i="33"/>
  <c r="U79" i="33"/>
  <c r="V80" i="33"/>
  <c r="D81" i="21"/>
  <c r="D80" i="21"/>
  <c r="U79" i="21"/>
  <c r="U27" i="21" l="1"/>
  <c r="U53" i="33"/>
  <c r="U53" i="21"/>
  <c r="U28" i="34"/>
  <c r="V29" i="34"/>
  <c r="V81" i="34"/>
  <c r="U80" i="34"/>
  <c r="V55" i="34"/>
  <c r="U54" i="34"/>
  <c r="V81" i="33"/>
  <c r="U80" i="33"/>
  <c r="V55" i="33"/>
  <c r="U54" i="33"/>
  <c r="U28" i="33"/>
  <c r="V29" i="33"/>
  <c r="U28" i="21"/>
  <c r="V29" i="21"/>
  <c r="V81" i="21"/>
  <c r="U80" i="21"/>
  <c r="V55" i="21"/>
  <c r="U54" i="2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9" i="11"/>
  <c r="B8" i="11"/>
  <c r="B7" i="11"/>
  <c r="BH12" i="1"/>
  <c r="BH13" i="1"/>
  <c r="BH9" i="1"/>
  <c r="B30" i="34" l="1" a="1"/>
  <c r="B60" i="34" s="1"/>
  <c r="B30" i="37" a="1"/>
  <c r="B30" i="33" a="1"/>
  <c r="H11" i="11"/>
  <c r="T11" i="11"/>
  <c r="AF11" i="11"/>
  <c r="AR11" i="11"/>
  <c r="R11" i="11"/>
  <c r="AD11" i="11"/>
  <c r="AP11" i="11"/>
  <c r="G11" i="11"/>
  <c r="S11" i="11"/>
  <c r="AE11" i="11"/>
  <c r="AQ11" i="11"/>
  <c r="I11" i="11"/>
  <c r="U11" i="11"/>
  <c r="AG11" i="11"/>
  <c r="AS11" i="11"/>
  <c r="J11" i="11"/>
  <c r="V11" i="11"/>
  <c r="AH11" i="11"/>
  <c r="AT11" i="11"/>
  <c r="K11" i="11"/>
  <c r="W11" i="11"/>
  <c r="AI11" i="11"/>
  <c r="AU11" i="11"/>
  <c r="L11" i="11"/>
  <c r="X11" i="11"/>
  <c r="AJ11" i="11"/>
  <c r="AV11" i="11"/>
  <c r="M11" i="11"/>
  <c r="Y11" i="11"/>
  <c r="AW11" i="11"/>
  <c r="N11" i="11"/>
  <c r="Z11" i="11"/>
  <c r="AL11" i="11"/>
  <c r="O11" i="11"/>
  <c r="AA11" i="11"/>
  <c r="AM11" i="11"/>
  <c r="P11" i="11"/>
  <c r="AB11" i="11"/>
  <c r="AN11" i="11"/>
  <c r="Q11" i="11"/>
  <c r="AC11" i="11"/>
  <c r="AO11" i="11"/>
  <c r="U55" i="34"/>
  <c r="V56" i="34"/>
  <c r="U81" i="34"/>
  <c r="V82" i="34"/>
  <c r="V30" i="34"/>
  <c r="U29" i="34"/>
  <c r="V30" i="33"/>
  <c r="U29" i="33"/>
  <c r="U55" i="33"/>
  <c r="V56" i="33"/>
  <c r="U81" i="33"/>
  <c r="V82" i="33"/>
  <c r="U55" i="21"/>
  <c r="V56" i="21"/>
  <c r="U81" i="21"/>
  <c r="V82" i="21"/>
  <c r="V30" i="21"/>
  <c r="U29" i="21"/>
  <c r="AX7" i="11"/>
  <c r="AX8" i="11"/>
  <c r="AX9" i="11"/>
  <c r="BH11" i="1"/>
  <c r="B59" i="34" l="1"/>
  <c r="B46" i="34"/>
  <c r="B32" i="34"/>
  <c r="B42" i="34"/>
  <c r="B45" i="34"/>
  <c r="B61" i="34"/>
  <c r="B54" i="34"/>
  <c r="B55" i="34"/>
  <c r="B71" i="34"/>
  <c r="B75" i="34"/>
  <c r="B66" i="34"/>
  <c r="B65" i="34"/>
  <c r="B76" i="34"/>
  <c r="B73" i="34"/>
  <c r="B70" i="34"/>
  <c r="B69" i="34"/>
  <c r="B41" i="34"/>
  <c r="B56" i="34"/>
  <c r="B53" i="34"/>
  <c r="B39" i="34"/>
  <c r="B43" i="34"/>
  <c r="B40" i="34"/>
  <c r="B34" i="34"/>
  <c r="B30" i="34"/>
  <c r="B52" i="34"/>
  <c r="B77" i="34"/>
  <c r="B48" i="34"/>
  <c r="B44" i="34"/>
  <c r="B68" i="34"/>
  <c r="B67" i="34"/>
  <c r="B47" i="34"/>
  <c r="B51" i="34"/>
  <c r="B72" i="34"/>
  <c r="B38" i="34"/>
  <c r="B62" i="34"/>
  <c r="B58" i="34"/>
  <c r="B64" i="34"/>
  <c r="B63" i="34"/>
  <c r="B35" i="34"/>
  <c r="B31" i="34"/>
  <c r="B50" i="34"/>
  <c r="B49" i="34"/>
  <c r="B74" i="34"/>
  <c r="B33" i="34"/>
  <c r="B57" i="34"/>
  <c r="B37" i="34"/>
  <c r="B36" i="34"/>
  <c r="B33" i="33"/>
  <c r="B77" i="33"/>
  <c r="B32" i="33"/>
  <c r="B36" i="33"/>
  <c r="B68" i="33"/>
  <c r="B65" i="33"/>
  <c r="B74" i="33"/>
  <c r="B71" i="33"/>
  <c r="B56" i="33"/>
  <c r="B53" i="33"/>
  <c r="B62" i="33"/>
  <c r="B59" i="33"/>
  <c r="B41" i="33"/>
  <c r="B47" i="33"/>
  <c r="B67" i="33"/>
  <c r="B76" i="33"/>
  <c r="B38" i="33"/>
  <c r="B35" i="33"/>
  <c r="B55" i="33"/>
  <c r="B73" i="33"/>
  <c r="B70" i="33"/>
  <c r="B43" i="33"/>
  <c r="B61" i="33"/>
  <c r="B58" i="33"/>
  <c r="B40" i="33"/>
  <c r="B49" i="33"/>
  <c r="B46" i="33"/>
  <c r="B75" i="33"/>
  <c r="B34" i="33"/>
  <c r="B44" i="33"/>
  <c r="B50" i="33"/>
  <c r="B64" i="33"/>
  <c r="B52" i="33"/>
  <c r="B31" i="33"/>
  <c r="B66" i="33"/>
  <c r="B37" i="33"/>
  <c r="B54" i="33"/>
  <c r="B30" i="33"/>
  <c r="B45" i="33"/>
  <c r="B42" i="33"/>
  <c r="B63" i="33"/>
  <c r="B51" i="33"/>
  <c r="B39" i="33"/>
  <c r="B72" i="33"/>
  <c r="B48" i="33"/>
  <c r="B60" i="33"/>
  <c r="B69" i="33"/>
  <c r="B57" i="33"/>
  <c r="B33" i="37"/>
  <c r="B76" i="37"/>
  <c r="B58" i="37"/>
  <c r="B54" i="37"/>
  <c r="B50" i="37"/>
  <c r="B52" i="37"/>
  <c r="B46" i="37"/>
  <c r="B42" i="37"/>
  <c r="B38" i="37"/>
  <c r="B75" i="37"/>
  <c r="B34" i="37"/>
  <c r="B30" i="37"/>
  <c r="D30" i="37" s="1"/>
  <c r="B61" i="37"/>
  <c r="B51" i="37"/>
  <c r="B77" i="37"/>
  <c r="B49" i="37"/>
  <c r="B74" i="37"/>
  <c r="B56" i="37"/>
  <c r="B65" i="37"/>
  <c r="B72" i="37"/>
  <c r="B44" i="37"/>
  <c r="B53" i="37"/>
  <c r="B37" i="37"/>
  <c r="B32" i="37"/>
  <c r="B41" i="37"/>
  <c r="B67" i="37"/>
  <c r="B47" i="37"/>
  <c r="B55" i="37"/>
  <c r="B69" i="37"/>
  <c r="B68" i="37"/>
  <c r="B73" i="37"/>
  <c r="B36" i="37"/>
  <c r="B71" i="37"/>
  <c r="B60" i="37"/>
  <c r="B64" i="37"/>
  <c r="B48" i="37"/>
  <c r="B40" i="37"/>
  <c r="B70" i="37"/>
  <c r="B39" i="37"/>
  <c r="B62" i="37"/>
  <c r="B57" i="37"/>
  <c r="B45" i="37"/>
  <c r="B59" i="37"/>
  <c r="B43" i="37"/>
  <c r="B31" i="37"/>
  <c r="B66" i="37"/>
  <c r="B63" i="37"/>
  <c r="B35" i="37"/>
  <c r="D30" i="34"/>
  <c r="F30" i="34" s="1"/>
  <c r="H30" i="34" s="1"/>
  <c r="J30" i="34" s="1"/>
  <c r="D30" i="21"/>
  <c r="F30" i="21" s="1"/>
  <c r="H30" i="21" s="1"/>
  <c r="J30" i="21" s="1"/>
  <c r="U30" i="34"/>
  <c r="V31" i="34"/>
  <c r="U82" i="34"/>
  <c r="V83" i="34"/>
  <c r="V57" i="34"/>
  <c r="U56" i="34"/>
  <c r="U30" i="33"/>
  <c r="V31" i="33"/>
  <c r="V57" i="33"/>
  <c r="U56" i="33"/>
  <c r="V83" i="33"/>
  <c r="U82" i="33"/>
  <c r="V57" i="21"/>
  <c r="U56" i="21"/>
  <c r="U30" i="21"/>
  <c r="V31" i="21"/>
  <c r="V83" i="21"/>
  <c r="U82" i="21"/>
  <c r="D31" i="37" l="1"/>
  <c r="F31" i="37" s="1"/>
  <c r="C30" i="37"/>
  <c r="F30" i="37"/>
  <c r="D31" i="34"/>
  <c r="C31" i="34" s="1"/>
  <c r="C30" i="34"/>
  <c r="D31" i="21"/>
  <c r="C31" i="21" s="1"/>
  <c r="C30" i="21"/>
  <c r="V32" i="34"/>
  <c r="U31" i="34"/>
  <c r="V84" i="34"/>
  <c r="U83" i="34"/>
  <c r="U57" i="34"/>
  <c r="V58" i="34"/>
  <c r="V32" i="33"/>
  <c r="U31" i="33"/>
  <c r="U57" i="33"/>
  <c r="V58" i="33"/>
  <c r="V84" i="33"/>
  <c r="U83" i="33"/>
  <c r="U57" i="21"/>
  <c r="V58" i="21"/>
  <c r="V84" i="21"/>
  <c r="U83" i="21"/>
  <c r="V32" i="21"/>
  <c r="U31" i="21"/>
  <c r="H30" i="37" l="1"/>
  <c r="J30" i="37" s="1"/>
  <c r="C31" i="37"/>
  <c r="D32" i="37"/>
  <c r="F31" i="34"/>
  <c r="H31" i="34" s="1"/>
  <c r="J31" i="34" s="1"/>
  <c r="D32" i="34"/>
  <c r="F32" i="34" s="1"/>
  <c r="D32" i="21"/>
  <c r="D33" i="21" s="1"/>
  <c r="F31" i="21"/>
  <c r="H31" i="21" s="1"/>
  <c r="J31" i="21" s="1"/>
  <c r="U84" i="34"/>
  <c r="V85" i="34"/>
  <c r="U32" i="34"/>
  <c r="V33" i="34"/>
  <c r="V59" i="34"/>
  <c r="U58" i="34"/>
  <c r="U84" i="33"/>
  <c r="V85" i="33"/>
  <c r="V59" i="33"/>
  <c r="U58" i="33"/>
  <c r="U32" i="33"/>
  <c r="V33" i="33"/>
  <c r="U84" i="21"/>
  <c r="V85" i="21"/>
  <c r="V59" i="21"/>
  <c r="U58" i="21"/>
  <c r="U32" i="21"/>
  <c r="V33" i="21"/>
  <c r="C32" i="37" l="1"/>
  <c r="D33" i="37"/>
  <c r="F32" i="37"/>
  <c r="H31" i="37"/>
  <c r="J31" i="37" s="1"/>
  <c r="D33" i="34"/>
  <c r="F33" i="34" s="1"/>
  <c r="C32" i="34"/>
  <c r="H32" i="34"/>
  <c r="J32" i="34" s="1"/>
  <c r="C32" i="21"/>
  <c r="F32" i="21"/>
  <c r="H32" i="21" s="1"/>
  <c r="J32" i="21" s="1"/>
  <c r="C33" i="21"/>
  <c r="D34" i="21"/>
  <c r="F34" i="21" s="1"/>
  <c r="F33" i="21"/>
  <c r="V86" i="34"/>
  <c r="U85" i="34"/>
  <c r="U59" i="34"/>
  <c r="V60" i="34"/>
  <c r="V34" i="34"/>
  <c r="U33" i="34"/>
  <c r="U59" i="33"/>
  <c r="V60" i="33"/>
  <c r="V34" i="33"/>
  <c r="U33" i="33"/>
  <c r="V86" i="33"/>
  <c r="U85" i="33"/>
  <c r="U59" i="21"/>
  <c r="V60" i="21"/>
  <c r="V34" i="21"/>
  <c r="U33" i="21"/>
  <c r="V86" i="21"/>
  <c r="U85" i="21"/>
  <c r="H32" i="37" l="1"/>
  <c r="J32" i="37" s="1"/>
  <c r="F33" i="37"/>
  <c r="C33" i="37"/>
  <c r="D34" i="37"/>
  <c r="F34" i="37" s="1"/>
  <c r="D34" i="34"/>
  <c r="C34" i="34" s="1"/>
  <c r="C33" i="34"/>
  <c r="H33" i="34"/>
  <c r="J33" i="34" s="1"/>
  <c r="H33" i="21"/>
  <c r="J33" i="21" s="1"/>
  <c r="C34" i="21"/>
  <c r="D35" i="21"/>
  <c r="F35" i="21" s="1"/>
  <c r="U86" i="34"/>
  <c r="V87" i="34"/>
  <c r="U34" i="34"/>
  <c r="V35" i="34"/>
  <c r="V61" i="34"/>
  <c r="U60" i="34"/>
  <c r="U34" i="33"/>
  <c r="V35" i="33"/>
  <c r="V87" i="33"/>
  <c r="U86" i="33"/>
  <c r="V61" i="33"/>
  <c r="U60" i="33"/>
  <c r="U86" i="21"/>
  <c r="V87" i="21"/>
  <c r="U34" i="21"/>
  <c r="V35" i="21"/>
  <c r="V61" i="21"/>
  <c r="U60" i="21"/>
  <c r="H33" i="37" l="1"/>
  <c r="J33" i="37" s="1"/>
  <c r="D35" i="37"/>
  <c r="F35" i="37" s="1"/>
  <c r="C34" i="37"/>
  <c r="D35" i="34"/>
  <c r="F35" i="34" s="1"/>
  <c r="F34" i="34"/>
  <c r="H34" i="34" s="1"/>
  <c r="J34" i="34" s="1"/>
  <c r="H34" i="21"/>
  <c r="J34" i="21" s="1"/>
  <c r="C35" i="21"/>
  <c r="D36" i="21"/>
  <c r="V36" i="34"/>
  <c r="U35" i="34"/>
  <c r="V88" i="34"/>
  <c r="U87" i="34"/>
  <c r="U61" i="34"/>
  <c r="V62" i="34"/>
  <c r="V36" i="33"/>
  <c r="U35" i="33"/>
  <c r="U61" i="33"/>
  <c r="V62" i="33"/>
  <c r="V88" i="33"/>
  <c r="U87" i="33"/>
  <c r="U61" i="21"/>
  <c r="V62" i="21"/>
  <c r="V36" i="21"/>
  <c r="U35" i="21"/>
  <c r="V88" i="21"/>
  <c r="U87" i="21"/>
  <c r="H34" i="37" l="1"/>
  <c r="J34" i="37" s="1"/>
  <c r="C35" i="37"/>
  <c r="D36" i="37"/>
  <c r="D36" i="34"/>
  <c r="F36" i="34" s="1"/>
  <c r="C35" i="34"/>
  <c r="H35" i="34"/>
  <c r="J35" i="34" s="1"/>
  <c r="H35" i="21"/>
  <c r="J35" i="21" s="1"/>
  <c r="F36" i="21"/>
  <c r="C36" i="21"/>
  <c r="D37" i="21"/>
  <c r="U36" i="34"/>
  <c r="V37" i="34"/>
  <c r="U88" i="34"/>
  <c r="V89" i="34"/>
  <c r="V63" i="34"/>
  <c r="U62" i="34"/>
  <c r="U88" i="33"/>
  <c r="V89" i="33"/>
  <c r="U36" i="33"/>
  <c r="V37" i="33"/>
  <c r="V63" i="33"/>
  <c r="U62" i="33"/>
  <c r="U88" i="21"/>
  <c r="V89" i="21"/>
  <c r="U36" i="21"/>
  <c r="V37" i="21"/>
  <c r="V63" i="21"/>
  <c r="U62" i="21"/>
  <c r="H35" i="37" l="1"/>
  <c r="J35" i="37" s="1"/>
  <c r="F36" i="37"/>
  <c r="C36" i="37"/>
  <c r="D37" i="37"/>
  <c r="F37" i="37" s="1"/>
  <c r="D37" i="34"/>
  <c r="C37" i="34" s="1"/>
  <c r="C36" i="34"/>
  <c r="H36" i="34"/>
  <c r="J36" i="34" s="1"/>
  <c r="H36" i="21"/>
  <c r="J36" i="21" s="1"/>
  <c r="F37" i="21"/>
  <c r="C37" i="21"/>
  <c r="D38" i="21"/>
  <c r="V90" i="34"/>
  <c r="U90" i="34" s="1"/>
  <c r="U89" i="34"/>
  <c r="U63" i="34"/>
  <c r="V64" i="34"/>
  <c r="U64" i="34" s="1"/>
  <c r="V38" i="34"/>
  <c r="U38" i="34" s="1"/>
  <c r="U37" i="34"/>
  <c r="V38" i="33"/>
  <c r="U38" i="33" s="1"/>
  <c r="U37" i="33"/>
  <c r="U63" i="33"/>
  <c r="V64" i="33"/>
  <c r="U64" i="33" s="1"/>
  <c r="U89" i="33"/>
  <c r="V90" i="33"/>
  <c r="U90" i="33" s="1"/>
  <c r="V90" i="21"/>
  <c r="U90" i="21" s="1"/>
  <c r="U89" i="21"/>
  <c r="U63" i="21"/>
  <c r="V64" i="21"/>
  <c r="U64" i="21" s="1"/>
  <c r="V38" i="21"/>
  <c r="U38" i="21" s="1"/>
  <c r="U37" i="21"/>
  <c r="C37" i="37" l="1"/>
  <c r="D38" i="37"/>
  <c r="F38" i="37" s="1"/>
  <c r="H36" i="37"/>
  <c r="J36" i="37" s="1"/>
  <c r="F37" i="34"/>
  <c r="H37" i="34" s="1"/>
  <c r="J37" i="34" s="1"/>
  <c r="D38" i="34"/>
  <c r="C38" i="34" s="1"/>
  <c r="H37" i="21"/>
  <c r="J37" i="21" s="1"/>
  <c r="F38" i="21"/>
  <c r="C38" i="21"/>
  <c r="D39" i="21"/>
  <c r="A31" i="14"/>
  <c r="A33" i="14" s="1"/>
  <c r="A34" i="14" s="1"/>
  <c r="A35" i="14" s="1"/>
  <c r="A36" i="14" s="1"/>
  <c r="A37" i="14" s="1"/>
  <c r="A13" i="14"/>
  <c r="A15" i="14" s="1"/>
  <c r="A16" i="14" s="1"/>
  <c r="A17" i="14" s="1"/>
  <c r="A18" i="14" s="1"/>
  <c r="A19" i="14" s="1"/>
  <c r="A20" i="14" s="1"/>
  <c r="A23" i="14" s="1"/>
  <c r="A25" i="14" s="1"/>
  <c r="AJ14" i="12"/>
  <c r="AJ13" i="12"/>
  <c r="AJ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Q11" i="12"/>
  <c r="AQ12" i="12" s="1"/>
  <c r="AQ13" i="12" s="1"/>
  <c r="AQ14" i="12" s="1"/>
  <c r="AQ15" i="12" s="1"/>
  <c r="AQ16" i="12" s="1"/>
  <c r="AQ17" i="12" s="1"/>
  <c r="AQ18" i="12" s="1"/>
  <c r="AQ19" i="12" s="1"/>
  <c r="AQ20" i="12" s="1"/>
  <c r="AQ21" i="12" s="1"/>
  <c r="AQ22" i="12" s="1"/>
  <c r="AQ23" i="12" s="1"/>
  <c r="AQ24" i="12" s="1"/>
  <c r="AQ25" i="12" s="1"/>
  <c r="AQ26" i="12" s="1"/>
  <c r="AQ27" i="12" s="1"/>
  <c r="AQ28" i="12" s="1"/>
  <c r="AQ29" i="12" s="1"/>
  <c r="AQ30" i="12" s="1"/>
  <c r="AQ31" i="12" s="1"/>
  <c r="AQ32" i="12" s="1"/>
  <c r="AQ33" i="12" s="1"/>
  <c r="AQ34" i="12" s="1"/>
  <c r="AQ35" i="12" s="1"/>
  <c r="AQ36" i="12" s="1"/>
  <c r="AQ37" i="12" s="1"/>
  <c r="AQ38" i="12" s="1"/>
  <c r="AQ39" i="12" s="1"/>
  <c r="AQ40" i="12" s="1"/>
  <c r="AQ41" i="12" s="1"/>
  <c r="AQ42" i="12" s="1"/>
  <c r="AQ43" i="12" s="1"/>
  <c r="AQ44" i="12" s="1"/>
  <c r="AQ45" i="12" s="1"/>
  <c r="AQ46" i="12" s="1"/>
  <c r="AQ47" i="12" s="1"/>
  <c r="AQ48" i="12" s="1"/>
  <c r="AQ49" i="12" s="1"/>
  <c r="AQ50" i="12" s="1"/>
  <c r="AN11" i="12"/>
  <c r="AN12" i="12" s="1"/>
  <c r="AN13" i="12" s="1"/>
  <c r="AN14" i="12" s="1"/>
  <c r="AN15" i="12" s="1"/>
  <c r="AN16" i="12" s="1"/>
  <c r="AN17" i="12" s="1"/>
  <c r="AN18" i="12" s="1"/>
  <c r="AN19" i="12" s="1"/>
  <c r="AN20" i="12" s="1"/>
  <c r="AN21" i="12" s="1"/>
  <c r="AN22" i="12" s="1"/>
  <c r="AN23" i="12" s="1"/>
  <c r="AJ11" i="12"/>
  <c r="AK11" i="12" s="1"/>
  <c r="AK12" i="12" s="1"/>
  <c r="AH11" i="12"/>
  <c r="AH12" i="12" s="1"/>
  <c r="AH13" i="12" s="1"/>
  <c r="AH14" i="12" s="1"/>
  <c r="AH15" i="12" s="1"/>
  <c r="AH16" i="12" s="1"/>
  <c r="AH17" i="12" s="1"/>
  <c r="AH18" i="12" s="1"/>
  <c r="AH19" i="12" s="1"/>
  <c r="AH20" i="12" s="1"/>
  <c r="AH21" i="12" s="1"/>
  <c r="AH22" i="12" s="1"/>
  <c r="AH23" i="12" s="1"/>
  <c r="AH24" i="12" s="1"/>
  <c r="AH25" i="12" s="1"/>
  <c r="AH26" i="12" s="1"/>
  <c r="AH27" i="12" s="1"/>
  <c r="AH28" i="12" s="1"/>
  <c r="AH29" i="12" s="1"/>
  <c r="AH30" i="12" s="1"/>
  <c r="AH31" i="12" s="1"/>
  <c r="AH32" i="12" s="1"/>
  <c r="AH33" i="12" s="1"/>
  <c r="AH34" i="12" s="1"/>
  <c r="AH35" i="12" s="1"/>
  <c r="AH36" i="12" s="1"/>
  <c r="AH37" i="12" s="1"/>
  <c r="AH38" i="12" s="1"/>
  <c r="AH39" i="12" s="1"/>
  <c r="AH40" i="12" s="1"/>
  <c r="AH41" i="12" s="1"/>
  <c r="AH42" i="12" s="1"/>
  <c r="AH43" i="12" s="1"/>
  <c r="AH44" i="12" s="1"/>
  <c r="AH45" i="12" s="1"/>
  <c r="AH46" i="12" s="1"/>
  <c r="AH47" i="12" s="1"/>
  <c r="AH48" i="12" s="1"/>
  <c r="AH49" i="12" s="1"/>
  <c r="AH50" i="12" s="1"/>
  <c r="AE11" i="12"/>
  <c r="AE12" i="12" s="1"/>
  <c r="AE13" i="12" s="1"/>
  <c r="AE14" i="12" s="1"/>
  <c r="AE15" i="12" s="1"/>
  <c r="AE16" i="12" s="1"/>
  <c r="AE17" i="12" s="1"/>
  <c r="AE18" i="12" s="1"/>
  <c r="AE19" i="12" s="1"/>
  <c r="AE20" i="12" s="1"/>
  <c r="AE21" i="12" s="1"/>
  <c r="AE22" i="12" s="1"/>
  <c r="AE23" i="12" s="1"/>
  <c r="AE24" i="12" s="1"/>
  <c r="AE25" i="12" s="1"/>
  <c r="AE26" i="12" s="1"/>
  <c r="AE27" i="12" s="1"/>
  <c r="AE28" i="12" s="1"/>
  <c r="AE29" i="12" s="1"/>
  <c r="AE30" i="12" s="1"/>
  <c r="AE31" i="12" s="1"/>
  <c r="AE32" i="12" s="1"/>
  <c r="AE33" i="12" s="1"/>
  <c r="AE34" i="12" s="1"/>
  <c r="AE35" i="12" s="1"/>
  <c r="AE36" i="12" s="1"/>
  <c r="AE37" i="12" s="1"/>
  <c r="AE38" i="12" s="1"/>
  <c r="AE39" i="12" s="1"/>
  <c r="AE40" i="12" s="1"/>
  <c r="AE41" i="12" s="1"/>
  <c r="AE42" i="12" s="1"/>
  <c r="AB11" i="12"/>
  <c r="AB12" i="12" s="1"/>
  <c r="AB13" i="12" s="1"/>
  <c r="AB14" i="12" s="1"/>
  <c r="AB15" i="12" s="1"/>
  <c r="AB16" i="12" s="1"/>
  <c r="AB17" i="12" s="1"/>
  <c r="AB18" i="12" s="1"/>
  <c r="AB19" i="12" s="1"/>
  <c r="AB20" i="12" s="1"/>
  <c r="AB21" i="12" s="1"/>
  <c r="AB22" i="12" s="1"/>
  <c r="AB23" i="12" s="1"/>
  <c r="AB24" i="12" s="1"/>
  <c r="AB25" i="12" s="1"/>
  <c r="AB26" i="12" s="1"/>
  <c r="AB27" i="12" s="1"/>
  <c r="AB28" i="12" s="1"/>
  <c r="AB29" i="12" s="1"/>
  <c r="AB30" i="12" s="1"/>
  <c r="AB31" i="12" s="1"/>
  <c r="Y11" i="12"/>
  <c r="Y12" i="12" s="1"/>
  <c r="Y13" i="12" s="1"/>
  <c r="Y14" i="12" s="1"/>
  <c r="Y15" i="12" s="1"/>
  <c r="Y16" i="12" s="1"/>
  <c r="Y17" i="12" s="1"/>
  <c r="Y18" i="12" s="1"/>
  <c r="Y19" i="12" s="1"/>
  <c r="Y20" i="12" s="1"/>
  <c r="Y21" i="12" s="1"/>
  <c r="V11" i="12"/>
  <c r="V12" i="12" s="1"/>
  <c r="V13" i="12" s="1"/>
  <c r="V14" i="12" s="1"/>
  <c r="V15" i="12" s="1"/>
  <c r="V16" i="12" s="1"/>
  <c r="V17" i="12" s="1"/>
  <c r="V18" i="12" s="1"/>
  <c r="V19" i="12" s="1"/>
  <c r="V20" i="12" s="1"/>
  <c r="V21" i="12" s="1"/>
  <c r="V22" i="12" s="1"/>
  <c r="V23" i="12" s="1"/>
  <c r="V24" i="12" s="1"/>
  <c r="V25" i="12" s="1"/>
  <c r="V26" i="12" s="1"/>
  <c r="S11" i="12"/>
  <c r="S12" i="12" s="1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P11" i="12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M11" i="12"/>
  <c r="M12" i="12" s="1"/>
  <c r="M13" i="12" s="1"/>
  <c r="M14" i="12" s="1"/>
  <c r="M15" i="12" s="1"/>
  <c r="M16" i="12" s="1"/>
  <c r="M17" i="12" s="1"/>
  <c r="M18" i="12" s="1"/>
  <c r="M19" i="12" s="1"/>
  <c r="M20" i="12" s="1"/>
  <c r="J11" i="12"/>
  <c r="J12" i="12" s="1"/>
  <c r="J13" i="12" s="1"/>
  <c r="J14" i="12" s="1"/>
  <c r="J15" i="12" s="1"/>
  <c r="J16" i="12" s="1"/>
  <c r="J17" i="12" s="1"/>
  <c r="J18" i="12" s="1"/>
  <c r="G11" i="12"/>
  <c r="G12" i="12" s="1"/>
  <c r="G13" i="12" s="1"/>
  <c r="G14" i="12" s="1"/>
  <c r="G15" i="12" s="1"/>
  <c r="G16" i="12" s="1"/>
  <c r="D11" i="12"/>
  <c r="D12" i="12" s="1"/>
  <c r="D13" i="12" s="1"/>
  <c r="D14" i="12" s="1"/>
  <c r="G10" i="12"/>
  <c r="M10" i="12" s="1"/>
  <c r="AK13" i="12" l="1"/>
  <c r="AK14" i="12" s="1"/>
  <c r="C38" i="37"/>
  <c r="D39" i="37"/>
  <c r="F39" i="37" s="1"/>
  <c r="H37" i="37"/>
  <c r="J37" i="37" s="1"/>
  <c r="A40" i="14"/>
  <c r="A41" i="14" s="1"/>
  <c r="A43" i="14" s="1"/>
  <c r="A38" i="14"/>
  <c r="F38" i="34"/>
  <c r="H38" i="34" s="1"/>
  <c r="J38" i="34" s="1"/>
  <c r="D39" i="34"/>
  <c r="F39" i="34" s="1"/>
  <c r="H38" i="21"/>
  <c r="J38" i="21" s="1"/>
  <c r="D40" i="21"/>
  <c r="C39" i="21"/>
  <c r="F39" i="21"/>
  <c r="J10" i="12"/>
  <c r="D40" i="37" l="1"/>
  <c r="F40" i="37" s="1"/>
  <c r="C39" i="37"/>
  <c r="H38" i="37"/>
  <c r="J38" i="37" s="1"/>
  <c r="C39" i="34"/>
  <c r="D40" i="34"/>
  <c r="F40" i="34" s="1"/>
  <c r="H39" i="34"/>
  <c r="J39" i="34" s="1"/>
  <c r="H39" i="21"/>
  <c r="J39" i="21" s="1"/>
  <c r="F40" i="21"/>
  <c r="D41" i="21"/>
  <c r="C40" i="21"/>
  <c r="S10" i="12"/>
  <c r="Y10" i="12" s="1"/>
  <c r="P10" i="12"/>
  <c r="V10" i="12" s="1"/>
  <c r="AB10" i="12" s="1"/>
  <c r="AE10" i="12" s="1"/>
  <c r="H39" i="37" l="1"/>
  <c r="J39" i="37" s="1"/>
  <c r="D41" i="37"/>
  <c r="F41" i="37" s="1"/>
  <c r="C40" i="37"/>
  <c r="H40" i="34"/>
  <c r="J40" i="34" s="1"/>
  <c r="C40" i="34"/>
  <c r="D41" i="34"/>
  <c r="D83" i="34" s="1"/>
  <c r="H40" i="21"/>
  <c r="J40" i="21" s="1"/>
  <c r="F41" i="21"/>
  <c r="D42" i="21"/>
  <c r="D83" i="21"/>
  <c r="D84" i="21"/>
  <c r="C41" i="21"/>
  <c r="AN10" i="12"/>
  <c r="AQ10" i="12" s="1"/>
  <c r="AH10" i="12"/>
  <c r="H40" i="37" l="1"/>
  <c r="J40" i="37" s="1"/>
  <c r="F83" i="37"/>
  <c r="D83" i="37"/>
  <c r="D42" i="37"/>
  <c r="C41" i="37"/>
  <c r="D84" i="37"/>
  <c r="C41" i="34"/>
  <c r="E34" i="34" s="1"/>
  <c r="D42" i="34"/>
  <c r="D43" i="34" s="1"/>
  <c r="F41" i="34"/>
  <c r="F83" i="34" s="1"/>
  <c r="D84" i="34"/>
  <c r="D43" i="21"/>
  <c r="C42" i="21"/>
  <c r="F42" i="21"/>
  <c r="H41" i="21"/>
  <c r="F83" i="21"/>
  <c r="E40" i="21"/>
  <c r="E35" i="21"/>
  <c r="E31" i="21"/>
  <c r="E41" i="21"/>
  <c r="E37" i="21"/>
  <c r="E39" i="21"/>
  <c r="E33" i="21"/>
  <c r="C83" i="21"/>
  <c r="E34" i="21"/>
  <c r="E30" i="21"/>
  <c r="C84" i="21"/>
  <c r="E38" i="21"/>
  <c r="E36" i="21"/>
  <c r="E32" i="21"/>
  <c r="H41" i="37" l="1"/>
  <c r="J41" i="37" s="1"/>
  <c r="J83" i="37" s="1"/>
  <c r="E37" i="34"/>
  <c r="E40" i="34"/>
  <c r="E33" i="34"/>
  <c r="C84" i="34"/>
  <c r="E35" i="34"/>
  <c r="C84" i="37"/>
  <c r="E30" i="37"/>
  <c r="E33" i="37"/>
  <c r="E36" i="37"/>
  <c r="E34" i="37"/>
  <c r="E32" i="37"/>
  <c r="E41" i="37"/>
  <c r="E39" i="37"/>
  <c r="E35" i="37"/>
  <c r="E31" i="37"/>
  <c r="E38" i="37"/>
  <c r="C83" i="37"/>
  <c r="E40" i="37"/>
  <c r="E37" i="37"/>
  <c r="F42" i="37"/>
  <c r="D43" i="37"/>
  <c r="F43" i="37" s="1"/>
  <c r="C42" i="37"/>
  <c r="E39" i="34"/>
  <c r="E41" i="34"/>
  <c r="F42" i="34"/>
  <c r="E30" i="34"/>
  <c r="E32" i="34"/>
  <c r="E36" i="34"/>
  <c r="C83" i="34"/>
  <c r="E31" i="34"/>
  <c r="E38" i="34"/>
  <c r="H41" i="34"/>
  <c r="H83" i="34" s="1"/>
  <c r="C42" i="34"/>
  <c r="J41" i="21"/>
  <c r="H83" i="21"/>
  <c r="H84" i="21"/>
  <c r="E83" i="21"/>
  <c r="G30" i="21"/>
  <c r="I30" i="21" s="1"/>
  <c r="K30" i="21" s="1"/>
  <c r="L30" i="21" s="1"/>
  <c r="M30" i="21" s="1"/>
  <c r="F43" i="34"/>
  <c r="D44" i="34"/>
  <c r="C43" i="34"/>
  <c r="H42" i="21"/>
  <c r="J42" i="21" s="1"/>
  <c r="F43" i="21"/>
  <c r="D44" i="21"/>
  <c r="C43" i="21"/>
  <c r="J84" i="37" l="1"/>
  <c r="H83" i="37"/>
  <c r="H84" i="37"/>
  <c r="E83" i="37"/>
  <c r="G30" i="37"/>
  <c r="I30" i="37" s="1"/>
  <c r="K30" i="37" s="1"/>
  <c r="L30" i="37" s="1"/>
  <c r="M30" i="37" s="1"/>
  <c r="D44" i="37"/>
  <c r="F44" i="37" s="1"/>
  <c r="C43" i="37"/>
  <c r="H42" i="37"/>
  <c r="J42" i="37" s="1"/>
  <c r="H42" i="34"/>
  <c r="J42" i="34" s="1"/>
  <c r="J41" i="34"/>
  <c r="J83" i="34" s="1"/>
  <c r="E83" i="34"/>
  <c r="H84" i="34"/>
  <c r="G30" i="34"/>
  <c r="I30" i="34" s="1"/>
  <c r="K30" i="34" s="1"/>
  <c r="L30" i="34" s="1"/>
  <c r="M30" i="34" s="1"/>
  <c r="G31" i="21"/>
  <c r="I31" i="21" s="1"/>
  <c r="K31" i="21" s="1"/>
  <c r="L31" i="21" s="1"/>
  <c r="M31" i="21" s="1"/>
  <c r="H43" i="21"/>
  <c r="J43" i="21" s="1"/>
  <c r="D45" i="21"/>
  <c r="F45" i="21" s="1"/>
  <c r="C44" i="21"/>
  <c r="F44" i="21"/>
  <c r="J83" i="21"/>
  <c r="J84" i="21"/>
  <c r="F44" i="34"/>
  <c r="C44" i="34"/>
  <c r="D45" i="34"/>
  <c r="G31" i="37" l="1"/>
  <c r="I31" i="37" s="1"/>
  <c r="K31" i="37" s="1"/>
  <c r="L31" i="37" s="1"/>
  <c r="M31" i="37" s="1"/>
  <c r="H43" i="37"/>
  <c r="J43" i="37" s="1"/>
  <c r="C44" i="37"/>
  <c r="D45" i="37"/>
  <c r="F45" i="37" s="1"/>
  <c r="J84" i="34"/>
  <c r="H43" i="34"/>
  <c r="J43" i="34" s="1"/>
  <c r="G31" i="34"/>
  <c r="G32" i="34" s="1"/>
  <c r="I32" i="34" s="1"/>
  <c r="K32" i="34" s="1"/>
  <c r="L32" i="34" s="1"/>
  <c r="G32" i="21"/>
  <c r="I32" i="21" s="1"/>
  <c r="K32" i="21" s="1"/>
  <c r="L32" i="21" s="1"/>
  <c r="M32" i="21" s="1"/>
  <c r="H44" i="21"/>
  <c r="J44" i="21" s="1"/>
  <c r="F45" i="34"/>
  <c r="D46" i="34"/>
  <c r="F46" i="34" s="1"/>
  <c r="C45" i="34"/>
  <c r="C45" i="21"/>
  <c r="D46" i="21"/>
  <c r="G32" i="37" l="1"/>
  <c r="I32" i="37" s="1"/>
  <c r="K32" i="37" s="1"/>
  <c r="L32" i="37" s="1"/>
  <c r="M32" i="37" s="1"/>
  <c r="I31" i="34"/>
  <c r="K31" i="34" s="1"/>
  <c r="L31" i="34" s="1"/>
  <c r="M31" i="34" s="1"/>
  <c r="H44" i="37"/>
  <c r="J44" i="37" s="1"/>
  <c r="G33" i="34"/>
  <c r="I33" i="34" s="1"/>
  <c r="K33" i="34" s="1"/>
  <c r="L33" i="34" s="1"/>
  <c r="M33" i="34" s="1"/>
  <c r="D46" i="37"/>
  <c r="C45" i="37"/>
  <c r="H44" i="34"/>
  <c r="J44" i="34" s="1"/>
  <c r="G33" i="21"/>
  <c r="I33" i="21" s="1"/>
  <c r="K33" i="21" s="1"/>
  <c r="L33" i="21" s="1"/>
  <c r="M33" i="21" s="1"/>
  <c r="H45" i="21"/>
  <c r="J45" i="21" s="1"/>
  <c r="M32" i="34"/>
  <c r="D47" i="21"/>
  <c r="C46" i="21"/>
  <c r="G34" i="34"/>
  <c r="F46" i="21"/>
  <c r="C46" i="34"/>
  <c r="D47" i="34"/>
  <c r="F47" i="34" s="1"/>
  <c r="G33" i="37" l="1"/>
  <c r="G34" i="37" s="1"/>
  <c r="H45" i="37"/>
  <c r="J45" i="37" s="1"/>
  <c r="F46" i="37"/>
  <c r="D47" i="37"/>
  <c r="F47" i="37" s="1"/>
  <c r="C46" i="37"/>
  <c r="H45" i="34"/>
  <c r="J45" i="34" s="1"/>
  <c r="G34" i="21"/>
  <c r="I34" i="21" s="1"/>
  <c r="K34" i="21" s="1"/>
  <c r="L34" i="21" s="1"/>
  <c r="M34" i="21" s="1"/>
  <c r="H46" i="21"/>
  <c r="J46" i="21" s="1"/>
  <c r="D48" i="21"/>
  <c r="C47" i="21"/>
  <c r="F47" i="21"/>
  <c r="I34" i="34"/>
  <c r="K34" i="34" s="1"/>
  <c r="L34" i="34" s="1"/>
  <c r="M34" i="34" s="1"/>
  <c r="G35" i="34"/>
  <c r="D48" i="34"/>
  <c r="C47" i="34"/>
  <c r="I33" i="37" l="1"/>
  <c r="K33" i="37" s="1"/>
  <c r="L33" i="37" s="1"/>
  <c r="M33" i="37" s="1"/>
  <c r="I34" i="37"/>
  <c r="K34" i="37" s="1"/>
  <c r="L34" i="37" s="1"/>
  <c r="G35" i="37"/>
  <c r="D48" i="37"/>
  <c r="C47" i="37"/>
  <c r="F48" i="37"/>
  <c r="H46" i="37"/>
  <c r="J46" i="37" s="1"/>
  <c r="H46" i="34"/>
  <c r="J46" i="34" s="1"/>
  <c r="G35" i="21"/>
  <c r="I35" i="21" s="1"/>
  <c r="K35" i="21" s="1"/>
  <c r="L35" i="21" s="1"/>
  <c r="M35" i="21" s="1"/>
  <c r="H47" i="21"/>
  <c r="J47" i="21" s="1"/>
  <c r="G36" i="34"/>
  <c r="I35" i="34"/>
  <c r="K35" i="34" s="1"/>
  <c r="L35" i="34" s="1"/>
  <c r="M35" i="34" s="1"/>
  <c r="C48" i="34"/>
  <c r="F48" i="34"/>
  <c r="D49" i="34"/>
  <c r="D49" i="21"/>
  <c r="C48" i="21"/>
  <c r="F48" i="21"/>
  <c r="M34" i="37" l="1"/>
  <c r="I35" i="37"/>
  <c r="K35" i="37" s="1"/>
  <c r="L35" i="37" s="1"/>
  <c r="M35" i="37" s="1"/>
  <c r="G36" i="37"/>
  <c r="H47" i="37"/>
  <c r="J47" i="37" s="1"/>
  <c r="D49" i="37"/>
  <c r="C48" i="37"/>
  <c r="F49" i="37"/>
  <c r="H47" i="34"/>
  <c r="J47" i="34" s="1"/>
  <c r="G36" i="21"/>
  <c r="I36" i="21" s="1"/>
  <c r="K36" i="21" s="1"/>
  <c r="L36" i="21" s="1"/>
  <c r="M36" i="21" s="1"/>
  <c r="H48" i="21"/>
  <c r="J48" i="21" s="1"/>
  <c r="I36" i="34"/>
  <c r="K36" i="34" s="1"/>
  <c r="L36" i="34" s="1"/>
  <c r="M36" i="34" s="1"/>
  <c r="G37" i="34"/>
  <c r="F49" i="34"/>
  <c r="D50" i="34"/>
  <c r="F50" i="34" s="1"/>
  <c r="C49" i="34"/>
  <c r="C49" i="21"/>
  <c r="D50" i="21"/>
  <c r="F49" i="21"/>
  <c r="H48" i="34" l="1"/>
  <c r="J48" i="34" s="1"/>
  <c r="D50" i="37"/>
  <c r="C49" i="37"/>
  <c r="I36" i="37"/>
  <c r="K36" i="37" s="1"/>
  <c r="L36" i="37" s="1"/>
  <c r="M36" i="37" s="1"/>
  <c r="G37" i="37"/>
  <c r="H48" i="37"/>
  <c r="J48" i="37" s="1"/>
  <c r="H49" i="34"/>
  <c r="J49" i="34" s="1"/>
  <c r="G37" i="21"/>
  <c r="G38" i="21" s="1"/>
  <c r="H49" i="21"/>
  <c r="J49" i="21" s="1"/>
  <c r="D51" i="34"/>
  <c r="C50" i="34"/>
  <c r="I37" i="34"/>
  <c r="K37" i="34" s="1"/>
  <c r="L37" i="34" s="1"/>
  <c r="M37" i="34" s="1"/>
  <c r="G38" i="34"/>
  <c r="F50" i="21"/>
  <c r="D51" i="21"/>
  <c r="C50" i="21"/>
  <c r="H49" i="37" l="1"/>
  <c r="J49" i="37" s="1"/>
  <c r="I37" i="37"/>
  <c r="K37" i="37" s="1"/>
  <c r="L37" i="37" s="1"/>
  <c r="M37" i="37" s="1"/>
  <c r="G38" i="37"/>
  <c r="F50" i="37"/>
  <c r="D51" i="37"/>
  <c r="C50" i="37"/>
  <c r="H50" i="34"/>
  <c r="J50" i="34" s="1"/>
  <c r="H50" i="21"/>
  <c r="J50" i="21" s="1"/>
  <c r="I37" i="21"/>
  <c r="K37" i="21" s="1"/>
  <c r="L37" i="21" s="1"/>
  <c r="M37" i="21" s="1"/>
  <c r="I38" i="34"/>
  <c r="K38" i="34" s="1"/>
  <c r="L38" i="34" s="1"/>
  <c r="M38" i="34" s="1"/>
  <c r="G39" i="34"/>
  <c r="C51" i="21"/>
  <c r="D52" i="21"/>
  <c r="F51" i="21"/>
  <c r="D52" i="34"/>
  <c r="F51" i="34"/>
  <c r="C51" i="34"/>
  <c r="I38" i="21"/>
  <c r="K38" i="21" s="1"/>
  <c r="L38" i="21" s="1"/>
  <c r="G39" i="21"/>
  <c r="F51" i="37" l="1"/>
  <c r="D52" i="37"/>
  <c r="C51" i="37"/>
  <c r="F52" i="37"/>
  <c r="H50" i="37"/>
  <c r="J50" i="37" s="1"/>
  <c r="I38" i="37"/>
  <c r="K38" i="37" s="1"/>
  <c r="L38" i="37" s="1"/>
  <c r="M38" i="37" s="1"/>
  <c r="G39" i="37"/>
  <c r="M38" i="21"/>
  <c r="H51" i="21"/>
  <c r="J51" i="21" s="1"/>
  <c r="H51" i="34"/>
  <c r="J51" i="34" s="1"/>
  <c r="C52" i="34"/>
  <c r="F52" i="34"/>
  <c r="D53" i="34"/>
  <c r="G40" i="34"/>
  <c r="I39" i="34"/>
  <c r="K39" i="34" s="1"/>
  <c r="L39" i="34" s="1"/>
  <c r="M39" i="34" s="1"/>
  <c r="C52" i="21"/>
  <c r="D53" i="21"/>
  <c r="F52" i="21"/>
  <c r="G40" i="21"/>
  <c r="I39" i="21"/>
  <c r="K39" i="21" s="1"/>
  <c r="L39" i="21" s="1"/>
  <c r="M39" i="21" s="1"/>
  <c r="I39" i="37" l="1"/>
  <c r="K39" i="37" s="1"/>
  <c r="L39" i="37" s="1"/>
  <c r="M39" i="37" s="1"/>
  <c r="G40" i="37"/>
  <c r="D53" i="37"/>
  <c r="F53" i="37" s="1"/>
  <c r="C52" i="37"/>
  <c r="H51" i="37"/>
  <c r="J51" i="37" s="1"/>
  <c r="H52" i="21"/>
  <c r="J52" i="21" s="1"/>
  <c r="H52" i="34"/>
  <c r="J52" i="34" s="1"/>
  <c r="D54" i="34"/>
  <c r="F53" i="34"/>
  <c r="D87" i="34"/>
  <c r="D86" i="34"/>
  <c r="C53" i="34"/>
  <c r="I40" i="34"/>
  <c r="K40" i="34" s="1"/>
  <c r="L40" i="34" s="1"/>
  <c r="M40" i="34" s="1"/>
  <c r="G41" i="34"/>
  <c r="I40" i="21"/>
  <c r="K40" i="21" s="1"/>
  <c r="L40" i="21" s="1"/>
  <c r="M40" i="21" s="1"/>
  <c r="G41" i="21"/>
  <c r="C53" i="21"/>
  <c r="D54" i="21"/>
  <c r="D86" i="21"/>
  <c r="F53" i="21"/>
  <c r="D87" i="21"/>
  <c r="F86" i="37" l="1"/>
  <c r="D86" i="37"/>
  <c r="C53" i="37"/>
  <c r="D54" i="37"/>
  <c r="F54" i="37" s="1"/>
  <c r="D87" i="37"/>
  <c r="H52" i="37"/>
  <c r="J52" i="37" s="1"/>
  <c r="I40" i="37"/>
  <c r="K40" i="37" s="1"/>
  <c r="L40" i="37" s="1"/>
  <c r="M40" i="37" s="1"/>
  <c r="G41" i="37"/>
  <c r="H53" i="34"/>
  <c r="F86" i="34"/>
  <c r="F54" i="34"/>
  <c r="D55" i="34"/>
  <c r="F55" i="34" s="1"/>
  <c r="C54" i="34"/>
  <c r="G83" i="34"/>
  <c r="G84" i="34"/>
  <c r="I41" i="34"/>
  <c r="H53" i="21"/>
  <c r="F86" i="21"/>
  <c r="G83" i="21"/>
  <c r="G84" i="21"/>
  <c r="I41" i="21"/>
  <c r="E42" i="21"/>
  <c r="E45" i="21"/>
  <c r="C87" i="21"/>
  <c r="C86" i="21"/>
  <c r="E43" i="21"/>
  <c r="E50" i="21"/>
  <c r="E48" i="21"/>
  <c r="E49" i="21"/>
  <c r="E44" i="21"/>
  <c r="E52" i="21"/>
  <c r="E47" i="21"/>
  <c r="E46" i="21"/>
  <c r="E53" i="21"/>
  <c r="E51" i="21"/>
  <c r="D55" i="21"/>
  <c r="C54" i="21"/>
  <c r="F54" i="21"/>
  <c r="E51" i="34"/>
  <c r="E50" i="34"/>
  <c r="E48" i="34"/>
  <c r="E42" i="34"/>
  <c r="E49" i="34"/>
  <c r="E44" i="34"/>
  <c r="C86" i="34"/>
  <c r="E45" i="34"/>
  <c r="C87" i="34"/>
  <c r="E43" i="34"/>
  <c r="E47" i="34"/>
  <c r="E52" i="34"/>
  <c r="E46" i="34"/>
  <c r="E53" i="34"/>
  <c r="H53" i="37" l="1"/>
  <c r="C86" i="37"/>
  <c r="E49" i="37"/>
  <c r="E43" i="37"/>
  <c r="E53" i="37"/>
  <c r="E44" i="37"/>
  <c r="E50" i="37"/>
  <c r="E48" i="37"/>
  <c r="E52" i="37"/>
  <c r="E45" i="37"/>
  <c r="C87" i="37"/>
  <c r="E47" i="37"/>
  <c r="E42" i="37"/>
  <c r="E51" i="37"/>
  <c r="E46" i="37"/>
  <c r="G83" i="37"/>
  <c r="G84" i="37"/>
  <c r="I41" i="37"/>
  <c r="D55" i="37"/>
  <c r="F55" i="37" s="1"/>
  <c r="C54" i="37"/>
  <c r="H54" i="34"/>
  <c r="J54" i="34" s="1"/>
  <c r="H54" i="21"/>
  <c r="J54" i="21" s="1"/>
  <c r="H87" i="21"/>
  <c r="H86" i="21"/>
  <c r="J53" i="21"/>
  <c r="G42" i="21"/>
  <c r="E86" i="21"/>
  <c r="E86" i="34"/>
  <c r="G42" i="34"/>
  <c r="C55" i="34"/>
  <c r="D56" i="34"/>
  <c r="I83" i="21"/>
  <c r="I84" i="21"/>
  <c r="K41" i="21"/>
  <c r="I83" i="34"/>
  <c r="I84" i="34"/>
  <c r="K41" i="34"/>
  <c r="H87" i="34"/>
  <c r="H86" i="34"/>
  <c r="J53" i="34"/>
  <c r="F55" i="21"/>
  <c r="C55" i="21"/>
  <c r="D56" i="21"/>
  <c r="E86" i="37" l="1"/>
  <c r="G42" i="37"/>
  <c r="I42" i="37" s="1"/>
  <c r="K42" i="37" s="1"/>
  <c r="L42" i="37" s="1"/>
  <c r="H86" i="37"/>
  <c r="H87" i="37"/>
  <c r="J53" i="37"/>
  <c r="G43" i="37"/>
  <c r="I43" i="37" s="1"/>
  <c r="K43" i="37" s="1"/>
  <c r="L43" i="37" s="1"/>
  <c r="M43" i="37" s="1"/>
  <c r="S28" i="37" s="1"/>
  <c r="W28" i="37" s="1"/>
  <c r="D56" i="37"/>
  <c r="F56" i="37" s="1"/>
  <c r="C55" i="37"/>
  <c r="H54" i="37"/>
  <c r="J54" i="37" s="1"/>
  <c r="I83" i="37"/>
  <c r="I84" i="37"/>
  <c r="K41" i="37"/>
  <c r="H55" i="21"/>
  <c r="J55" i="21" s="1"/>
  <c r="H55" i="34"/>
  <c r="J55" i="34" s="1"/>
  <c r="K83" i="21"/>
  <c r="L41" i="21"/>
  <c r="K84" i="21"/>
  <c r="F56" i="34"/>
  <c r="D57" i="34"/>
  <c r="C56" i="34"/>
  <c r="I42" i="21"/>
  <c r="K42" i="21" s="1"/>
  <c r="L42" i="21" s="1"/>
  <c r="G43" i="21"/>
  <c r="K83" i="34"/>
  <c r="L41" i="34"/>
  <c r="K84" i="34"/>
  <c r="J87" i="21"/>
  <c r="J86" i="21"/>
  <c r="D57" i="21"/>
  <c r="F56" i="21"/>
  <c r="C56" i="21"/>
  <c r="J86" i="34"/>
  <c r="J87" i="34"/>
  <c r="I42" i="34"/>
  <c r="K42" i="34" s="1"/>
  <c r="L42" i="34" s="1"/>
  <c r="G43" i="34"/>
  <c r="H56" i="34" l="1"/>
  <c r="J56" i="34" s="1"/>
  <c r="G44" i="37"/>
  <c r="I44" i="37" s="1"/>
  <c r="K44" i="37" s="1"/>
  <c r="L44" i="37" s="1"/>
  <c r="M44" i="37" s="1"/>
  <c r="S29" i="37" s="1"/>
  <c r="W29" i="37" s="1"/>
  <c r="J86" i="37"/>
  <c r="J87" i="37"/>
  <c r="D57" i="37"/>
  <c r="C56" i="37"/>
  <c r="L41" i="37"/>
  <c r="K84" i="37"/>
  <c r="K83" i="37"/>
  <c r="H55" i="37"/>
  <c r="J55" i="37" s="1"/>
  <c r="H56" i="21"/>
  <c r="J56" i="21" s="1"/>
  <c r="M42" i="21"/>
  <c r="S27" i="21" s="1"/>
  <c r="W27" i="21" s="1"/>
  <c r="F57" i="34"/>
  <c r="H57" i="34" s="1"/>
  <c r="J57" i="34" s="1"/>
  <c r="C57" i="34"/>
  <c r="D58" i="34"/>
  <c r="C57" i="21"/>
  <c r="D58" i="21"/>
  <c r="I43" i="21"/>
  <c r="K43" i="21" s="1"/>
  <c r="L43" i="21" s="1"/>
  <c r="M43" i="21" s="1"/>
  <c r="S28" i="21" s="1"/>
  <c r="W28" i="21" s="1"/>
  <c r="G44" i="21"/>
  <c r="L83" i="21"/>
  <c r="L84" i="21"/>
  <c r="T26" i="21"/>
  <c r="M41" i="21"/>
  <c r="T26" i="34"/>
  <c r="X26" i="34" s="1"/>
  <c r="L83" i="34"/>
  <c r="L84" i="34"/>
  <c r="M41" i="34"/>
  <c r="M42" i="34"/>
  <c r="S27" i="34" s="1"/>
  <c r="I43" i="34"/>
  <c r="K43" i="34" s="1"/>
  <c r="L43" i="34" s="1"/>
  <c r="M43" i="34" s="1"/>
  <c r="S28" i="34" s="1"/>
  <c r="W28" i="34" s="1"/>
  <c r="G44" i="34"/>
  <c r="F57" i="21"/>
  <c r="G45" i="37" l="1"/>
  <c r="H56" i="37"/>
  <c r="J56" i="37" s="1"/>
  <c r="F57" i="37"/>
  <c r="C57" i="37"/>
  <c r="D58" i="37"/>
  <c r="L83" i="37"/>
  <c r="T26" i="37"/>
  <c r="L84" i="37"/>
  <c r="M41" i="37"/>
  <c r="I45" i="37"/>
  <c r="K45" i="37" s="1"/>
  <c r="L45" i="37" s="1"/>
  <c r="M45" i="37" s="1"/>
  <c r="S30" i="37" s="1"/>
  <c r="W30" i="37" s="1"/>
  <c r="G46" i="37"/>
  <c r="M42" i="37"/>
  <c r="H57" i="21"/>
  <c r="J57" i="21" s="1"/>
  <c r="S26" i="21"/>
  <c r="M83" i="21"/>
  <c r="S26" i="34"/>
  <c r="M83" i="34"/>
  <c r="T27" i="21"/>
  <c r="T28" i="21" s="1"/>
  <c r="X26" i="21"/>
  <c r="X27" i="21" s="1"/>
  <c r="X28" i="21" s="1"/>
  <c r="I44" i="34"/>
  <c r="K44" i="34" s="1"/>
  <c r="L44" i="34" s="1"/>
  <c r="M44" i="34" s="1"/>
  <c r="S29" i="34" s="1"/>
  <c r="W29" i="34" s="1"/>
  <c r="G45" i="34"/>
  <c r="F58" i="34"/>
  <c r="H58" i="34" s="1"/>
  <c r="J58" i="34" s="1"/>
  <c r="C58" i="34"/>
  <c r="D59" i="34"/>
  <c r="T27" i="34"/>
  <c r="T28" i="34" s="1"/>
  <c r="W27" i="34"/>
  <c r="X27" i="34" s="1"/>
  <c r="X28" i="34" s="1"/>
  <c r="I44" i="21"/>
  <c r="K44" i="21" s="1"/>
  <c r="L44" i="21" s="1"/>
  <c r="M44" i="21" s="1"/>
  <c r="S29" i="21" s="1"/>
  <c r="W29" i="21" s="1"/>
  <c r="G45" i="21"/>
  <c r="C58" i="21"/>
  <c r="D59" i="21"/>
  <c r="F58" i="21"/>
  <c r="S27" i="37" l="1"/>
  <c r="I46" i="37"/>
  <c r="K46" i="37" s="1"/>
  <c r="L46" i="37" s="1"/>
  <c r="M46" i="37" s="1"/>
  <c r="S31" i="37" s="1"/>
  <c r="W31" i="37" s="1"/>
  <c r="G47" i="37"/>
  <c r="H58" i="21"/>
  <c r="J58" i="21" s="1"/>
  <c r="F58" i="37"/>
  <c r="D59" i="37"/>
  <c r="F59" i="37" s="1"/>
  <c r="C58" i="37"/>
  <c r="X26" i="37"/>
  <c r="T27" i="37"/>
  <c r="T28" i="37" s="1"/>
  <c r="T29" i="37" s="1"/>
  <c r="T30" i="37" s="1"/>
  <c r="T31" i="37" s="1"/>
  <c r="S26" i="37"/>
  <c r="M83" i="37"/>
  <c r="H57" i="37"/>
  <c r="J57" i="37" s="1"/>
  <c r="T29" i="34"/>
  <c r="X29" i="34"/>
  <c r="T29" i="21"/>
  <c r="X29" i="21"/>
  <c r="F59" i="34"/>
  <c r="H59" i="34" s="1"/>
  <c r="J59" i="34" s="1"/>
  <c r="C59" i="34"/>
  <c r="D60" i="34"/>
  <c r="I45" i="34"/>
  <c r="K45" i="34" s="1"/>
  <c r="L45" i="34" s="1"/>
  <c r="M45" i="34" s="1"/>
  <c r="S30" i="34" s="1"/>
  <c r="W30" i="34" s="1"/>
  <c r="G46" i="34"/>
  <c r="I45" i="21"/>
  <c r="K45" i="21" s="1"/>
  <c r="L45" i="21" s="1"/>
  <c r="M45" i="21" s="1"/>
  <c r="S30" i="21" s="1"/>
  <c r="W30" i="21" s="1"/>
  <c r="G46" i="21"/>
  <c r="F59" i="21"/>
  <c r="C59" i="21"/>
  <c r="D60" i="21"/>
  <c r="H58" i="37" l="1"/>
  <c r="J58" i="37" s="1"/>
  <c r="H59" i="21"/>
  <c r="J59" i="21" s="1"/>
  <c r="C59" i="37"/>
  <c r="D60" i="37"/>
  <c r="I47" i="37"/>
  <c r="K47" i="37" s="1"/>
  <c r="L47" i="37" s="1"/>
  <c r="M47" i="37" s="1"/>
  <c r="S32" i="37" s="1"/>
  <c r="W32" i="37" s="1"/>
  <c r="G48" i="37"/>
  <c r="W27" i="37"/>
  <c r="T30" i="34"/>
  <c r="X30" i="21"/>
  <c r="F60" i="34"/>
  <c r="H60" i="34" s="1"/>
  <c r="J60" i="34" s="1"/>
  <c r="D61" i="34"/>
  <c r="C60" i="34"/>
  <c r="G47" i="34"/>
  <c r="I46" i="34"/>
  <c r="K46" i="34" s="1"/>
  <c r="L46" i="34" s="1"/>
  <c r="M46" i="34" s="1"/>
  <c r="S31" i="34" s="1"/>
  <c r="W31" i="34" s="1"/>
  <c r="G47" i="21"/>
  <c r="I46" i="21"/>
  <c r="K46" i="21" s="1"/>
  <c r="L46" i="21" s="1"/>
  <c r="M46" i="21" s="1"/>
  <c r="S31" i="21" s="1"/>
  <c r="W31" i="21" s="1"/>
  <c r="D61" i="21"/>
  <c r="F61" i="21" s="1"/>
  <c r="C60" i="21"/>
  <c r="F60" i="21"/>
  <c r="T30" i="21"/>
  <c r="X30" i="34"/>
  <c r="H59" i="37" l="1"/>
  <c r="J59" i="37" s="1"/>
  <c r="H60" i="21"/>
  <c r="J60" i="21" s="1"/>
  <c r="I48" i="37"/>
  <c r="K48" i="37" s="1"/>
  <c r="L48" i="37" s="1"/>
  <c r="M48" i="37" s="1"/>
  <c r="G49" i="37"/>
  <c r="D61" i="37"/>
  <c r="C60" i="37"/>
  <c r="F61" i="37"/>
  <c r="F60" i="37"/>
  <c r="H60" i="37" s="1"/>
  <c r="J60" i="37" s="1"/>
  <c r="T32" i="37"/>
  <c r="X27" i="37"/>
  <c r="X28" i="37" s="1"/>
  <c r="X29" i="37" s="1"/>
  <c r="X30" i="37" s="1"/>
  <c r="X31" i="37" s="1"/>
  <c r="X32" i="37" s="1"/>
  <c r="X31" i="21"/>
  <c r="T31" i="21"/>
  <c r="I47" i="34"/>
  <c r="K47" i="34" s="1"/>
  <c r="L47" i="34" s="1"/>
  <c r="M47" i="34" s="1"/>
  <c r="S32" i="34" s="1"/>
  <c r="W32" i="34" s="1"/>
  <c r="G48" i="34"/>
  <c r="I47" i="21"/>
  <c r="K47" i="21" s="1"/>
  <c r="L47" i="21" s="1"/>
  <c r="M47" i="21" s="1"/>
  <c r="S32" i="21" s="1"/>
  <c r="W32" i="21" s="1"/>
  <c r="G48" i="21"/>
  <c r="T31" i="34"/>
  <c r="X31" i="34"/>
  <c r="C61" i="21"/>
  <c r="D62" i="21"/>
  <c r="C61" i="34"/>
  <c r="D62" i="34"/>
  <c r="F61" i="34"/>
  <c r="H61" i="34" s="1"/>
  <c r="J61" i="34" s="1"/>
  <c r="H61" i="21" l="1"/>
  <c r="J61" i="21" s="1"/>
  <c r="S33" i="37"/>
  <c r="T33" i="37"/>
  <c r="H61" i="37"/>
  <c r="J61" i="37" s="1"/>
  <c r="C61" i="37"/>
  <c r="D62" i="37"/>
  <c r="F62" i="37"/>
  <c r="H62" i="37" s="1"/>
  <c r="J62" i="37" s="1"/>
  <c r="I49" i="37"/>
  <c r="K49" i="37" s="1"/>
  <c r="L49" i="37" s="1"/>
  <c r="M49" i="37" s="1"/>
  <c r="S34" i="37" s="1"/>
  <c r="G50" i="37"/>
  <c r="X32" i="21"/>
  <c r="X32" i="34"/>
  <c r="T32" i="21"/>
  <c r="G49" i="34"/>
  <c r="I48" i="34"/>
  <c r="K48" i="34" s="1"/>
  <c r="L48" i="34" s="1"/>
  <c r="M48" i="34" s="1"/>
  <c r="S33" i="34" s="1"/>
  <c r="W33" i="34" s="1"/>
  <c r="T32" i="34"/>
  <c r="F62" i="34"/>
  <c r="H62" i="34" s="1"/>
  <c r="J62" i="34" s="1"/>
  <c r="C62" i="34"/>
  <c r="D63" i="34"/>
  <c r="C62" i="21"/>
  <c r="F62" i="21"/>
  <c r="D63" i="21"/>
  <c r="I48" i="21"/>
  <c r="K48" i="21" s="1"/>
  <c r="L48" i="21" s="1"/>
  <c r="M48" i="21" s="1"/>
  <c r="S33" i="21" s="1"/>
  <c r="W33" i="21" s="1"/>
  <c r="G49" i="21"/>
  <c r="H62" i="21" l="1"/>
  <c r="J62" i="21" s="1"/>
  <c r="T34" i="37"/>
  <c r="W34" i="37"/>
  <c r="D63" i="37"/>
  <c r="C62" i="37"/>
  <c r="I50" i="37"/>
  <c r="K50" i="37" s="1"/>
  <c r="L50" i="37" s="1"/>
  <c r="M50" i="37" s="1"/>
  <c r="S35" i="37" s="1"/>
  <c r="W35" i="37" s="1"/>
  <c r="G51" i="37"/>
  <c r="W33" i="37"/>
  <c r="X33" i="21"/>
  <c r="T33" i="21"/>
  <c r="X33" i="34"/>
  <c r="T33" i="34"/>
  <c r="I49" i="34"/>
  <c r="K49" i="34" s="1"/>
  <c r="L49" i="34" s="1"/>
  <c r="M49" i="34" s="1"/>
  <c r="S34" i="34" s="1"/>
  <c r="G50" i="34"/>
  <c r="I49" i="21"/>
  <c r="K49" i="21" s="1"/>
  <c r="L49" i="21" s="1"/>
  <c r="M49" i="21" s="1"/>
  <c r="S34" i="21" s="1"/>
  <c r="W34" i="21" s="1"/>
  <c r="G50" i="21"/>
  <c r="F63" i="34"/>
  <c r="H63" i="34" s="1"/>
  <c r="J63" i="34" s="1"/>
  <c r="C63" i="34"/>
  <c r="D64" i="34"/>
  <c r="F63" i="21"/>
  <c r="H63" i="21" s="1"/>
  <c r="J63" i="21" s="1"/>
  <c r="C63" i="21"/>
  <c r="D64" i="21"/>
  <c r="F63" i="37" l="1"/>
  <c r="H63" i="37" s="1"/>
  <c r="J63" i="37" s="1"/>
  <c r="C63" i="37"/>
  <c r="D64" i="37"/>
  <c r="X33" i="37"/>
  <c r="X34" i="37" s="1"/>
  <c r="X35" i="37" s="1"/>
  <c r="I51" i="37"/>
  <c r="K51" i="37" s="1"/>
  <c r="L51" i="37" s="1"/>
  <c r="M51" i="37" s="1"/>
  <c r="G52" i="37"/>
  <c r="T35" i="37"/>
  <c r="X34" i="21"/>
  <c r="T34" i="21"/>
  <c r="I50" i="34"/>
  <c r="K50" i="34" s="1"/>
  <c r="L50" i="34" s="1"/>
  <c r="M50" i="34" s="1"/>
  <c r="S35" i="34" s="1"/>
  <c r="W35" i="34" s="1"/>
  <c r="G51" i="34"/>
  <c r="T34" i="34"/>
  <c r="W34" i="34"/>
  <c r="X34" i="34" s="1"/>
  <c r="F64" i="21"/>
  <c r="D65" i="21"/>
  <c r="C64" i="21"/>
  <c r="D65" i="34"/>
  <c r="F64" i="34"/>
  <c r="H64" i="34" s="1"/>
  <c r="J64" i="34" s="1"/>
  <c r="C64" i="34"/>
  <c r="I50" i="21"/>
  <c r="K50" i="21" s="1"/>
  <c r="L50" i="21" s="1"/>
  <c r="M50" i="21" s="1"/>
  <c r="S35" i="21" s="1"/>
  <c r="W35" i="21" s="1"/>
  <c r="G51" i="21"/>
  <c r="X35" i="21" l="1"/>
  <c r="S36" i="37"/>
  <c r="T36" i="37"/>
  <c r="I52" i="37"/>
  <c r="K52" i="37" s="1"/>
  <c r="L52" i="37" s="1"/>
  <c r="M52" i="37" s="1"/>
  <c r="S37" i="37" s="1"/>
  <c r="W37" i="37" s="1"/>
  <c r="G53" i="37"/>
  <c r="F64" i="37"/>
  <c r="H64" i="37" s="1"/>
  <c r="J64" i="37" s="1"/>
  <c r="D65" i="37"/>
  <c r="F65" i="37" s="1"/>
  <c r="C64" i="37"/>
  <c r="T35" i="21"/>
  <c r="C65" i="34"/>
  <c r="F65" i="34"/>
  <c r="D89" i="34"/>
  <c r="D90" i="34"/>
  <c r="D66" i="34"/>
  <c r="F66" i="34" s="1"/>
  <c r="F65" i="21"/>
  <c r="F89" i="21" s="1"/>
  <c r="D66" i="21"/>
  <c r="F66" i="21" s="1"/>
  <c r="D89" i="21"/>
  <c r="C65" i="21"/>
  <c r="D90" i="21"/>
  <c r="H64" i="21"/>
  <c r="J64" i="21" s="1"/>
  <c r="I51" i="21"/>
  <c r="K51" i="21" s="1"/>
  <c r="L51" i="21" s="1"/>
  <c r="M51" i="21" s="1"/>
  <c r="S36" i="21" s="1"/>
  <c r="W36" i="21" s="1"/>
  <c r="X36" i="21" s="1"/>
  <c r="G52" i="21"/>
  <c r="I51" i="34"/>
  <c r="K51" i="34" s="1"/>
  <c r="L51" i="34" s="1"/>
  <c r="M51" i="34" s="1"/>
  <c r="S36" i="34" s="1"/>
  <c r="W36" i="34" s="1"/>
  <c r="G52" i="34"/>
  <c r="X35" i="34"/>
  <c r="T35" i="34"/>
  <c r="D66" i="37" l="1"/>
  <c r="F66" i="37" s="1"/>
  <c r="C65" i="37"/>
  <c r="D89" i="37"/>
  <c r="D90" i="37"/>
  <c r="H65" i="37"/>
  <c r="F89" i="37"/>
  <c r="T37" i="37"/>
  <c r="G86" i="37"/>
  <c r="I53" i="37"/>
  <c r="G87" i="37"/>
  <c r="W36" i="37"/>
  <c r="T36" i="34"/>
  <c r="X36" i="34"/>
  <c r="H65" i="34"/>
  <c r="F89" i="34"/>
  <c r="E54" i="34"/>
  <c r="E62" i="34"/>
  <c r="C89" i="34"/>
  <c r="E64" i="34"/>
  <c r="C90" i="34"/>
  <c r="E55" i="34"/>
  <c r="E63" i="34"/>
  <c r="E65" i="34"/>
  <c r="E56" i="34"/>
  <c r="E61" i="34"/>
  <c r="E59" i="34"/>
  <c r="E60" i="34"/>
  <c r="E58" i="34"/>
  <c r="E57" i="34"/>
  <c r="I52" i="34"/>
  <c r="K52" i="34" s="1"/>
  <c r="L52" i="34" s="1"/>
  <c r="M52" i="34" s="1"/>
  <c r="S37" i="34" s="1"/>
  <c r="G53" i="34"/>
  <c r="I52" i="21"/>
  <c r="K52" i="21" s="1"/>
  <c r="L52" i="21" s="1"/>
  <c r="M52" i="21" s="1"/>
  <c r="S37" i="21" s="1"/>
  <c r="W37" i="21" s="1"/>
  <c r="X37" i="21" s="1"/>
  <c r="G53" i="21"/>
  <c r="E54" i="21"/>
  <c r="E55" i="21"/>
  <c r="E56" i="21"/>
  <c r="E61" i="21"/>
  <c r="E60" i="21"/>
  <c r="C89" i="21"/>
  <c r="E62" i="21"/>
  <c r="E65" i="21"/>
  <c r="E63" i="21"/>
  <c r="E64" i="21"/>
  <c r="E57" i="21"/>
  <c r="E58" i="21"/>
  <c r="E59" i="21"/>
  <c r="C90" i="21"/>
  <c r="C66" i="21"/>
  <c r="D67" i="21"/>
  <c r="D67" i="34"/>
  <c r="C66" i="34"/>
  <c r="T36" i="21"/>
  <c r="H65" i="21"/>
  <c r="C89" i="37" l="1"/>
  <c r="E59" i="37"/>
  <c r="E55" i="37"/>
  <c r="E62" i="37"/>
  <c r="E57" i="37"/>
  <c r="E61" i="37"/>
  <c r="E64" i="37"/>
  <c r="C90" i="37"/>
  <c r="E60" i="37"/>
  <c r="E56" i="37"/>
  <c r="E63" i="37"/>
  <c r="E65" i="37"/>
  <c r="E54" i="37"/>
  <c r="E58" i="37"/>
  <c r="I86" i="37"/>
  <c r="I87" i="37"/>
  <c r="K53" i="37"/>
  <c r="H66" i="37"/>
  <c r="J66" i="37" s="1"/>
  <c r="H89" i="37"/>
  <c r="H90" i="37"/>
  <c r="X36" i="37"/>
  <c r="X37" i="37" s="1"/>
  <c r="J65" i="37"/>
  <c r="D67" i="37"/>
  <c r="F67" i="37" s="1"/>
  <c r="C66" i="37"/>
  <c r="T37" i="21"/>
  <c r="F67" i="21"/>
  <c r="D68" i="21"/>
  <c r="F68" i="21" s="1"/>
  <c r="C67" i="21"/>
  <c r="H66" i="34"/>
  <c r="J66" i="34" s="1"/>
  <c r="H89" i="34"/>
  <c r="H90" i="34"/>
  <c r="J65" i="34"/>
  <c r="G86" i="21"/>
  <c r="I53" i="21"/>
  <c r="G87" i="21"/>
  <c r="H90" i="21"/>
  <c r="H89" i="21"/>
  <c r="J65" i="21"/>
  <c r="I53" i="34"/>
  <c r="G86" i="34"/>
  <c r="G87" i="34"/>
  <c r="H66" i="21"/>
  <c r="J66" i="21" s="1"/>
  <c r="W37" i="34"/>
  <c r="X37" i="34" s="1"/>
  <c r="T37" i="34"/>
  <c r="G54" i="34"/>
  <c r="E89" i="34"/>
  <c r="F67" i="34"/>
  <c r="D68" i="34"/>
  <c r="F68" i="34" s="1"/>
  <c r="C67" i="34"/>
  <c r="E89" i="21"/>
  <c r="G54" i="21"/>
  <c r="H67" i="37" l="1"/>
  <c r="J67" i="37" s="1"/>
  <c r="C67" i="37"/>
  <c r="D68" i="37"/>
  <c r="F68" i="37" s="1"/>
  <c r="J89" i="37"/>
  <c r="J90" i="37"/>
  <c r="G54" i="37"/>
  <c r="I54" i="37" s="1"/>
  <c r="K54" i="37" s="1"/>
  <c r="L54" i="37" s="1"/>
  <c r="E89" i="37"/>
  <c r="K86" i="37"/>
  <c r="L53" i="37"/>
  <c r="K87" i="37"/>
  <c r="H67" i="34"/>
  <c r="J67" i="34" s="1"/>
  <c r="J89" i="34"/>
  <c r="J90" i="34"/>
  <c r="J89" i="21"/>
  <c r="J90" i="21"/>
  <c r="C68" i="34"/>
  <c r="D69" i="34"/>
  <c r="K53" i="34"/>
  <c r="I86" i="34"/>
  <c r="I87" i="34"/>
  <c r="D69" i="21"/>
  <c r="C68" i="21"/>
  <c r="I54" i="21"/>
  <c r="K54" i="21" s="1"/>
  <c r="L54" i="21" s="1"/>
  <c r="G55" i="21"/>
  <c r="H67" i="21"/>
  <c r="J67" i="21" s="1"/>
  <c r="I54" i="34"/>
  <c r="K54" i="34" s="1"/>
  <c r="L54" i="34" s="1"/>
  <c r="G55" i="34"/>
  <c r="K53" i="21"/>
  <c r="I86" i="21"/>
  <c r="I87" i="21"/>
  <c r="H68" i="37" l="1"/>
  <c r="J68" i="37" s="1"/>
  <c r="L86" i="37"/>
  <c r="T52" i="37"/>
  <c r="M53" i="37"/>
  <c r="L87" i="37"/>
  <c r="G55" i="37"/>
  <c r="M54" i="37"/>
  <c r="D69" i="37"/>
  <c r="C68" i="37"/>
  <c r="H68" i="34"/>
  <c r="J68" i="34" s="1"/>
  <c r="D70" i="34"/>
  <c r="C69" i="34"/>
  <c r="F69" i="34"/>
  <c r="I55" i="21"/>
  <c r="K55" i="21" s="1"/>
  <c r="L55" i="21" s="1"/>
  <c r="M55" i="21" s="1"/>
  <c r="S54" i="21" s="1"/>
  <c r="W54" i="21" s="1"/>
  <c r="G56" i="21"/>
  <c r="L53" i="21"/>
  <c r="M54" i="21" s="1"/>
  <c r="S53" i="21" s="1"/>
  <c r="W53" i="21" s="1"/>
  <c r="K86" i="21"/>
  <c r="K87" i="21"/>
  <c r="I55" i="34"/>
  <c r="K55" i="34" s="1"/>
  <c r="L55" i="34" s="1"/>
  <c r="M55" i="34" s="1"/>
  <c r="S54" i="34" s="1"/>
  <c r="W54" i="34" s="1"/>
  <c r="G56" i="34"/>
  <c r="H68" i="21"/>
  <c r="J68" i="21" s="1"/>
  <c r="K87" i="34"/>
  <c r="K86" i="34"/>
  <c r="L53" i="34"/>
  <c r="F69" i="21"/>
  <c r="D70" i="21"/>
  <c r="C69" i="21"/>
  <c r="D70" i="37" l="1"/>
  <c r="C69" i="37"/>
  <c r="F70" i="37"/>
  <c r="S53" i="37"/>
  <c r="T53" i="37" s="1"/>
  <c r="X52" i="37"/>
  <c r="I55" i="37"/>
  <c r="K55" i="37" s="1"/>
  <c r="L55" i="37" s="1"/>
  <c r="M55" i="37" s="1"/>
  <c r="S54" i="37" s="1"/>
  <c r="W54" i="37" s="1"/>
  <c r="G56" i="37"/>
  <c r="S52" i="37"/>
  <c r="S38" i="37"/>
  <c r="M86" i="37"/>
  <c r="F69" i="37"/>
  <c r="H69" i="34"/>
  <c r="J69" i="34" s="1"/>
  <c r="H69" i="21"/>
  <c r="J69" i="21" s="1"/>
  <c r="L86" i="34"/>
  <c r="L87" i="34"/>
  <c r="M53" i="34"/>
  <c r="M54" i="34"/>
  <c r="S53" i="34" s="1"/>
  <c r="T52" i="34"/>
  <c r="X52" i="34" s="1"/>
  <c r="F70" i="34"/>
  <c r="D71" i="34"/>
  <c r="C70" i="34"/>
  <c r="G57" i="34"/>
  <c r="I56" i="34"/>
  <c r="K56" i="34" s="1"/>
  <c r="L56" i="34" s="1"/>
  <c r="M56" i="34" s="1"/>
  <c r="S55" i="34" s="1"/>
  <c r="W55" i="34" s="1"/>
  <c r="F70" i="21"/>
  <c r="C70" i="21"/>
  <c r="D71" i="21"/>
  <c r="L86" i="21"/>
  <c r="M53" i="21"/>
  <c r="T52" i="21"/>
  <c r="X52" i="21" s="1"/>
  <c r="X53" i="21" s="1"/>
  <c r="X54" i="21" s="1"/>
  <c r="L87" i="21"/>
  <c r="I56" i="21"/>
  <c r="K56" i="21" s="1"/>
  <c r="L56" i="21" s="1"/>
  <c r="M56" i="21" s="1"/>
  <c r="S55" i="21" s="1"/>
  <c r="W55" i="21" s="1"/>
  <c r="G57" i="21"/>
  <c r="I56" i="37" l="1"/>
  <c r="K56" i="37" s="1"/>
  <c r="L56" i="37" s="1"/>
  <c r="M56" i="37" s="1"/>
  <c r="S55" i="37" s="1"/>
  <c r="W55" i="37" s="1"/>
  <c r="G57" i="37"/>
  <c r="W53" i="37"/>
  <c r="H69" i="37"/>
  <c r="J69" i="37" s="1"/>
  <c r="W38" i="37"/>
  <c r="S39" i="37"/>
  <c r="T38" i="37"/>
  <c r="X53" i="37"/>
  <c r="X54" i="37" s="1"/>
  <c r="X55" i="37" s="1"/>
  <c r="T54" i="37"/>
  <c r="T55" i="37" s="1"/>
  <c r="D71" i="37"/>
  <c r="C70" i="37"/>
  <c r="F71" i="37"/>
  <c r="H70" i="34"/>
  <c r="J70" i="34" s="1"/>
  <c r="H70" i="21"/>
  <c r="J70" i="21" s="1"/>
  <c r="T53" i="21"/>
  <c r="T54" i="21" s="1"/>
  <c r="T55" i="21" s="1"/>
  <c r="T53" i="34"/>
  <c r="T54" i="34" s="1"/>
  <c r="T55" i="34" s="1"/>
  <c r="G58" i="21"/>
  <c r="I57" i="21"/>
  <c r="K57" i="21" s="1"/>
  <c r="L57" i="21" s="1"/>
  <c r="M57" i="21" s="1"/>
  <c r="S56" i="21" s="1"/>
  <c r="W56" i="21" s="1"/>
  <c r="F71" i="34"/>
  <c r="C71" i="34"/>
  <c r="D72" i="34"/>
  <c r="S38" i="34"/>
  <c r="S52" i="34"/>
  <c r="M86" i="34"/>
  <c r="X55" i="21"/>
  <c r="D72" i="21"/>
  <c r="C71" i="21"/>
  <c r="F71" i="21"/>
  <c r="I57" i="34"/>
  <c r="K57" i="34" s="1"/>
  <c r="L57" i="34" s="1"/>
  <c r="M57" i="34" s="1"/>
  <c r="S56" i="34" s="1"/>
  <c r="G58" i="34"/>
  <c r="W53" i="34"/>
  <c r="X53" i="34" s="1"/>
  <c r="X54" i="34" s="1"/>
  <c r="X55" i="34" s="1"/>
  <c r="M86" i="21"/>
  <c r="S52" i="21"/>
  <c r="S38" i="21"/>
  <c r="H71" i="34" l="1"/>
  <c r="J71" i="34" s="1"/>
  <c r="D72" i="37"/>
  <c r="C71" i="37"/>
  <c r="F72" i="37"/>
  <c r="T41" i="37"/>
  <c r="T39" i="37"/>
  <c r="H70" i="37"/>
  <c r="J70" i="37" s="1"/>
  <c r="I57" i="37"/>
  <c r="K57" i="37" s="1"/>
  <c r="L57" i="37" s="1"/>
  <c r="M57" i="37" s="1"/>
  <c r="G58" i="37"/>
  <c r="W39" i="37"/>
  <c r="X38" i="37"/>
  <c r="X41" i="37" s="1"/>
  <c r="C96" i="37" s="1"/>
  <c r="H71" i="21"/>
  <c r="J71" i="21" s="1"/>
  <c r="X56" i="21"/>
  <c r="T56" i="21"/>
  <c r="C72" i="21"/>
  <c r="D73" i="21"/>
  <c r="F72" i="21"/>
  <c r="I58" i="21"/>
  <c r="K58" i="21" s="1"/>
  <c r="L58" i="21" s="1"/>
  <c r="M58" i="21" s="1"/>
  <c r="S57" i="21" s="1"/>
  <c r="W57" i="21" s="1"/>
  <c r="G59" i="21"/>
  <c r="W38" i="34"/>
  <c r="S39" i="34"/>
  <c r="T38" i="34"/>
  <c r="F72" i="34"/>
  <c r="H72" i="34" s="1"/>
  <c r="J72" i="34" s="1"/>
  <c r="D73" i="34"/>
  <c r="C72" i="34"/>
  <c r="S39" i="21"/>
  <c r="T38" i="21"/>
  <c r="W38" i="21"/>
  <c r="I58" i="34"/>
  <c r="K58" i="34" s="1"/>
  <c r="L58" i="34" s="1"/>
  <c r="M58" i="34" s="1"/>
  <c r="S57" i="34" s="1"/>
  <c r="W57" i="34" s="1"/>
  <c r="G59" i="34"/>
  <c r="W56" i="34"/>
  <c r="X56" i="34" s="1"/>
  <c r="T56" i="34"/>
  <c r="I58" i="37" l="1"/>
  <c r="K58" i="37" s="1"/>
  <c r="L58" i="37" s="1"/>
  <c r="M58" i="37" s="1"/>
  <c r="S57" i="37" s="1"/>
  <c r="W57" i="37" s="1"/>
  <c r="G59" i="37"/>
  <c r="S56" i="37"/>
  <c r="D73" i="37"/>
  <c r="C72" i="37"/>
  <c r="F73" i="37"/>
  <c r="H71" i="37"/>
  <c r="J71" i="37" s="1"/>
  <c r="H72" i="21"/>
  <c r="J72" i="21" s="1"/>
  <c r="X57" i="34"/>
  <c r="T57" i="21"/>
  <c r="I59" i="21"/>
  <c r="K59" i="21" s="1"/>
  <c r="L59" i="21" s="1"/>
  <c r="M59" i="21" s="1"/>
  <c r="S58" i="21" s="1"/>
  <c r="W58" i="21" s="1"/>
  <c r="G60" i="21"/>
  <c r="T41" i="34"/>
  <c r="T39" i="34"/>
  <c r="W39" i="21"/>
  <c r="X38" i="21"/>
  <c r="T39" i="21"/>
  <c r="T41" i="21"/>
  <c r="X38" i="34"/>
  <c r="X41" i="34" s="1"/>
  <c r="C96" i="34" s="1"/>
  <c r="W39" i="34"/>
  <c r="F73" i="21"/>
  <c r="D74" i="21"/>
  <c r="C73" i="21"/>
  <c r="D74" i="34"/>
  <c r="C73" i="34"/>
  <c r="F73" i="34"/>
  <c r="H73" i="34" s="1"/>
  <c r="J73" i="34" s="1"/>
  <c r="G60" i="34"/>
  <c r="I59" i="34"/>
  <c r="K59" i="34" s="1"/>
  <c r="L59" i="34" s="1"/>
  <c r="M59" i="34" s="1"/>
  <c r="S58" i="34" s="1"/>
  <c r="W58" i="34" s="1"/>
  <c r="T57" i="34"/>
  <c r="X57" i="21"/>
  <c r="X41" i="21" l="1"/>
  <c r="D74" i="37"/>
  <c r="C73" i="37"/>
  <c r="H72" i="37"/>
  <c r="J72" i="37" s="1"/>
  <c r="I59" i="37"/>
  <c r="K59" i="37" s="1"/>
  <c r="L59" i="37" s="1"/>
  <c r="M59" i="37" s="1"/>
  <c r="G60" i="37"/>
  <c r="C96" i="21"/>
  <c r="W56" i="37"/>
  <c r="T56" i="37"/>
  <c r="T57" i="37" s="1"/>
  <c r="H73" i="21"/>
  <c r="J73" i="21" s="1"/>
  <c r="X58" i="21"/>
  <c r="T58" i="34"/>
  <c r="F74" i="21"/>
  <c r="H74" i="21" s="1"/>
  <c r="J74" i="21" s="1"/>
  <c r="C74" i="21"/>
  <c r="D75" i="21"/>
  <c r="F74" i="34"/>
  <c r="H74" i="34" s="1"/>
  <c r="J74" i="34" s="1"/>
  <c r="D75" i="34"/>
  <c r="C74" i="34"/>
  <c r="T58" i="21"/>
  <c r="I60" i="34"/>
  <c r="K60" i="34" s="1"/>
  <c r="L60" i="34" s="1"/>
  <c r="M60" i="34" s="1"/>
  <c r="S59" i="34" s="1"/>
  <c r="W59" i="34" s="1"/>
  <c r="G61" i="34"/>
  <c r="I60" i="21"/>
  <c r="K60" i="21" s="1"/>
  <c r="L60" i="21" s="1"/>
  <c r="M60" i="21" s="1"/>
  <c r="S59" i="21" s="1"/>
  <c r="W59" i="21" s="1"/>
  <c r="G61" i="21"/>
  <c r="X58" i="34"/>
  <c r="S58" i="37" l="1"/>
  <c r="X56" i="37"/>
  <c r="X57" i="37" s="1"/>
  <c r="I60" i="37"/>
  <c r="K60" i="37" s="1"/>
  <c r="L60" i="37" s="1"/>
  <c r="M60" i="37" s="1"/>
  <c r="S59" i="37" s="1"/>
  <c r="W59" i="37" s="1"/>
  <c r="G61" i="37"/>
  <c r="H73" i="37"/>
  <c r="J73" i="37" s="1"/>
  <c r="F74" i="37"/>
  <c r="H74" i="37" s="1"/>
  <c r="J74" i="37" s="1"/>
  <c r="D75" i="37"/>
  <c r="C74" i="37"/>
  <c r="T58" i="37"/>
  <c r="X59" i="21"/>
  <c r="X59" i="34"/>
  <c r="D76" i="34"/>
  <c r="C75" i="34"/>
  <c r="F75" i="34"/>
  <c r="H75" i="34" s="1"/>
  <c r="J75" i="34" s="1"/>
  <c r="C75" i="21"/>
  <c r="F75" i="21"/>
  <c r="H75" i="21" s="1"/>
  <c r="J75" i="21" s="1"/>
  <c r="D76" i="21"/>
  <c r="G62" i="21"/>
  <c r="I61" i="21"/>
  <c r="K61" i="21" s="1"/>
  <c r="L61" i="21" s="1"/>
  <c r="M61" i="21" s="1"/>
  <c r="S60" i="21" s="1"/>
  <c r="W60" i="21" s="1"/>
  <c r="T59" i="21"/>
  <c r="T59" i="34"/>
  <c r="G62" i="34"/>
  <c r="I61" i="34"/>
  <c r="K61" i="34" s="1"/>
  <c r="L61" i="34" s="1"/>
  <c r="M61" i="34" s="1"/>
  <c r="S60" i="34" s="1"/>
  <c r="W60" i="34" s="1"/>
  <c r="T59" i="37" l="1"/>
  <c r="F75" i="37"/>
  <c r="H75" i="37" s="1"/>
  <c r="J75" i="37" s="1"/>
  <c r="D76" i="37"/>
  <c r="C75" i="37"/>
  <c r="F76" i="37"/>
  <c r="I61" i="37"/>
  <c r="K61" i="37" s="1"/>
  <c r="L61" i="37" s="1"/>
  <c r="M61" i="37" s="1"/>
  <c r="S60" i="37" s="1"/>
  <c r="W60" i="37" s="1"/>
  <c r="G62" i="37"/>
  <c r="W58" i="37"/>
  <c r="X60" i="34"/>
  <c r="T60" i="21"/>
  <c r="D77" i="34"/>
  <c r="D78" i="34" s="1"/>
  <c r="C76" i="34"/>
  <c r="F76" i="21"/>
  <c r="D77" i="21"/>
  <c r="C76" i="21"/>
  <c r="G63" i="21"/>
  <c r="I62" i="21"/>
  <c r="K62" i="21" s="1"/>
  <c r="L62" i="21" s="1"/>
  <c r="M62" i="21" s="1"/>
  <c r="S61" i="21" s="1"/>
  <c r="W61" i="21" s="1"/>
  <c r="F76" i="34"/>
  <c r="H76" i="34" s="1"/>
  <c r="J76" i="34" s="1"/>
  <c r="I62" i="34"/>
  <c r="K62" i="34" s="1"/>
  <c r="L62" i="34" s="1"/>
  <c r="M62" i="34" s="1"/>
  <c r="S61" i="34" s="1"/>
  <c r="W61" i="34" s="1"/>
  <c r="G63" i="34"/>
  <c r="T60" i="34"/>
  <c r="X60" i="21"/>
  <c r="H76" i="37" l="1"/>
  <c r="J76" i="37" s="1"/>
  <c r="I62" i="37"/>
  <c r="K62" i="37" s="1"/>
  <c r="L62" i="37" s="1"/>
  <c r="M62" i="37" s="1"/>
  <c r="S61" i="37" s="1"/>
  <c r="W61" i="37" s="1"/>
  <c r="G63" i="37"/>
  <c r="X58" i="37"/>
  <c r="X59" i="37" s="1"/>
  <c r="X60" i="37" s="1"/>
  <c r="D77" i="37"/>
  <c r="F77" i="37" s="1"/>
  <c r="C76" i="37"/>
  <c r="T60" i="37"/>
  <c r="T61" i="37" s="1"/>
  <c r="F77" i="21"/>
  <c r="F92" i="21" s="1"/>
  <c r="D78" i="21"/>
  <c r="X61" i="34"/>
  <c r="T61" i="34"/>
  <c r="I63" i="21"/>
  <c r="K63" i="21" s="1"/>
  <c r="L63" i="21" s="1"/>
  <c r="M63" i="21" s="1"/>
  <c r="S62" i="21" s="1"/>
  <c r="W62" i="21" s="1"/>
  <c r="G64" i="21"/>
  <c r="F77" i="34"/>
  <c r="C77" i="34"/>
  <c r="D93" i="34"/>
  <c r="D92" i="34"/>
  <c r="D95" i="34" s="1"/>
  <c r="I63" i="34"/>
  <c r="K63" i="34" s="1"/>
  <c r="L63" i="34" s="1"/>
  <c r="M63" i="34" s="1"/>
  <c r="S62" i="34" s="1"/>
  <c r="W62" i="34" s="1"/>
  <c r="G64" i="34"/>
  <c r="X61" i="21"/>
  <c r="D92" i="21"/>
  <c r="D95" i="21" s="1"/>
  <c r="C77" i="21"/>
  <c r="D93" i="21"/>
  <c r="T61" i="21"/>
  <c r="H76" i="21"/>
  <c r="J76" i="21" s="1"/>
  <c r="X61" i="37" l="1"/>
  <c r="F95" i="21"/>
  <c r="H77" i="37"/>
  <c r="F92" i="37"/>
  <c r="F95" i="37" s="1"/>
  <c r="D78" i="37"/>
  <c r="D92" i="37"/>
  <c r="D95" i="37" s="1"/>
  <c r="C77" i="37"/>
  <c r="J77" i="37"/>
  <c r="D93" i="37"/>
  <c r="I63" i="37"/>
  <c r="K63" i="37" s="1"/>
  <c r="L63" i="37" s="1"/>
  <c r="M63" i="37" s="1"/>
  <c r="S62" i="37" s="1"/>
  <c r="T62" i="37" s="1"/>
  <c r="G64" i="37"/>
  <c r="X62" i="34"/>
  <c r="T62" i="21"/>
  <c r="X62" i="21"/>
  <c r="T62" i="34"/>
  <c r="E76" i="34"/>
  <c r="C93" i="34"/>
  <c r="E70" i="34"/>
  <c r="E67" i="34"/>
  <c r="E72" i="34"/>
  <c r="E73" i="34"/>
  <c r="E69" i="34"/>
  <c r="C92" i="34"/>
  <c r="C95" i="34" s="1"/>
  <c r="E75" i="34"/>
  <c r="E71" i="34"/>
  <c r="E77" i="34"/>
  <c r="E66" i="34"/>
  <c r="E74" i="34"/>
  <c r="E68" i="34"/>
  <c r="H77" i="34"/>
  <c r="F92" i="34"/>
  <c r="F95" i="34" s="1"/>
  <c r="I64" i="21"/>
  <c r="K64" i="21" s="1"/>
  <c r="L64" i="21" s="1"/>
  <c r="M64" i="21" s="1"/>
  <c r="S63" i="21" s="1"/>
  <c r="G65" i="21"/>
  <c r="E76" i="21"/>
  <c r="E71" i="21"/>
  <c r="E73" i="21"/>
  <c r="E70" i="21"/>
  <c r="E68" i="21"/>
  <c r="E74" i="21"/>
  <c r="E75" i="21"/>
  <c r="E69" i="21"/>
  <c r="E77" i="21"/>
  <c r="C93" i="21"/>
  <c r="E66" i="21"/>
  <c r="C92" i="21"/>
  <c r="C95" i="21" s="1"/>
  <c r="E72" i="21"/>
  <c r="E67" i="21"/>
  <c r="H77" i="21"/>
  <c r="I64" i="34"/>
  <c r="K64" i="34" s="1"/>
  <c r="L64" i="34" s="1"/>
  <c r="M64" i="34" s="1"/>
  <c r="S63" i="34" s="1"/>
  <c r="W63" i="34" s="1"/>
  <c r="G65" i="34"/>
  <c r="X63" i="34" l="1"/>
  <c r="J92" i="37"/>
  <c r="J95" i="37"/>
  <c r="J93" i="37"/>
  <c r="H92" i="37"/>
  <c r="H95" i="37"/>
  <c r="F78" i="37"/>
  <c r="H93" i="37"/>
  <c r="I64" i="37"/>
  <c r="K64" i="37" s="1"/>
  <c r="L64" i="37" s="1"/>
  <c r="M64" i="37" s="1"/>
  <c r="S63" i="37" s="1"/>
  <c r="W63" i="37" s="1"/>
  <c r="G65" i="37"/>
  <c r="C92" i="37"/>
  <c r="C95" i="37" s="1"/>
  <c r="E72" i="37"/>
  <c r="E71" i="37"/>
  <c r="E76" i="37"/>
  <c r="E75" i="37"/>
  <c r="E66" i="37"/>
  <c r="E67" i="37"/>
  <c r="E73" i="37"/>
  <c r="E69" i="37"/>
  <c r="E74" i="37"/>
  <c r="C93" i="37"/>
  <c r="E68" i="37"/>
  <c r="E70" i="37"/>
  <c r="E77" i="37"/>
  <c r="W62" i="37"/>
  <c r="X62" i="37" s="1"/>
  <c r="T63" i="34"/>
  <c r="W63" i="21"/>
  <c r="X63" i="21" s="1"/>
  <c r="T63" i="21"/>
  <c r="G90" i="21"/>
  <c r="I65" i="21"/>
  <c r="G89" i="21"/>
  <c r="H92" i="21"/>
  <c r="H95" i="21" s="1"/>
  <c r="F78" i="21"/>
  <c r="H93" i="21"/>
  <c r="J77" i="21"/>
  <c r="G90" i="34"/>
  <c r="G89" i="34"/>
  <c r="I65" i="34"/>
  <c r="G66" i="34"/>
  <c r="E92" i="34"/>
  <c r="E95" i="34" s="1"/>
  <c r="F78" i="34"/>
  <c r="H92" i="34"/>
  <c r="H95" i="34" s="1"/>
  <c r="H93" i="34"/>
  <c r="J77" i="34"/>
  <c r="G66" i="21"/>
  <c r="I66" i="21" s="1"/>
  <c r="K66" i="21" s="1"/>
  <c r="L66" i="21" s="1"/>
  <c r="E92" i="21"/>
  <c r="E95" i="21" s="1"/>
  <c r="X63" i="37" l="1"/>
  <c r="G89" i="37"/>
  <c r="G90" i="37"/>
  <c r="I65" i="37"/>
  <c r="E92" i="37"/>
  <c r="E95" i="37" s="1"/>
  <c r="G66" i="37"/>
  <c r="I66" i="37" s="1"/>
  <c r="K66" i="37" s="1"/>
  <c r="L66" i="37" s="1"/>
  <c r="T63" i="37"/>
  <c r="I66" i="34"/>
  <c r="K66" i="34" s="1"/>
  <c r="L66" i="34" s="1"/>
  <c r="G67" i="34"/>
  <c r="G67" i="21"/>
  <c r="J92" i="21"/>
  <c r="J95" i="21" s="1"/>
  <c r="J93" i="21"/>
  <c r="I89" i="34"/>
  <c r="K65" i="34"/>
  <c r="I90" i="34"/>
  <c r="I89" i="21"/>
  <c r="K65" i="21"/>
  <c r="I90" i="21"/>
  <c r="J92" i="34"/>
  <c r="J95" i="34" s="1"/>
  <c r="J93" i="34"/>
  <c r="G67" i="37" l="1"/>
  <c r="I89" i="37"/>
  <c r="I90" i="37"/>
  <c r="K65" i="37"/>
  <c r="I67" i="21"/>
  <c r="K67" i="21" s="1"/>
  <c r="L67" i="21" s="1"/>
  <c r="M67" i="21" s="1"/>
  <c r="S80" i="21" s="1"/>
  <c r="W80" i="21" s="1"/>
  <c r="G68" i="21"/>
  <c r="L65" i="21"/>
  <c r="K89" i="21"/>
  <c r="K90" i="21"/>
  <c r="I67" i="34"/>
  <c r="K67" i="34" s="1"/>
  <c r="L67" i="34" s="1"/>
  <c r="M67" i="34" s="1"/>
  <c r="S80" i="34" s="1"/>
  <c r="W80" i="34" s="1"/>
  <c r="G68" i="34"/>
  <c r="K89" i="34"/>
  <c r="L65" i="34"/>
  <c r="K90" i="34"/>
  <c r="I67" i="37" l="1"/>
  <c r="K67" i="37" s="1"/>
  <c r="L67" i="37" s="1"/>
  <c r="M67" i="37" s="1"/>
  <c r="S80" i="37" s="1"/>
  <c r="W80" i="37" s="1"/>
  <c r="G68" i="37"/>
  <c r="K89" i="37"/>
  <c r="L65" i="37"/>
  <c r="K90" i="37"/>
  <c r="T78" i="21"/>
  <c r="L89" i="21"/>
  <c r="L90" i="21"/>
  <c r="M65" i="21"/>
  <c r="M66" i="21"/>
  <c r="S79" i="21" s="1"/>
  <c r="W79" i="21" s="1"/>
  <c r="I68" i="34"/>
  <c r="K68" i="34" s="1"/>
  <c r="L68" i="34" s="1"/>
  <c r="M68" i="34" s="1"/>
  <c r="S81" i="34" s="1"/>
  <c r="W81" i="34" s="1"/>
  <c r="G69" i="34"/>
  <c r="L89" i="34"/>
  <c r="M66" i="34"/>
  <c r="S79" i="34" s="1"/>
  <c r="W79" i="34" s="1"/>
  <c r="M65" i="34"/>
  <c r="T78" i="34"/>
  <c r="X78" i="34" s="1"/>
  <c r="L90" i="34"/>
  <c r="G69" i="21"/>
  <c r="I68" i="21"/>
  <c r="K68" i="21" s="1"/>
  <c r="L68" i="21" s="1"/>
  <c r="M68" i="21" s="1"/>
  <c r="S81" i="21" s="1"/>
  <c r="W81" i="21" s="1"/>
  <c r="L89" i="37" l="1"/>
  <c r="T78" i="37"/>
  <c r="M65" i="37"/>
  <c r="L90" i="37"/>
  <c r="M66" i="37"/>
  <c r="I68" i="37"/>
  <c r="K68" i="37" s="1"/>
  <c r="L68" i="37" s="1"/>
  <c r="M68" i="37" s="1"/>
  <c r="S81" i="37" s="1"/>
  <c r="W81" i="37" s="1"/>
  <c r="G69" i="37"/>
  <c r="T79" i="21"/>
  <c r="T80" i="21" s="1"/>
  <c r="T81" i="21" s="1"/>
  <c r="X78" i="21"/>
  <c r="X79" i="21" s="1"/>
  <c r="X80" i="21" s="1"/>
  <c r="X81" i="21" s="1"/>
  <c r="G70" i="21"/>
  <c r="I69" i="21"/>
  <c r="K69" i="21" s="1"/>
  <c r="L69" i="21" s="1"/>
  <c r="M69" i="21" s="1"/>
  <c r="S82" i="21" s="1"/>
  <c r="W82" i="21" s="1"/>
  <c r="M89" i="21"/>
  <c r="S64" i="21"/>
  <c r="S78" i="21"/>
  <c r="X79" i="34"/>
  <c r="X80" i="34" s="1"/>
  <c r="X81" i="34" s="1"/>
  <c r="M89" i="34"/>
  <c r="S78" i="34"/>
  <c r="S64" i="34"/>
  <c r="T79" i="34"/>
  <c r="T80" i="34" s="1"/>
  <c r="T81" i="34" s="1"/>
  <c r="I69" i="34"/>
  <c r="K69" i="34" s="1"/>
  <c r="L69" i="34" s="1"/>
  <c r="M69" i="34" s="1"/>
  <c r="S82" i="34" s="1"/>
  <c r="W82" i="34" s="1"/>
  <c r="G70" i="34"/>
  <c r="I69" i="37" l="1"/>
  <c r="K69" i="37" s="1"/>
  <c r="L69" i="37" s="1"/>
  <c r="M69" i="37" s="1"/>
  <c r="S82" i="37" s="1"/>
  <c r="W82" i="37" s="1"/>
  <c r="G70" i="37"/>
  <c r="X78" i="37"/>
  <c r="S79" i="37"/>
  <c r="S78" i="37"/>
  <c r="S64" i="37"/>
  <c r="M89" i="37"/>
  <c r="X82" i="34"/>
  <c r="T82" i="21"/>
  <c r="X82" i="21"/>
  <c r="S65" i="21"/>
  <c r="T64" i="21"/>
  <c r="W64" i="21"/>
  <c r="G71" i="34"/>
  <c r="I70" i="34"/>
  <c r="K70" i="34" s="1"/>
  <c r="L70" i="34" s="1"/>
  <c r="M70" i="34" s="1"/>
  <c r="S83" i="34" s="1"/>
  <c r="W83" i="34" s="1"/>
  <c r="T82" i="34"/>
  <c r="G71" i="21"/>
  <c r="I70" i="21"/>
  <c r="K70" i="21" s="1"/>
  <c r="L70" i="21" s="1"/>
  <c r="M70" i="21" s="1"/>
  <c r="S83" i="21" s="1"/>
  <c r="W83" i="21" s="1"/>
  <c r="S65" i="34"/>
  <c r="W64" i="34"/>
  <c r="T64" i="34"/>
  <c r="W79" i="37" l="1"/>
  <c r="X79" i="37" s="1"/>
  <c r="X80" i="37" s="1"/>
  <c r="X81" i="37" s="1"/>
  <c r="X82" i="37" s="1"/>
  <c r="W64" i="37"/>
  <c r="S65" i="37"/>
  <c r="T64" i="37"/>
  <c r="I70" i="37"/>
  <c r="K70" i="37" s="1"/>
  <c r="L70" i="37" s="1"/>
  <c r="M70" i="37" s="1"/>
  <c r="G71" i="37"/>
  <c r="T79" i="37"/>
  <c r="T80" i="37" s="1"/>
  <c r="T81" i="37" s="1"/>
  <c r="T82" i="37" s="1"/>
  <c r="X83" i="21"/>
  <c r="T83" i="21"/>
  <c r="T83" i="34"/>
  <c r="X83" i="34"/>
  <c r="I71" i="34"/>
  <c r="K71" i="34" s="1"/>
  <c r="L71" i="34" s="1"/>
  <c r="M71" i="34" s="1"/>
  <c r="S84" i="34" s="1"/>
  <c r="G72" i="34"/>
  <c r="T67" i="34"/>
  <c r="T65" i="34"/>
  <c r="X64" i="34"/>
  <c r="X67" i="34" s="1"/>
  <c r="C97" i="34" s="1"/>
  <c r="W65" i="34"/>
  <c r="X64" i="21"/>
  <c r="X67" i="21" s="1"/>
  <c r="W65" i="21"/>
  <c r="T67" i="21"/>
  <c r="T65" i="21"/>
  <c r="I71" i="21"/>
  <c r="K71" i="21" s="1"/>
  <c r="L71" i="21" s="1"/>
  <c r="M71" i="21" s="1"/>
  <c r="S84" i="21" s="1"/>
  <c r="G72" i="21"/>
  <c r="S83" i="37" l="1"/>
  <c r="C97" i="21"/>
  <c r="T83" i="37"/>
  <c r="I71" i="37"/>
  <c r="K71" i="37" s="1"/>
  <c r="L71" i="37" s="1"/>
  <c r="M71" i="37" s="1"/>
  <c r="S84" i="37" s="1"/>
  <c r="W84" i="37" s="1"/>
  <c r="G72" i="37"/>
  <c r="T67" i="37"/>
  <c r="T65" i="37"/>
  <c r="W65" i="37"/>
  <c r="X64" i="37"/>
  <c r="X67" i="37" s="1"/>
  <c r="C97" i="37" s="1"/>
  <c r="T84" i="34"/>
  <c r="BH8" i="1"/>
  <c r="W84" i="34"/>
  <c r="X84" i="34" s="1"/>
  <c r="G73" i="34"/>
  <c r="I72" i="34"/>
  <c r="K72" i="34" s="1"/>
  <c r="L72" i="34" s="1"/>
  <c r="M72" i="34" s="1"/>
  <c r="S85" i="34" s="1"/>
  <c r="W85" i="34" s="1"/>
  <c r="I72" i="21"/>
  <c r="K72" i="21" s="1"/>
  <c r="L72" i="21" s="1"/>
  <c r="M72" i="21" s="1"/>
  <c r="S85" i="21" s="1"/>
  <c r="W85" i="21" s="1"/>
  <c r="G73" i="21"/>
  <c r="W84" i="21"/>
  <c r="X84" i="21" s="1"/>
  <c r="T84" i="21"/>
  <c r="B11" i="11"/>
  <c r="E11" i="11"/>
  <c r="D11" i="11"/>
  <c r="C11" i="11"/>
  <c r="T84" i="37" l="1"/>
  <c r="I72" i="37"/>
  <c r="K72" i="37" s="1"/>
  <c r="L72" i="37" s="1"/>
  <c r="M72" i="37" s="1"/>
  <c r="S85" i="37" s="1"/>
  <c r="W85" i="37" s="1"/>
  <c r="G73" i="37"/>
  <c r="W83" i="37"/>
  <c r="BH10" i="1"/>
  <c r="T85" i="21"/>
  <c r="X85" i="21"/>
  <c r="T85" i="34"/>
  <c r="G74" i="34"/>
  <c r="I73" i="34"/>
  <c r="K73" i="34" s="1"/>
  <c r="L73" i="34" s="1"/>
  <c r="M73" i="34" s="1"/>
  <c r="S86" i="34" s="1"/>
  <c r="W86" i="34" s="1"/>
  <c r="I73" i="21"/>
  <c r="K73" i="21" s="1"/>
  <c r="L73" i="21" s="1"/>
  <c r="M73" i="21" s="1"/>
  <c r="S86" i="21" s="1"/>
  <c r="W86" i="21" s="1"/>
  <c r="G74" i="21"/>
  <c r="X85" i="34"/>
  <c r="F11" i="11"/>
  <c r="X83" i="37" l="1"/>
  <c r="X84" i="37" s="1"/>
  <c r="X85" i="37" s="1"/>
  <c r="I73" i="37"/>
  <c r="K73" i="37" s="1"/>
  <c r="L73" i="37" s="1"/>
  <c r="M73" i="37" s="1"/>
  <c r="S86" i="37" s="1"/>
  <c r="G74" i="37"/>
  <c r="T85" i="37"/>
  <c r="T86" i="37" s="1"/>
  <c r="AK11" i="11"/>
  <c r="AX11" i="11"/>
  <c r="X86" i="34"/>
  <c r="X86" i="21"/>
  <c r="T86" i="34"/>
  <c r="T86" i="21"/>
  <c r="G75" i="21"/>
  <c r="I74" i="21"/>
  <c r="K74" i="21" s="1"/>
  <c r="L74" i="21" s="1"/>
  <c r="M74" i="21" s="1"/>
  <c r="S87" i="21" s="1"/>
  <c r="W87" i="21" s="1"/>
  <c r="G75" i="34"/>
  <c r="I74" i="34"/>
  <c r="K74" i="34" s="1"/>
  <c r="L74" i="34" s="1"/>
  <c r="M74" i="34" s="1"/>
  <c r="S87" i="34" s="1"/>
  <c r="W87" i="34" s="1"/>
  <c r="I74" i="37" l="1"/>
  <c r="K74" i="37" s="1"/>
  <c r="L74" i="37" s="1"/>
  <c r="M74" i="37" s="1"/>
  <c r="G75" i="37"/>
  <c r="W86" i="37"/>
  <c r="D30" i="33"/>
  <c r="X87" i="21"/>
  <c r="T87" i="34"/>
  <c r="G76" i="21"/>
  <c r="I75" i="21"/>
  <c r="K75" i="21" s="1"/>
  <c r="L75" i="21" s="1"/>
  <c r="M75" i="21" s="1"/>
  <c r="S88" i="21" s="1"/>
  <c r="W88" i="21" s="1"/>
  <c r="T87" i="21"/>
  <c r="I75" i="34"/>
  <c r="K75" i="34" s="1"/>
  <c r="L75" i="34" s="1"/>
  <c r="M75" i="34" s="1"/>
  <c r="S88" i="34" s="1"/>
  <c r="W88" i="34" s="1"/>
  <c r="G76" i="34"/>
  <c r="X87" i="34"/>
  <c r="J8" i="1"/>
  <c r="I75" i="37" l="1"/>
  <c r="K75" i="37" s="1"/>
  <c r="L75" i="37" s="1"/>
  <c r="M75" i="37" s="1"/>
  <c r="S88" i="37" s="1"/>
  <c r="W88" i="37" s="1"/>
  <c r="G76" i="37"/>
  <c r="S87" i="37"/>
  <c r="X86" i="37"/>
  <c r="C30" i="33"/>
  <c r="F30" i="33"/>
  <c r="D31" i="33"/>
  <c r="BH14" i="1"/>
  <c r="AX12" i="11" s="1"/>
  <c r="X88" i="21"/>
  <c r="T88" i="34"/>
  <c r="X88" i="34"/>
  <c r="I76" i="21"/>
  <c r="K76" i="21" s="1"/>
  <c r="L76" i="21" s="1"/>
  <c r="M76" i="21" s="1"/>
  <c r="S89" i="21" s="1"/>
  <c r="W89" i="21" s="1"/>
  <c r="G77" i="21"/>
  <c r="I76" i="34"/>
  <c r="K76" i="34" s="1"/>
  <c r="L76" i="34" s="1"/>
  <c r="M76" i="34" s="1"/>
  <c r="S89" i="34" s="1"/>
  <c r="W89" i="34" s="1"/>
  <c r="G77" i="34"/>
  <c r="T88" i="21"/>
  <c r="J14" i="1"/>
  <c r="W87" i="37" l="1"/>
  <c r="X87" i="37" s="1"/>
  <c r="X88" i="37" s="1"/>
  <c r="T87" i="37"/>
  <c r="T88" i="37" s="1"/>
  <c r="I76" i="37"/>
  <c r="K76" i="37" s="1"/>
  <c r="L76" i="37" s="1"/>
  <c r="M76" i="37" s="1"/>
  <c r="S89" i="37" s="1"/>
  <c r="W89" i="37" s="1"/>
  <c r="G77" i="37"/>
  <c r="X89" i="34"/>
  <c r="F31" i="33"/>
  <c r="C31" i="33"/>
  <c r="D32" i="33"/>
  <c r="F32" i="33" s="1"/>
  <c r="X89" i="21"/>
  <c r="H30" i="33"/>
  <c r="J30" i="33" s="1"/>
  <c r="I14" i="1"/>
  <c r="T89" i="21"/>
  <c r="G92" i="21"/>
  <c r="G95" i="21" s="1"/>
  <c r="E78" i="21"/>
  <c r="I77" i="21"/>
  <c r="G93" i="21"/>
  <c r="T89" i="34"/>
  <c r="I77" i="34"/>
  <c r="G93" i="34"/>
  <c r="G92" i="34"/>
  <c r="G95" i="34" s="1"/>
  <c r="E78" i="34"/>
  <c r="X89" i="37" l="1"/>
  <c r="T89" i="37"/>
  <c r="G92" i="37"/>
  <c r="G95" i="37" s="1"/>
  <c r="E78" i="37"/>
  <c r="I77" i="37"/>
  <c r="G93" i="37"/>
  <c r="D33" i="33"/>
  <c r="F33" i="33" s="1"/>
  <c r="C32" i="33"/>
  <c r="H31" i="33"/>
  <c r="J31" i="33" s="1"/>
  <c r="I93" i="34"/>
  <c r="K77" i="34"/>
  <c r="I92" i="34"/>
  <c r="I95" i="34" s="1"/>
  <c r="K77" i="21"/>
  <c r="I93" i="21"/>
  <c r="I92" i="21"/>
  <c r="I95" i="21" s="1"/>
  <c r="I92" i="37" l="1"/>
  <c r="I95" i="37" s="1"/>
  <c r="K77" i="37"/>
  <c r="I93" i="37"/>
  <c r="C33" i="33"/>
  <c r="D34" i="33"/>
  <c r="H32" i="33"/>
  <c r="J32" i="33" s="1"/>
  <c r="L77" i="34"/>
  <c r="K93" i="34"/>
  <c r="K92" i="34"/>
  <c r="K95" i="34" s="1"/>
  <c r="L77" i="21"/>
  <c r="K93" i="21"/>
  <c r="K92" i="21"/>
  <c r="K95" i="21" s="1"/>
  <c r="K92" i="37" l="1"/>
  <c r="K95" i="37" s="1"/>
  <c r="L77" i="37"/>
  <c r="K93" i="37"/>
  <c r="F34" i="33"/>
  <c r="C34" i="33"/>
  <c r="D35" i="33"/>
  <c r="F35" i="33" s="1"/>
  <c r="H33" i="33"/>
  <c r="J33" i="33" s="1"/>
  <c r="L92" i="21"/>
  <c r="L95" i="21" s="1"/>
  <c r="M77" i="21"/>
  <c r="L93" i="21"/>
  <c r="L92" i="34"/>
  <c r="L95" i="34" s="1"/>
  <c r="M77" i="34"/>
  <c r="L93" i="34"/>
  <c r="L92" i="37" l="1"/>
  <c r="L95" i="37" s="1"/>
  <c r="M77" i="37"/>
  <c r="L93" i="37"/>
  <c r="C35" i="33"/>
  <c r="D36" i="33"/>
  <c r="F36" i="33" s="1"/>
  <c r="H34" i="33"/>
  <c r="J34" i="33" s="1"/>
  <c r="M92" i="34"/>
  <c r="M95" i="34" s="1"/>
  <c r="S90" i="34"/>
  <c r="M92" i="21"/>
  <c r="M95" i="21" s="1"/>
  <c r="S90" i="21"/>
  <c r="H35" i="33" l="1"/>
  <c r="J35" i="33" s="1"/>
  <c r="S90" i="37"/>
  <c r="M92" i="37"/>
  <c r="M95" i="37" s="1"/>
  <c r="D37" i="33"/>
  <c r="C36" i="33"/>
  <c r="W90" i="21"/>
  <c r="S91" i="21"/>
  <c r="T90" i="21"/>
  <c r="S91" i="34"/>
  <c r="W90" i="34"/>
  <c r="T90" i="34"/>
  <c r="H36" i="33" l="1"/>
  <c r="J36" i="33" s="1"/>
  <c r="W90" i="37"/>
  <c r="S91" i="37"/>
  <c r="T90" i="37"/>
  <c r="F37" i="33"/>
  <c r="D38" i="33"/>
  <c r="C37" i="33"/>
  <c r="W91" i="34"/>
  <c r="X90" i="34"/>
  <c r="X93" i="34" s="1"/>
  <c r="C98" i="34" s="1"/>
  <c r="T91" i="21"/>
  <c r="T93" i="21"/>
  <c r="T93" i="34"/>
  <c r="T91" i="34"/>
  <c r="W91" i="21"/>
  <c r="X90" i="21"/>
  <c r="X93" i="21" s="1"/>
  <c r="C98" i="21" l="1"/>
  <c r="T93" i="37"/>
  <c r="T91" i="37"/>
  <c r="W91" i="37"/>
  <c r="X90" i="37"/>
  <c r="X93" i="37" s="1"/>
  <c r="C98" i="37" s="1"/>
  <c r="F38" i="33"/>
  <c r="D39" i="33"/>
  <c r="C38" i="33"/>
  <c r="H37" i="33"/>
  <c r="J37" i="33" s="1"/>
  <c r="F39" i="33" l="1"/>
  <c r="C39" i="33"/>
  <c r="D40" i="33"/>
  <c r="F40" i="33"/>
  <c r="H38" i="33"/>
  <c r="J38" i="33" s="1"/>
  <c r="D41" i="33" l="1"/>
  <c r="F41" i="33" s="1"/>
  <c r="F83" i="33" s="1"/>
  <c r="C40" i="33"/>
  <c r="H39" i="33"/>
  <c r="J39" i="33" s="1"/>
  <c r="D84" i="33" l="1"/>
  <c r="D83" i="33"/>
  <c r="C41" i="33"/>
  <c r="D42" i="33"/>
  <c r="F42" i="33" s="1"/>
  <c r="H40" i="33"/>
  <c r="J40" i="33" s="1"/>
  <c r="D43" i="33" l="1"/>
  <c r="C42" i="33"/>
  <c r="C84" i="33"/>
  <c r="C83" i="33"/>
  <c r="E33" i="33"/>
  <c r="E41" i="33"/>
  <c r="E39" i="33"/>
  <c r="E38" i="33"/>
  <c r="E31" i="33"/>
  <c r="E36" i="33"/>
  <c r="E35" i="33"/>
  <c r="E34" i="33"/>
  <c r="E32" i="33"/>
  <c r="E40" i="33"/>
  <c r="E30" i="33"/>
  <c r="E37" i="33"/>
  <c r="H41" i="33"/>
  <c r="E83" i="33" l="1"/>
  <c r="G30" i="33"/>
  <c r="I30" i="33" s="1"/>
  <c r="K30" i="33" s="1"/>
  <c r="L30" i="33" s="1"/>
  <c r="M30" i="33" s="1"/>
  <c r="F43" i="33"/>
  <c r="D44" i="33"/>
  <c r="F44" i="33" s="1"/>
  <c r="C43" i="33"/>
  <c r="H83" i="33"/>
  <c r="H84" i="33"/>
  <c r="J41" i="33"/>
  <c r="H42" i="33"/>
  <c r="J42" i="33" s="1"/>
  <c r="C44" i="33" l="1"/>
  <c r="D45" i="33"/>
  <c r="F45" i="33" s="1"/>
  <c r="H43" i="33"/>
  <c r="J43" i="33" s="1"/>
  <c r="J83" i="33"/>
  <c r="J84" i="33"/>
  <c r="G31" i="33"/>
  <c r="H44" i="33" l="1"/>
  <c r="J44" i="33" s="1"/>
  <c r="D46" i="33"/>
  <c r="C45" i="33"/>
  <c r="I31" i="33"/>
  <c r="K31" i="33" s="1"/>
  <c r="L31" i="33" s="1"/>
  <c r="M31" i="33" s="1"/>
  <c r="G32" i="33"/>
  <c r="H45" i="33" l="1"/>
  <c r="J45" i="33" s="1"/>
  <c r="I32" i="33"/>
  <c r="K32" i="33" s="1"/>
  <c r="L32" i="33" s="1"/>
  <c r="M32" i="33" s="1"/>
  <c r="G33" i="33"/>
  <c r="F46" i="33"/>
  <c r="C46" i="33"/>
  <c r="D47" i="33"/>
  <c r="F47" i="33" s="1"/>
  <c r="C47" i="33" l="1"/>
  <c r="D48" i="33"/>
  <c r="F48" i="33" s="1"/>
  <c r="H46" i="33"/>
  <c r="J46" i="33" s="1"/>
  <c r="I33" i="33"/>
  <c r="K33" i="33" s="1"/>
  <c r="L33" i="33" s="1"/>
  <c r="M33" i="33" s="1"/>
  <c r="G34" i="33"/>
  <c r="I34" i="33" l="1"/>
  <c r="K34" i="33" s="1"/>
  <c r="L34" i="33" s="1"/>
  <c r="M34" i="33" s="1"/>
  <c r="G35" i="33"/>
  <c r="D49" i="33"/>
  <c r="F49" i="33" s="1"/>
  <c r="C48" i="33"/>
  <c r="H47" i="33"/>
  <c r="J47" i="33" s="1"/>
  <c r="D50" i="33" l="1"/>
  <c r="F50" i="33" s="1"/>
  <c r="C49" i="33"/>
  <c r="H48" i="33"/>
  <c r="J48" i="33" s="1"/>
  <c r="I35" i="33"/>
  <c r="K35" i="33" s="1"/>
  <c r="L35" i="33" s="1"/>
  <c r="M35" i="33" s="1"/>
  <c r="G36" i="33"/>
  <c r="I36" i="33" l="1"/>
  <c r="K36" i="33" s="1"/>
  <c r="L36" i="33" s="1"/>
  <c r="M36" i="33" s="1"/>
  <c r="G37" i="33"/>
  <c r="C50" i="33"/>
  <c r="D51" i="33"/>
  <c r="H49" i="33"/>
  <c r="J49" i="33" s="1"/>
  <c r="F51" i="33" l="1"/>
  <c r="C51" i="33"/>
  <c r="D52" i="33"/>
  <c r="F52" i="33" s="1"/>
  <c r="H50" i="33"/>
  <c r="J50" i="33" s="1"/>
  <c r="I37" i="33"/>
  <c r="K37" i="33" s="1"/>
  <c r="L37" i="33" s="1"/>
  <c r="M37" i="33" s="1"/>
  <c r="G38" i="33"/>
  <c r="I38" i="33" l="1"/>
  <c r="K38" i="33" s="1"/>
  <c r="L38" i="33" s="1"/>
  <c r="M38" i="33" s="1"/>
  <c r="G39" i="33"/>
  <c r="D53" i="33"/>
  <c r="C52" i="33"/>
  <c r="F53" i="33"/>
  <c r="H51" i="33"/>
  <c r="J51" i="33" s="1"/>
  <c r="F86" i="33" l="1"/>
  <c r="I20" i="14" s="1"/>
  <c r="C53" i="33"/>
  <c r="D86" i="33"/>
  <c r="I15" i="14" s="1"/>
  <c r="D54" i="33"/>
  <c r="F54" i="33" s="1"/>
  <c r="D87" i="33"/>
  <c r="H52" i="33"/>
  <c r="J52" i="33" s="1"/>
  <c r="I39" i="33"/>
  <c r="K39" i="33" s="1"/>
  <c r="L39" i="33" s="1"/>
  <c r="M39" i="33" s="1"/>
  <c r="G40" i="33"/>
  <c r="D55" i="33" l="1"/>
  <c r="F55" i="33" s="1"/>
  <c r="C54" i="33"/>
  <c r="C86" i="33"/>
  <c r="E53" i="33"/>
  <c r="C87" i="33"/>
  <c r="E44" i="33"/>
  <c r="E49" i="33"/>
  <c r="E45" i="33"/>
  <c r="E42" i="33"/>
  <c r="E47" i="33"/>
  <c r="E46" i="33"/>
  <c r="E51" i="33"/>
  <c r="E43" i="33"/>
  <c r="E52" i="33"/>
  <c r="E50" i="33"/>
  <c r="E48" i="33"/>
  <c r="I40" i="33"/>
  <c r="K40" i="33" s="1"/>
  <c r="L40" i="33" s="1"/>
  <c r="M40" i="33" s="1"/>
  <c r="G41" i="33"/>
  <c r="H53" i="33"/>
  <c r="G83" i="33" l="1"/>
  <c r="G84" i="33"/>
  <c r="I41" i="33"/>
  <c r="H86" i="33"/>
  <c r="I16" i="14" s="1"/>
  <c r="H87" i="33"/>
  <c r="J53" i="33"/>
  <c r="E86" i="33"/>
  <c r="G42" i="33"/>
  <c r="I42" i="33" s="1"/>
  <c r="K42" i="33" s="1"/>
  <c r="L42" i="33" s="1"/>
  <c r="D56" i="33"/>
  <c r="F56" i="33" s="1"/>
  <c r="C55" i="33"/>
  <c r="H54" i="33"/>
  <c r="J54" i="33" s="1"/>
  <c r="H55" i="33" l="1"/>
  <c r="J55" i="33" s="1"/>
  <c r="H56" i="33"/>
  <c r="J56" i="33" s="1"/>
  <c r="J86" i="33"/>
  <c r="J87" i="33"/>
  <c r="C56" i="33"/>
  <c r="D57" i="33"/>
  <c r="F57" i="33" s="1"/>
  <c r="I84" i="33"/>
  <c r="I83" i="33"/>
  <c r="K41" i="33"/>
  <c r="G43" i="33"/>
  <c r="H57" i="33" l="1"/>
  <c r="J57" i="33" s="1"/>
  <c r="D58" i="33"/>
  <c r="F58" i="33" s="1"/>
  <c r="H58" i="33" s="1"/>
  <c r="J58" i="33" s="1"/>
  <c r="C57" i="33"/>
  <c r="I43" i="33"/>
  <c r="K43" i="33" s="1"/>
  <c r="L43" i="33" s="1"/>
  <c r="M43" i="33" s="1"/>
  <c r="S28" i="33" s="1"/>
  <c r="W28" i="33" s="1"/>
  <c r="G44" i="33"/>
  <c r="L41" i="33"/>
  <c r="K84" i="33"/>
  <c r="K83" i="33"/>
  <c r="L84" i="33" l="1"/>
  <c r="L83" i="33"/>
  <c r="T26" i="33"/>
  <c r="M41" i="33"/>
  <c r="M42" i="33"/>
  <c r="I44" i="33"/>
  <c r="K44" i="33" s="1"/>
  <c r="L44" i="33" s="1"/>
  <c r="M44" i="33" s="1"/>
  <c r="S29" i="33" s="1"/>
  <c r="W29" i="33" s="1"/>
  <c r="G45" i="33"/>
  <c r="C58" i="33"/>
  <c r="D59" i="33"/>
  <c r="F59" i="33" s="1"/>
  <c r="H59" i="33" s="1"/>
  <c r="J59" i="33" s="1"/>
  <c r="I45" i="33" l="1"/>
  <c r="K45" i="33" s="1"/>
  <c r="L45" i="33" s="1"/>
  <c r="M45" i="33" s="1"/>
  <c r="S30" i="33" s="1"/>
  <c r="W30" i="33" s="1"/>
  <c r="G46" i="33"/>
  <c r="S27" i="33"/>
  <c r="T27" i="33" s="1"/>
  <c r="T28" i="33" s="1"/>
  <c r="T29" i="33" s="1"/>
  <c r="C59" i="33"/>
  <c r="D60" i="33"/>
  <c r="F60" i="33" s="1"/>
  <c r="H60" i="33" s="1"/>
  <c r="J60" i="33" s="1"/>
  <c r="S26" i="33"/>
  <c r="M83" i="33"/>
  <c r="X26" i="33"/>
  <c r="T30" i="33" l="1"/>
  <c r="I46" i="33"/>
  <c r="K46" i="33" s="1"/>
  <c r="L46" i="33" s="1"/>
  <c r="M46" i="33" s="1"/>
  <c r="G47" i="33"/>
  <c r="D61" i="33"/>
  <c r="F61" i="33" s="1"/>
  <c r="H61" i="33" s="1"/>
  <c r="J61" i="33" s="1"/>
  <c r="C60" i="33"/>
  <c r="W27" i="33"/>
  <c r="X27" i="33" l="1"/>
  <c r="X28" i="33" s="1"/>
  <c r="X29" i="33" s="1"/>
  <c r="X30" i="33" s="1"/>
  <c r="C61" i="33"/>
  <c r="D62" i="33"/>
  <c r="F62" i="33" s="1"/>
  <c r="H62" i="33" s="1"/>
  <c r="J62" i="33" s="1"/>
  <c r="I47" i="33"/>
  <c r="K47" i="33" s="1"/>
  <c r="L47" i="33" s="1"/>
  <c r="M47" i="33" s="1"/>
  <c r="S32" i="33" s="1"/>
  <c r="W32" i="33" s="1"/>
  <c r="G48" i="33"/>
  <c r="S31" i="33"/>
  <c r="W31" i="33" l="1"/>
  <c r="T31" i="33"/>
  <c r="T32" i="33" s="1"/>
  <c r="I48" i="33"/>
  <c r="K48" i="33" s="1"/>
  <c r="L48" i="33" s="1"/>
  <c r="M48" i="33" s="1"/>
  <c r="G49" i="33"/>
  <c r="C62" i="33"/>
  <c r="D63" i="33"/>
  <c r="F63" i="33" s="1"/>
  <c r="H63" i="33" s="1"/>
  <c r="J63" i="33" s="1"/>
  <c r="I49" i="33" l="1"/>
  <c r="K49" i="33" s="1"/>
  <c r="L49" i="33" s="1"/>
  <c r="M49" i="33" s="1"/>
  <c r="S34" i="33" s="1"/>
  <c r="W34" i="33" s="1"/>
  <c r="G50" i="33"/>
  <c r="C63" i="33"/>
  <c r="D64" i="33"/>
  <c r="F64" i="33" s="1"/>
  <c r="H64" i="33" s="1"/>
  <c r="J64" i="33" s="1"/>
  <c r="S33" i="33"/>
  <c r="T33" i="33" s="1"/>
  <c r="T34" i="33" s="1"/>
  <c r="X31" i="33"/>
  <c r="X32" i="33" s="1"/>
  <c r="W33" i="33" l="1"/>
  <c r="D65" i="33"/>
  <c r="F65" i="33" s="1"/>
  <c r="C64" i="33"/>
  <c r="I50" i="33"/>
  <c r="K50" i="33" s="1"/>
  <c r="L50" i="33" s="1"/>
  <c r="M50" i="33" s="1"/>
  <c r="G51" i="33"/>
  <c r="I51" i="33" l="1"/>
  <c r="K51" i="33" s="1"/>
  <c r="L51" i="33" s="1"/>
  <c r="M51" i="33" s="1"/>
  <c r="S36" i="33" s="1"/>
  <c r="W36" i="33" s="1"/>
  <c r="G52" i="33"/>
  <c r="S35" i="33"/>
  <c r="F89" i="33"/>
  <c r="D20" i="14" s="1"/>
  <c r="H65" i="33"/>
  <c r="J65" i="33" s="1"/>
  <c r="D89" i="33"/>
  <c r="D66" i="33"/>
  <c r="C65" i="33"/>
  <c r="D90" i="33"/>
  <c r="D15" i="14" s="1"/>
  <c r="X33" i="33"/>
  <c r="X34" i="33" s="1"/>
  <c r="J89" i="33" l="1"/>
  <c r="J90" i="33"/>
  <c r="C89" i="33"/>
  <c r="E58" i="33"/>
  <c r="E65" i="33"/>
  <c r="E61" i="33"/>
  <c r="C90" i="33"/>
  <c r="E57" i="33"/>
  <c r="E62" i="33"/>
  <c r="E60" i="33"/>
  <c r="E64" i="33"/>
  <c r="E55" i="33"/>
  <c r="E54" i="33"/>
  <c r="E59" i="33"/>
  <c r="E56" i="33"/>
  <c r="E63" i="33"/>
  <c r="F66" i="33"/>
  <c r="C66" i="33"/>
  <c r="D67" i="33"/>
  <c r="F67" i="33" s="1"/>
  <c r="H89" i="33"/>
  <c r="H90" i="33"/>
  <c r="D16" i="14" s="1"/>
  <c r="W35" i="33"/>
  <c r="X35" i="33" s="1"/>
  <c r="X36" i="33" s="1"/>
  <c r="T35" i="33"/>
  <c r="T36" i="33" s="1"/>
  <c r="I52" i="33"/>
  <c r="K52" i="33" s="1"/>
  <c r="L52" i="33" s="1"/>
  <c r="M52" i="33" s="1"/>
  <c r="G53" i="33"/>
  <c r="G86" i="33" l="1"/>
  <c r="I53" i="33"/>
  <c r="G87" i="33"/>
  <c r="S37" i="33"/>
  <c r="C67" i="33"/>
  <c r="D68" i="33"/>
  <c r="F68" i="33" s="1"/>
  <c r="E89" i="33"/>
  <c r="G54" i="33"/>
  <c r="I54" i="33" s="1"/>
  <c r="K54" i="33" s="1"/>
  <c r="L54" i="33" s="1"/>
  <c r="H66" i="33"/>
  <c r="J66" i="33" s="1"/>
  <c r="G55" i="33" l="1"/>
  <c r="I55" i="33" s="1"/>
  <c r="K55" i="33" s="1"/>
  <c r="L55" i="33" s="1"/>
  <c r="M55" i="33" s="1"/>
  <c r="S54" i="33" s="1"/>
  <c r="W54" i="33" s="1"/>
  <c r="C68" i="33"/>
  <c r="D69" i="33"/>
  <c r="F69" i="33" s="1"/>
  <c r="W37" i="33"/>
  <c r="X37" i="33" s="1"/>
  <c r="I86" i="33"/>
  <c r="K53" i="33"/>
  <c r="I87" i="33"/>
  <c r="T37" i="33"/>
  <c r="H67" i="33"/>
  <c r="J67" i="33" s="1"/>
  <c r="G56" i="33" l="1"/>
  <c r="I56" i="33" s="1"/>
  <c r="K56" i="33" s="1"/>
  <c r="L56" i="33" s="1"/>
  <c r="M56" i="33" s="1"/>
  <c r="S55" i="33" s="1"/>
  <c r="W55" i="33" s="1"/>
  <c r="H68" i="33"/>
  <c r="J68" i="33" s="1"/>
  <c r="L53" i="33"/>
  <c r="K86" i="33"/>
  <c r="K87" i="33"/>
  <c r="D70" i="33"/>
  <c r="C69" i="33"/>
  <c r="G57" i="33"/>
  <c r="H69" i="33" l="1"/>
  <c r="J69" i="33" s="1"/>
  <c r="G58" i="33"/>
  <c r="I57" i="33"/>
  <c r="K57" i="33" s="1"/>
  <c r="L57" i="33" s="1"/>
  <c r="M57" i="33" s="1"/>
  <c r="S56" i="33" s="1"/>
  <c r="W56" i="33" s="1"/>
  <c r="F70" i="33"/>
  <c r="D71" i="33"/>
  <c r="F71" i="33" s="1"/>
  <c r="C70" i="33"/>
  <c r="T52" i="33"/>
  <c r="M53" i="33"/>
  <c r="L86" i="33"/>
  <c r="L87" i="33"/>
  <c r="M54" i="33"/>
  <c r="H70" i="33" l="1"/>
  <c r="J70" i="33" s="1"/>
  <c r="C71" i="33"/>
  <c r="D72" i="33"/>
  <c r="S53" i="33"/>
  <c r="S38" i="33"/>
  <c r="S52" i="33"/>
  <c r="M86" i="33"/>
  <c r="T53" i="33"/>
  <c r="T54" i="33" s="1"/>
  <c r="T55" i="33" s="1"/>
  <c r="T56" i="33" s="1"/>
  <c r="X52" i="33"/>
  <c r="I58" i="33"/>
  <c r="K58" i="33" s="1"/>
  <c r="L58" i="33" s="1"/>
  <c r="M58" i="33" s="1"/>
  <c r="S57" i="33" s="1"/>
  <c r="W57" i="33" s="1"/>
  <c r="G59" i="33"/>
  <c r="H71" i="33" l="1"/>
  <c r="J71" i="33" s="1"/>
  <c r="T57" i="33"/>
  <c r="W38" i="33"/>
  <c r="S39" i="33"/>
  <c r="T38" i="33"/>
  <c r="W53" i="33"/>
  <c r="F72" i="33"/>
  <c r="D73" i="33"/>
  <c r="F73" i="33" s="1"/>
  <c r="C72" i="33"/>
  <c r="I59" i="33"/>
  <c r="K59" i="33" s="1"/>
  <c r="L59" i="33" s="1"/>
  <c r="M59" i="33" s="1"/>
  <c r="S58" i="33" s="1"/>
  <c r="W58" i="33" s="1"/>
  <c r="G60" i="33"/>
  <c r="H72" i="33" l="1"/>
  <c r="J72" i="33" s="1"/>
  <c r="H73" i="33"/>
  <c r="J73" i="33" s="1"/>
  <c r="T41" i="33"/>
  <c r="T39" i="33"/>
  <c r="W39" i="33"/>
  <c r="X38" i="33"/>
  <c r="D74" i="33"/>
  <c r="C73" i="33"/>
  <c r="I60" i="33"/>
  <c r="K60" i="33" s="1"/>
  <c r="L60" i="33" s="1"/>
  <c r="M60" i="33" s="1"/>
  <c r="G61" i="33"/>
  <c r="T58" i="33"/>
  <c r="X53" i="33"/>
  <c r="X54" i="33" s="1"/>
  <c r="X55" i="33" s="1"/>
  <c r="X56" i="33" s="1"/>
  <c r="X57" i="33" s="1"/>
  <c r="X58" i="33" s="1"/>
  <c r="X41" i="33" l="1"/>
  <c r="I17" i="14"/>
  <c r="I18" i="14" s="1"/>
  <c r="S59" i="33"/>
  <c r="T59" i="33" s="1"/>
  <c r="I61" i="33"/>
  <c r="K61" i="33" s="1"/>
  <c r="L61" i="33" s="1"/>
  <c r="M61" i="33" s="1"/>
  <c r="S60" i="33" s="1"/>
  <c r="W60" i="33" s="1"/>
  <c r="G62" i="33"/>
  <c r="F74" i="33"/>
  <c r="H74" i="33" s="1"/>
  <c r="J74" i="33" s="1"/>
  <c r="D75" i="33"/>
  <c r="F75" i="33" s="1"/>
  <c r="C74" i="33"/>
  <c r="C96" i="33"/>
  <c r="I22" i="14" l="1"/>
  <c r="I21" i="14"/>
  <c r="H75" i="33"/>
  <c r="J75" i="33" s="1"/>
  <c r="I62" i="33"/>
  <c r="K62" i="33" s="1"/>
  <c r="L62" i="33" s="1"/>
  <c r="M62" i="33" s="1"/>
  <c r="S61" i="33" s="1"/>
  <c r="W61" i="33" s="1"/>
  <c r="G63" i="33"/>
  <c r="D76" i="33"/>
  <c r="C75" i="33"/>
  <c r="T60" i="33"/>
  <c r="W59" i="33"/>
  <c r="T61" i="33" l="1"/>
  <c r="I23" i="14"/>
  <c r="I25" i="14" s="1"/>
  <c r="X59" i="33"/>
  <c r="X60" i="33" s="1"/>
  <c r="X61" i="33" s="1"/>
  <c r="I63" i="33"/>
  <c r="K63" i="33" s="1"/>
  <c r="L63" i="33" s="1"/>
  <c r="M63" i="33" s="1"/>
  <c r="G64" i="33"/>
  <c r="F76" i="33"/>
  <c r="H76" i="33" s="1"/>
  <c r="J76" i="33" s="1"/>
  <c r="D77" i="33"/>
  <c r="D78" i="33" s="1"/>
  <c r="C76" i="33"/>
  <c r="I64" i="33" l="1"/>
  <c r="K64" i="33" s="1"/>
  <c r="L64" i="33" s="1"/>
  <c r="M64" i="33" s="1"/>
  <c r="S63" i="33" s="1"/>
  <c r="W63" i="33" s="1"/>
  <c r="G65" i="33"/>
  <c r="F77" i="33"/>
  <c r="D92" i="33"/>
  <c r="D95" i="33" s="1"/>
  <c r="C77" i="33"/>
  <c r="D93" i="33"/>
  <c r="D33" i="14" s="1"/>
  <c r="S62" i="33"/>
  <c r="W62" i="33" l="1"/>
  <c r="T62" i="33"/>
  <c r="T63" i="33" s="1"/>
  <c r="G89" i="33"/>
  <c r="I65" i="33"/>
  <c r="G90" i="33"/>
  <c r="C92" i="33"/>
  <c r="C95" i="33" s="1"/>
  <c r="E76" i="33"/>
  <c r="E72" i="33"/>
  <c r="E71" i="33"/>
  <c r="E67" i="33"/>
  <c r="E68" i="33"/>
  <c r="E70" i="33"/>
  <c r="C93" i="33"/>
  <c r="E66" i="33"/>
  <c r="E77" i="33"/>
  <c r="E74" i="33"/>
  <c r="E73" i="33"/>
  <c r="E75" i="33"/>
  <c r="E69" i="33"/>
  <c r="H77" i="33"/>
  <c r="F92" i="33"/>
  <c r="D38" i="14" s="1"/>
  <c r="H92" i="33" l="1"/>
  <c r="H95" i="33" s="1"/>
  <c r="F78" i="33"/>
  <c r="H93" i="33"/>
  <c r="D34" i="14" s="1"/>
  <c r="J77" i="33"/>
  <c r="E92" i="33"/>
  <c r="E95" i="33" s="1"/>
  <c r="G66" i="33"/>
  <c r="I66" i="33" s="1"/>
  <c r="K66" i="33" s="1"/>
  <c r="L66" i="33" s="1"/>
  <c r="F95" i="33"/>
  <c r="I89" i="33"/>
  <c r="K65" i="33"/>
  <c r="I90" i="33"/>
  <c r="X62" i="33"/>
  <c r="X63" i="33" s="1"/>
  <c r="K89" i="33" l="1"/>
  <c r="L65" i="33"/>
  <c r="K90" i="33"/>
  <c r="J92" i="33"/>
  <c r="J95" i="33" s="1"/>
  <c r="J93" i="33"/>
  <c r="G67" i="33"/>
  <c r="I67" i="33" l="1"/>
  <c r="K67" i="33" s="1"/>
  <c r="L67" i="33" s="1"/>
  <c r="M67" i="33" s="1"/>
  <c r="S80" i="33" s="1"/>
  <c r="W80" i="33" s="1"/>
  <c r="G68" i="33"/>
  <c r="L89" i="33"/>
  <c r="M65" i="33"/>
  <c r="T78" i="33"/>
  <c r="L90" i="33"/>
  <c r="M66" i="33"/>
  <c r="S78" i="33" l="1"/>
  <c r="S64" i="33"/>
  <c r="M89" i="33"/>
  <c r="S79" i="33"/>
  <c r="T79" i="33" s="1"/>
  <c r="T80" i="33" s="1"/>
  <c r="X78" i="33"/>
  <c r="I68" i="33"/>
  <c r="K68" i="33" s="1"/>
  <c r="L68" i="33" s="1"/>
  <c r="M68" i="33" s="1"/>
  <c r="S81" i="33" s="1"/>
  <c r="W81" i="33" s="1"/>
  <c r="G69" i="33"/>
  <c r="I69" i="33" l="1"/>
  <c r="K69" i="33" s="1"/>
  <c r="L69" i="33" s="1"/>
  <c r="M69" i="33" s="1"/>
  <c r="S82" i="33" s="1"/>
  <c r="W82" i="33" s="1"/>
  <c r="G70" i="33"/>
  <c r="T81" i="33"/>
  <c r="W79" i="33"/>
  <c r="W64" i="33"/>
  <c r="S65" i="33"/>
  <c r="T64" i="33"/>
  <c r="T82" i="33" l="1"/>
  <c r="T67" i="33"/>
  <c r="T65" i="33"/>
  <c r="X79" i="33"/>
  <c r="X80" i="33" s="1"/>
  <c r="X81" i="33" s="1"/>
  <c r="X82" i="33" s="1"/>
  <c r="W65" i="33"/>
  <c r="X64" i="33"/>
  <c r="X67" i="33" s="1"/>
  <c r="D17" i="14" s="1"/>
  <c r="I70" i="33"/>
  <c r="K70" i="33" s="1"/>
  <c r="L70" i="33" s="1"/>
  <c r="M70" i="33" s="1"/>
  <c r="G71" i="33"/>
  <c r="I71" i="33" l="1"/>
  <c r="K71" i="33" s="1"/>
  <c r="L71" i="33" s="1"/>
  <c r="M71" i="33" s="1"/>
  <c r="S84" i="33" s="1"/>
  <c r="W84" i="33" s="1"/>
  <c r="G72" i="33"/>
  <c r="S83" i="33"/>
  <c r="C97" i="33"/>
  <c r="D18" i="14"/>
  <c r="D21" i="14" s="1"/>
  <c r="D22" i="14" l="1"/>
  <c r="D23" i="14" s="1"/>
  <c r="W83" i="33"/>
  <c r="T83" i="33"/>
  <c r="T84" i="33" s="1"/>
  <c r="I72" i="33"/>
  <c r="K72" i="33" s="1"/>
  <c r="L72" i="33" s="1"/>
  <c r="M72" i="33" s="1"/>
  <c r="G73" i="33"/>
  <c r="I73" i="33" l="1"/>
  <c r="K73" i="33" s="1"/>
  <c r="L73" i="33" s="1"/>
  <c r="M73" i="33" s="1"/>
  <c r="S86" i="33" s="1"/>
  <c r="W86" i="33" s="1"/>
  <c r="G74" i="33"/>
  <c r="S85" i="33"/>
  <c r="T85" i="33" s="1"/>
  <c r="X83" i="33"/>
  <c r="X84" i="33" s="1"/>
  <c r="D25" i="14"/>
  <c r="T86" i="33" l="1"/>
  <c r="W85" i="33"/>
  <c r="I74" i="33"/>
  <c r="K74" i="33" s="1"/>
  <c r="L74" i="33" s="1"/>
  <c r="M74" i="33" s="1"/>
  <c r="G75" i="33"/>
  <c r="I75" i="33" l="1"/>
  <c r="K75" i="33" s="1"/>
  <c r="L75" i="33" s="1"/>
  <c r="M75" i="33" s="1"/>
  <c r="S88" i="33" s="1"/>
  <c r="W88" i="33" s="1"/>
  <c r="G76" i="33"/>
  <c r="S87" i="33"/>
  <c r="X85" i="33"/>
  <c r="X86" i="33" s="1"/>
  <c r="W87" i="33" l="1"/>
  <c r="X87" i="33" s="1"/>
  <c r="X88" i="33" s="1"/>
  <c r="T87" i="33"/>
  <c r="T88" i="33" s="1"/>
  <c r="I76" i="33"/>
  <c r="K76" i="33" s="1"/>
  <c r="L76" i="33" s="1"/>
  <c r="M76" i="33" s="1"/>
  <c r="S89" i="33" s="1"/>
  <c r="W89" i="33" s="1"/>
  <c r="G77" i="33"/>
  <c r="G92" i="33" l="1"/>
  <c r="G95" i="33" s="1"/>
  <c r="E78" i="33"/>
  <c r="I77" i="33"/>
  <c r="G93" i="33"/>
  <c r="X89" i="33"/>
  <c r="T89" i="33"/>
  <c r="I92" i="33" l="1"/>
  <c r="I95" i="33" s="1"/>
  <c r="I93" i="33"/>
  <c r="K77" i="33"/>
  <c r="L77" i="33" l="1"/>
  <c r="K92" i="33"/>
  <c r="K95" i="33" s="1"/>
  <c r="K93" i="33"/>
  <c r="M77" i="33" l="1"/>
  <c r="L92" i="33"/>
  <c r="L95" i="33" s="1"/>
  <c r="L93" i="33"/>
  <c r="S90" i="33" l="1"/>
  <c r="M92" i="33"/>
  <c r="M95" i="33" s="1"/>
  <c r="W90" i="33" l="1"/>
  <c r="S91" i="33"/>
  <c r="T90" i="33"/>
  <c r="T93" i="33" l="1"/>
  <c r="T91" i="33"/>
  <c r="W91" i="33"/>
  <c r="X90" i="33"/>
  <c r="X93" i="33" s="1"/>
  <c r="D35" i="14" s="1"/>
  <c r="C98" i="33" l="1"/>
  <c r="D36" i="14"/>
  <c r="D39" i="14" s="1"/>
  <c r="D40" i="14" l="1"/>
  <c r="D41" i="14" l="1"/>
  <c r="D43" i="14" s="1"/>
</calcChain>
</file>

<file path=xl/sharedStrings.xml><?xml version="1.0" encoding="utf-8"?>
<sst xmlns="http://schemas.openxmlformats.org/spreadsheetml/2006/main" count="808" uniqueCount="168">
  <si>
    <t>WBS</t>
  </si>
  <si>
    <t>Total</t>
  </si>
  <si>
    <t>Expense</t>
  </si>
  <si>
    <t>W_K.10038.01.01.01: Customer Sited Energy Storage Demos</t>
  </si>
  <si>
    <t>W_K.10038.02.01.01: Rooftop Solar Program</t>
  </si>
  <si>
    <t>W_X.10006.01.01.01: Customer Sited Energy Storage Pilot</t>
  </si>
  <si>
    <t>E3940 GEN Tools/Garage/Shop, new</t>
  </si>
  <si>
    <t>E34402 PRD Gen, Com Solar</t>
  </si>
  <si>
    <t>E3631 DST Battery, Customer Site</t>
  </si>
  <si>
    <t>E3950 GEN Laboratory Equip, new</t>
  </si>
  <si>
    <t>WBS to Depr Grp Alloc</t>
  </si>
  <si>
    <t>Depr Grp</t>
  </si>
  <si>
    <t>Depr Group</t>
  </si>
  <si>
    <t>Depr/Amort Rate</t>
  </si>
  <si>
    <t>Old</t>
  </si>
  <si>
    <t>New</t>
  </si>
  <si>
    <t>MACRS</t>
  </si>
  <si>
    <t>Life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</si>
  <si>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</si>
  <si>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</si>
  <si>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</si>
  <si>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</si>
  <si>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</si>
  <si>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</si>
  <si>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</si>
  <si>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Structures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</si>
  <si>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</si>
  <si>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</si>
  <si>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</si>
  <si>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</si>
  <si>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</si>
  <si>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</si>
  <si>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</si>
  <si>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</si>
  <si>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</si>
  <si>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</si>
  <si>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</si>
  <si>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</si>
  <si>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</si>
  <si>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</si>
  <si>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</si>
  <si>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</si>
  <si>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</si>
  <si>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</si>
  <si>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</si>
  <si>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</si>
  <si>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</si>
  <si>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</si>
  <si>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</si>
  <si>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</si>
  <si>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</si>
  <si>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</si>
  <si>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</si>
  <si>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</si>
  <si>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</si>
  <si>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</si>
  <si>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</si>
  <si>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</si>
  <si>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</si>
  <si>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</si>
  <si>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</si>
  <si>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</si>
  <si>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</si>
  <si>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</si>
  <si>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</si>
  <si>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</si>
  <si>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</si>
  <si>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</si>
  <si>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</si>
  <si>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</si>
  <si>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</si>
  <si>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</si>
  <si>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DFIT arising from Depreciation Expense Rate Plan Year 1 - 2023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</si>
  <si>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</si>
  <si>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</si>
  <si>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</si>
  <si>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</si>
  <si>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</si>
  <si>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</si>
  <si>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</si>
  <si>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</si>
  <si>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</si>
  <si>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</si>
  <si>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</si>
  <si>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</si>
  <si>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</si>
  <si>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</si>
  <si>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</si>
  <si>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</si>
  <si>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</si>
  <si>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</si>
  <si>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</si>
  <si>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</si>
  <si>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</si>
  <si>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</si>
  <si>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</si>
  <si>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</si>
  <si>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</si>
  <si>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</si>
  <si>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</si>
  <si>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</si>
  <si>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</si>
  <si>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</si>
  <si>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IRS Proration</t>
  </si>
  <si>
    <t>DFIT arising from Depreciation Expense Rate Plan Year 2 - 2024</t>
  </si>
  <si>
    <t>DFIT arising from Depreciation Expense Rate Plan Year 3 - 2025</t>
  </si>
  <si>
    <t>check</t>
  </si>
  <si>
    <t>TEST YEAR - PROFORMA</t>
  </si>
  <si>
    <t>EOP - 6ME DEC 21</t>
  </si>
  <si>
    <t>AMA - 6ME DEC 21</t>
  </si>
  <si>
    <t>GAP YEAR - 2022</t>
  </si>
  <si>
    <t>EOP - 12ME DEC 22</t>
  </si>
  <si>
    <t>AMA - 12ME DEC 22</t>
  </si>
  <si>
    <t>Rate Year 1 - 2023</t>
  </si>
  <si>
    <t>EOP - 12ME DEC 23</t>
  </si>
  <si>
    <t>AMA - 12ME DEC 23</t>
  </si>
  <si>
    <t>Rate Year 2 - 2024</t>
  </si>
  <si>
    <t>EOP - 12ME DEC 24</t>
  </si>
  <si>
    <t>AMA - 12ME DEC 24</t>
  </si>
  <si>
    <t>Rate Year 3 - 2025</t>
  </si>
  <si>
    <t>EOP - 12ME DEC 25</t>
  </si>
  <si>
    <t>AMA - 12ME DEC 25</t>
  </si>
  <si>
    <t>Reference</t>
  </si>
  <si>
    <t>Weighted Average Cost of Debt</t>
  </si>
  <si>
    <t>Requested Rate of Return</t>
  </si>
  <si>
    <t>Rate Year  Rate Base</t>
  </si>
  <si>
    <t>Gross Plant Balance</t>
  </si>
  <si>
    <t>Accumulated Deferred Income Tax</t>
  </si>
  <si>
    <t>Tax Benefit of Proforma Interest</t>
  </si>
  <si>
    <t>Return on Rate Base</t>
  </si>
  <si>
    <t>Line 2 x 7 x 21%</t>
  </si>
  <si>
    <t>Pre-tax grossed up for Revenue Sensitive Items</t>
  </si>
  <si>
    <t>Line 12 ÷ 79% ÷ .952348</t>
  </si>
  <si>
    <t>Line 3 x 7</t>
  </si>
  <si>
    <t>(SEF-3 page 3 line 18)</t>
  </si>
  <si>
    <t>Stand Alone Revenue Requirement Calculation 2024</t>
  </si>
  <si>
    <t>SEF-3 page 2 line 31</t>
  </si>
  <si>
    <t>SEF-3 page 2 line 33</t>
  </si>
  <si>
    <t>Stand Alone Revenue Requirement Calculation 2025</t>
  </si>
  <si>
    <t>SEF-3 page 2 line 40</t>
  </si>
  <si>
    <t>SEF-3 page 2 line 42</t>
  </si>
  <si>
    <t>MONTHLY CLOSINGS:</t>
  </si>
  <si>
    <t>Monthly</t>
  </si>
  <si>
    <t>Additions</t>
  </si>
  <si>
    <t>to Plant</t>
  </si>
  <si>
    <t>MACRS 5 YEAR</t>
  </si>
  <si>
    <t>MACRS 7 YEAR</t>
  </si>
  <si>
    <t>Alloc % to Electric</t>
  </si>
  <si>
    <t>Alloc Total</t>
  </si>
  <si>
    <t>DER "CWIP" CLOSINGS</t>
  </si>
  <si>
    <t>multi</t>
  </si>
  <si>
    <t>From Tabs E34402-E3950</t>
  </si>
  <si>
    <t>From Tabs E34402-E3950 x 79%</t>
  </si>
  <si>
    <t xml:space="preserve">     Total Costs</t>
  </si>
  <si>
    <t>Stand Alone Revenue Requirement Calculation 2023</t>
  </si>
  <si>
    <t>Staff Revenue Requirement Calculation for 2023</t>
  </si>
  <si>
    <t>Exh. ASR-12: PSE and Staff Revenue Requirement Calculations for Energy Storage Demonstrations</t>
  </si>
  <si>
    <t>PSE Revenue Requirement Calculation</t>
  </si>
  <si>
    <t>Exh. ASR-12</t>
  </si>
  <si>
    <t>Dockets UE-220066, UG-220067, UG-210918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</si>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</sst>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0000%"/>
    <numFmt numFmtId="168" formatCode="0.000000"/>
    <numFmt numFmtId="169" formatCode="[$-409]mmmm\ d\,\ yyyy;@"/>
    <numFmt numFmtId="170" formatCode="&quot;Check=&gt;&quot;\ 0.0"/>
    <numFmt numFmtId="171" formatCode="[$-409]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6" fillId="0" borderId="0" xfId="0" applyFont="1" applyFill="1"/>
    <xf numFmtId="164" fontId="6" fillId="0" borderId="0" xfId="0" applyNumberFormat="1" applyFont="1" applyFill="1"/>
    <xf numFmtId="0" fontId="7" fillId="0" borderId="0" xfId="0" applyFont="1" applyFill="1"/>
    <xf numFmtId="0" fontId="7" fillId="0" borderId="5" xfId="0" applyFont="1" applyFill="1" applyBorder="1"/>
    <xf numFmtId="0" fontId="7" fillId="0" borderId="4" xfId="0" applyFont="1" applyFill="1" applyBorder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43" fontId="0" fillId="0" borderId="2" xfId="1" applyFont="1" applyBorder="1"/>
    <xf numFmtId="10" fontId="0" fillId="0" borderId="0" xfId="2" applyNumberFormat="1" applyFont="1"/>
    <xf numFmtId="167" fontId="0" fillId="0" borderId="0" xfId="2" applyNumberFormat="1" applyFont="1"/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43" fontId="0" fillId="0" borderId="0" xfId="1" applyFont="1"/>
    <xf numFmtId="43" fontId="0" fillId="0" borderId="0" xfId="0" applyNumberFormat="1"/>
    <xf numFmtId="0" fontId="0" fillId="0" borderId="2" xfId="0" applyFont="1" applyBorder="1"/>
    <xf numFmtId="0" fontId="7" fillId="0" borderId="4" xfId="0" applyFont="1" applyFill="1" applyBorder="1" applyAlignment="1">
      <alignment horizontal="center"/>
    </xf>
    <xf numFmtId="0" fontId="11" fillId="0" borderId="0" xfId="3" applyFont="1" applyFill="1" applyAlignment="1">
      <alignment horizontal="centerContinuous"/>
    </xf>
    <xf numFmtId="0" fontId="12" fillId="0" borderId="0" xfId="3" applyFont="1" applyFill="1" applyAlignment="1">
      <alignment horizontal="centerContinuous"/>
    </xf>
    <xf numFmtId="0" fontId="13" fillId="0" borderId="0" xfId="3" applyFont="1" applyFill="1"/>
    <xf numFmtId="0" fontId="14" fillId="0" borderId="0" xfId="3" applyFont="1" applyFill="1"/>
    <xf numFmtId="0" fontId="13" fillId="0" borderId="0" xfId="3" applyFont="1" applyFill="1" applyAlignment="1">
      <alignment horizontal="center"/>
    </xf>
    <xf numFmtId="0" fontId="13" fillId="0" borderId="0" xfId="3" applyFont="1" applyFill="1" applyAlignment="1"/>
    <xf numFmtId="0" fontId="15" fillId="0" borderId="2" xfId="3" applyFont="1" applyFill="1" applyBorder="1" applyAlignment="1">
      <alignment horizontal="center"/>
    </xf>
    <xf numFmtId="0" fontId="15" fillId="0" borderId="0" xfId="3" applyFont="1" applyFill="1" applyAlignment="1">
      <alignment horizontal="center"/>
    </xf>
    <xf numFmtId="0" fontId="15" fillId="0" borderId="2" xfId="3" applyFont="1" applyFill="1" applyBorder="1" applyAlignment="1">
      <alignment horizontal="center" wrapText="1"/>
    </xf>
    <xf numFmtId="166" fontId="13" fillId="0" borderId="0" xfId="3" applyNumberFormat="1" applyFont="1" applyFill="1"/>
    <xf numFmtId="168" fontId="7" fillId="0" borderId="0" xfId="3" applyNumberFormat="1" applyFont="1" applyFill="1" applyAlignment="1">
      <alignment horizontal="left"/>
    </xf>
    <xf numFmtId="168" fontId="6" fillId="0" borderId="0" xfId="3" applyNumberFormat="1" applyFont="1" applyFill="1" applyAlignment="1">
      <alignment horizontal="left"/>
    </xf>
    <xf numFmtId="0" fontId="6" fillId="0" borderId="0" xfId="3" applyFont="1" applyFill="1"/>
    <xf numFmtId="168" fontId="6" fillId="0" borderId="0" xfId="3" applyNumberFormat="1" applyFont="1" applyFill="1" applyAlignment="1">
      <alignment horizontal="right"/>
    </xf>
    <xf numFmtId="9" fontId="6" fillId="0" borderId="0" xfId="3" applyNumberFormat="1" applyFont="1" applyFill="1" applyAlignment="1">
      <alignment horizontal="left"/>
    </xf>
    <xf numFmtId="0" fontId="6" fillId="0" borderId="0" xfId="3" applyFont="1" applyFill="1" applyAlignment="1">
      <alignment horizontal="center" wrapText="1"/>
    </xf>
    <xf numFmtId="0" fontId="6" fillId="0" borderId="0" xfId="3" applyFont="1" applyFill="1" applyAlignment="1">
      <alignment horizontal="center"/>
    </xf>
    <xf numFmtId="164" fontId="6" fillId="0" borderId="0" xfId="3" applyNumberFormat="1" applyFont="1" applyFill="1" applyAlignment="1">
      <alignment horizontal="left"/>
    </xf>
    <xf numFmtId="13" fontId="6" fillId="0" borderId="0" xfId="3" applyNumberFormat="1" applyFont="1" applyFill="1"/>
    <xf numFmtId="0" fontId="6" fillId="0" borderId="0" xfId="3" applyFont="1" applyFill="1" applyAlignment="1">
      <alignment horizontal="right"/>
    </xf>
    <xf numFmtId="169" fontId="7" fillId="0" borderId="36" xfId="3" applyNumberFormat="1" applyFont="1" applyFill="1" applyBorder="1" applyAlignment="1">
      <alignment horizontal="left"/>
    </xf>
    <xf numFmtId="6" fontId="7" fillId="0" borderId="0" xfId="3" applyNumberFormat="1" applyFont="1" applyFill="1" applyAlignment="1"/>
    <xf numFmtId="44" fontId="7" fillId="0" borderId="0" xfId="3" applyNumberFormat="1" applyFont="1" applyFill="1" applyAlignment="1"/>
    <xf numFmtId="41" fontId="7" fillId="0" borderId="0" xfId="3" applyNumberFormat="1" applyFont="1" applyFill="1" applyAlignment="1"/>
    <xf numFmtId="165" fontId="6" fillId="0" borderId="0" xfId="3" applyNumberFormat="1" applyFont="1" applyFill="1" applyAlignment="1">
      <alignment horizontal="left"/>
    </xf>
    <xf numFmtId="0" fontId="6" fillId="0" borderId="0" xfId="3" applyFont="1" applyFill="1" applyBorder="1"/>
    <xf numFmtId="0" fontId="6" fillId="0" borderId="0" xfId="3" applyNumberFormat="1" applyFont="1" applyFill="1" applyAlignment="1"/>
    <xf numFmtId="42" fontId="16" fillId="0" borderId="0" xfId="3" applyNumberFormat="1" applyFont="1" applyFill="1" applyAlignment="1">
      <alignment horizontal="center"/>
    </xf>
    <xf numFmtId="0" fontId="7" fillId="0" borderId="24" xfId="3" applyNumberFormat="1" applyFont="1" applyFill="1" applyBorder="1" applyAlignment="1"/>
    <xf numFmtId="0" fontId="7" fillId="0" borderId="24" xfId="3" applyNumberFormat="1" applyFont="1" applyFill="1" applyBorder="1" applyAlignment="1">
      <alignment horizontal="center"/>
    </xf>
    <xf numFmtId="0" fontId="7" fillId="0" borderId="25" xfId="3" applyNumberFormat="1" applyFont="1" applyFill="1" applyBorder="1" applyAlignment="1"/>
    <xf numFmtId="166" fontId="6" fillId="0" borderId="25" xfId="3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/>
    <xf numFmtId="166" fontId="7" fillId="0" borderId="0" xfId="3" applyNumberFormat="1" applyFont="1" applyFill="1" applyBorder="1" applyAlignment="1">
      <alignment horizontal="center"/>
    </xf>
    <xf numFmtId="0" fontId="7" fillId="0" borderId="27" xfId="3" applyNumberFormat="1" applyFont="1" applyFill="1" applyBorder="1" applyAlignment="1">
      <alignment horizontal="center"/>
    </xf>
    <xf numFmtId="0" fontId="7" fillId="0" borderId="37" xfId="3" applyNumberFormat="1" applyFont="1" applyFill="1" applyBorder="1" applyAlignment="1">
      <alignment horizontal="centerContinuous" vertical="center"/>
    </xf>
    <xf numFmtId="0" fontId="7" fillId="0" borderId="38" xfId="3" applyNumberFormat="1" applyFont="1" applyFill="1" applyBorder="1" applyAlignment="1">
      <alignment horizontal="centerContinuous" vertical="center"/>
    </xf>
    <xf numFmtId="0" fontId="7" fillId="0" borderId="39" xfId="3" applyNumberFormat="1" applyFont="1" applyFill="1" applyBorder="1" applyAlignment="1">
      <alignment horizontal="centerContinuous" vertical="center"/>
    </xf>
    <xf numFmtId="168" fontId="7" fillId="0" borderId="40" xfId="3" applyNumberFormat="1" applyFont="1" applyFill="1" applyBorder="1" applyAlignment="1">
      <alignment horizontal="center"/>
    </xf>
    <xf numFmtId="168" fontId="7" fillId="0" borderId="26" xfId="3" applyNumberFormat="1" applyFont="1" applyFill="1" applyBorder="1" applyAlignment="1">
      <alignment horizontal="center"/>
    </xf>
    <xf numFmtId="0" fontId="7" fillId="0" borderId="28" xfId="3" applyNumberFormat="1" applyFont="1" applyFill="1" applyBorder="1" applyAlignment="1">
      <alignment horizontal="center"/>
    </xf>
    <xf numFmtId="0" fontId="7" fillId="0" borderId="17" xfId="3" applyNumberFormat="1" applyFont="1" applyFill="1" applyBorder="1" applyAlignment="1">
      <alignment horizontal="centerContinuous" vertical="center"/>
    </xf>
    <xf numFmtId="0" fontId="7" fillId="0" borderId="18" xfId="3" applyNumberFormat="1" applyFont="1" applyFill="1" applyBorder="1" applyAlignment="1">
      <alignment horizontal="centerContinuous" vertical="center"/>
    </xf>
    <xf numFmtId="10" fontId="7" fillId="0" borderId="4" xfId="3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centerContinuous" vertical="center"/>
    </xf>
    <xf numFmtId="0" fontId="7" fillId="0" borderId="17" xfId="3" applyNumberFormat="1" applyFont="1" applyFill="1" applyBorder="1" applyAlignment="1">
      <alignment horizontal="center"/>
    </xf>
    <xf numFmtId="0" fontId="7" fillId="0" borderId="18" xfId="3" applyNumberFormat="1" applyFont="1" applyFill="1" applyBorder="1" applyAlignment="1">
      <alignment horizontal="center"/>
    </xf>
    <xf numFmtId="168" fontId="7" fillId="0" borderId="23" xfId="3" applyNumberFormat="1" applyFont="1" applyFill="1" applyBorder="1" applyAlignment="1">
      <alignment horizontal="center"/>
    </xf>
    <xf numFmtId="168" fontId="7" fillId="0" borderId="29" xfId="3" applyNumberFormat="1" applyFont="1" applyFill="1" applyBorder="1" applyAlignment="1">
      <alignment horizontal="center"/>
    </xf>
    <xf numFmtId="9" fontId="7" fillId="0" borderId="23" xfId="3" applyNumberFormat="1" applyFont="1" applyFill="1" applyBorder="1" applyAlignment="1">
      <alignment horizontal="center"/>
    </xf>
    <xf numFmtId="0" fontId="6" fillId="0" borderId="28" xfId="3" applyNumberFormat="1" applyFont="1" applyFill="1" applyBorder="1" applyAlignment="1"/>
    <xf numFmtId="0" fontId="7" fillId="0" borderId="34" xfId="3" applyNumberFormat="1" applyFont="1" applyFill="1" applyBorder="1" applyAlignment="1">
      <alignment horizontal="center"/>
    </xf>
    <xf numFmtId="0" fontId="7" fillId="0" borderId="14" xfId="3" applyNumberFormat="1" applyFont="1" applyFill="1" applyBorder="1" applyAlignment="1">
      <alignment horizontal="center"/>
    </xf>
    <xf numFmtId="0" fontId="7" fillId="0" borderId="31" xfId="3" applyNumberFormat="1" applyFont="1" applyFill="1" applyBorder="1" applyAlignment="1">
      <alignment horizontal="center"/>
    </xf>
    <xf numFmtId="168" fontId="7" fillId="0" borderId="32" xfId="3" applyNumberFormat="1" applyFont="1" applyFill="1" applyBorder="1" applyAlignment="1">
      <alignment horizontal="center"/>
    </xf>
    <xf numFmtId="9" fontId="7" fillId="0" borderId="32" xfId="3" applyNumberFormat="1" applyFont="1" applyFill="1" applyBorder="1" applyAlignment="1">
      <alignment horizontal="center"/>
    </xf>
    <xf numFmtId="168" fontId="7" fillId="0" borderId="33" xfId="3" quotePrefix="1" applyNumberFormat="1" applyFont="1" applyFill="1" applyBorder="1" applyAlignment="1">
      <alignment horizontal="center"/>
    </xf>
    <xf numFmtId="0" fontId="4" fillId="0" borderId="0" xfId="3"/>
    <xf numFmtId="0" fontId="7" fillId="0" borderId="41" xfId="3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center"/>
    </xf>
    <xf numFmtId="168" fontId="7" fillId="0" borderId="0" xfId="3" applyNumberFormat="1" applyFont="1" applyFill="1" applyBorder="1" applyAlignment="1">
      <alignment horizontal="center"/>
    </xf>
    <xf numFmtId="9" fontId="7" fillId="0" borderId="0" xfId="3" applyNumberFormat="1" applyFont="1" applyFill="1" applyBorder="1" applyAlignment="1">
      <alignment horizontal="center"/>
    </xf>
    <xf numFmtId="168" fontId="7" fillId="0" borderId="0" xfId="3" quotePrefix="1" applyNumberFormat="1" applyFont="1" applyFill="1" applyBorder="1" applyAlignment="1">
      <alignment horizontal="center"/>
    </xf>
    <xf numFmtId="0" fontId="3" fillId="0" borderId="0" xfId="4"/>
    <xf numFmtId="169" fontId="6" fillId="0" borderId="41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/>
    <xf numFmtId="0" fontId="4" fillId="0" borderId="11" xfId="3" applyNumberFormat="1" applyFont="1" applyFill="1" applyBorder="1" applyAlignment="1">
      <alignment horizontal="center"/>
    </xf>
    <xf numFmtId="168" fontId="6" fillId="0" borderId="42" xfId="3" applyNumberFormat="1" applyFont="1" applyFill="1" applyBorder="1" applyAlignment="1">
      <alignment horizontal="centerContinuous"/>
    </xf>
    <xf numFmtId="168" fontId="6" fillId="0" borderId="30" xfId="3" applyNumberFormat="1" applyFont="1" applyFill="1" applyBorder="1" applyAlignment="1">
      <alignment horizontal="centerContinuous"/>
    </xf>
    <xf numFmtId="168" fontId="6" fillId="0" borderId="43" xfId="3" applyNumberFormat="1" applyFont="1" applyFill="1" applyBorder="1" applyAlignment="1">
      <alignment horizontal="centerContinuous"/>
    </xf>
    <xf numFmtId="0" fontId="4" fillId="0" borderId="29" xfId="3" applyNumberFormat="1" applyFont="1" applyFill="1" applyBorder="1" applyAlignment="1">
      <alignment horizontal="center"/>
    </xf>
    <xf numFmtId="168" fontId="6" fillId="0" borderId="44" xfId="3" applyNumberFormat="1" applyFont="1" applyFill="1" applyBorder="1" applyAlignment="1">
      <alignment horizontal="left"/>
    </xf>
    <xf numFmtId="168" fontId="6" fillId="0" borderId="1" xfId="3" applyNumberFormat="1" applyFont="1" applyFill="1" applyBorder="1" applyAlignment="1">
      <alignment horizontal="centerContinuous"/>
    </xf>
    <xf numFmtId="168" fontId="6" fillId="0" borderId="3" xfId="3" applyNumberFormat="1" applyFont="1" applyFill="1" applyBorder="1" applyAlignment="1">
      <alignment horizontal="centerContinuous"/>
    </xf>
    <xf numFmtId="168" fontId="6" fillId="0" borderId="22" xfId="3" applyNumberFormat="1" applyFont="1" applyFill="1" applyBorder="1" applyAlignment="1">
      <alignment horizontal="centerContinuous"/>
    </xf>
    <xf numFmtId="168" fontId="6" fillId="0" borderId="39" xfId="3" applyNumberFormat="1" applyFont="1" applyFill="1" applyBorder="1" applyAlignment="1">
      <alignment horizontal="left"/>
    </xf>
    <xf numFmtId="168" fontId="6" fillId="0" borderId="41" xfId="3" applyNumberFormat="1" applyFont="1" applyFill="1" applyBorder="1" applyAlignment="1">
      <alignment horizontal="left"/>
    </xf>
    <xf numFmtId="168" fontId="6" fillId="0" borderId="0" xfId="3" applyNumberFormat="1" applyFont="1" applyFill="1" applyBorder="1" applyAlignment="1">
      <alignment horizontal="left"/>
    </xf>
    <xf numFmtId="168" fontId="6" fillId="0" borderId="45" xfId="3" applyNumberFormat="1" applyFont="1" applyFill="1" applyBorder="1" applyAlignment="1">
      <alignment horizontal="center"/>
    </xf>
    <xf numFmtId="168" fontId="6" fillId="0" borderId="41" xfId="3" applyNumberFormat="1" applyFont="1" applyFill="1" applyBorder="1" applyAlignment="1">
      <alignment horizontal="centerContinuous"/>
    </xf>
    <xf numFmtId="168" fontId="6" fillId="0" borderId="0" xfId="3" applyNumberFormat="1" applyFont="1" applyFill="1" applyBorder="1" applyAlignment="1">
      <alignment horizontal="centerContinuous"/>
    </xf>
    <xf numFmtId="168" fontId="6" fillId="0" borderId="18" xfId="3" applyNumberFormat="1" applyFont="1" applyFill="1" applyBorder="1" applyAlignment="1">
      <alignment horizontal="left"/>
    </xf>
    <xf numFmtId="168" fontId="6" fillId="0" borderId="41" xfId="3" applyNumberFormat="1" applyFont="1" applyFill="1" applyBorder="1" applyAlignment="1">
      <alignment horizontal="center"/>
    </xf>
    <xf numFmtId="168" fontId="6" fillId="0" borderId="0" xfId="3" applyNumberFormat="1" applyFont="1" applyFill="1" applyBorder="1" applyAlignment="1">
      <alignment horizontal="center"/>
    </xf>
    <xf numFmtId="168" fontId="6" fillId="0" borderId="18" xfId="3" applyNumberFormat="1" applyFont="1" applyFill="1" applyBorder="1" applyAlignment="1">
      <alignment horizontal="center"/>
    </xf>
    <xf numFmtId="168" fontId="6" fillId="0" borderId="46" xfId="3" applyNumberFormat="1" applyFont="1" applyFill="1" applyBorder="1" applyAlignment="1">
      <alignment horizontal="center"/>
    </xf>
    <xf numFmtId="168" fontId="6" fillId="0" borderId="2" xfId="3" applyNumberFormat="1" applyFont="1" applyFill="1" applyBorder="1" applyAlignment="1">
      <alignment horizontal="center"/>
    </xf>
    <xf numFmtId="168" fontId="6" fillId="0" borderId="47" xfId="3" applyNumberFormat="1" applyFont="1" applyFill="1" applyBorder="1" applyAlignment="1">
      <alignment horizontal="center"/>
    </xf>
    <xf numFmtId="168" fontId="6" fillId="0" borderId="31" xfId="3" applyNumberFormat="1" applyFont="1" applyFill="1" applyBorder="1" applyAlignment="1">
      <alignment horizontal="center"/>
    </xf>
    <xf numFmtId="0" fontId="6" fillId="0" borderId="41" xfId="3" applyNumberFormat="1" applyFont="1" applyFill="1" applyBorder="1" applyAlignment="1">
      <alignment horizontal="center" vertical="top"/>
    </xf>
    <xf numFmtId="17" fontId="6" fillId="0" borderId="0" xfId="3" applyNumberFormat="1" applyFont="1" applyFill="1" applyBorder="1" applyAlignment="1">
      <alignment horizontal="center" vertical="top"/>
    </xf>
    <xf numFmtId="41" fontId="6" fillId="0" borderId="0" xfId="3" applyNumberFormat="1" applyFont="1" applyFill="1" applyBorder="1" applyAlignment="1">
      <alignment horizontal="center" vertical="top"/>
    </xf>
    <xf numFmtId="41" fontId="6" fillId="0" borderId="45" xfId="3" applyNumberFormat="1" applyFont="1" applyFill="1" applyBorder="1" applyAlignment="1">
      <alignment horizontal="center" vertical="top"/>
    </xf>
    <xf numFmtId="37" fontId="6" fillId="0" borderId="0" xfId="3" applyNumberFormat="1" applyFont="1" applyFill="1" applyBorder="1" applyAlignment="1">
      <alignment horizontal="center" vertical="top"/>
    </xf>
    <xf numFmtId="41" fontId="6" fillId="0" borderId="18" xfId="3" applyNumberFormat="1" applyFont="1" applyFill="1" applyBorder="1" applyAlignment="1">
      <alignment horizontal="center" vertical="top"/>
    </xf>
    <xf numFmtId="164" fontId="6" fillId="0" borderId="0" xfId="3" applyNumberFormat="1" applyFont="1" applyFill="1" applyBorder="1" applyAlignment="1"/>
    <xf numFmtId="165" fontId="6" fillId="0" borderId="0" xfId="3" applyNumberFormat="1" applyFont="1" applyFill="1" applyBorder="1" applyAlignment="1"/>
    <xf numFmtId="0" fontId="6" fillId="0" borderId="0" xfId="3" applyNumberFormat="1" applyFont="1" applyFill="1" applyBorder="1" applyAlignment="1"/>
    <xf numFmtId="0" fontId="4" fillId="0" borderId="33" xfId="3" applyNumberFormat="1" applyFont="1" applyFill="1" applyBorder="1" applyAlignment="1">
      <alignment horizontal="center"/>
    </xf>
    <xf numFmtId="0" fontId="6" fillId="0" borderId="46" xfId="3" applyNumberFormat="1" applyFont="1" applyFill="1" applyBorder="1" applyAlignment="1">
      <alignment horizontal="center"/>
    </xf>
    <xf numFmtId="17" fontId="6" fillId="0" borderId="2" xfId="3" applyNumberFormat="1" applyFont="1" applyFill="1" applyBorder="1" applyAlignment="1">
      <alignment horizontal="center"/>
    </xf>
    <xf numFmtId="41" fontId="6" fillId="0" borderId="2" xfId="3" applyNumberFormat="1" applyFont="1" applyFill="1" applyBorder="1" applyAlignment="1">
      <alignment horizontal="center"/>
    </xf>
    <xf numFmtId="41" fontId="6" fillId="0" borderId="47" xfId="3" applyNumberFormat="1" applyFont="1" applyFill="1" applyBorder="1" applyAlignment="1">
      <alignment horizontal="center"/>
    </xf>
    <xf numFmtId="37" fontId="6" fillId="0" borderId="2" xfId="3" applyNumberFormat="1" applyFont="1" applyFill="1" applyBorder="1" applyAlignment="1">
      <alignment horizontal="center"/>
    </xf>
    <xf numFmtId="41" fontId="6" fillId="0" borderId="2" xfId="3" applyNumberFormat="1" applyFont="1" applyFill="1" applyBorder="1" applyAlignment="1">
      <alignment horizontal="left"/>
    </xf>
    <xf numFmtId="41" fontId="6" fillId="0" borderId="31" xfId="3" applyNumberFormat="1" applyFont="1" applyFill="1" applyBorder="1" applyAlignment="1">
      <alignment horizontal="center"/>
    </xf>
    <xf numFmtId="0" fontId="4" fillId="0" borderId="0" xfId="3" applyBorder="1"/>
    <xf numFmtId="0" fontId="4" fillId="0" borderId="17" xfId="3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17" fontId="6" fillId="0" borderId="0" xfId="3" applyNumberFormat="1" applyFont="1" applyFill="1" applyBorder="1" applyAlignment="1">
      <alignment horizontal="center"/>
    </xf>
    <xf numFmtId="41" fontId="6" fillId="0" borderId="0" xfId="3" applyNumberFormat="1" applyFont="1" applyFill="1" applyBorder="1" applyAlignment="1">
      <alignment horizontal="left"/>
    </xf>
    <xf numFmtId="41" fontId="6" fillId="0" borderId="45" xfId="3" applyNumberFormat="1" applyFont="1" applyFill="1" applyBorder="1" applyAlignment="1">
      <alignment horizontal="left"/>
    </xf>
    <xf numFmtId="37" fontId="6" fillId="0" borderId="41" xfId="3" applyNumberFormat="1" applyFont="1" applyFill="1" applyBorder="1" applyAlignment="1">
      <alignment horizontal="center"/>
    </xf>
    <xf numFmtId="37" fontId="6" fillId="0" borderId="0" xfId="3" applyNumberFormat="1" applyFont="1" applyFill="1" applyBorder="1" applyAlignment="1">
      <alignment horizontal="center"/>
    </xf>
    <xf numFmtId="41" fontId="6" fillId="0" borderId="18" xfId="3" applyNumberFormat="1" applyFont="1" applyFill="1" applyBorder="1" applyAlignment="1">
      <alignment horizontal="left"/>
    </xf>
    <xf numFmtId="42" fontId="6" fillId="0" borderId="45" xfId="3" applyNumberFormat="1" applyFont="1" applyFill="1" applyBorder="1" applyAlignment="1">
      <alignment horizontal="left"/>
    </xf>
    <xf numFmtId="42" fontId="6" fillId="0" borderId="18" xfId="3" applyNumberFormat="1" applyFont="1" applyFill="1" applyBorder="1" applyAlignment="1">
      <alignment horizontal="left"/>
    </xf>
    <xf numFmtId="165" fontId="6" fillId="0" borderId="45" xfId="3" applyNumberFormat="1" applyFont="1" applyFill="1" applyBorder="1" applyAlignment="1">
      <alignment horizontal="left"/>
    </xf>
    <xf numFmtId="0" fontId="18" fillId="0" borderId="0" xfId="3" applyNumberFormat="1" applyFont="1" applyFill="1" applyAlignment="1"/>
    <xf numFmtId="164" fontId="4" fillId="0" borderId="0" xfId="3" applyNumberFormat="1" applyFill="1" applyBorder="1"/>
    <xf numFmtId="164" fontId="18" fillId="0" borderId="0" xfId="3" applyNumberFormat="1" applyFont="1" applyFill="1" applyBorder="1" applyAlignment="1"/>
    <xf numFmtId="169" fontId="6" fillId="0" borderId="44" xfId="3" applyNumberFormat="1" applyFont="1" applyFill="1" applyBorder="1" applyAlignment="1">
      <alignment horizontal="right"/>
    </xf>
    <xf numFmtId="41" fontId="6" fillId="0" borderId="21" xfId="3" applyNumberFormat="1" applyFont="1" applyFill="1" applyBorder="1" applyAlignment="1"/>
    <xf numFmtId="164" fontId="6" fillId="0" borderId="21" xfId="3" applyNumberFormat="1" applyFont="1" applyFill="1" applyBorder="1" applyAlignment="1"/>
    <xf numFmtId="0" fontId="19" fillId="0" borderId="0" xfId="3" applyFont="1" applyFill="1" applyBorder="1"/>
    <xf numFmtId="43" fontId="6" fillId="0" borderId="0" xfId="3" applyNumberFormat="1" applyFont="1" applyFill="1" applyBorder="1" applyAlignment="1"/>
    <xf numFmtId="0" fontId="6" fillId="0" borderId="48" xfId="3" applyNumberFormat="1" applyFont="1" applyFill="1" applyBorder="1" applyAlignment="1">
      <alignment horizontal="center"/>
    </xf>
    <xf numFmtId="41" fontId="6" fillId="0" borderId="48" xfId="3" applyNumberFormat="1" applyFont="1" applyFill="1" applyBorder="1" applyAlignment="1">
      <alignment horizontal="left"/>
    </xf>
    <xf numFmtId="170" fontId="20" fillId="0" borderId="45" xfId="3" applyNumberFormat="1" applyFont="1" applyFill="1" applyBorder="1" applyAlignment="1">
      <alignment horizontal="right"/>
    </xf>
    <xf numFmtId="37" fontId="6" fillId="0" borderId="0" xfId="3" applyNumberFormat="1" applyFont="1" applyFill="1" applyBorder="1" applyAlignment="1">
      <alignment horizontal="left"/>
    </xf>
    <xf numFmtId="168" fontId="20" fillId="0" borderId="0" xfId="3" applyNumberFormat="1" applyFont="1" applyFill="1" applyBorder="1" applyAlignment="1">
      <alignment horizontal="right"/>
    </xf>
    <xf numFmtId="41" fontId="20" fillId="0" borderId="0" xfId="3" applyNumberFormat="1" applyFont="1" applyFill="1" applyBorder="1" applyAlignment="1">
      <alignment horizontal="left"/>
    </xf>
    <xf numFmtId="41" fontId="7" fillId="0" borderId="0" xfId="3" applyNumberFormat="1" applyFont="1" applyFill="1" applyBorder="1" applyAlignment="1">
      <alignment horizontal="left"/>
    </xf>
    <xf numFmtId="42" fontId="6" fillId="0" borderId="49" xfId="3" applyNumberFormat="1" applyFont="1" applyFill="1" applyBorder="1" applyAlignment="1">
      <alignment horizontal="left"/>
    </xf>
    <xf numFmtId="168" fontId="6" fillId="0" borderId="0" xfId="3" applyNumberFormat="1" applyFont="1" applyFill="1" applyBorder="1" applyAlignment="1">
      <alignment horizontal="right"/>
    </xf>
    <xf numFmtId="42" fontId="7" fillId="0" borderId="4" xfId="3" applyNumberFormat="1" applyFont="1" applyFill="1" applyBorder="1" applyAlignment="1">
      <alignment horizontal="left"/>
    </xf>
    <xf numFmtId="0" fontId="4" fillId="0" borderId="19" xfId="3" applyNumberFormat="1" applyFont="1" applyFill="1" applyBorder="1" applyAlignment="1">
      <alignment horizontal="center"/>
    </xf>
    <xf numFmtId="168" fontId="6" fillId="0" borderId="12" xfId="3" applyNumberFormat="1" applyFont="1" applyFill="1" applyBorder="1" applyAlignment="1">
      <alignment horizontal="left"/>
    </xf>
    <xf numFmtId="168" fontId="20" fillId="0" borderId="12" xfId="3" applyNumberFormat="1" applyFont="1" applyFill="1" applyBorder="1" applyAlignment="1">
      <alignment horizontal="right"/>
    </xf>
    <xf numFmtId="164" fontId="20" fillId="0" borderId="50" xfId="3" applyNumberFormat="1" applyFont="1" applyFill="1" applyBorder="1" applyAlignment="1">
      <alignment horizontal="left"/>
    </xf>
    <xf numFmtId="168" fontId="6" fillId="0" borderId="51" xfId="3" applyNumberFormat="1" applyFont="1" applyFill="1" applyBorder="1" applyAlignment="1">
      <alignment horizontal="left"/>
    </xf>
    <xf numFmtId="168" fontId="6" fillId="0" borderId="20" xfId="3" applyNumberFormat="1" applyFont="1" applyFill="1" applyBorder="1" applyAlignment="1">
      <alignment horizontal="left"/>
    </xf>
    <xf numFmtId="0" fontId="4" fillId="0" borderId="0" xfId="3" applyNumberFormat="1" applyFont="1" applyFill="1" applyAlignment="1"/>
    <xf numFmtId="0" fontId="4" fillId="0" borderId="0" xfId="3" applyFont="1" applyFill="1"/>
    <xf numFmtId="41" fontId="6" fillId="0" borderId="18" xfId="3" applyNumberFormat="1" applyFont="1" applyFill="1" applyBorder="1" applyAlignment="1">
      <alignment horizontal="center"/>
    </xf>
    <xf numFmtId="41" fontId="6" fillId="0" borderId="39" xfId="3" applyNumberFormat="1" applyFont="1" applyFill="1" applyBorder="1" applyAlignment="1">
      <alignment horizontal="left"/>
    </xf>
    <xf numFmtId="169" fontId="21" fillId="0" borderId="41" xfId="3" applyNumberFormat="1" applyFont="1" applyFill="1" applyBorder="1" applyAlignment="1">
      <alignment horizontal="right"/>
    </xf>
    <xf numFmtId="41" fontId="6" fillId="0" borderId="36" xfId="3" applyNumberFormat="1" applyFont="1" applyFill="1" applyBorder="1" applyAlignment="1"/>
    <xf numFmtId="41" fontId="18" fillId="0" borderId="36" xfId="3" applyNumberFormat="1" applyFont="1" applyFill="1" applyBorder="1" applyAlignment="1"/>
    <xf numFmtId="164" fontId="18" fillId="0" borderId="36" xfId="3" applyNumberFormat="1" applyFont="1" applyFill="1" applyBorder="1" applyAlignment="1"/>
    <xf numFmtId="164" fontId="6" fillId="0" borderId="36" xfId="3" applyNumberFormat="1" applyFont="1" applyFill="1" applyBorder="1" applyAlignment="1"/>
    <xf numFmtId="41" fontId="6" fillId="0" borderId="52" xfId="3" applyNumberFormat="1" applyFont="1" applyFill="1" applyBorder="1" applyAlignment="1"/>
    <xf numFmtId="171" fontId="7" fillId="0" borderId="53" xfId="3" applyNumberFormat="1" applyFont="1" applyFill="1" applyBorder="1" applyAlignment="1">
      <alignment horizontal="center"/>
    </xf>
    <xf numFmtId="41" fontId="6" fillId="0" borderId="54" xfId="3" applyNumberFormat="1" applyFont="1" applyFill="1" applyBorder="1" applyAlignment="1"/>
    <xf numFmtId="43" fontId="6" fillId="0" borderId="54" xfId="3" applyNumberFormat="1" applyFont="1" applyFill="1" applyBorder="1" applyAlignment="1"/>
    <xf numFmtId="164" fontId="6" fillId="0" borderId="54" xfId="3" applyNumberFormat="1" applyFont="1" applyFill="1" applyBorder="1" applyAlignment="1"/>
    <xf numFmtId="41" fontId="6" fillId="0" borderId="55" xfId="3" applyNumberFormat="1" applyFont="1" applyFill="1" applyBorder="1" applyAlignment="1"/>
    <xf numFmtId="171" fontId="7" fillId="0" borderId="56" xfId="3" applyNumberFormat="1" applyFont="1" applyFill="1" applyBorder="1" applyAlignment="1">
      <alignment horizontal="center"/>
    </xf>
    <xf numFmtId="41" fontId="6" fillId="0" borderId="57" xfId="3" applyNumberFormat="1" applyFont="1" applyFill="1" applyBorder="1" applyAlignment="1"/>
    <xf numFmtId="171" fontId="7" fillId="0" borderId="58" xfId="3" applyNumberFormat="1" applyFont="1" applyFill="1" applyBorder="1" applyAlignment="1">
      <alignment horizontal="center"/>
    </xf>
    <xf numFmtId="41" fontId="6" fillId="0" borderId="59" xfId="3" applyNumberFormat="1" applyFont="1" applyFill="1" applyBorder="1" applyAlignment="1"/>
    <xf numFmtId="41" fontId="7" fillId="0" borderId="59" xfId="3" applyNumberFormat="1" applyFont="1" applyFill="1" applyBorder="1" applyAlignment="1"/>
    <xf numFmtId="171" fontId="7" fillId="2" borderId="53" xfId="3" applyNumberFormat="1" applyFont="1" applyFill="1" applyBorder="1" applyAlignment="1">
      <alignment horizontal="center"/>
    </xf>
    <xf numFmtId="41" fontId="6" fillId="2" borderId="54" xfId="3" applyNumberFormat="1" applyFont="1" applyFill="1" applyBorder="1" applyAlignment="1"/>
    <xf numFmtId="43" fontId="6" fillId="2" borderId="54" xfId="3" applyNumberFormat="1" applyFont="1" applyFill="1" applyBorder="1" applyAlignment="1"/>
    <xf numFmtId="164" fontId="6" fillId="2" borderId="54" xfId="3" applyNumberFormat="1" applyFont="1" applyFill="1" applyBorder="1" applyAlignment="1"/>
    <xf numFmtId="41" fontId="6" fillId="2" borderId="55" xfId="3" applyNumberFormat="1" applyFont="1" applyFill="1" applyBorder="1" applyAlignment="1"/>
    <xf numFmtId="171" fontId="7" fillId="2" borderId="56" xfId="3" applyNumberFormat="1" applyFont="1" applyFill="1" applyBorder="1" applyAlignment="1">
      <alignment horizontal="center"/>
    </xf>
    <xf numFmtId="41" fontId="6" fillId="2" borderId="36" xfId="3" applyNumberFormat="1" applyFont="1" applyFill="1" applyBorder="1" applyAlignment="1"/>
    <xf numFmtId="41" fontId="6" fillId="2" borderId="52" xfId="3" applyNumberFormat="1" applyFont="1" applyFill="1" applyBorder="1" applyAlignment="1"/>
    <xf numFmtId="171" fontId="7" fillId="2" borderId="58" xfId="3" applyNumberFormat="1" applyFont="1" applyFill="1" applyBorder="1" applyAlignment="1">
      <alignment horizontal="center"/>
    </xf>
    <xf numFmtId="41" fontId="6" fillId="2" borderId="59" xfId="3" applyNumberFormat="1" applyFont="1" applyFill="1" applyBorder="1" applyAlignment="1"/>
    <xf numFmtId="41" fontId="7" fillId="2" borderId="59" xfId="3" applyNumberFormat="1" applyFont="1" applyFill="1" applyBorder="1" applyAlignment="1"/>
    <xf numFmtId="41" fontId="7" fillId="2" borderId="60" xfId="3" applyNumberFormat="1" applyFont="1" applyFill="1" applyBorder="1" applyAlignment="1"/>
    <xf numFmtId="41" fontId="7" fillId="0" borderId="60" xfId="3" applyNumberFormat="1" applyFont="1" applyFill="1" applyBorder="1" applyAlignment="1"/>
    <xf numFmtId="169" fontId="22" fillId="0" borderId="41" xfId="3" applyNumberFormat="1" applyFont="1" applyFill="1" applyBorder="1" applyAlignment="1">
      <alignment horizontal="right"/>
    </xf>
    <xf numFmtId="41" fontId="22" fillId="0" borderId="0" xfId="3" applyNumberFormat="1" applyFont="1" applyFill="1" applyAlignment="1"/>
    <xf numFmtId="0" fontId="22" fillId="0" borderId="41" xfId="3" applyNumberFormat="1" applyFont="1" applyFill="1" applyBorder="1" applyAlignment="1">
      <alignment horizontal="right"/>
    </xf>
    <xf numFmtId="164" fontId="23" fillId="0" borderId="0" xfId="3" applyNumberFormat="1" applyFont="1" applyFill="1"/>
    <xf numFmtId="0" fontId="24" fillId="0" borderId="13" xfId="3" applyFont="1" applyBorder="1" applyAlignment="1">
      <alignment horizontal="centerContinuous"/>
    </xf>
    <xf numFmtId="0" fontId="5" fillId="0" borderId="15" xfId="3" applyFont="1" applyBorder="1" applyAlignment="1">
      <alignment horizontal="centerContinuous"/>
    </xf>
    <xf numFmtId="0" fontId="5" fillId="0" borderId="16" xfId="3" applyFont="1" applyBorder="1" applyAlignment="1">
      <alignment horizontal="centerContinuous"/>
    </xf>
    <xf numFmtId="0" fontId="4" fillId="0" borderId="17" xfId="3" applyBorder="1"/>
    <xf numFmtId="0" fontId="4" fillId="0" borderId="18" xfId="3" applyBorder="1"/>
    <xf numFmtId="0" fontId="25" fillId="2" borderId="35" xfId="3" applyFont="1" applyFill="1" applyBorder="1" applyAlignment="1">
      <alignment horizontal="left"/>
    </xf>
    <xf numFmtId="0" fontId="25" fillId="2" borderId="21" xfId="3" applyFont="1" applyFill="1" applyBorder="1"/>
    <xf numFmtId="0" fontId="26" fillId="2" borderId="21" xfId="3" applyFont="1" applyFill="1" applyBorder="1"/>
    <xf numFmtId="0" fontId="26" fillId="2" borderId="39" xfId="3" applyFont="1" applyFill="1" applyBorder="1"/>
    <xf numFmtId="0" fontId="26" fillId="2" borderId="17" xfId="3" applyFont="1" applyFill="1" applyBorder="1" applyAlignment="1">
      <alignment horizontal="center"/>
    </xf>
    <xf numFmtId="0" fontId="26" fillId="2" borderId="0" xfId="3" applyFont="1" applyFill="1" applyBorder="1"/>
    <xf numFmtId="0" fontId="25" fillId="2" borderId="0" xfId="3" applyFont="1" applyFill="1" applyBorder="1"/>
    <xf numFmtId="0" fontId="25" fillId="2" borderId="18" xfId="3" applyFont="1" applyFill="1" applyBorder="1" applyAlignment="1">
      <alignment horizontal="center"/>
    </xf>
    <xf numFmtId="10" fontId="26" fillId="2" borderId="0" xfId="3" applyNumberFormat="1" applyFont="1" applyFill="1" applyBorder="1"/>
    <xf numFmtId="0" fontId="26" fillId="2" borderId="18" xfId="3" applyFont="1" applyFill="1" applyBorder="1" applyAlignment="1">
      <alignment horizontal="left" indent="1"/>
    </xf>
    <xf numFmtId="165" fontId="26" fillId="2" borderId="0" xfId="5" applyNumberFormat="1" applyFont="1" applyFill="1" applyBorder="1"/>
    <xf numFmtId="41" fontId="26" fillId="2" borderId="0" xfId="3" applyNumberFormat="1" applyFont="1" applyFill="1" applyBorder="1"/>
    <xf numFmtId="164" fontId="26" fillId="2" borderId="2" xfId="6" applyNumberFormat="1" applyFont="1" applyFill="1" applyBorder="1"/>
    <xf numFmtId="0" fontId="26" fillId="2" borderId="31" xfId="3" applyFont="1" applyFill="1" applyBorder="1" applyAlignment="1">
      <alignment horizontal="left" indent="1"/>
    </xf>
    <xf numFmtId="164" fontId="26" fillId="2" borderId="0" xfId="6" applyNumberFormat="1" applyFont="1" applyFill="1" applyBorder="1"/>
    <xf numFmtId="5" fontId="26" fillId="2" borderId="0" xfId="3" applyNumberFormat="1" applyFont="1" applyFill="1" applyBorder="1"/>
    <xf numFmtId="165" fontId="26" fillId="2" borderId="4" xfId="5" applyNumberFormat="1" applyFont="1" applyFill="1" applyBorder="1"/>
    <xf numFmtId="0" fontId="26" fillId="2" borderId="31" xfId="3" applyFont="1" applyFill="1" applyBorder="1" applyAlignment="1">
      <alignment horizontal="center"/>
    </xf>
    <xf numFmtId="0" fontId="26" fillId="2" borderId="18" xfId="3" quotePrefix="1" applyFont="1" applyFill="1" applyBorder="1" applyAlignment="1">
      <alignment horizontal="left" indent="1"/>
    </xf>
    <xf numFmtId="0" fontId="26" fillId="2" borderId="14" xfId="3" applyFont="1" applyFill="1" applyBorder="1" applyAlignment="1">
      <alignment horizontal="center"/>
    </xf>
    <xf numFmtId="0" fontId="26" fillId="2" borderId="2" xfId="3" applyFont="1" applyFill="1" applyBorder="1"/>
    <xf numFmtId="5" fontId="26" fillId="2" borderId="2" xfId="3" applyNumberFormat="1" applyFont="1" applyFill="1" applyBorder="1"/>
    <xf numFmtId="0" fontId="26" fillId="2" borderId="19" xfId="3" applyFont="1" applyFill="1" applyBorder="1" applyAlignment="1">
      <alignment horizontal="center"/>
    </xf>
    <xf numFmtId="0" fontId="26" fillId="2" borderId="12" xfId="3" applyFont="1" applyFill="1" applyBorder="1"/>
    <xf numFmtId="5" fontId="26" fillId="2" borderId="12" xfId="3" applyNumberFormat="1" applyFont="1" applyFill="1" applyBorder="1"/>
    <xf numFmtId="0" fontId="26" fillId="2" borderId="20" xfId="3" applyFont="1" applyFill="1" applyBorder="1" applyAlignment="1">
      <alignment horizontal="center"/>
    </xf>
    <xf numFmtId="164" fontId="4" fillId="0" borderId="0" xfId="7" applyNumberFormat="1" applyFont="1"/>
    <xf numFmtId="164" fontId="6" fillId="0" borderId="0" xfId="1" applyNumberFormat="1" applyFont="1" applyFill="1"/>
    <xf numFmtId="171" fontId="7" fillId="0" borderId="61" xfId="0" applyNumberFormat="1" applyFont="1" applyFill="1" applyBorder="1" applyAlignment="1">
      <alignment horizontal="center"/>
    </xf>
    <xf numFmtId="171" fontId="7" fillId="0" borderId="62" xfId="0" applyNumberFormat="1" applyFont="1" applyFill="1" applyBorder="1" applyAlignment="1">
      <alignment horizontal="center"/>
    </xf>
    <xf numFmtId="171" fontId="7" fillId="0" borderId="63" xfId="0" applyNumberFormat="1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43" fontId="0" fillId="0" borderId="2" xfId="0" applyNumberFormat="1" applyBorder="1"/>
    <xf numFmtId="169" fontId="7" fillId="0" borderId="0" xfId="3" applyNumberFormat="1" applyFont="1" applyFill="1" applyBorder="1" applyAlignment="1">
      <alignment horizontal="left"/>
    </xf>
    <xf numFmtId="0" fontId="7" fillId="0" borderId="21" xfId="3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center"/>
    </xf>
    <xf numFmtId="169" fontId="21" fillId="0" borderId="0" xfId="3" applyNumberFormat="1" applyFont="1" applyFill="1" applyBorder="1" applyAlignment="1">
      <alignment horizontal="right"/>
    </xf>
    <xf numFmtId="171" fontId="7" fillId="0" borderId="64" xfId="3" applyNumberFormat="1" applyFont="1" applyFill="1" applyBorder="1" applyAlignment="1">
      <alignment horizontal="center"/>
    </xf>
    <xf numFmtId="171" fontId="7" fillId="0" borderId="65" xfId="3" applyNumberFormat="1" applyFont="1" applyFill="1" applyBorder="1" applyAlignment="1">
      <alignment horizontal="center"/>
    </xf>
    <xf numFmtId="171" fontId="7" fillId="0" borderId="66" xfId="3" applyNumberFormat="1" applyFont="1" applyFill="1" applyBorder="1" applyAlignment="1">
      <alignment horizontal="center"/>
    </xf>
    <xf numFmtId="171" fontId="7" fillId="2" borderId="64" xfId="3" applyNumberFormat="1" applyFont="1" applyFill="1" applyBorder="1" applyAlignment="1">
      <alignment horizontal="center"/>
    </xf>
    <xf numFmtId="171" fontId="7" fillId="2" borderId="65" xfId="3" applyNumberFormat="1" applyFont="1" applyFill="1" applyBorder="1" applyAlignment="1">
      <alignment horizontal="center"/>
    </xf>
    <xf numFmtId="171" fontId="7" fillId="2" borderId="66" xfId="3" applyNumberFormat="1" applyFont="1" applyFill="1" applyBorder="1" applyAlignment="1">
      <alignment horizontal="center"/>
    </xf>
    <xf numFmtId="169" fontId="22" fillId="0" borderId="0" xfId="3" applyNumberFormat="1" applyFont="1" applyFill="1" applyBorder="1" applyAlignment="1">
      <alignment horizontal="right"/>
    </xf>
    <xf numFmtId="0" fontId="22" fillId="0" borderId="0" xfId="3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6" fillId="0" borderId="2" xfId="3" applyNumberFormat="1" applyFont="1" applyFill="1" applyBorder="1" applyAlignment="1"/>
    <xf numFmtId="0" fontId="7" fillId="0" borderId="6" xfId="0" applyFont="1" applyFill="1" applyBorder="1" applyAlignment="1">
      <alignment horizontal="center"/>
    </xf>
    <xf numFmtId="164" fontId="6" fillId="0" borderId="2" xfId="1" applyNumberFormat="1" applyFont="1" applyFill="1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/>
    <xf numFmtId="0" fontId="27" fillId="0" borderId="0" xfId="0" applyFont="1" applyFill="1"/>
    <xf numFmtId="0" fontId="1" fillId="0" borderId="0" xfId="11"/>
    <xf numFmtId="164" fontId="8" fillId="0" borderId="2" xfId="1" applyNumberFormat="1" applyFont="1" applyFill="1" applyBorder="1"/>
    <xf numFmtId="0" fontId="26" fillId="2" borderId="17" xfId="3" applyFont="1" applyFill="1" applyBorder="1"/>
    <xf numFmtId="0" fontId="26" fillId="2" borderId="0" xfId="3" applyFont="1" applyFill="1"/>
    <xf numFmtId="0" fontId="25" fillId="2" borderId="18" xfId="3" applyFont="1" applyFill="1" applyBorder="1"/>
    <xf numFmtId="10" fontId="26" fillId="2" borderId="18" xfId="3" applyNumberFormat="1" applyFont="1" applyFill="1" applyBorder="1"/>
    <xf numFmtId="165" fontId="26" fillId="2" borderId="18" xfId="5" applyNumberFormat="1" applyFont="1" applyFill="1" applyBorder="1"/>
    <xf numFmtId="41" fontId="26" fillId="2" borderId="18" xfId="3" applyNumberFormat="1" applyFont="1" applyFill="1" applyBorder="1"/>
    <xf numFmtId="164" fontId="26" fillId="2" borderId="31" xfId="6" applyNumberFormat="1" applyFont="1" applyFill="1" applyBorder="1"/>
    <xf numFmtId="0" fontId="26" fillId="2" borderId="18" xfId="3" applyFont="1" applyFill="1" applyBorder="1"/>
    <xf numFmtId="164" fontId="26" fillId="2" borderId="18" xfId="6" applyNumberFormat="1" applyFont="1" applyFill="1" applyBorder="1"/>
    <xf numFmtId="5" fontId="26" fillId="2" borderId="18" xfId="3" applyNumberFormat="1" applyFont="1" applyFill="1" applyBorder="1"/>
    <xf numFmtId="0" fontId="26" fillId="2" borderId="19" xfId="3" applyFont="1" applyFill="1" applyBorder="1"/>
    <xf numFmtId="165" fontId="4" fillId="0" borderId="0" xfId="3" applyNumberFormat="1"/>
    <xf numFmtId="41" fontId="4" fillId="0" borderId="0" xfId="3" applyNumberFormat="1"/>
    <xf numFmtId="164" fontId="4" fillId="0" borderId="0" xfId="3" applyNumberFormat="1"/>
    <xf numFmtId="0" fontId="0" fillId="0" borderId="0" xfId="0" applyAlignment="1">
      <alignment horizontal="right"/>
    </xf>
    <xf numFmtId="0" fontId="5" fillId="0" borderId="0" xfId="3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4" fillId="0" borderId="13" xfId="3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12">
    <cellStyle name="Comma" xfId="1" builtinId="3"/>
    <cellStyle name="Comma 2" xfId="6" xr:uid="{00000000-0005-0000-0000-000001000000}"/>
    <cellStyle name="Comma 3" xfId="7" xr:uid="{00000000-0005-0000-0000-000002000000}"/>
    <cellStyle name="Comma 4" xfId="10" xr:uid="{00000000-0005-0000-0000-000003000000}"/>
    <cellStyle name="Currency 2" xfId="5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3 2" xfId="11" xr:uid="{00000000-0005-0000-0000-000008000000}"/>
    <cellStyle name="Normal 4" xfId="8" xr:uid="{00000000-0005-0000-0000-000009000000}"/>
    <cellStyle name="Percent" xfId="2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zoomScaleNormal="100" workbookViewId="0">
      <pane ySplit="9" topLeftCell="A10" activePane="bottomLeft" state="frozen"/>
      <selection pane="bottomLeft" activeCell="I32" sqref="I32"/>
    </sheetView>
  </sheetViews>
  <sheetFormatPr defaultColWidth="8.7109375" defaultRowHeight="15" x14ac:dyDescent="0.25"/>
  <cols>
    <col min="1" max="1" width="4.42578125" style="83" bestFit="1" customWidth="1"/>
    <col min="2" max="2" width="38" style="83" bestFit="1" customWidth="1"/>
    <col min="3" max="3" width="9.28515625" style="83" bestFit="1" customWidth="1"/>
    <col min="4" max="4" width="13.5703125" style="83" bestFit="1" customWidth="1"/>
    <col min="5" max="5" width="33.7109375" style="83" bestFit="1" customWidth="1"/>
    <col min="6" max="6" width="8.7109375" style="83"/>
    <col min="7" max="7" width="38" style="83" customWidth="1"/>
    <col min="8" max="8" width="8.7109375" style="83"/>
    <col min="9" max="9" width="13.5703125" style="83" customWidth="1"/>
    <col min="10" max="10" width="8.7109375" style="83"/>
    <col min="11" max="11" width="11.5703125" style="83" bestFit="1" customWidth="1"/>
    <col min="12" max="16384" width="8.7109375" style="83"/>
  </cols>
  <sheetData>
    <row r="1" spans="1:11" x14ac:dyDescent="0.25">
      <c r="I1" s="280" t="s">
        <v>158</v>
      </c>
    </row>
    <row r="2" spans="1:11" x14ac:dyDescent="0.25">
      <c r="I2" s="280" t="s">
        <v>159</v>
      </c>
    </row>
    <row r="3" spans="1:11" x14ac:dyDescent="0.25">
      <c r="I3" s="280" t="s">
        <v>160</v>
      </c>
    </row>
    <row r="5" spans="1:11" x14ac:dyDescent="0.25">
      <c r="A5" s="281" t="s">
        <v>156</v>
      </c>
      <c r="B5" s="282"/>
      <c r="C5" s="282"/>
      <c r="D5" s="282"/>
      <c r="E5" s="282"/>
    </row>
    <row r="6" spans="1:11" ht="15.75" thickBot="1" x14ac:dyDescent="0.3"/>
    <row r="7" spans="1:11" ht="18.75" x14ac:dyDescent="0.3">
      <c r="A7" s="205" t="s">
        <v>157</v>
      </c>
      <c r="B7" s="206"/>
      <c r="C7" s="206"/>
      <c r="D7" s="206"/>
      <c r="E7" s="207"/>
      <c r="G7" s="283" t="s">
        <v>155</v>
      </c>
      <c r="H7" s="284"/>
      <c r="I7" s="285"/>
    </row>
    <row r="8" spans="1:11" x14ac:dyDescent="0.25">
      <c r="A8" s="208"/>
      <c r="B8" s="132"/>
      <c r="C8" s="132"/>
      <c r="D8" s="132"/>
      <c r="E8" s="209"/>
      <c r="G8" s="208"/>
      <c r="I8" s="209"/>
    </row>
    <row r="9" spans="1:11" x14ac:dyDescent="0.25">
      <c r="A9" s="208"/>
      <c r="B9" s="132"/>
      <c r="C9" s="132"/>
      <c r="D9" s="132"/>
      <c r="E9" s="209"/>
      <c r="G9" s="208"/>
      <c r="I9" s="209"/>
    </row>
    <row r="10" spans="1:11" x14ac:dyDescent="0.25">
      <c r="A10" s="210" t="s">
        <v>135</v>
      </c>
      <c r="B10" s="211"/>
      <c r="C10" s="211"/>
      <c r="D10" s="212"/>
      <c r="E10" s="213"/>
      <c r="G10" s="210" t="s">
        <v>154</v>
      </c>
      <c r="H10" s="211"/>
      <c r="I10" s="213"/>
    </row>
    <row r="11" spans="1:11" x14ac:dyDescent="0.25">
      <c r="A11" s="214">
        <v>1</v>
      </c>
      <c r="B11" s="215"/>
      <c r="C11" s="215"/>
      <c r="D11" s="216"/>
      <c r="E11" s="217" t="s">
        <v>122</v>
      </c>
      <c r="G11" s="266"/>
      <c r="H11" s="267"/>
      <c r="I11" s="268"/>
    </row>
    <row r="12" spans="1:11" x14ac:dyDescent="0.25">
      <c r="A12" s="214">
        <v>2</v>
      </c>
      <c r="B12" s="215" t="s">
        <v>123</v>
      </c>
      <c r="C12" s="215"/>
      <c r="D12" s="218">
        <v>2.5399999999999999E-2</v>
      </c>
      <c r="E12" s="219" t="s">
        <v>136</v>
      </c>
      <c r="G12" s="266" t="s">
        <v>123</v>
      </c>
      <c r="H12" s="267"/>
      <c r="I12" s="269">
        <v>2.5399999999999999E-2</v>
      </c>
    </row>
    <row r="13" spans="1:11" x14ac:dyDescent="0.25">
      <c r="A13" s="214">
        <f t="shared" ref="A13:A23" si="0">+A12+1</f>
        <v>3</v>
      </c>
      <c r="B13" s="215" t="s">
        <v>124</v>
      </c>
      <c r="C13" s="215"/>
      <c r="D13" s="218">
        <v>7.4399999999999994E-2</v>
      </c>
      <c r="E13" s="219" t="s">
        <v>137</v>
      </c>
      <c r="G13" s="266" t="s">
        <v>124</v>
      </c>
      <c r="H13" s="267"/>
      <c r="I13" s="269">
        <v>7.4399999999999994E-2</v>
      </c>
    </row>
    <row r="14" spans="1:11" x14ac:dyDescent="0.25">
      <c r="A14" s="214"/>
      <c r="B14" s="215"/>
      <c r="C14" s="215"/>
      <c r="D14" s="218"/>
      <c r="E14" s="219"/>
      <c r="G14" s="266"/>
      <c r="H14" s="267"/>
      <c r="I14" s="269"/>
    </row>
    <row r="15" spans="1:11" x14ac:dyDescent="0.25">
      <c r="A15" s="214">
        <f>+A13+1</f>
        <v>4</v>
      </c>
      <c r="B15" s="215" t="s">
        <v>126</v>
      </c>
      <c r="C15" s="215"/>
      <c r="D15" s="220">
        <f>'E34402'!D90+'E3631'!D90+'E3940'!D90+'E3950'!D90</f>
        <v>9068703.9300000016</v>
      </c>
      <c r="E15" s="219" t="s">
        <v>151</v>
      </c>
      <c r="G15" s="266" t="s">
        <v>126</v>
      </c>
      <c r="H15" s="267"/>
      <c r="I15" s="270">
        <f>'E34402'!D86+'E3631'!D86+'E3940'!D86+'E3950'!D86</f>
        <v>4713454.9799999986</v>
      </c>
      <c r="K15" s="277"/>
    </row>
    <row r="16" spans="1:11" x14ac:dyDescent="0.25">
      <c r="A16" s="214">
        <f>+A15+1</f>
        <v>5</v>
      </c>
      <c r="B16" s="215" t="s">
        <v>42</v>
      </c>
      <c r="C16" s="215"/>
      <c r="D16" s="221">
        <f>'E34402'!H90+'E3631'!H90+'E3940'!H90+'E3950'!H90</f>
        <v>-333036.69866835256</v>
      </c>
      <c r="E16" s="219" t="s">
        <v>151</v>
      </c>
      <c r="G16" s="266" t="s">
        <v>42</v>
      </c>
      <c r="H16" s="267"/>
      <c r="I16" s="271">
        <f>'E34402'!H86+'E3631'!H86+'E3940'!H86+'E3950'!H86</f>
        <v>-136460.75895833329</v>
      </c>
      <c r="K16" s="278"/>
    </row>
    <row r="17" spans="1:11" x14ac:dyDescent="0.25">
      <c r="A17" s="214">
        <f t="shared" si="0"/>
        <v>6</v>
      </c>
      <c r="B17" s="215" t="s">
        <v>127</v>
      </c>
      <c r="C17" s="215"/>
      <c r="D17" s="222">
        <f>'E34402'!X67+'E3631'!X67+'E3940'!X67+'E3950'!X67</f>
        <v>-409430.76407109818</v>
      </c>
      <c r="E17" s="223" t="s">
        <v>151</v>
      </c>
      <c r="G17" s="266" t="s">
        <v>127</v>
      </c>
      <c r="H17" s="267"/>
      <c r="I17" s="272">
        <f>'E34402'!X38+'E3631'!X38+'E3940'!X38+'E3950'!X38</f>
        <v>-85992.209514929826</v>
      </c>
      <c r="K17" s="279"/>
    </row>
    <row r="18" spans="1:11" x14ac:dyDescent="0.25">
      <c r="A18" s="214">
        <f t="shared" si="0"/>
        <v>7</v>
      </c>
      <c r="B18" s="215" t="s">
        <v>125</v>
      </c>
      <c r="C18" s="215"/>
      <c r="D18" s="220">
        <f>SUM(D15:D17)</f>
        <v>8326236.4672605498</v>
      </c>
      <c r="E18" s="219"/>
      <c r="G18" s="266" t="s">
        <v>125</v>
      </c>
      <c r="H18" s="267"/>
      <c r="I18" s="270">
        <f>SUM(I15:I17)</f>
        <v>4491002.0115267355</v>
      </c>
    </row>
    <row r="19" spans="1:11" x14ac:dyDescent="0.25">
      <c r="A19" s="214">
        <f t="shared" si="0"/>
        <v>8</v>
      </c>
      <c r="B19" s="215"/>
      <c r="C19" s="215"/>
      <c r="D19" s="215"/>
      <c r="E19" s="219"/>
      <c r="G19" s="266"/>
      <c r="H19" s="267"/>
      <c r="I19" s="273"/>
    </row>
    <row r="20" spans="1:11" x14ac:dyDescent="0.25">
      <c r="A20" s="214">
        <f t="shared" si="0"/>
        <v>9</v>
      </c>
      <c r="B20" s="215" t="s">
        <v>41</v>
      </c>
      <c r="C20" s="215"/>
      <c r="D20" s="220">
        <f>-0.79*('E34402'!F89+'E3631'!F89+'E3940'!F89+'E3950'!F89)</f>
        <v>-368581.17208976072</v>
      </c>
      <c r="E20" s="219" t="s">
        <v>152</v>
      </c>
      <c r="G20" s="266" t="s">
        <v>41</v>
      </c>
      <c r="H20" s="267"/>
      <c r="I20" s="270">
        <f>-0.79*('E34402'!F86+'E3631'!F86+'E3940'!F86+'E3950'!F86)</f>
        <v>-102491.24170999997</v>
      </c>
      <c r="K20" s="277"/>
    </row>
    <row r="21" spans="1:11" x14ac:dyDescent="0.25">
      <c r="A21" s="214">
        <v>10</v>
      </c>
      <c r="B21" s="215" t="s">
        <v>128</v>
      </c>
      <c r="C21" s="215"/>
      <c r="D21" s="224">
        <f>+D18*D12*0.21</f>
        <v>44412.145316367765</v>
      </c>
      <c r="E21" s="219" t="s">
        <v>130</v>
      </c>
      <c r="G21" s="266" t="s">
        <v>128</v>
      </c>
      <c r="H21" s="267"/>
      <c r="I21" s="274">
        <f>+I18*I12*0.21</f>
        <v>23955.004729483608</v>
      </c>
    </row>
    <row r="22" spans="1:11" x14ac:dyDescent="0.25">
      <c r="A22" s="214">
        <f>+A21+1</f>
        <v>11</v>
      </c>
      <c r="B22" s="215" t="s">
        <v>129</v>
      </c>
      <c r="C22" s="215"/>
      <c r="D22" s="222">
        <f>-D18*D13</f>
        <v>-619471.99316418485</v>
      </c>
      <c r="E22" s="223" t="s">
        <v>133</v>
      </c>
      <c r="G22" s="266" t="s">
        <v>129</v>
      </c>
      <c r="H22" s="267"/>
      <c r="I22" s="272">
        <f>-I18*I13</f>
        <v>-334130.54965758912</v>
      </c>
    </row>
    <row r="23" spans="1:11" x14ac:dyDescent="0.25">
      <c r="A23" s="214">
        <f t="shared" si="0"/>
        <v>12</v>
      </c>
      <c r="B23" s="215" t="s">
        <v>153</v>
      </c>
      <c r="C23" s="215"/>
      <c r="D23" s="220">
        <f>-D20-D21-D22</f>
        <v>943641.01993757777</v>
      </c>
      <c r="E23" s="228"/>
      <c r="G23" s="266" t="s">
        <v>153</v>
      </c>
      <c r="H23" s="267"/>
      <c r="I23" s="270">
        <f>-I20-I21-I22</f>
        <v>412666.78663810546</v>
      </c>
    </row>
    <row r="24" spans="1:11" ht="15.75" thickBot="1" x14ac:dyDescent="0.3">
      <c r="A24" s="214"/>
      <c r="B24" s="215"/>
      <c r="C24" s="215"/>
      <c r="D24" s="225"/>
      <c r="E24" s="219"/>
      <c r="G24" s="266"/>
      <c r="H24" s="267"/>
      <c r="I24" s="275"/>
    </row>
    <row r="25" spans="1:11" ht="15.75" thickBot="1" x14ac:dyDescent="0.3">
      <c r="A25" s="214">
        <f>+A23+1</f>
        <v>13</v>
      </c>
      <c r="B25" s="215" t="s">
        <v>131</v>
      </c>
      <c r="C25" s="215"/>
      <c r="D25" s="226">
        <f>+D23/0.79/0.952348</f>
        <v>1254249.8159480074</v>
      </c>
      <c r="E25" s="219" t="s">
        <v>132</v>
      </c>
      <c r="G25" s="276" t="s">
        <v>131</v>
      </c>
      <c r="H25" s="233"/>
      <c r="I25" s="226">
        <f>+I23/0.79/0.952348</f>
        <v>548500.15021913522</v>
      </c>
    </row>
    <row r="26" spans="1:11" x14ac:dyDescent="0.25">
      <c r="A26" s="229"/>
      <c r="B26" s="230"/>
      <c r="C26" s="230"/>
      <c r="D26" s="231"/>
      <c r="E26" s="227" t="s">
        <v>134</v>
      </c>
    </row>
    <row r="27" spans="1:11" x14ac:dyDescent="0.25">
      <c r="A27" s="208"/>
      <c r="B27" s="132"/>
      <c r="C27" s="132"/>
      <c r="D27" s="132"/>
      <c r="E27" s="209"/>
    </row>
    <row r="28" spans="1:11" x14ac:dyDescent="0.25">
      <c r="A28" s="210" t="s">
        <v>138</v>
      </c>
      <c r="B28" s="211"/>
      <c r="C28" s="211"/>
      <c r="D28" s="212"/>
      <c r="E28" s="213"/>
    </row>
    <row r="29" spans="1:11" x14ac:dyDescent="0.25">
      <c r="A29" s="214">
        <v>1</v>
      </c>
      <c r="B29" s="215"/>
      <c r="C29" s="215"/>
      <c r="D29" s="216"/>
      <c r="E29" s="217" t="s">
        <v>122</v>
      </c>
    </row>
    <row r="30" spans="1:11" x14ac:dyDescent="0.25">
      <c r="A30" s="214">
        <v>2</v>
      </c>
      <c r="B30" s="215" t="s">
        <v>123</v>
      </c>
      <c r="C30" s="215"/>
      <c r="D30" s="218">
        <v>2.5399999999999999E-2</v>
      </c>
      <c r="E30" s="219" t="s">
        <v>139</v>
      </c>
      <c r="G30" s="277"/>
    </row>
    <row r="31" spans="1:11" x14ac:dyDescent="0.25">
      <c r="A31" s="214">
        <f t="shared" ref="A31:A41" si="1">+A30+1</f>
        <v>3</v>
      </c>
      <c r="B31" s="215" t="s">
        <v>124</v>
      </c>
      <c r="C31" s="215"/>
      <c r="D31" s="218">
        <v>7.4899999999999994E-2</v>
      </c>
      <c r="E31" s="219" t="s">
        <v>140</v>
      </c>
    </row>
    <row r="32" spans="1:11" x14ac:dyDescent="0.25">
      <c r="A32" s="214"/>
      <c r="B32" s="215"/>
      <c r="C32" s="215"/>
      <c r="D32" s="218"/>
      <c r="E32" s="219"/>
      <c r="G32" s="277"/>
    </row>
    <row r="33" spans="1:5" x14ac:dyDescent="0.25">
      <c r="A33" s="214">
        <f>+A31+1</f>
        <v>4</v>
      </c>
      <c r="B33" s="215" t="s">
        <v>126</v>
      </c>
      <c r="C33" s="215"/>
      <c r="D33" s="221">
        <f>'E34402'!D93+'E3631'!D93+'E3940'!D93+'E3950'!D93</f>
        <v>21241760.670000002</v>
      </c>
      <c r="E33" s="219" t="s">
        <v>151</v>
      </c>
    </row>
    <row r="34" spans="1:5" x14ac:dyDescent="0.25">
      <c r="A34" s="214">
        <f>+A33+1</f>
        <v>5</v>
      </c>
      <c r="B34" s="215" t="s">
        <v>42</v>
      </c>
      <c r="C34" s="215"/>
      <c r="D34" s="221">
        <f>'E34402'!H93+'E3631'!H93+'E3940'!H93+'E3950'!H93</f>
        <v>-1078385.0735340931</v>
      </c>
      <c r="E34" s="219" t="s">
        <v>151</v>
      </c>
    </row>
    <row r="35" spans="1:5" x14ac:dyDescent="0.25">
      <c r="A35" s="214">
        <f t="shared" si="1"/>
        <v>6</v>
      </c>
      <c r="B35" s="215" t="s">
        <v>127</v>
      </c>
      <c r="C35" s="215"/>
      <c r="D35" s="222">
        <f>'E34402'!X93+'E3631'!X93+'E3940'!X93+'E3950'!X93</f>
        <v>-1143476.4701019751</v>
      </c>
      <c r="E35" s="223" t="s">
        <v>151</v>
      </c>
    </row>
    <row r="36" spans="1:5" x14ac:dyDescent="0.25">
      <c r="A36" s="214">
        <f t="shared" si="1"/>
        <v>7</v>
      </c>
      <c r="B36" s="215" t="s">
        <v>125</v>
      </c>
      <c r="C36" s="215"/>
      <c r="D36" s="220">
        <f>SUM(D33:D35)</f>
        <v>19019899.126363933</v>
      </c>
      <c r="E36" s="219"/>
    </row>
    <row r="37" spans="1:5" x14ac:dyDescent="0.25">
      <c r="A37" s="214">
        <f t="shared" si="1"/>
        <v>8</v>
      </c>
      <c r="B37" s="215"/>
      <c r="C37" s="215"/>
      <c r="D37" s="215"/>
      <c r="E37" s="219"/>
    </row>
    <row r="38" spans="1:5" x14ac:dyDescent="0.25">
      <c r="A38" s="214">
        <f t="shared" si="1"/>
        <v>9</v>
      </c>
      <c r="B38" s="215" t="s">
        <v>41</v>
      </c>
      <c r="C38" s="215"/>
      <c r="D38" s="220">
        <f>-0.79*('E34402'!F92+'E3631'!F92+'E3940'!F92+'E3950'!F92)</f>
        <v>-853655.45649874036</v>
      </c>
      <c r="E38" s="219" t="s">
        <v>152</v>
      </c>
    </row>
    <row r="39" spans="1:5" x14ac:dyDescent="0.25">
      <c r="A39" s="214">
        <v>10</v>
      </c>
      <c r="B39" s="215" t="s">
        <v>128</v>
      </c>
      <c r="C39" s="215"/>
      <c r="D39" s="224">
        <f>+D36*D30*0.21</f>
        <v>101452.14194002521</v>
      </c>
      <c r="E39" s="219" t="s">
        <v>130</v>
      </c>
    </row>
    <row r="40" spans="1:5" x14ac:dyDescent="0.25">
      <c r="A40" s="214">
        <f>+A39+1</f>
        <v>11</v>
      </c>
      <c r="B40" s="215" t="s">
        <v>129</v>
      </c>
      <c r="C40" s="215"/>
      <c r="D40" s="222">
        <f>-D36*D31</f>
        <v>-1424590.4445646584</v>
      </c>
      <c r="E40" s="223" t="s">
        <v>133</v>
      </c>
    </row>
    <row r="41" spans="1:5" x14ac:dyDescent="0.25">
      <c r="A41" s="214">
        <f t="shared" si="1"/>
        <v>12</v>
      </c>
      <c r="B41" s="215" t="s">
        <v>153</v>
      </c>
      <c r="C41" s="215"/>
      <c r="D41" s="220">
        <f>-D38-D39-D40</f>
        <v>2176793.7591233738</v>
      </c>
      <c r="E41" s="228"/>
    </row>
    <row r="42" spans="1:5" ht="15.75" thickBot="1" x14ac:dyDescent="0.3">
      <c r="A42" s="214"/>
      <c r="B42" s="215"/>
      <c r="C42" s="215"/>
      <c r="D42" s="225"/>
      <c r="E42" s="219"/>
    </row>
    <row r="43" spans="1:5" ht="15.75" thickBot="1" x14ac:dyDescent="0.3">
      <c r="A43" s="214">
        <f>+A41+1</f>
        <v>13</v>
      </c>
      <c r="B43" s="215" t="s">
        <v>131</v>
      </c>
      <c r="C43" s="215"/>
      <c r="D43" s="226">
        <f>+D41/0.79/0.952348</f>
        <v>2893307.0034597153</v>
      </c>
      <c r="E43" s="219" t="s">
        <v>132</v>
      </c>
    </row>
    <row r="44" spans="1:5" ht="15.75" thickBot="1" x14ac:dyDescent="0.3">
      <c r="A44" s="232"/>
      <c r="B44" s="233"/>
      <c r="C44" s="233"/>
      <c r="D44" s="234"/>
      <c r="E44" s="235" t="s">
        <v>134</v>
      </c>
    </row>
    <row r="47" spans="1:5" x14ac:dyDescent="0.25">
      <c r="D47" s="236"/>
    </row>
    <row r="48" spans="1:5" x14ac:dyDescent="0.25">
      <c r="D48" s="236"/>
    </row>
    <row r="49" spans="4:4" x14ac:dyDescent="0.25">
      <c r="D49" s="236"/>
    </row>
  </sheetData>
  <mergeCells count="2">
    <mergeCell ref="A5:E5"/>
    <mergeCell ref="G7:I7"/>
  </mergeCells>
  <pageMargins left="0.7" right="0.7" top="0.75" bottom="0.75" header="0.3" footer="0.3"/>
  <pageSetup orientation="landscape" horizontalDpi="4294967293" verticalDpi="300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</sheetPr>
  <dimension ref="A1:AQ188"/>
  <sheetViews>
    <sheetView zoomScaleNormal="100" workbookViewId="0">
      <pane xSplit="1" ySplit="16" topLeftCell="L17" activePane="bottomRight" state="frozen"/>
      <selection activeCell="K48" sqref="K48"/>
      <selection pane="topRight" activeCell="K48" sqref="K48"/>
      <selection pane="bottomLeft" activeCell="K48" sqref="K48"/>
      <selection pane="bottomRight" activeCell="AH17" sqref="AH17"/>
    </sheetView>
  </sheetViews>
  <sheetFormatPr defaultColWidth="8.7109375" defaultRowHeight="12.75" x14ac:dyDescent="0.2"/>
  <cols>
    <col min="1" max="1" width="24.42578125" style="52" customWidth="1"/>
    <col min="2" max="2" width="14.28515625" style="52" customWidth="1"/>
    <col min="3" max="3" width="14.42578125" style="52" customWidth="1"/>
    <col min="4" max="4" width="14.42578125" style="52" bestFit="1" customWidth="1"/>
    <col min="5" max="5" width="11.7109375" style="52" bestFit="1" customWidth="1"/>
    <col min="6" max="6" width="13.42578125" style="52" bestFit="1" customWidth="1"/>
    <col min="7" max="7" width="12.28515625" style="52" bestFit="1" customWidth="1"/>
    <col min="8" max="8" width="11.7109375" style="52" bestFit="1" customWidth="1"/>
    <col min="9" max="10" width="12.42578125" style="52" bestFit="1" customWidth="1"/>
    <col min="11" max="11" width="11.42578125" style="52" bestFit="1" customWidth="1"/>
    <col min="12" max="12" width="11.28515625" style="52" bestFit="1" customWidth="1"/>
    <col min="13" max="13" width="11.5703125" style="52" bestFit="1" customWidth="1"/>
    <col min="14" max="14" width="9.5703125" style="123" bestFit="1" customWidth="1"/>
    <col min="15" max="15" width="7.5703125" style="52" bestFit="1" customWidth="1"/>
    <col min="16" max="18" width="7.42578125" style="52" bestFit="1" customWidth="1"/>
    <col min="19" max="19" width="11.7109375" style="52" bestFit="1" customWidth="1"/>
    <col min="20" max="20" width="13.28515625" style="52" bestFit="1" customWidth="1"/>
    <col min="21" max="21" width="11" style="52" bestFit="1" customWidth="1"/>
    <col min="22" max="22" width="14.5703125" style="52" bestFit="1" customWidth="1"/>
    <col min="23" max="23" width="12" style="52" bestFit="1" customWidth="1"/>
    <col min="24" max="24" width="13.28515625" style="52" bestFit="1" customWidth="1"/>
    <col min="25" max="29" width="10.28515625" style="52" customWidth="1"/>
    <col min="30" max="42" width="8.7109375" style="52"/>
    <col min="43" max="43" width="9.42578125" style="52" bestFit="1" customWidth="1"/>
    <col min="44" max="16384" width="8.7109375" style="52"/>
  </cols>
  <sheetData>
    <row r="1" spans="1:43" ht="15" x14ac:dyDescent="0.25">
      <c r="AQ1" s="280" t="s">
        <v>158</v>
      </c>
    </row>
    <row r="2" spans="1:43" ht="15" x14ac:dyDescent="0.25">
      <c r="AQ2" s="280" t="s">
        <v>159</v>
      </c>
    </row>
    <row r="3" spans="1:43" ht="15" x14ac:dyDescent="0.25">
      <c r="AQ3" s="280" t="s">
        <v>161</v>
      </c>
    </row>
    <row r="4" spans="1:43" s="38" customFormat="1" x14ac:dyDescent="0.2">
      <c r="A4" s="36" t="s">
        <v>7</v>
      </c>
      <c r="B4" s="36"/>
      <c r="C4" s="36"/>
      <c r="D4" s="37"/>
      <c r="E4" s="37"/>
      <c r="F4" s="37"/>
      <c r="K4" s="37"/>
      <c r="L4" s="37"/>
      <c r="M4" s="39"/>
      <c r="N4" s="40"/>
      <c r="O4" s="39"/>
    </row>
    <row r="5" spans="1:43" s="38" customFormat="1" x14ac:dyDescent="0.2">
      <c r="A5" s="36"/>
      <c r="B5" s="36"/>
      <c r="C5" s="41"/>
      <c r="D5" s="42"/>
      <c r="E5" s="41"/>
      <c r="G5" s="37"/>
      <c r="H5" s="43"/>
      <c r="I5" s="44"/>
      <c r="J5" s="37"/>
      <c r="K5" s="37"/>
      <c r="L5" s="37"/>
      <c r="M5" s="45"/>
      <c r="N5" s="40"/>
      <c r="O5" s="39"/>
    </row>
    <row r="6" spans="1:43" s="38" customFormat="1" x14ac:dyDescent="0.2">
      <c r="A6" s="46"/>
      <c r="B6" s="243"/>
      <c r="C6" s="47"/>
      <c r="D6" s="48"/>
      <c r="E6" s="47"/>
      <c r="F6" s="49"/>
      <c r="G6" s="37"/>
      <c r="H6" s="50"/>
      <c r="K6" s="51"/>
      <c r="L6" s="51"/>
      <c r="M6" s="45"/>
      <c r="N6" s="40"/>
      <c r="O6" s="43"/>
    </row>
    <row r="7" spans="1:43" s="38" customFormat="1" ht="6.6" customHeight="1" x14ac:dyDescent="0.2">
      <c r="A7" s="52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43" s="38" customFormat="1" x14ac:dyDescent="0.2">
      <c r="A8" s="54" t="s">
        <v>145</v>
      </c>
      <c r="B8" s="54"/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>
        <v>6</v>
      </c>
      <c r="I8" s="55">
        <v>7</v>
      </c>
      <c r="J8" s="55">
        <v>8</v>
      </c>
      <c r="K8" s="55">
        <v>9</v>
      </c>
      <c r="L8" s="55">
        <v>10</v>
      </c>
      <c r="M8" s="55">
        <v>11</v>
      </c>
      <c r="N8" s="55">
        <v>12</v>
      </c>
      <c r="O8" s="55">
        <v>13</v>
      </c>
      <c r="P8" s="55">
        <v>14</v>
      </c>
      <c r="Q8" s="55">
        <v>15</v>
      </c>
      <c r="R8" s="55">
        <v>16</v>
      </c>
      <c r="S8" s="55">
        <v>17</v>
      </c>
      <c r="T8" s="55">
        <v>18</v>
      </c>
      <c r="U8" s="55">
        <v>19</v>
      </c>
      <c r="V8" s="55">
        <v>20</v>
      </c>
      <c r="W8" s="55">
        <v>21</v>
      </c>
      <c r="X8" s="55">
        <v>22</v>
      </c>
      <c r="Y8" s="55">
        <v>23</v>
      </c>
      <c r="Z8" s="55">
        <v>24</v>
      </c>
      <c r="AA8" s="55">
        <v>25</v>
      </c>
      <c r="AB8" s="55">
        <v>26</v>
      </c>
      <c r="AC8" s="55">
        <v>27</v>
      </c>
      <c r="AD8" s="55">
        <v>28</v>
      </c>
      <c r="AE8" s="55">
        <v>29</v>
      </c>
      <c r="AF8" s="55">
        <v>30</v>
      </c>
      <c r="AG8" s="55">
        <v>31</v>
      </c>
      <c r="AH8" s="55">
        <v>32</v>
      </c>
      <c r="AI8" s="55">
        <v>33</v>
      </c>
      <c r="AJ8" s="55">
        <v>34</v>
      </c>
      <c r="AK8" s="55">
        <v>35</v>
      </c>
      <c r="AL8" s="55">
        <v>36</v>
      </c>
      <c r="AM8" s="55">
        <v>37</v>
      </c>
      <c r="AN8" s="55">
        <v>38</v>
      </c>
      <c r="AO8" s="55">
        <v>39</v>
      </c>
      <c r="AP8" s="55">
        <v>40</v>
      </c>
      <c r="AQ8" s="55" t="s">
        <v>1</v>
      </c>
    </row>
    <row r="9" spans="1:43" s="38" customFormat="1" x14ac:dyDescent="0.2">
      <c r="A9" s="56" t="s">
        <v>38</v>
      </c>
      <c r="B9" s="56"/>
      <c r="C9" s="57">
        <v>0.2</v>
      </c>
      <c r="D9" s="57">
        <v>0.32</v>
      </c>
      <c r="E9" s="57">
        <v>0.192</v>
      </c>
      <c r="F9" s="57">
        <v>0.1152</v>
      </c>
      <c r="G9" s="57">
        <v>0.1152</v>
      </c>
      <c r="H9" s="57">
        <v>5.7599999999999998E-2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>
        <f>SUM(C9:AP9)</f>
        <v>0.99999999999999989</v>
      </c>
    </row>
    <row r="10" spans="1:43" s="38" customFormat="1" ht="7.35" customHeight="1" x14ac:dyDescent="0.2">
      <c r="A10" s="58"/>
      <c r="B10" s="58"/>
      <c r="C10" s="53"/>
      <c r="D10" s="53"/>
      <c r="E10" s="53"/>
      <c r="F10" s="53"/>
      <c r="G10" s="53"/>
      <c r="H10" s="53"/>
      <c r="I10" s="59"/>
      <c r="J10" s="59"/>
      <c r="K10" s="59"/>
    </row>
    <row r="11" spans="1:43" ht="13.5" thickBot="1" x14ac:dyDescent="0.25">
      <c r="A11" s="60" t="s">
        <v>39</v>
      </c>
      <c r="B11" s="244" t="s">
        <v>142</v>
      </c>
      <c r="C11" s="61" t="s">
        <v>40</v>
      </c>
      <c r="D11" s="62"/>
      <c r="E11" s="61" t="s">
        <v>41</v>
      </c>
      <c r="F11" s="63"/>
      <c r="G11" s="61" t="s">
        <v>42</v>
      </c>
      <c r="H11" s="62"/>
      <c r="I11" s="61" t="s">
        <v>43</v>
      </c>
      <c r="J11" s="62"/>
      <c r="K11" s="64" t="s">
        <v>44</v>
      </c>
      <c r="L11" s="64" t="s">
        <v>45</v>
      </c>
      <c r="M11" s="65" t="s">
        <v>46</v>
      </c>
      <c r="N11" s="52"/>
    </row>
    <row r="12" spans="1:43" ht="13.5" thickBot="1" x14ac:dyDescent="0.25">
      <c r="A12" s="66"/>
      <c r="B12" s="85" t="s">
        <v>143</v>
      </c>
      <c r="C12" s="67"/>
      <c r="D12" s="68"/>
      <c r="E12" s="67" t="s">
        <v>47</v>
      </c>
      <c r="F12" s="69">
        <f>'Closings By Depr Grp'!AZ10</f>
        <v>4.8399999999999999E-2</v>
      </c>
      <c r="G12" s="70"/>
      <c r="H12" s="68"/>
      <c r="I12" s="71"/>
      <c r="J12" s="72"/>
      <c r="K12" s="73"/>
      <c r="L12" s="73"/>
      <c r="M12" s="74" t="s">
        <v>48</v>
      </c>
      <c r="N12" s="52"/>
    </row>
    <row r="13" spans="1:43" ht="13.5" thickBot="1" x14ac:dyDescent="0.25">
      <c r="A13" s="66"/>
      <c r="B13" s="85" t="s">
        <v>144</v>
      </c>
      <c r="C13" s="67"/>
      <c r="D13" s="68"/>
      <c r="E13" s="67" t="s">
        <v>15</v>
      </c>
      <c r="F13" s="69">
        <f>'Closings By Depr Grp'!BA10</f>
        <v>5.2699999999999997E-2</v>
      </c>
      <c r="G13" s="70"/>
      <c r="H13" s="68"/>
      <c r="I13" s="71"/>
      <c r="J13" s="72"/>
      <c r="K13" s="73"/>
      <c r="L13" s="75" t="s">
        <v>49</v>
      </c>
      <c r="M13" s="74"/>
      <c r="N13" s="52"/>
    </row>
    <row r="14" spans="1:43" x14ac:dyDescent="0.2">
      <c r="A14" s="76"/>
      <c r="B14" s="123"/>
      <c r="C14" s="71" t="s">
        <v>50</v>
      </c>
      <c r="D14" s="72" t="s">
        <v>51</v>
      </c>
      <c r="E14" s="71" t="s">
        <v>52</v>
      </c>
      <c r="F14" s="72" t="s">
        <v>53</v>
      </c>
      <c r="G14" s="71" t="s">
        <v>50</v>
      </c>
      <c r="H14" s="72" t="s">
        <v>51</v>
      </c>
      <c r="I14" s="71" t="s">
        <v>50</v>
      </c>
      <c r="J14" s="72" t="s">
        <v>54</v>
      </c>
      <c r="K14" s="73" t="s">
        <v>55</v>
      </c>
      <c r="L14" s="75">
        <v>0.21</v>
      </c>
      <c r="M14" s="74" t="s">
        <v>56</v>
      </c>
      <c r="N14" s="52"/>
    </row>
    <row r="15" spans="1:43" x14ac:dyDescent="0.2">
      <c r="A15" s="76"/>
      <c r="B15" s="123"/>
      <c r="C15" s="71"/>
      <c r="D15" s="72"/>
      <c r="E15" s="71" t="s">
        <v>57</v>
      </c>
      <c r="F15" s="72" t="s">
        <v>58</v>
      </c>
      <c r="G15" s="71" t="s">
        <v>59</v>
      </c>
      <c r="H15" s="72" t="s">
        <v>60</v>
      </c>
      <c r="I15" s="71"/>
      <c r="J15" s="72"/>
      <c r="K15" s="73"/>
      <c r="L15" s="75" t="s">
        <v>61</v>
      </c>
      <c r="M15" s="74" t="s">
        <v>62</v>
      </c>
      <c r="N15" s="52"/>
    </row>
    <row r="16" spans="1:43" ht="15" x14ac:dyDescent="0.25">
      <c r="A16" s="77"/>
      <c r="B16" s="245"/>
      <c r="C16" s="78" t="s">
        <v>63</v>
      </c>
      <c r="D16" s="79" t="s">
        <v>64</v>
      </c>
      <c r="E16" s="78"/>
      <c r="F16" s="79" t="s">
        <v>65</v>
      </c>
      <c r="G16" s="78" t="s">
        <v>66</v>
      </c>
      <c r="H16" s="79" t="s">
        <v>67</v>
      </c>
      <c r="I16" s="78" t="s">
        <v>68</v>
      </c>
      <c r="J16" s="79" t="s">
        <v>69</v>
      </c>
      <c r="K16" s="80" t="s">
        <v>70</v>
      </c>
      <c r="L16" s="81">
        <v>0.21</v>
      </c>
      <c r="M16" s="82" t="s">
        <v>71</v>
      </c>
      <c r="N16" s="83"/>
    </row>
    <row r="17" spans="1:27" ht="15.75" thickBot="1" x14ac:dyDescent="0.3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87"/>
      <c r="M17" s="88"/>
      <c r="N17" s="83"/>
      <c r="Y17" s="89"/>
      <c r="Z17" s="89"/>
      <c r="AA17" s="89"/>
    </row>
    <row r="18" spans="1:27" ht="15" x14ac:dyDescent="0.25">
      <c r="A18" s="90">
        <v>44227</v>
      </c>
      <c r="B18" s="255"/>
      <c r="C18" s="91"/>
      <c r="D18" s="91">
        <f>B18</f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P18" s="92"/>
      <c r="Q18" s="93" t="s">
        <v>72</v>
      </c>
      <c r="R18" s="94"/>
      <c r="S18" s="94"/>
      <c r="T18" s="94"/>
      <c r="U18" s="94"/>
      <c r="V18" s="94"/>
      <c r="W18" s="94"/>
      <c r="X18" s="95"/>
      <c r="Y18" s="89"/>
      <c r="Z18" s="89"/>
      <c r="AA18" s="89"/>
    </row>
    <row r="19" spans="1:27" ht="15" x14ac:dyDescent="0.25">
      <c r="A19" s="90">
        <v>44255</v>
      </c>
      <c r="B19" s="255"/>
      <c r="C19" s="91"/>
      <c r="D19" s="91">
        <f>D18+B19</f>
        <v>0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P19" s="96"/>
      <c r="Q19" s="97"/>
      <c r="R19" s="98" t="s">
        <v>73</v>
      </c>
      <c r="S19" s="98"/>
      <c r="T19" s="99"/>
      <c r="U19" s="100" t="s">
        <v>74</v>
      </c>
      <c r="V19" s="98"/>
      <c r="W19" s="98"/>
      <c r="X19" s="101"/>
      <c r="Y19" s="89"/>
      <c r="Z19" s="89"/>
      <c r="AA19" s="89"/>
    </row>
    <row r="20" spans="1:27" ht="15" x14ac:dyDescent="0.25">
      <c r="A20" s="90">
        <v>44286</v>
      </c>
      <c r="B20" s="255"/>
      <c r="C20" s="91"/>
      <c r="D20" s="91">
        <f t="shared" ref="D20:D77" si="0">D19+B20</f>
        <v>0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P20" s="96"/>
      <c r="Q20" s="102"/>
      <c r="R20" s="103"/>
      <c r="S20" s="103"/>
      <c r="T20" s="104" t="s">
        <v>75</v>
      </c>
      <c r="U20" s="105"/>
      <c r="V20" s="106"/>
      <c r="W20" s="106"/>
      <c r="X20" s="107"/>
      <c r="Y20" s="89"/>
      <c r="Z20" s="89"/>
      <c r="AA20" s="89"/>
    </row>
    <row r="21" spans="1:27" ht="15" x14ac:dyDescent="0.25">
      <c r="A21" s="90">
        <v>44316</v>
      </c>
      <c r="B21" s="255"/>
      <c r="C21" s="91"/>
      <c r="D21" s="91">
        <f t="shared" si="0"/>
        <v>0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P21" s="96" t="s">
        <v>76</v>
      </c>
      <c r="Q21" s="108" t="s">
        <v>77</v>
      </c>
      <c r="R21" s="109" t="s">
        <v>78</v>
      </c>
      <c r="S21" s="109" t="s">
        <v>79</v>
      </c>
      <c r="T21" s="104" t="s">
        <v>80</v>
      </c>
      <c r="U21" s="108" t="s">
        <v>81</v>
      </c>
      <c r="V21" s="109" t="s">
        <v>82</v>
      </c>
      <c r="W21" s="109" t="s">
        <v>83</v>
      </c>
      <c r="X21" s="110" t="s">
        <v>84</v>
      </c>
      <c r="Y21" s="89"/>
      <c r="Z21" s="89"/>
      <c r="AA21" s="89"/>
    </row>
    <row r="22" spans="1:27" ht="15" x14ac:dyDescent="0.25">
      <c r="A22" s="90">
        <v>44347</v>
      </c>
      <c r="B22" s="255"/>
      <c r="C22" s="91"/>
      <c r="D22" s="91">
        <f t="shared" si="0"/>
        <v>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P22" s="96"/>
      <c r="Q22" s="111" t="s">
        <v>78</v>
      </c>
      <c r="R22" s="112" t="s">
        <v>85</v>
      </c>
      <c r="S22" s="112" t="s">
        <v>2</v>
      </c>
      <c r="T22" s="113" t="s">
        <v>86</v>
      </c>
      <c r="U22" s="111" t="s">
        <v>87</v>
      </c>
      <c r="V22" s="112" t="s">
        <v>88</v>
      </c>
      <c r="W22" s="112" t="s">
        <v>89</v>
      </c>
      <c r="X22" s="114" t="s">
        <v>90</v>
      </c>
      <c r="Y22" s="89"/>
      <c r="Z22" s="89"/>
      <c r="AA22" s="89"/>
    </row>
    <row r="23" spans="1:27" ht="15" x14ac:dyDescent="0.25">
      <c r="A23" s="90">
        <v>44377</v>
      </c>
      <c r="B23" s="255"/>
      <c r="C23" s="91"/>
      <c r="D23" s="91">
        <f t="shared" si="0"/>
        <v>0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96"/>
      <c r="Q23" s="115" t="s">
        <v>91</v>
      </c>
      <c r="R23" s="116" t="s">
        <v>92</v>
      </c>
      <c r="S23" s="117" t="s">
        <v>93</v>
      </c>
      <c r="T23" s="118" t="s">
        <v>94</v>
      </c>
      <c r="U23" s="115" t="s">
        <v>95</v>
      </c>
      <c r="V23" s="119" t="s">
        <v>96</v>
      </c>
      <c r="W23" s="109" t="s">
        <v>97</v>
      </c>
      <c r="X23" s="120" t="s">
        <v>98</v>
      </c>
      <c r="Y23" s="89"/>
      <c r="Z23" s="89"/>
      <c r="AA23" s="89"/>
    </row>
    <row r="24" spans="1:27" ht="15" x14ac:dyDescent="0.25">
      <c r="A24" s="90">
        <v>44408</v>
      </c>
      <c r="B24" s="255"/>
      <c r="C24" s="91"/>
      <c r="D24" s="91">
        <f t="shared" si="0"/>
        <v>0</v>
      </c>
      <c r="E24" s="91"/>
      <c r="F24" s="121"/>
      <c r="G24" s="122"/>
      <c r="H24" s="91"/>
      <c r="I24" s="122"/>
      <c r="J24" s="91"/>
      <c r="K24" s="122"/>
      <c r="L24" s="122"/>
      <c r="M24" s="91"/>
      <c r="N24" s="91"/>
      <c r="O24" s="123"/>
      <c r="P24" s="124"/>
      <c r="Q24" s="125"/>
      <c r="R24" s="126"/>
      <c r="S24" s="127"/>
      <c r="T24" s="128" t="s">
        <v>99</v>
      </c>
      <c r="U24" s="125" t="s">
        <v>100</v>
      </c>
      <c r="V24" s="129"/>
      <c r="W24" s="130"/>
      <c r="X24" s="131" t="s">
        <v>101</v>
      </c>
      <c r="Y24" s="89"/>
      <c r="Z24" s="89"/>
      <c r="AA24" s="89"/>
    </row>
    <row r="25" spans="1:27" ht="15" x14ac:dyDescent="0.25">
      <c r="A25" s="90">
        <v>44439</v>
      </c>
      <c r="B25" s="255"/>
      <c r="C25" s="91"/>
      <c r="D25" s="91">
        <f t="shared" si="0"/>
        <v>0</v>
      </c>
      <c r="E25" s="91"/>
      <c r="F25" s="91"/>
      <c r="G25" s="122"/>
      <c r="H25" s="121"/>
      <c r="I25" s="122"/>
      <c r="J25" s="91"/>
      <c r="K25" s="122"/>
      <c r="L25" s="122"/>
      <c r="M25" s="91"/>
      <c r="N25" s="132"/>
      <c r="O25" s="123"/>
      <c r="P25" s="133">
        <v>1</v>
      </c>
      <c r="Q25" s="134"/>
      <c r="R25" s="135"/>
      <c r="S25" s="136"/>
      <c r="T25" s="137"/>
      <c r="U25" s="138"/>
      <c r="V25" s="139"/>
      <c r="W25" s="136"/>
      <c r="X25" s="140"/>
      <c r="Y25" s="89"/>
      <c r="Z25" s="89"/>
      <c r="AA25" s="89"/>
    </row>
    <row r="26" spans="1:27" ht="15" x14ac:dyDescent="0.25">
      <c r="A26" s="90">
        <v>44469</v>
      </c>
      <c r="B26" s="255"/>
      <c r="C26" s="91"/>
      <c r="D26" s="91">
        <f t="shared" si="0"/>
        <v>0</v>
      </c>
      <c r="E26" s="91"/>
      <c r="F26" s="91"/>
      <c r="G26" s="91"/>
      <c r="H26" s="91"/>
      <c r="I26" s="91"/>
      <c r="J26" s="91"/>
      <c r="K26" s="91"/>
      <c r="L26" s="91"/>
      <c r="M26" s="91"/>
      <c r="N26" s="132"/>
      <c r="O26" s="123"/>
      <c r="P26" s="133">
        <v>2</v>
      </c>
      <c r="Q26" s="134"/>
      <c r="R26" s="135">
        <v>44926</v>
      </c>
      <c r="S26" s="136">
        <f>+'E34402'!M41</f>
        <v>0</v>
      </c>
      <c r="T26" s="141">
        <f>+'E34402'!L41</f>
        <v>0</v>
      </c>
      <c r="U26" s="138"/>
      <c r="V26" s="139"/>
      <c r="W26" s="136"/>
      <c r="X26" s="142">
        <f>T26</f>
        <v>0</v>
      </c>
      <c r="Y26" s="89"/>
      <c r="Z26" s="89"/>
      <c r="AA26" s="89"/>
    </row>
    <row r="27" spans="1:27" ht="15" x14ac:dyDescent="0.25">
      <c r="A27" s="90">
        <v>44500</v>
      </c>
      <c r="B27" s="255"/>
      <c r="C27" s="91"/>
      <c r="D27" s="91">
        <f t="shared" si="0"/>
        <v>0</v>
      </c>
      <c r="E27" s="91"/>
      <c r="F27" s="91"/>
      <c r="G27" s="91"/>
      <c r="H27" s="91"/>
      <c r="I27" s="91"/>
      <c r="J27" s="91"/>
      <c r="K27" s="91"/>
      <c r="L27" s="91"/>
      <c r="M27" s="91"/>
      <c r="N27" s="132"/>
      <c r="O27" s="123"/>
      <c r="P27" s="133">
        <v>3</v>
      </c>
      <c r="Q27" s="134">
        <f t="shared" ref="Q27:Q38" si="1">DAY(EOMONTH(R27,0))</f>
        <v>31</v>
      </c>
      <c r="R27" s="135">
        <v>44927</v>
      </c>
      <c r="S27" s="136">
        <f>+'E34402'!M42</f>
        <v>11700.116458333327</v>
      </c>
      <c r="T27" s="143">
        <f t="shared" ref="T27:T38" si="2">+T26-S27</f>
        <v>-11700.116458333327</v>
      </c>
      <c r="U27" s="138">
        <f>V27-SUM($Q$26:Q27)+1</f>
        <v>335</v>
      </c>
      <c r="V27" s="139">
        <f>Q39</f>
        <v>365</v>
      </c>
      <c r="W27" s="136">
        <f t="shared" ref="W27:W38" si="3">+U27/V27*S27</f>
        <v>10738.463050799081</v>
      </c>
      <c r="X27" s="140">
        <f t="shared" ref="X27:X38" si="4">+X26-W27</f>
        <v>-10738.463050799081</v>
      </c>
      <c r="Y27" s="89"/>
      <c r="Z27" s="89"/>
      <c r="AA27" s="89"/>
    </row>
    <row r="28" spans="1:27" ht="15" x14ac:dyDescent="0.25">
      <c r="A28" s="90">
        <v>44530</v>
      </c>
      <c r="B28" s="255"/>
      <c r="C28" s="91"/>
      <c r="D28" s="91">
        <f t="shared" si="0"/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132"/>
      <c r="O28" s="144"/>
      <c r="P28" s="133">
        <v>4</v>
      </c>
      <c r="Q28" s="134">
        <f t="shared" si="1"/>
        <v>28</v>
      </c>
      <c r="R28" s="135">
        <v>44958</v>
      </c>
      <c r="S28" s="136">
        <f>+'E34402'!M43</f>
        <v>11440.349374999991</v>
      </c>
      <c r="T28" s="143">
        <f t="shared" si="2"/>
        <v>-23140.465833333317</v>
      </c>
      <c r="U28" s="138">
        <f>V28-SUM($Q$26:Q28)+1</f>
        <v>307</v>
      </c>
      <c r="V28" s="139">
        <f t="shared" ref="V28:V38" si="5">V27</f>
        <v>365</v>
      </c>
      <c r="W28" s="136">
        <f t="shared" si="3"/>
        <v>9622.430844178074</v>
      </c>
      <c r="X28" s="140">
        <f t="shared" si="4"/>
        <v>-20360.893894977155</v>
      </c>
      <c r="Y28" s="89"/>
      <c r="Z28" s="89"/>
      <c r="AA28" s="89"/>
    </row>
    <row r="29" spans="1:27" ht="15" x14ac:dyDescent="0.25">
      <c r="A29" s="90">
        <v>44561</v>
      </c>
      <c r="B29" s="255"/>
      <c r="C29" s="122"/>
      <c r="D29" s="258">
        <f t="shared" si="0"/>
        <v>0</v>
      </c>
      <c r="E29" s="91"/>
      <c r="F29" s="122"/>
      <c r="G29" s="121"/>
      <c r="H29" s="122"/>
      <c r="I29" s="121"/>
      <c r="J29" s="122"/>
      <c r="K29" s="121"/>
      <c r="L29" s="91"/>
      <c r="M29" s="91"/>
      <c r="N29" s="145"/>
      <c r="O29" s="146"/>
      <c r="P29" s="133">
        <v>5</v>
      </c>
      <c r="Q29" s="134">
        <f t="shared" si="1"/>
        <v>31</v>
      </c>
      <c r="R29" s="135">
        <v>44986</v>
      </c>
      <c r="S29" s="136">
        <f>+'E34402'!M44</f>
        <v>11180.582291666655</v>
      </c>
      <c r="T29" s="143">
        <f t="shared" si="2"/>
        <v>-34321.048124999972</v>
      </c>
      <c r="U29" s="138">
        <f>V29-SUM($Q$26:Q29)+1</f>
        <v>276</v>
      </c>
      <c r="V29" s="139">
        <f t="shared" si="5"/>
        <v>365</v>
      </c>
      <c r="W29" s="136">
        <f t="shared" si="3"/>
        <v>8454.3581164383468</v>
      </c>
      <c r="X29" s="140">
        <f t="shared" si="4"/>
        <v>-28815.252011415501</v>
      </c>
      <c r="Y29" s="89"/>
      <c r="Z29" s="89"/>
      <c r="AA29" s="89"/>
    </row>
    <row r="30" spans="1:27" ht="15" x14ac:dyDescent="0.25">
      <c r="A30" s="147">
        <v>44592</v>
      </c>
      <c r="B30" s="256">
        <f t="array" ref="B30:B77">TRANSPOSE('Closings By Depr Grp'!B10:AW10)</f>
        <v>0</v>
      </c>
      <c r="C30" s="148">
        <f t="shared" ref="C30:C77" si="6">D30</f>
        <v>0</v>
      </c>
      <c r="D30" s="91">
        <f t="shared" si="0"/>
        <v>0</v>
      </c>
      <c r="E30" s="148">
        <f>(($C$29*$D$9/12)+(($C$41-$C$29)*$C$9/12))</f>
        <v>0</v>
      </c>
      <c r="F30" s="149">
        <f>+(D29*$F$12/12)+(((D30-D29)*$F$12/12)*0.5)</f>
        <v>0</v>
      </c>
      <c r="G30" s="148">
        <f t="shared" ref="G30:H45" si="7">-E30+G29</f>
        <v>0</v>
      </c>
      <c r="H30" s="149">
        <f t="shared" si="7"/>
        <v>0</v>
      </c>
      <c r="I30" s="148">
        <f t="shared" ref="I30:J45" si="8">C30+G30</f>
        <v>0</v>
      </c>
      <c r="J30" s="149">
        <f t="shared" si="8"/>
        <v>0</v>
      </c>
      <c r="K30" s="148">
        <f t="shared" ref="K30:K72" si="9">J30-I30</f>
        <v>0</v>
      </c>
      <c r="L30" s="148">
        <f t="shared" ref="L30:L77" si="10">-K30*$L$14</f>
        <v>0</v>
      </c>
      <c r="M30" s="148">
        <f t="shared" ref="M30:M77" si="11">-L30+L29</f>
        <v>0</v>
      </c>
      <c r="N30" s="132"/>
      <c r="O30" s="123"/>
      <c r="P30" s="133">
        <v>6</v>
      </c>
      <c r="Q30" s="134">
        <f t="shared" si="1"/>
        <v>30</v>
      </c>
      <c r="R30" s="135">
        <v>45017</v>
      </c>
      <c r="S30" s="136">
        <f>+'E34402'!M45</f>
        <v>10920.815208333319</v>
      </c>
      <c r="T30" s="143">
        <f t="shared" si="2"/>
        <v>-45241.863333333291</v>
      </c>
      <c r="U30" s="138">
        <f>V30-SUM($Q$26:Q30)+1</f>
        <v>246</v>
      </c>
      <c r="V30" s="139">
        <f t="shared" si="5"/>
        <v>365</v>
      </c>
      <c r="W30" s="136">
        <f t="shared" si="3"/>
        <v>7360.33024999999</v>
      </c>
      <c r="X30" s="140">
        <f t="shared" si="4"/>
        <v>-36175.582261415489</v>
      </c>
      <c r="Y30" s="89"/>
      <c r="Z30" s="89"/>
      <c r="AA30" s="89"/>
    </row>
    <row r="31" spans="1:27" ht="15" x14ac:dyDescent="0.25">
      <c r="A31" s="90">
        <v>44620</v>
      </c>
      <c r="B31" s="257">
        <v>0</v>
      </c>
      <c r="C31" s="91">
        <f t="shared" si="6"/>
        <v>0</v>
      </c>
      <c r="D31" s="91">
        <f t="shared" si="0"/>
        <v>0</v>
      </c>
      <c r="E31" s="91">
        <f t="shared" ref="E31:E41" si="12">(($C$29*$D$9/12)+(($C$41-$C$29)*$C$9/12))</f>
        <v>0</v>
      </c>
      <c r="F31" s="121">
        <f>+(D30*$F$12/12)+(((D31-D30)*$F$12/12)*0.5)</f>
        <v>0</v>
      </c>
      <c r="G31" s="91">
        <f t="shared" si="7"/>
        <v>0</v>
      </c>
      <c r="H31" s="121">
        <f t="shared" si="7"/>
        <v>0</v>
      </c>
      <c r="I31" s="91">
        <f t="shared" si="8"/>
        <v>0</v>
      </c>
      <c r="J31" s="91">
        <f t="shared" si="8"/>
        <v>0</v>
      </c>
      <c r="K31" s="91">
        <f t="shared" si="9"/>
        <v>0</v>
      </c>
      <c r="L31" s="91">
        <f t="shared" si="10"/>
        <v>0</v>
      </c>
      <c r="M31" s="91">
        <f t="shared" si="11"/>
        <v>0</v>
      </c>
      <c r="N31" s="132"/>
      <c r="O31" s="150"/>
      <c r="P31" s="133">
        <v>7</v>
      </c>
      <c r="Q31" s="134">
        <f t="shared" si="1"/>
        <v>31</v>
      </c>
      <c r="R31" s="135">
        <v>45047</v>
      </c>
      <c r="S31" s="136">
        <f>+'E34402'!M46</f>
        <v>10661.048124999987</v>
      </c>
      <c r="T31" s="143">
        <f t="shared" si="2"/>
        <v>-55902.911458333278</v>
      </c>
      <c r="U31" s="138">
        <f>V31-SUM($Q$26:Q31)+1</f>
        <v>215</v>
      </c>
      <c r="V31" s="139">
        <f t="shared" si="5"/>
        <v>365</v>
      </c>
      <c r="W31" s="136">
        <f t="shared" si="3"/>
        <v>6279.7954708904035</v>
      </c>
      <c r="X31" s="140">
        <f t="shared" si="4"/>
        <v>-42455.377732305889</v>
      </c>
      <c r="Y31" s="89"/>
      <c r="Z31" s="89"/>
      <c r="AA31" s="89"/>
    </row>
    <row r="32" spans="1:27" ht="15" x14ac:dyDescent="0.25">
      <c r="A32" s="90">
        <v>44651</v>
      </c>
      <c r="B32" s="257">
        <v>0</v>
      </c>
      <c r="C32" s="91">
        <f t="shared" si="6"/>
        <v>0</v>
      </c>
      <c r="D32" s="91">
        <f t="shared" si="0"/>
        <v>0</v>
      </c>
      <c r="E32" s="91">
        <f t="shared" si="12"/>
        <v>0</v>
      </c>
      <c r="F32" s="121">
        <f>+(D31*$F$12/12)+(((D32-D31)*$F$12/12)*0.5)</f>
        <v>0</v>
      </c>
      <c r="G32" s="91">
        <f t="shared" si="7"/>
        <v>0</v>
      </c>
      <c r="H32" s="121">
        <f t="shared" si="7"/>
        <v>0</v>
      </c>
      <c r="I32" s="91">
        <f t="shared" si="8"/>
        <v>0</v>
      </c>
      <c r="J32" s="91">
        <f t="shared" si="8"/>
        <v>0</v>
      </c>
      <c r="K32" s="91">
        <f t="shared" si="9"/>
        <v>0</v>
      </c>
      <c r="L32" s="91">
        <f t="shared" si="10"/>
        <v>0</v>
      </c>
      <c r="M32" s="91">
        <f t="shared" si="11"/>
        <v>0</v>
      </c>
      <c r="N32" s="132"/>
      <c r="O32" s="123"/>
      <c r="P32" s="133">
        <v>8</v>
      </c>
      <c r="Q32" s="134">
        <f t="shared" si="1"/>
        <v>30</v>
      </c>
      <c r="R32" s="135">
        <v>45078</v>
      </c>
      <c r="S32" s="136">
        <f>+'E34402'!M47</f>
        <v>10401.281041666727</v>
      </c>
      <c r="T32" s="143">
        <f t="shared" si="2"/>
        <v>-66304.192500000005</v>
      </c>
      <c r="U32" s="138">
        <f>V32-SUM($Q$26:Q32)+1</f>
        <v>185</v>
      </c>
      <c r="V32" s="139">
        <f t="shared" si="5"/>
        <v>365</v>
      </c>
      <c r="W32" s="136">
        <f t="shared" si="3"/>
        <v>5271.8821718036843</v>
      </c>
      <c r="X32" s="140">
        <f t="shared" si="4"/>
        <v>-47727.259904109575</v>
      </c>
      <c r="Y32" s="89"/>
      <c r="Z32" s="89"/>
      <c r="AA32" s="89"/>
    </row>
    <row r="33" spans="1:35" ht="15" x14ac:dyDescent="0.25">
      <c r="A33" s="90">
        <v>44681</v>
      </c>
      <c r="B33" s="257">
        <v>0</v>
      </c>
      <c r="C33" s="91">
        <f t="shared" si="6"/>
        <v>0</v>
      </c>
      <c r="D33" s="91">
        <f t="shared" si="0"/>
        <v>0</v>
      </c>
      <c r="E33" s="91">
        <f t="shared" si="12"/>
        <v>0</v>
      </c>
      <c r="F33" s="121">
        <f t="shared" ref="F33:F41" si="13">+(D32*$F$12/12)+(((D33-D32)*$F$12/12)*0.5)</f>
        <v>0</v>
      </c>
      <c r="G33" s="91">
        <f t="shared" si="7"/>
        <v>0</v>
      </c>
      <c r="H33" s="121">
        <f t="shared" si="7"/>
        <v>0</v>
      </c>
      <c r="I33" s="91">
        <f t="shared" si="8"/>
        <v>0</v>
      </c>
      <c r="J33" s="91">
        <f t="shared" si="8"/>
        <v>0</v>
      </c>
      <c r="K33" s="91">
        <f t="shared" si="9"/>
        <v>0</v>
      </c>
      <c r="L33" s="91">
        <f t="shared" si="10"/>
        <v>0</v>
      </c>
      <c r="M33" s="91">
        <f t="shared" si="11"/>
        <v>0</v>
      </c>
      <c r="N33" s="132"/>
      <c r="O33" s="123"/>
      <c r="P33" s="133">
        <v>9</v>
      </c>
      <c r="Q33" s="134">
        <f t="shared" si="1"/>
        <v>31</v>
      </c>
      <c r="R33" s="135">
        <v>45108</v>
      </c>
      <c r="S33" s="136">
        <f>+'E34402'!M48</f>
        <v>10141.513958333308</v>
      </c>
      <c r="T33" s="143">
        <f t="shared" si="2"/>
        <v>-76445.706458333312</v>
      </c>
      <c r="U33" s="138">
        <f>V33-SUM($Q$26:Q33)+1</f>
        <v>154</v>
      </c>
      <c r="V33" s="139">
        <f t="shared" si="5"/>
        <v>365</v>
      </c>
      <c r="W33" s="136">
        <f t="shared" si="3"/>
        <v>4278.8853413241895</v>
      </c>
      <c r="X33" s="140">
        <f t="shared" si="4"/>
        <v>-52006.145245433763</v>
      </c>
      <c r="Y33" s="89"/>
      <c r="Z33" s="89"/>
      <c r="AA33" s="89"/>
    </row>
    <row r="34" spans="1:35" ht="15" x14ac:dyDescent="0.25">
      <c r="A34" s="90">
        <v>44712</v>
      </c>
      <c r="B34" s="257">
        <v>0</v>
      </c>
      <c r="C34" s="91">
        <f t="shared" si="6"/>
        <v>0</v>
      </c>
      <c r="D34" s="91">
        <f t="shared" si="0"/>
        <v>0</v>
      </c>
      <c r="E34" s="91">
        <f t="shared" si="12"/>
        <v>0</v>
      </c>
      <c r="F34" s="121">
        <f t="shared" si="13"/>
        <v>0</v>
      </c>
      <c r="G34" s="91">
        <f t="shared" si="7"/>
        <v>0</v>
      </c>
      <c r="H34" s="121">
        <f t="shared" si="7"/>
        <v>0</v>
      </c>
      <c r="I34" s="91">
        <f t="shared" si="8"/>
        <v>0</v>
      </c>
      <c r="J34" s="91">
        <f t="shared" si="8"/>
        <v>0</v>
      </c>
      <c r="K34" s="91">
        <f t="shared" si="9"/>
        <v>0</v>
      </c>
      <c r="L34" s="91">
        <f t="shared" si="10"/>
        <v>0</v>
      </c>
      <c r="M34" s="91">
        <f t="shared" si="11"/>
        <v>0</v>
      </c>
      <c r="N34" s="132"/>
      <c r="O34" s="123"/>
      <c r="P34" s="133">
        <v>10</v>
      </c>
      <c r="Q34" s="134">
        <f t="shared" si="1"/>
        <v>31</v>
      </c>
      <c r="R34" s="135">
        <v>45139</v>
      </c>
      <c r="S34" s="136">
        <f>+'E34402'!M49</f>
        <v>9881.7468749999971</v>
      </c>
      <c r="T34" s="143">
        <f t="shared" si="2"/>
        <v>-86327.453333333309</v>
      </c>
      <c r="U34" s="138">
        <f>V34-SUM($Q$26:Q34)+1</f>
        <v>123</v>
      </c>
      <c r="V34" s="139">
        <f t="shared" si="5"/>
        <v>365</v>
      </c>
      <c r="W34" s="136">
        <f t="shared" si="3"/>
        <v>3330.0133304794513</v>
      </c>
      <c r="X34" s="140">
        <f t="shared" si="4"/>
        <v>-55336.158575913214</v>
      </c>
      <c r="Y34" s="89"/>
      <c r="Z34" s="89"/>
      <c r="AA34" s="89"/>
    </row>
    <row r="35" spans="1:35" ht="15" x14ac:dyDescent="0.25">
      <c r="A35" s="90">
        <v>44742</v>
      </c>
      <c r="B35" s="257">
        <v>0</v>
      </c>
      <c r="C35" s="91">
        <f t="shared" si="6"/>
        <v>0</v>
      </c>
      <c r="D35" s="91">
        <f t="shared" si="0"/>
        <v>0</v>
      </c>
      <c r="E35" s="91">
        <f t="shared" si="12"/>
        <v>0</v>
      </c>
      <c r="F35" s="121">
        <f t="shared" si="13"/>
        <v>0</v>
      </c>
      <c r="G35" s="91">
        <f t="shared" si="7"/>
        <v>0</v>
      </c>
      <c r="H35" s="121">
        <f t="shared" si="7"/>
        <v>0</v>
      </c>
      <c r="I35" s="91">
        <f t="shared" si="8"/>
        <v>0</v>
      </c>
      <c r="J35" s="91">
        <f t="shared" si="8"/>
        <v>0</v>
      </c>
      <c r="K35" s="91">
        <f t="shared" si="9"/>
        <v>0</v>
      </c>
      <c r="L35" s="91">
        <f t="shared" si="10"/>
        <v>0</v>
      </c>
      <c r="M35" s="91">
        <f t="shared" si="11"/>
        <v>0</v>
      </c>
      <c r="N35" s="132"/>
      <c r="O35" s="123"/>
      <c r="P35" s="133">
        <v>11</v>
      </c>
      <c r="Q35" s="134">
        <f t="shared" si="1"/>
        <v>30</v>
      </c>
      <c r="R35" s="135">
        <v>45170</v>
      </c>
      <c r="S35" s="136">
        <f>+'E34402'!M50</f>
        <v>9621.979791666643</v>
      </c>
      <c r="T35" s="143">
        <f t="shared" si="2"/>
        <v>-95949.433124999952</v>
      </c>
      <c r="U35" s="138">
        <f>V35-SUM($Q$26:Q35)+1</f>
        <v>93</v>
      </c>
      <c r="V35" s="139">
        <f t="shared" si="5"/>
        <v>365</v>
      </c>
      <c r="W35" s="136">
        <f t="shared" si="3"/>
        <v>2451.6277277397203</v>
      </c>
      <c r="X35" s="140">
        <f t="shared" si="4"/>
        <v>-57787.786303652931</v>
      </c>
      <c r="Y35" s="89"/>
      <c r="Z35" s="89"/>
      <c r="AA35" s="89"/>
    </row>
    <row r="36" spans="1:35" ht="15" x14ac:dyDescent="0.25">
      <c r="A36" s="90">
        <v>44773</v>
      </c>
      <c r="B36" s="257">
        <v>0</v>
      </c>
      <c r="C36" s="91">
        <f t="shared" si="6"/>
        <v>0</v>
      </c>
      <c r="D36" s="91">
        <f t="shared" si="0"/>
        <v>0</v>
      </c>
      <c r="E36" s="91">
        <f t="shared" si="12"/>
        <v>0</v>
      </c>
      <c r="F36" s="121">
        <f t="shared" si="13"/>
        <v>0</v>
      </c>
      <c r="G36" s="91">
        <f t="shared" si="7"/>
        <v>0</v>
      </c>
      <c r="H36" s="121">
        <f t="shared" si="7"/>
        <v>0</v>
      </c>
      <c r="I36" s="91">
        <f t="shared" si="8"/>
        <v>0</v>
      </c>
      <c r="J36" s="91">
        <f t="shared" si="8"/>
        <v>0</v>
      </c>
      <c r="K36" s="91">
        <f t="shared" si="9"/>
        <v>0</v>
      </c>
      <c r="L36" s="91">
        <f t="shared" si="10"/>
        <v>0</v>
      </c>
      <c r="M36" s="91">
        <f t="shared" si="11"/>
        <v>0</v>
      </c>
      <c r="N36" s="132"/>
      <c r="O36" s="123"/>
      <c r="P36" s="133">
        <v>12</v>
      </c>
      <c r="Q36" s="134">
        <f t="shared" si="1"/>
        <v>31</v>
      </c>
      <c r="R36" s="135">
        <v>45200</v>
      </c>
      <c r="S36" s="136">
        <f>+'E34402'!M51</f>
        <v>9362.212708333318</v>
      </c>
      <c r="T36" s="143">
        <f t="shared" si="2"/>
        <v>-105311.64583333327</v>
      </c>
      <c r="U36" s="138">
        <f>V36-SUM($Q$26:Q36)+1</f>
        <v>62</v>
      </c>
      <c r="V36" s="139">
        <f t="shared" si="5"/>
        <v>365</v>
      </c>
      <c r="W36" s="136">
        <f t="shared" si="3"/>
        <v>1590.2936655251115</v>
      </c>
      <c r="X36" s="140">
        <f t="shared" si="4"/>
        <v>-59378.079969178041</v>
      </c>
      <c r="Y36" s="89"/>
      <c r="Z36" s="89"/>
      <c r="AA36" s="89"/>
    </row>
    <row r="37" spans="1:35" ht="15" x14ac:dyDescent="0.25">
      <c r="A37" s="90">
        <v>44804</v>
      </c>
      <c r="B37" s="257">
        <v>0</v>
      </c>
      <c r="C37" s="91">
        <f t="shared" si="6"/>
        <v>0</v>
      </c>
      <c r="D37" s="91">
        <f t="shared" si="0"/>
        <v>0</v>
      </c>
      <c r="E37" s="91">
        <f t="shared" si="12"/>
        <v>0</v>
      </c>
      <c r="F37" s="121">
        <f t="shared" si="13"/>
        <v>0</v>
      </c>
      <c r="G37" s="91">
        <f t="shared" si="7"/>
        <v>0</v>
      </c>
      <c r="H37" s="121">
        <f t="shared" si="7"/>
        <v>0</v>
      </c>
      <c r="I37" s="91">
        <f t="shared" si="8"/>
        <v>0</v>
      </c>
      <c r="J37" s="91">
        <f t="shared" si="8"/>
        <v>0</v>
      </c>
      <c r="K37" s="91">
        <f t="shared" si="9"/>
        <v>0</v>
      </c>
      <c r="L37" s="91">
        <f t="shared" si="10"/>
        <v>0</v>
      </c>
      <c r="M37" s="91">
        <f t="shared" si="11"/>
        <v>0</v>
      </c>
      <c r="N37" s="132"/>
      <c r="O37" s="123"/>
      <c r="P37" s="133">
        <v>13</v>
      </c>
      <c r="Q37" s="134">
        <f t="shared" si="1"/>
        <v>30</v>
      </c>
      <c r="R37" s="135">
        <v>45231</v>
      </c>
      <c r="S37" s="136">
        <f>+'E34402'!M52</f>
        <v>9102.4456250000658</v>
      </c>
      <c r="T37" s="143">
        <f t="shared" si="2"/>
        <v>-114414.09145833334</v>
      </c>
      <c r="U37" s="138">
        <f>V37-SUM($Q$26:Q37)+1</f>
        <v>32</v>
      </c>
      <c r="V37" s="139">
        <f t="shared" si="5"/>
        <v>365</v>
      </c>
      <c r="W37" s="136">
        <f t="shared" si="3"/>
        <v>798.02263013699212</v>
      </c>
      <c r="X37" s="140">
        <f t="shared" si="4"/>
        <v>-60176.102599315032</v>
      </c>
      <c r="Y37" s="89"/>
      <c r="Z37" s="89"/>
      <c r="AA37" s="89"/>
    </row>
    <row r="38" spans="1:35" ht="15" x14ac:dyDescent="0.25">
      <c r="A38" s="90">
        <v>44834</v>
      </c>
      <c r="B38" s="257">
        <v>0</v>
      </c>
      <c r="C38" s="91">
        <f t="shared" si="6"/>
        <v>0</v>
      </c>
      <c r="D38" s="91">
        <f t="shared" si="0"/>
        <v>0</v>
      </c>
      <c r="E38" s="91">
        <f t="shared" si="12"/>
        <v>0</v>
      </c>
      <c r="F38" s="121">
        <f t="shared" si="13"/>
        <v>0</v>
      </c>
      <c r="G38" s="91">
        <f t="shared" si="7"/>
        <v>0</v>
      </c>
      <c r="H38" s="121">
        <f t="shared" si="7"/>
        <v>0</v>
      </c>
      <c r="I38" s="91">
        <f t="shared" si="8"/>
        <v>0</v>
      </c>
      <c r="J38" s="91">
        <f t="shared" si="8"/>
        <v>0</v>
      </c>
      <c r="K38" s="91">
        <f t="shared" si="9"/>
        <v>0</v>
      </c>
      <c r="L38" s="91">
        <f t="shared" si="10"/>
        <v>0</v>
      </c>
      <c r="M38" s="91">
        <f t="shared" si="11"/>
        <v>0</v>
      </c>
      <c r="N38" s="132"/>
      <c r="O38" s="151"/>
      <c r="P38" s="133">
        <v>14</v>
      </c>
      <c r="Q38" s="134">
        <f t="shared" si="1"/>
        <v>31</v>
      </c>
      <c r="R38" s="135">
        <v>45261</v>
      </c>
      <c r="S38" s="136">
        <f>+'E34402'!M53</f>
        <v>8842.6785416665662</v>
      </c>
      <c r="T38" s="143">
        <f t="shared" si="2"/>
        <v>-123256.7699999999</v>
      </c>
      <c r="U38" s="138">
        <f>V38-SUM($Q$26:Q38)+1</f>
        <v>1</v>
      </c>
      <c r="V38" s="139">
        <f t="shared" si="5"/>
        <v>365</v>
      </c>
      <c r="W38" s="136">
        <f t="shared" si="3"/>
        <v>24.226516552511139</v>
      </c>
      <c r="X38" s="140">
        <f t="shared" si="4"/>
        <v>-60200.329115867542</v>
      </c>
      <c r="Y38" s="89"/>
      <c r="Z38" s="89"/>
      <c r="AA38" s="89"/>
    </row>
    <row r="39" spans="1:35" ht="15.75" thickBot="1" x14ac:dyDescent="0.3">
      <c r="A39" s="90">
        <v>44865</v>
      </c>
      <c r="B39" s="257">
        <v>0</v>
      </c>
      <c r="C39" s="91">
        <f t="shared" si="6"/>
        <v>0</v>
      </c>
      <c r="D39" s="91">
        <f t="shared" si="0"/>
        <v>0</v>
      </c>
      <c r="E39" s="91">
        <f t="shared" si="12"/>
        <v>0</v>
      </c>
      <c r="F39" s="121">
        <f t="shared" si="13"/>
        <v>0</v>
      </c>
      <c r="G39" s="91">
        <f t="shared" si="7"/>
        <v>0</v>
      </c>
      <c r="H39" s="121">
        <f t="shared" si="7"/>
        <v>0</v>
      </c>
      <c r="I39" s="91">
        <f t="shared" si="8"/>
        <v>0</v>
      </c>
      <c r="J39" s="91">
        <f t="shared" si="8"/>
        <v>0</v>
      </c>
      <c r="K39" s="91">
        <f t="shared" si="9"/>
        <v>0</v>
      </c>
      <c r="L39" s="91">
        <f t="shared" si="10"/>
        <v>0</v>
      </c>
      <c r="M39" s="91">
        <f t="shared" si="11"/>
        <v>0</v>
      </c>
      <c r="N39" s="132"/>
      <c r="O39" s="123"/>
      <c r="P39" s="133">
        <v>15</v>
      </c>
      <c r="Q39" s="152">
        <f>SUM(Q27:Q38)</f>
        <v>365</v>
      </c>
      <c r="R39" s="103"/>
      <c r="S39" s="153">
        <f>SUM(S27:S38)</f>
        <v>123256.7699999999</v>
      </c>
      <c r="T39" s="154">
        <f>+'E34402'!L53-T38</f>
        <v>0</v>
      </c>
      <c r="U39" s="102"/>
      <c r="V39" s="155"/>
      <c r="W39" s="153">
        <f>SUM(W27:W38)</f>
        <v>60200.329115867542</v>
      </c>
      <c r="X39" s="107"/>
      <c r="Y39" s="89"/>
      <c r="Z39" s="89"/>
      <c r="AA39" s="89"/>
    </row>
    <row r="40" spans="1:35" ht="16.5" thickTop="1" thickBot="1" x14ac:dyDescent="0.3">
      <c r="A40" s="90">
        <v>44895</v>
      </c>
      <c r="B40" s="257">
        <v>0</v>
      </c>
      <c r="C40" s="91">
        <f t="shared" si="6"/>
        <v>0</v>
      </c>
      <c r="D40" s="91">
        <f t="shared" si="0"/>
        <v>0</v>
      </c>
      <c r="E40" s="91">
        <f t="shared" si="12"/>
        <v>0</v>
      </c>
      <c r="F40" s="121">
        <f t="shared" si="13"/>
        <v>0</v>
      </c>
      <c r="G40" s="91">
        <f t="shared" si="7"/>
        <v>0</v>
      </c>
      <c r="H40" s="121">
        <f t="shared" si="7"/>
        <v>0</v>
      </c>
      <c r="I40" s="91">
        <f t="shared" si="8"/>
        <v>0</v>
      </c>
      <c r="J40" s="91">
        <f t="shared" si="8"/>
        <v>0</v>
      </c>
      <c r="K40" s="91">
        <f t="shared" si="9"/>
        <v>0</v>
      </c>
      <c r="L40" s="91">
        <f t="shared" si="10"/>
        <v>0</v>
      </c>
      <c r="M40" s="91">
        <f t="shared" si="11"/>
        <v>0</v>
      </c>
      <c r="N40" s="132"/>
      <c r="O40" s="144"/>
      <c r="P40" s="133">
        <v>16</v>
      </c>
      <c r="Q40" s="103"/>
      <c r="R40" s="156"/>
      <c r="S40" s="157"/>
      <c r="T40" s="137"/>
      <c r="U40" s="102"/>
      <c r="V40" s="103"/>
      <c r="W40" s="158"/>
      <c r="X40" s="107"/>
      <c r="Y40" s="89"/>
      <c r="Z40" s="89"/>
      <c r="AA40" s="89"/>
    </row>
    <row r="41" spans="1:35" ht="15.75" thickBot="1" x14ac:dyDescent="0.3">
      <c r="A41" s="90">
        <v>44926</v>
      </c>
      <c r="B41" s="257">
        <v>0</v>
      </c>
      <c r="C41" s="91">
        <f t="shared" si="6"/>
        <v>0</v>
      </c>
      <c r="D41" s="258">
        <f t="shared" si="0"/>
        <v>0</v>
      </c>
      <c r="E41" s="91">
        <f t="shared" si="12"/>
        <v>0</v>
      </c>
      <c r="F41" s="121">
        <f t="shared" si="13"/>
        <v>0</v>
      </c>
      <c r="G41" s="91">
        <f t="shared" si="7"/>
        <v>0</v>
      </c>
      <c r="H41" s="121">
        <f t="shared" si="7"/>
        <v>0</v>
      </c>
      <c r="I41" s="91">
        <f t="shared" si="8"/>
        <v>0</v>
      </c>
      <c r="J41" s="91">
        <f t="shared" si="8"/>
        <v>0</v>
      </c>
      <c r="K41" s="91">
        <f t="shared" si="9"/>
        <v>0</v>
      </c>
      <c r="L41" s="91">
        <f t="shared" si="10"/>
        <v>0</v>
      </c>
      <c r="M41" s="91">
        <f t="shared" si="11"/>
        <v>0</v>
      </c>
      <c r="N41" s="145"/>
      <c r="O41" s="146"/>
      <c r="P41" s="133">
        <v>17</v>
      </c>
      <c r="Q41" s="103" t="s">
        <v>102</v>
      </c>
      <c r="R41" s="103"/>
      <c r="S41" s="136"/>
      <c r="T41" s="159">
        <f>(T26+T38+SUM(T27:T37)*2)/24</f>
        <v>-64723.942743055522</v>
      </c>
      <c r="U41" s="102"/>
      <c r="V41" s="103"/>
      <c r="W41" s="160" t="s">
        <v>103</v>
      </c>
      <c r="X41" s="161">
        <f>X38</f>
        <v>-60200.329115867542</v>
      </c>
      <c r="Y41" s="89"/>
      <c r="Z41" s="89"/>
      <c r="AA41" s="89"/>
    </row>
    <row r="42" spans="1:35" ht="16.5" thickTop="1" thickBot="1" x14ac:dyDescent="0.3">
      <c r="A42" s="147">
        <v>44957</v>
      </c>
      <c r="B42" s="256">
        <v>281666.66666666663</v>
      </c>
      <c r="C42" s="148">
        <f t="shared" si="6"/>
        <v>281666.66666666663</v>
      </c>
      <c r="D42" s="91">
        <f t="shared" si="0"/>
        <v>281666.66666666663</v>
      </c>
      <c r="E42" s="148">
        <f>(($C$29*$E$9/12)+(($C$41-$C$29)*$D$9/12)+(($C$53-$C$41)*$C$9/12))</f>
        <v>56333.333333333314</v>
      </c>
      <c r="F42" s="149">
        <f>+(D41*$F$13/12)+(((D42-D41)*$F$13/12)*0.5)</f>
        <v>618.49305555555543</v>
      </c>
      <c r="G42" s="148">
        <f t="shared" si="7"/>
        <v>-56333.333333333314</v>
      </c>
      <c r="H42" s="149">
        <f t="shared" si="7"/>
        <v>-618.49305555555543</v>
      </c>
      <c r="I42" s="148">
        <f t="shared" si="8"/>
        <v>225333.33333333331</v>
      </c>
      <c r="J42" s="148">
        <f t="shared" si="8"/>
        <v>281048.17361111107</v>
      </c>
      <c r="K42" s="148">
        <f t="shared" si="9"/>
        <v>55714.840277777752</v>
      </c>
      <c r="L42" s="148">
        <f t="shared" si="10"/>
        <v>-11700.116458333327</v>
      </c>
      <c r="M42" s="148">
        <f t="shared" si="11"/>
        <v>11700.116458333327</v>
      </c>
      <c r="N42" s="132"/>
      <c r="O42" s="123"/>
      <c r="P42" s="162">
        <v>18</v>
      </c>
      <c r="Q42" s="163"/>
      <c r="R42" s="163"/>
      <c r="S42" s="164"/>
      <c r="T42" s="165"/>
      <c r="U42" s="166"/>
      <c r="V42" s="163"/>
      <c r="W42" s="163"/>
      <c r="X42" s="167"/>
      <c r="Y42" s="89"/>
      <c r="Z42" s="89"/>
      <c r="AA42" s="89"/>
    </row>
    <row r="43" spans="1:35" ht="15.75" thickBot="1" x14ac:dyDescent="0.3">
      <c r="A43" s="90">
        <v>44985</v>
      </c>
      <c r="B43" s="257">
        <v>281666.66666666663</v>
      </c>
      <c r="C43" s="91">
        <f t="shared" si="6"/>
        <v>563333.33333333326</v>
      </c>
      <c r="D43" s="91">
        <f t="shared" si="0"/>
        <v>563333.33333333326</v>
      </c>
      <c r="E43" s="91">
        <f t="shared" ref="E43:E53" si="14">(($C$29*$E$9/12)+(($C$41-$C$29)*$D$9/12)+(($C$53-$C$41)*$C$9/12))</f>
        <v>56333.333333333314</v>
      </c>
      <c r="F43" s="121">
        <f>+(D42*$F$13/12)+(((D43-D42)*$F$13/12)*0.5)</f>
        <v>1855.4791666666663</v>
      </c>
      <c r="G43" s="91">
        <f t="shared" si="7"/>
        <v>-112666.66666666663</v>
      </c>
      <c r="H43" s="121">
        <f t="shared" si="7"/>
        <v>-2473.9722222222217</v>
      </c>
      <c r="I43" s="91">
        <f t="shared" si="8"/>
        <v>450666.66666666663</v>
      </c>
      <c r="J43" s="91">
        <f t="shared" si="8"/>
        <v>560859.36111111101</v>
      </c>
      <c r="K43" s="91">
        <f t="shared" si="9"/>
        <v>110192.69444444438</v>
      </c>
      <c r="L43" s="91">
        <f t="shared" si="10"/>
        <v>-23140.465833333317</v>
      </c>
      <c r="M43" s="91">
        <f t="shared" si="11"/>
        <v>11440.349374999991</v>
      </c>
      <c r="N43" s="132"/>
      <c r="O43" s="123"/>
      <c r="P43" s="168"/>
      <c r="Q43" s="168"/>
      <c r="R43" s="168"/>
      <c r="S43" s="168"/>
      <c r="T43" s="168"/>
      <c r="U43" s="168"/>
      <c r="V43" s="168"/>
      <c r="W43" s="168"/>
      <c r="X43" s="168"/>
      <c r="Y43" s="89"/>
      <c r="Z43" s="89"/>
      <c r="AA43" s="89"/>
      <c r="AB43" s="169"/>
      <c r="AC43" s="169"/>
      <c r="AD43" s="169"/>
      <c r="AE43" s="169"/>
      <c r="AF43" s="169"/>
      <c r="AG43" s="169"/>
      <c r="AH43" s="169"/>
      <c r="AI43" s="169"/>
    </row>
    <row r="44" spans="1:35" ht="15" x14ac:dyDescent="0.25">
      <c r="A44" s="90">
        <v>45016</v>
      </c>
      <c r="B44" s="257">
        <v>281666.66666666663</v>
      </c>
      <c r="C44" s="91">
        <f t="shared" si="6"/>
        <v>844999.99999999988</v>
      </c>
      <c r="D44" s="91">
        <f t="shared" si="0"/>
        <v>844999.99999999988</v>
      </c>
      <c r="E44" s="91">
        <f t="shared" si="14"/>
        <v>56333.333333333314</v>
      </c>
      <c r="F44" s="121">
        <f t="shared" ref="F44:F77" si="15">+(D43*$F$13/12)+(((D44-D43)*$F$13/12)*0.5)</f>
        <v>3092.4652777777774</v>
      </c>
      <c r="G44" s="91">
        <f t="shared" si="7"/>
        <v>-168999.99999999994</v>
      </c>
      <c r="H44" s="121">
        <f t="shared" si="7"/>
        <v>-5566.4374999999991</v>
      </c>
      <c r="I44" s="91">
        <f t="shared" si="8"/>
        <v>676000</v>
      </c>
      <c r="J44" s="91">
        <f t="shared" si="8"/>
        <v>839433.56249999988</v>
      </c>
      <c r="K44" s="91">
        <f t="shared" si="9"/>
        <v>163433.56249999988</v>
      </c>
      <c r="L44" s="91">
        <f t="shared" si="10"/>
        <v>-34321.048124999972</v>
      </c>
      <c r="M44" s="91">
        <f t="shared" si="11"/>
        <v>11180.582291666655</v>
      </c>
      <c r="N44" s="132"/>
      <c r="O44" s="123"/>
      <c r="P44" s="92"/>
      <c r="Q44" s="93" t="s">
        <v>104</v>
      </c>
      <c r="R44" s="94"/>
      <c r="S44" s="94"/>
      <c r="T44" s="94"/>
      <c r="U44" s="94"/>
      <c r="V44" s="94"/>
      <c r="W44" s="94"/>
      <c r="X44" s="95"/>
      <c r="Y44" s="89"/>
      <c r="Z44" s="89"/>
      <c r="AA44" s="89"/>
      <c r="AB44" s="169"/>
      <c r="AC44" s="169"/>
      <c r="AD44" s="169"/>
      <c r="AE44" s="169"/>
      <c r="AF44" s="169"/>
      <c r="AG44" s="169"/>
      <c r="AH44" s="169"/>
      <c r="AI44" s="169"/>
    </row>
    <row r="45" spans="1:35" ht="15" x14ac:dyDescent="0.25">
      <c r="A45" s="90">
        <v>45046</v>
      </c>
      <c r="B45" s="257">
        <v>281666.66666666663</v>
      </c>
      <c r="C45" s="91">
        <f t="shared" si="6"/>
        <v>1126666.6666666665</v>
      </c>
      <c r="D45" s="91">
        <f t="shared" si="0"/>
        <v>1126666.6666666665</v>
      </c>
      <c r="E45" s="91">
        <f t="shared" si="14"/>
        <v>56333.333333333314</v>
      </c>
      <c r="F45" s="121">
        <f t="shared" si="15"/>
        <v>4329.4513888888878</v>
      </c>
      <c r="G45" s="91">
        <f t="shared" si="7"/>
        <v>-225333.33333333326</v>
      </c>
      <c r="H45" s="121">
        <f t="shared" si="7"/>
        <v>-9895.8888888888869</v>
      </c>
      <c r="I45" s="91">
        <f t="shared" si="8"/>
        <v>901333.33333333326</v>
      </c>
      <c r="J45" s="91">
        <f t="shared" si="8"/>
        <v>1116770.7777777775</v>
      </c>
      <c r="K45" s="91">
        <f t="shared" si="9"/>
        <v>215437.44444444426</v>
      </c>
      <c r="L45" s="91">
        <f t="shared" si="10"/>
        <v>-45241.863333333291</v>
      </c>
      <c r="M45" s="91">
        <f t="shared" si="11"/>
        <v>10920.815208333319</v>
      </c>
      <c r="N45" s="132"/>
      <c r="O45" s="91"/>
      <c r="P45" s="96"/>
      <c r="Q45" s="97"/>
      <c r="R45" s="98" t="s">
        <v>73</v>
      </c>
      <c r="S45" s="98"/>
      <c r="T45" s="99"/>
      <c r="U45" s="100" t="s">
        <v>74</v>
      </c>
      <c r="V45" s="98"/>
      <c r="W45" s="98"/>
      <c r="X45" s="101"/>
      <c r="Y45" s="89"/>
      <c r="Z45" s="89"/>
      <c r="AA45" s="89"/>
      <c r="AB45" s="169"/>
      <c r="AC45" s="169"/>
      <c r="AD45" s="169"/>
      <c r="AE45" s="169"/>
      <c r="AF45" s="169"/>
      <c r="AG45" s="169"/>
      <c r="AH45" s="169"/>
      <c r="AI45" s="169"/>
    </row>
    <row r="46" spans="1:35" ht="15" x14ac:dyDescent="0.25">
      <c r="A46" s="90">
        <v>45077</v>
      </c>
      <c r="B46" s="257">
        <v>281666.66666666663</v>
      </c>
      <c r="C46" s="91">
        <f t="shared" si="6"/>
        <v>1408333.333333333</v>
      </c>
      <c r="D46" s="91">
        <f t="shared" si="0"/>
        <v>1408333.333333333</v>
      </c>
      <c r="E46" s="91">
        <f t="shared" si="14"/>
        <v>56333.333333333314</v>
      </c>
      <c r="F46" s="121">
        <f t="shared" si="15"/>
        <v>5566.4374999999982</v>
      </c>
      <c r="G46" s="91">
        <f t="shared" ref="G46:H61" si="16">-E46+G45</f>
        <v>-281666.66666666657</v>
      </c>
      <c r="H46" s="121">
        <f t="shared" si="16"/>
        <v>-15462.326388888885</v>
      </c>
      <c r="I46" s="91">
        <f t="shared" ref="I46:J61" si="17">C46+G46</f>
        <v>1126666.6666666665</v>
      </c>
      <c r="J46" s="91">
        <f t="shared" si="17"/>
        <v>1392871.006944444</v>
      </c>
      <c r="K46" s="91">
        <f t="shared" si="9"/>
        <v>266204.34027777752</v>
      </c>
      <c r="L46" s="91">
        <f t="shared" si="10"/>
        <v>-55902.911458333278</v>
      </c>
      <c r="M46" s="91">
        <f t="shared" si="11"/>
        <v>10661.048124999987</v>
      </c>
      <c r="N46" s="132"/>
      <c r="O46" s="121"/>
      <c r="P46" s="96"/>
      <c r="Q46" s="102"/>
      <c r="R46" s="103"/>
      <c r="S46" s="103"/>
      <c r="T46" s="104" t="s">
        <v>75</v>
      </c>
      <c r="U46" s="105"/>
      <c r="V46" s="106"/>
      <c r="W46" s="106"/>
      <c r="X46" s="107"/>
      <c r="Y46" s="89"/>
      <c r="Z46" s="89"/>
      <c r="AA46" s="89"/>
      <c r="AB46" s="169"/>
      <c r="AC46" s="169"/>
      <c r="AD46" s="169"/>
      <c r="AE46" s="169"/>
      <c r="AF46" s="169"/>
      <c r="AG46" s="169"/>
      <c r="AH46" s="169"/>
      <c r="AI46" s="169"/>
    </row>
    <row r="47" spans="1:35" ht="15" x14ac:dyDescent="0.25">
      <c r="A47" s="90">
        <v>45107</v>
      </c>
      <c r="B47" s="257">
        <v>281666.66666666663</v>
      </c>
      <c r="C47" s="91">
        <f t="shared" si="6"/>
        <v>1689999.9999999995</v>
      </c>
      <c r="D47" s="91">
        <f t="shared" si="0"/>
        <v>1689999.9999999995</v>
      </c>
      <c r="E47" s="91">
        <f t="shared" si="14"/>
        <v>56333.333333333314</v>
      </c>
      <c r="F47" s="121">
        <f t="shared" si="15"/>
        <v>6803.4236111111095</v>
      </c>
      <c r="G47" s="91">
        <f t="shared" si="16"/>
        <v>-337999.99999999988</v>
      </c>
      <c r="H47" s="121">
        <f t="shared" si="16"/>
        <v>-22265.749999999993</v>
      </c>
      <c r="I47" s="91">
        <f t="shared" si="17"/>
        <v>1351999.9999999995</v>
      </c>
      <c r="J47" s="91">
        <f t="shared" si="17"/>
        <v>1667734.2499999995</v>
      </c>
      <c r="K47" s="91">
        <f t="shared" si="9"/>
        <v>315734.25</v>
      </c>
      <c r="L47" s="91">
        <f t="shared" si="10"/>
        <v>-66304.192500000005</v>
      </c>
      <c r="M47" s="91">
        <f t="shared" si="11"/>
        <v>10401.281041666727</v>
      </c>
      <c r="N47" s="132"/>
      <c r="O47" s="123"/>
      <c r="P47" s="96" t="s">
        <v>76</v>
      </c>
      <c r="Q47" s="108" t="s">
        <v>77</v>
      </c>
      <c r="R47" s="109" t="s">
        <v>78</v>
      </c>
      <c r="S47" s="109" t="s">
        <v>79</v>
      </c>
      <c r="T47" s="104" t="s">
        <v>80</v>
      </c>
      <c r="U47" s="108" t="s">
        <v>81</v>
      </c>
      <c r="V47" s="109" t="s">
        <v>82</v>
      </c>
      <c r="W47" s="109" t="s">
        <v>83</v>
      </c>
      <c r="X47" s="110" t="s">
        <v>84</v>
      </c>
      <c r="Y47" s="89"/>
      <c r="Z47" s="89"/>
      <c r="AA47" s="89"/>
      <c r="AB47" s="169"/>
      <c r="AC47" s="169"/>
      <c r="AD47" s="169"/>
      <c r="AE47" s="169"/>
      <c r="AF47" s="169"/>
      <c r="AG47" s="169"/>
      <c r="AH47" s="169"/>
      <c r="AI47" s="169"/>
    </row>
    <row r="48" spans="1:35" ht="15" x14ac:dyDescent="0.25">
      <c r="A48" s="90">
        <v>45138</v>
      </c>
      <c r="B48" s="257">
        <v>281666.66666666663</v>
      </c>
      <c r="C48" s="91">
        <f t="shared" si="6"/>
        <v>1971666.666666666</v>
      </c>
      <c r="D48" s="91">
        <f t="shared" si="0"/>
        <v>1971666.666666666</v>
      </c>
      <c r="E48" s="91">
        <f t="shared" si="14"/>
        <v>56333.333333333314</v>
      </c>
      <c r="F48" s="121">
        <f t="shared" si="15"/>
        <v>8040.409722222219</v>
      </c>
      <c r="G48" s="91">
        <f t="shared" si="16"/>
        <v>-394333.3333333332</v>
      </c>
      <c r="H48" s="121">
        <f t="shared" si="16"/>
        <v>-30306.159722222212</v>
      </c>
      <c r="I48" s="91">
        <f t="shared" si="17"/>
        <v>1577333.3333333328</v>
      </c>
      <c r="J48" s="91">
        <f t="shared" si="17"/>
        <v>1941360.5069444438</v>
      </c>
      <c r="K48" s="91">
        <f t="shared" si="9"/>
        <v>364027.17361111101</v>
      </c>
      <c r="L48" s="91">
        <f t="shared" si="10"/>
        <v>-76445.706458333312</v>
      </c>
      <c r="M48" s="91">
        <f t="shared" si="11"/>
        <v>10141.513958333308</v>
      </c>
      <c r="N48" s="132"/>
      <c r="O48" s="123"/>
      <c r="P48" s="96"/>
      <c r="Q48" s="111" t="s">
        <v>78</v>
      </c>
      <c r="R48" s="112" t="s">
        <v>85</v>
      </c>
      <c r="S48" s="112" t="s">
        <v>2</v>
      </c>
      <c r="T48" s="113" t="s">
        <v>86</v>
      </c>
      <c r="U48" s="111" t="s">
        <v>87</v>
      </c>
      <c r="V48" s="112" t="s">
        <v>88</v>
      </c>
      <c r="W48" s="112" t="s">
        <v>89</v>
      </c>
      <c r="X48" s="114" t="s">
        <v>90</v>
      </c>
      <c r="Y48" s="89"/>
      <c r="Z48" s="89"/>
      <c r="AA48" s="89"/>
      <c r="AB48" s="169"/>
      <c r="AC48" s="169"/>
      <c r="AD48" s="169"/>
      <c r="AE48" s="169"/>
      <c r="AF48" s="169"/>
      <c r="AG48" s="169"/>
      <c r="AH48" s="169"/>
      <c r="AI48" s="169"/>
    </row>
    <row r="49" spans="1:35" ht="15" x14ac:dyDescent="0.25">
      <c r="A49" s="90">
        <v>45169</v>
      </c>
      <c r="B49" s="257">
        <v>281666.66666666663</v>
      </c>
      <c r="C49" s="91">
        <f t="shared" si="6"/>
        <v>2253333.3333333326</v>
      </c>
      <c r="D49" s="91">
        <f t="shared" si="0"/>
        <v>2253333.3333333326</v>
      </c>
      <c r="E49" s="91">
        <f t="shared" si="14"/>
        <v>56333.333333333314</v>
      </c>
      <c r="F49" s="121">
        <f t="shared" si="15"/>
        <v>9277.3958333333303</v>
      </c>
      <c r="G49" s="91">
        <f t="shared" si="16"/>
        <v>-450666.66666666651</v>
      </c>
      <c r="H49" s="121">
        <f t="shared" si="16"/>
        <v>-39583.55555555554</v>
      </c>
      <c r="I49" s="91">
        <f t="shared" si="17"/>
        <v>1802666.666666666</v>
      </c>
      <c r="J49" s="91">
        <f t="shared" si="17"/>
        <v>2213749.7777777771</v>
      </c>
      <c r="K49" s="91">
        <f t="shared" si="9"/>
        <v>411083.11111111101</v>
      </c>
      <c r="L49" s="91">
        <f t="shared" si="10"/>
        <v>-86327.453333333309</v>
      </c>
      <c r="M49" s="91">
        <f t="shared" si="11"/>
        <v>9881.7468749999971</v>
      </c>
      <c r="N49" s="132"/>
      <c r="O49" s="91"/>
      <c r="P49" s="96"/>
      <c r="Q49" s="115" t="s">
        <v>91</v>
      </c>
      <c r="R49" s="116" t="s">
        <v>92</v>
      </c>
      <c r="S49" s="117" t="s">
        <v>93</v>
      </c>
      <c r="T49" s="118" t="s">
        <v>94</v>
      </c>
      <c r="U49" s="115" t="s">
        <v>95</v>
      </c>
      <c r="V49" s="119" t="s">
        <v>96</v>
      </c>
      <c r="W49" s="109" t="s">
        <v>97</v>
      </c>
      <c r="X49" s="120" t="s">
        <v>98</v>
      </c>
      <c r="Y49" s="89"/>
      <c r="Z49" s="89"/>
      <c r="AA49" s="89"/>
      <c r="AB49" s="169"/>
      <c r="AC49" s="169"/>
      <c r="AD49" s="169"/>
      <c r="AE49" s="169"/>
      <c r="AF49" s="169"/>
      <c r="AG49" s="169"/>
      <c r="AH49" s="169"/>
      <c r="AI49" s="169"/>
    </row>
    <row r="50" spans="1:35" ht="15" x14ac:dyDescent="0.25">
      <c r="A50" s="90">
        <v>45199</v>
      </c>
      <c r="B50" s="257">
        <v>281666.66666666663</v>
      </c>
      <c r="C50" s="91">
        <f t="shared" si="6"/>
        <v>2534999.9999999991</v>
      </c>
      <c r="D50" s="91">
        <f t="shared" si="0"/>
        <v>2534999.9999999991</v>
      </c>
      <c r="E50" s="91">
        <f t="shared" si="14"/>
        <v>56333.333333333314</v>
      </c>
      <c r="F50" s="121">
        <f t="shared" si="15"/>
        <v>10514.38194444444</v>
      </c>
      <c r="G50" s="91">
        <f t="shared" si="16"/>
        <v>-506999.99999999983</v>
      </c>
      <c r="H50" s="121">
        <f t="shared" si="16"/>
        <v>-50097.937499999978</v>
      </c>
      <c r="I50" s="91">
        <f t="shared" si="17"/>
        <v>2027999.9999999993</v>
      </c>
      <c r="J50" s="91">
        <f t="shared" si="17"/>
        <v>2484902.0624999991</v>
      </c>
      <c r="K50" s="91">
        <f t="shared" si="9"/>
        <v>456902.06249999977</v>
      </c>
      <c r="L50" s="91">
        <f t="shared" si="10"/>
        <v>-95949.433124999952</v>
      </c>
      <c r="M50" s="91">
        <f t="shared" si="11"/>
        <v>9621.979791666643</v>
      </c>
      <c r="N50" s="132"/>
      <c r="O50" s="91"/>
      <c r="P50" s="124"/>
      <c r="Q50" s="125"/>
      <c r="R50" s="126"/>
      <c r="S50" s="127"/>
      <c r="T50" s="128" t="s">
        <v>99</v>
      </c>
      <c r="U50" s="125" t="s">
        <v>100</v>
      </c>
      <c r="V50" s="129"/>
      <c r="W50" s="130"/>
      <c r="X50" s="170" t="s">
        <v>101</v>
      </c>
      <c r="Y50" s="89"/>
      <c r="Z50" s="89"/>
      <c r="AA50" s="89"/>
      <c r="AB50" s="169"/>
      <c r="AC50" s="169"/>
      <c r="AD50" s="169"/>
      <c r="AE50" s="169"/>
      <c r="AF50" s="169"/>
      <c r="AG50" s="169"/>
      <c r="AH50" s="169"/>
      <c r="AI50" s="169"/>
    </row>
    <row r="51" spans="1:35" ht="15" x14ac:dyDescent="0.25">
      <c r="A51" s="90">
        <v>45230</v>
      </c>
      <c r="B51" s="257">
        <v>281666.66666666663</v>
      </c>
      <c r="C51" s="91">
        <f t="shared" si="6"/>
        <v>2816666.6666666656</v>
      </c>
      <c r="D51" s="91">
        <f t="shared" si="0"/>
        <v>2816666.6666666656</v>
      </c>
      <c r="E51" s="91">
        <f t="shared" si="14"/>
        <v>56333.333333333314</v>
      </c>
      <c r="F51" s="121">
        <f t="shared" si="15"/>
        <v>11751.368055555549</v>
      </c>
      <c r="G51" s="91">
        <f t="shared" si="16"/>
        <v>-563333.33333333314</v>
      </c>
      <c r="H51" s="121">
        <f t="shared" si="16"/>
        <v>-61849.305555555526</v>
      </c>
      <c r="I51" s="91">
        <f t="shared" si="17"/>
        <v>2253333.3333333326</v>
      </c>
      <c r="J51" s="91">
        <f t="shared" si="17"/>
        <v>2754817.3611111101</v>
      </c>
      <c r="K51" s="91">
        <f t="shared" si="9"/>
        <v>501484.02777777752</v>
      </c>
      <c r="L51" s="91">
        <f t="shared" si="10"/>
        <v>-105311.64583333327</v>
      </c>
      <c r="M51" s="91">
        <f t="shared" si="11"/>
        <v>9362.212708333318</v>
      </c>
      <c r="N51" s="132"/>
      <c r="O51" s="91"/>
      <c r="P51" s="133">
        <v>1</v>
      </c>
      <c r="Q51" s="134"/>
      <c r="R51" s="135"/>
      <c r="S51" s="136"/>
      <c r="T51" s="137"/>
      <c r="U51" s="138"/>
      <c r="V51" s="139"/>
      <c r="W51" s="136"/>
      <c r="X51" s="171"/>
      <c r="Y51" s="89"/>
      <c r="Z51" s="89"/>
      <c r="AA51" s="89"/>
      <c r="AB51" s="169"/>
      <c r="AC51" s="169"/>
      <c r="AD51" s="169"/>
      <c r="AE51" s="169"/>
      <c r="AF51" s="169"/>
      <c r="AG51" s="169"/>
      <c r="AH51" s="169"/>
      <c r="AI51" s="169"/>
    </row>
    <row r="52" spans="1:35" ht="15" x14ac:dyDescent="0.25">
      <c r="A52" s="90">
        <v>45260</v>
      </c>
      <c r="B52" s="257">
        <v>281666.66666666663</v>
      </c>
      <c r="C52" s="91">
        <f t="shared" si="6"/>
        <v>3098333.3333333321</v>
      </c>
      <c r="D52" s="91">
        <f t="shared" si="0"/>
        <v>3098333.3333333321</v>
      </c>
      <c r="E52" s="91">
        <f t="shared" si="14"/>
        <v>56333.333333333314</v>
      </c>
      <c r="F52" s="121">
        <f t="shared" si="15"/>
        <v>12988.354166666659</v>
      </c>
      <c r="G52" s="91">
        <f t="shared" si="16"/>
        <v>-619666.66666666651</v>
      </c>
      <c r="H52" s="121">
        <f t="shared" si="16"/>
        <v>-74837.65972222219</v>
      </c>
      <c r="I52" s="91">
        <f t="shared" si="17"/>
        <v>2478666.6666666656</v>
      </c>
      <c r="J52" s="91">
        <f t="shared" si="17"/>
        <v>3023495.6736111101</v>
      </c>
      <c r="K52" s="91">
        <f t="shared" si="9"/>
        <v>544829.0069444445</v>
      </c>
      <c r="L52" s="91">
        <f t="shared" si="10"/>
        <v>-114414.09145833334</v>
      </c>
      <c r="M52" s="91">
        <f t="shared" si="11"/>
        <v>9102.4456250000658</v>
      </c>
      <c r="N52" s="132"/>
      <c r="O52" s="91"/>
      <c r="P52" s="133">
        <v>2</v>
      </c>
      <c r="Q52" s="134"/>
      <c r="R52" s="135">
        <v>45291</v>
      </c>
      <c r="S52" s="136">
        <f>+'E34402'!M53</f>
        <v>8842.6785416665662</v>
      </c>
      <c r="T52" s="141">
        <f>+'E34402'!L53</f>
        <v>-123256.7699999999</v>
      </c>
      <c r="U52" s="138"/>
      <c r="V52" s="139"/>
      <c r="W52" s="136"/>
      <c r="X52" s="142">
        <f>T52</f>
        <v>-123256.7699999999</v>
      </c>
      <c r="Y52" s="89"/>
      <c r="Z52" s="89"/>
      <c r="AA52" s="89"/>
      <c r="AB52" s="169"/>
      <c r="AC52" s="169"/>
      <c r="AD52" s="169"/>
      <c r="AE52" s="169"/>
      <c r="AF52" s="169"/>
      <c r="AG52" s="169"/>
      <c r="AH52" s="169"/>
      <c r="AI52" s="169"/>
    </row>
    <row r="53" spans="1:35" ht="15" x14ac:dyDescent="0.25">
      <c r="A53" s="90">
        <v>45291</v>
      </c>
      <c r="B53" s="257">
        <v>281666.66666666663</v>
      </c>
      <c r="C53" s="91">
        <f t="shared" si="6"/>
        <v>3379999.9999999986</v>
      </c>
      <c r="D53" s="258">
        <f t="shared" si="0"/>
        <v>3379999.9999999986</v>
      </c>
      <c r="E53" s="91">
        <f t="shared" si="14"/>
        <v>56333.333333333314</v>
      </c>
      <c r="F53" s="121">
        <f t="shared" si="15"/>
        <v>14225.340277777772</v>
      </c>
      <c r="G53" s="91">
        <f t="shared" si="16"/>
        <v>-675999.99999999977</v>
      </c>
      <c r="H53" s="121">
        <f t="shared" si="16"/>
        <v>-89062.999999999956</v>
      </c>
      <c r="I53" s="91">
        <f t="shared" si="17"/>
        <v>2703999.9999999991</v>
      </c>
      <c r="J53" s="91">
        <f t="shared" si="17"/>
        <v>3290936.9999999986</v>
      </c>
      <c r="K53" s="91">
        <f t="shared" si="9"/>
        <v>586936.99999999953</v>
      </c>
      <c r="L53" s="91">
        <f t="shared" si="10"/>
        <v>-123256.7699999999</v>
      </c>
      <c r="M53" s="91">
        <f t="shared" si="11"/>
        <v>8842.6785416665662</v>
      </c>
      <c r="N53" s="132"/>
      <c r="O53" s="91"/>
      <c r="P53" s="133">
        <v>3</v>
      </c>
      <c r="Q53" s="134">
        <f t="shared" ref="Q53:Q64" si="18">DAY(EOMONTH(R53,0))</f>
        <v>31</v>
      </c>
      <c r="R53" s="135">
        <v>45292</v>
      </c>
      <c r="S53" s="136">
        <f>+'E34402'!M54</f>
        <v>29940.111237627571</v>
      </c>
      <c r="T53" s="143">
        <f t="shared" ref="T53:T64" si="19">+T52-S53</f>
        <v>-153196.88123762747</v>
      </c>
      <c r="U53" s="138">
        <f>V53-SUM(Q$52:$Q53)+1</f>
        <v>336</v>
      </c>
      <c r="V53" s="139">
        <f>Q65</f>
        <v>366</v>
      </c>
      <c r="W53" s="136">
        <f t="shared" ref="W53:W64" si="20">+U53/V53*S53</f>
        <v>27486.003759133509</v>
      </c>
      <c r="X53" s="140">
        <f t="shared" ref="X53:X64" si="21">+X52-W53</f>
        <v>-150742.77375913342</v>
      </c>
      <c r="Y53" s="89"/>
      <c r="Z53" s="89"/>
      <c r="AA53" s="89"/>
      <c r="AB53" s="169"/>
      <c r="AC53" s="169"/>
      <c r="AD53" s="169"/>
      <c r="AE53" s="169"/>
      <c r="AF53" s="169"/>
      <c r="AG53" s="169"/>
      <c r="AH53" s="169"/>
      <c r="AI53" s="169"/>
    </row>
    <row r="54" spans="1:35" ht="15" x14ac:dyDescent="0.25">
      <c r="A54" s="147">
        <v>45322</v>
      </c>
      <c r="B54" s="256">
        <v>340146.82</v>
      </c>
      <c r="C54" s="148">
        <f t="shared" si="6"/>
        <v>3720146.8199999984</v>
      </c>
      <c r="D54" s="91">
        <f t="shared" si="0"/>
        <v>3720146.8199999984</v>
      </c>
      <c r="E54" s="148">
        <f t="shared" ref="E54:E64" si="22">($C$29*$F$9+($C$41-$C$29)*$E$9+($C$53-$C$41)*$D$9+($C$65-$C$53)*$C$9)/12</f>
        <v>158162.69733333334</v>
      </c>
      <c r="F54" s="149">
        <f t="shared" si="15"/>
        <v>15590.739058916659</v>
      </c>
      <c r="G54" s="148">
        <f t="shared" si="16"/>
        <v>-834162.69733333308</v>
      </c>
      <c r="H54" s="149">
        <f t="shared" si="16"/>
        <v>-104653.73905891662</v>
      </c>
      <c r="I54" s="148">
        <f t="shared" si="17"/>
        <v>2885984.1226666654</v>
      </c>
      <c r="J54" s="148">
        <f t="shared" si="17"/>
        <v>3615493.080941082</v>
      </c>
      <c r="K54" s="148">
        <f t="shared" si="9"/>
        <v>729508.95827441663</v>
      </c>
      <c r="L54" s="148">
        <f t="shared" si="10"/>
        <v>-153196.88123762747</v>
      </c>
      <c r="M54" s="148">
        <f t="shared" si="11"/>
        <v>29940.111237627571</v>
      </c>
      <c r="N54" s="132"/>
      <c r="O54" s="91"/>
      <c r="P54" s="133">
        <v>4</v>
      </c>
      <c r="Q54" s="134">
        <f t="shared" si="18"/>
        <v>29</v>
      </c>
      <c r="R54" s="135">
        <v>45323</v>
      </c>
      <c r="S54" s="136">
        <f>+'E34402'!M55</f>
        <v>29626.410832882568</v>
      </c>
      <c r="T54" s="143">
        <f t="shared" si="19"/>
        <v>-182823.29207051004</v>
      </c>
      <c r="U54" s="138">
        <f>V54-SUM(Q$52:$Q54)+1</f>
        <v>307</v>
      </c>
      <c r="V54" s="139">
        <f t="shared" ref="V54:V64" si="23">V53</f>
        <v>366</v>
      </c>
      <c r="W54" s="136">
        <f t="shared" si="20"/>
        <v>24850.568649439752</v>
      </c>
      <c r="X54" s="140">
        <f t="shared" si="21"/>
        <v>-175593.34240857317</v>
      </c>
      <c r="Y54" s="89"/>
      <c r="Z54" s="89"/>
      <c r="AA54" s="89"/>
      <c r="AB54" s="169"/>
      <c r="AC54" s="169"/>
      <c r="AD54" s="169"/>
      <c r="AE54" s="169"/>
      <c r="AF54" s="169"/>
      <c r="AG54" s="169"/>
      <c r="AH54" s="169"/>
      <c r="AI54" s="169"/>
    </row>
    <row r="55" spans="1:35" ht="15" x14ac:dyDescent="0.25">
      <c r="A55" s="90">
        <v>45351</v>
      </c>
      <c r="B55" s="257">
        <v>340146.82</v>
      </c>
      <c r="C55" s="91">
        <f t="shared" si="6"/>
        <v>4060293.6399999983</v>
      </c>
      <c r="D55" s="91">
        <f t="shared" si="0"/>
        <v>4060293.6399999983</v>
      </c>
      <c r="E55" s="91">
        <f t="shared" si="22"/>
        <v>158162.69733333334</v>
      </c>
      <c r="F55" s="121">
        <f t="shared" si="15"/>
        <v>17084.550510083325</v>
      </c>
      <c r="G55" s="91">
        <f t="shared" si="16"/>
        <v>-992325.3946666664</v>
      </c>
      <c r="H55" s="121">
        <f t="shared" si="16"/>
        <v>-121738.28956899994</v>
      </c>
      <c r="I55" s="91">
        <f t="shared" si="17"/>
        <v>3067968.2453333316</v>
      </c>
      <c r="J55" s="91">
        <f t="shared" si="17"/>
        <v>3938555.3504309985</v>
      </c>
      <c r="K55" s="91">
        <f t="shared" si="9"/>
        <v>870587.10509766685</v>
      </c>
      <c r="L55" s="91">
        <f t="shared" si="10"/>
        <v>-182823.29207051004</v>
      </c>
      <c r="M55" s="91">
        <f t="shared" si="11"/>
        <v>29626.410832882568</v>
      </c>
      <c r="N55" s="132"/>
      <c r="O55" s="91"/>
      <c r="P55" s="133">
        <v>5</v>
      </c>
      <c r="Q55" s="134">
        <f t="shared" si="18"/>
        <v>31</v>
      </c>
      <c r="R55" s="135">
        <v>45352</v>
      </c>
      <c r="S55" s="136">
        <f>+'E34402'!M56</f>
        <v>29312.71042813739</v>
      </c>
      <c r="T55" s="143">
        <f t="shared" si="19"/>
        <v>-212136.00249864743</v>
      </c>
      <c r="U55" s="138">
        <f>V55-SUM(Q$52:$Q55)+1</f>
        <v>276</v>
      </c>
      <c r="V55" s="139">
        <f t="shared" si="23"/>
        <v>366</v>
      </c>
      <c r="W55" s="136">
        <f t="shared" si="20"/>
        <v>22104.666880234752</v>
      </c>
      <c r="X55" s="140">
        <f t="shared" si="21"/>
        <v>-197698.00928880792</v>
      </c>
      <c r="Y55" s="89"/>
      <c r="Z55" s="89"/>
      <c r="AA55" s="89"/>
      <c r="AB55" s="169"/>
      <c r="AC55" s="169"/>
      <c r="AD55" s="169"/>
      <c r="AE55" s="169"/>
      <c r="AF55" s="169"/>
      <c r="AG55" s="169"/>
      <c r="AH55" s="169"/>
      <c r="AI55" s="169"/>
    </row>
    <row r="56" spans="1:35" ht="15" x14ac:dyDescent="0.25">
      <c r="A56" s="90">
        <v>45382</v>
      </c>
      <c r="B56" s="257">
        <v>340146.82</v>
      </c>
      <c r="C56" s="91">
        <f t="shared" si="6"/>
        <v>4400440.4599999981</v>
      </c>
      <c r="D56" s="91">
        <f t="shared" si="0"/>
        <v>4400440.4599999981</v>
      </c>
      <c r="E56" s="91">
        <f t="shared" si="22"/>
        <v>158162.69733333334</v>
      </c>
      <c r="F56" s="121">
        <f t="shared" si="15"/>
        <v>18578.36196124999</v>
      </c>
      <c r="G56" s="91">
        <f t="shared" si="16"/>
        <v>-1150488.0919999997</v>
      </c>
      <c r="H56" s="121">
        <f t="shared" si="16"/>
        <v>-140316.65153024992</v>
      </c>
      <c r="I56" s="91">
        <f t="shared" si="17"/>
        <v>3249952.3679999984</v>
      </c>
      <c r="J56" s="91">
        <f t="shared" si="17"/>
        <v>4260123.8084697481</v>
      </c>
      <c r="K56" s="91">
        <f t="shared" si="9"/>
        <v>1010171.4404697497</v>
      </c>
      <c r="L56" s="91">
        <f t="shared" si="10"/>
        <v>-212136.00249864743</v>
      </c>
      <c r="M56" s="91">
        <f t="shared" si="11"/>
        <v>29312.71042813739</v>
      </c>
      <c r="N56" s="132"/>
      <c r="O56" s="91"/>
      <c r="P56" s="133">
        <v>6</v>
      </c>
      <c r="Q56" s="134">
        <f t="shared" si="18"/>
        <v>30</v>
      </c>
      <c r="R56" s="135">
        <v>45383</v>
      </c>
      <c r="S56" s="136">
        <f>+'E34402'!M57</f>
        <v>28999.01002339265</v>
      </c>
      <c r="T56" s="143">
        <f t="shared" si="19"/>
        <v>-241135.01252204008</v>
      </c>
      <c r="U56" s="138">
        <f>V56-SUM(Q$52:$Q56)+1</f>
        <v>246</v>
      </c>
      <c r="V56" s="139">
        <f t="shared" si="23"/>
        <v>366</v>
      </c>
      <c r="W56" s="136">
        <f t="shared" si="20"/>
        <v>19491.137884575386</v>
      </c>
      <c r="X56" s="140">
        <f t="shared" si="21"/>
        <v>-217189.1471733833</v>
      </c>
      <c r="Y56" s="89"/>
      <c r="Z56" s="89"/>
      <c r="AA56" s="89"/>
      <c r="AB56" s="169"/>
      <c r="AC56" s="169"/>
      <c r="AD56" s="169"/>
      <c r="AE56" s="169"/>
      <c r="AF56" s="169"/>
      <c r="AG56" s="169"/>
      <c r="AH56" s="169"/>
      <c r="AI56" s="169"/>
    </row>
    <row r="57" spans="1:35" ht="15" x14ac:dyDescent="0.25">
      <c r="A57" s="90">
        <v>45412</v>
      </c>
      <c r="B57" s="257">
        <v>340146.82</v>
      </c>
      <c r="C57" s="91">
        <f t="shared" si="6"/>
        <v>4740587.2799999984</v>
      </c>
      <c r="D57" s="91">
        <f t="shared" si="0"/>
        <v>4740587.2799999984</v>
      </c>
      <c r="E57" s="91">
        <f t="shared" si="22"/>
        <v>158162.69733333334</v>
      </c>
      <c r="F57" s="121">
        <f t="shared" si="15"/>
        <v>20072.173412416658</v>
      </c>
      <c r="G57" s="91">
        <f t="shared" si="16"/>
        <v>-1308650.789333333</v>
      </c>
      <c r="H57" s="121">
        <f t="shared" si="16"/>
        <v>-160388.82494266657</v>
      </c>
      <c r="I57" s="91">
        <f t="shared" si="17"/>
        <v>3431936.4906666651</v>
      </c>
      <c r="J57" s="91">
        <f t="shared" si="17"/>
        <v>4580198.4550573323</v>
      </c>
      <c r="K57" s="91">
        <f t="shared" si="9"/>
        <v>1148261.9643906672</v>
      </c>
      <c r="L57" s="91">
        <f t="shared" si="10"/>
        <v>-241135.01252204008</v>
      </c>
      <c r="M57" s="91">
        <f t="shared" si="11"/>
        <v>28999.01002339265</v>
      </c>
      <c r="N57" s="132"/>
      <c r="O57" s="91"/>
      <c r="P57" s="133">
        <v>7</v>
      </c>
      <c r="Q57" s="134">
        <f t="shared" si="18"/>
        <v>31</v>
      </c>
      <c r="R57" s="135">
        <v>45413</v>
      </c>
      <c r="S57" s="136">
        <f>+'E34402'!M58</f>
        <v>28685.309618647356</v>
      </c>
      <c r="T57" s="143">
        <f t="shared" si="19"/>
        <v>-269820.32214068744</v>
      </c>
      <c r="U57" s="138">
        <f>V57-SUM(Q$52:$Q57)+1</f>
        <v>215</v>
      </c>
      <c r="V57" s="139">
        <f t="shared" si="23"/>
        <v>366</v>
      </c>
      <c r="W57" s="136">
        <f t="shared" si="20"/>
        <v>16850.66002188301</v>
      </c>
      <c r="X57" s="140">
        <f t="shared" si="21"/>
        <v>-234039.8071952663</v>
      </c>
      <c r="Y57" s="89"/>
      <c r="Z57" s="89"/>
      <c r="AA57" s="89"/>
      <c r="AB57" s="169"/>
      <c r="AC57" s="169"/>
      <c r="AD57" s="169"/>
      <c r="AE57" s="169"/>
      <c r="AF57" s="169"/>
      <c r="AG57" s="169"/>
      <c r="AH57" s="169"/>
      <c r="AI57" s="169"/>
    </row>
    <row r="58" spans="1:35" ht="15" x14ac:dyDescent="0.25">
      <c r="A58" s="90">
        <v>45443</v>
      </c>
      <c r="B58" s="257">
        <v>340146.82</v>
      </c>
      <c r="C58" s="91">
        <f t="shared" si="6"/>
        <v>5080734.0999999987</v>
      </c>
      <c r="D58" s="91">
        <f t="shared" si="0"/>
        <v>5080734.0999999987</v>
      </c>
      <c r="E58" s="91">
        <f t="shared" si="22"/>
        <v>158162.69733333334</v>
      </c>
      <c r="F58" s="121">
        <f t="shared" si="15"/>
        <v>21565.984863583322</v>
      </c>
      <c r="G58" s="91">
        <f t="shared" si="16"/>
        <v>-1466813.4866666663</v>
      </c>
      <c r="H58" s="121">
        <f t="shared" si="16"/>
        <v>-181954.80980624989</v>
      </c>
      <c r="I58" s="91">
        <f t="shared" si="17"/>
        <v>3613920.6133333324</v>
      </c>
      <c r="J58" s="91">
        <f t="shared" si="17"/>
        <v>4898779.2901937487</v>
      </c>
      <c r="K58" s="91">
        <f t="shared" si="9"/>
        <v>1284858.6768604163</v>
      </c>
      <c r="L58" s="91">
        <f t="shared" si="10"/>
        <v>-269820.32214068744</v>
      </c>
      <c r="M58" s="91">
        <f t="shared" si="11"/>
        <v>28685.309618647356</v>
      </c>
      <c r="N58" s="132"/>
      <c r="O58" s="91"/>
      <c r="P58" s="133">
        <v>8</v>
      </c>
      <c r="Q58" s="134">
        <f t="shared" si="18"/>
        <v>30</v>
      </c>
      <c r="R58" s="135">
        <v>45444</v>
      </c>
      <c r="S58" s="136">
        <f>+'E34402'!M59</f>
        <v>28371.60921390244</v>
      </c>
      <c r="T58" s="143">
        <f t="shared" si="19"/>
        <v>-298191.93135458988</v>
      </c>
      <c r="U58" s="138">
        <f>V58-SUM(Q$52:$Q58)+1</f>
        <v>185</v>
      </c>
      <c r="V58" s="139">
        <f t="shared" si="23"/>
        <v>366</v>
      </c>
      <c r="W58" s="136">
        <f t="shared" si="20"/>
        <v>14340.840722874185</v>
      </c>
      <c r="X58" s="140">
        <f t="shared" si="21"/>
        <v>-248380.64791814049</v>
      </c>
      <c r="Y58" s="89"/>
      <c r="Z58" s="89"/>
      <c r="AA58" s="89"/>
      <c r="AB58" s="169"/>
      <c r="AC58" s="169"/>
      <c r="AD58" s="169"/>
      <c r="AE58" s="169"/>
      <c r="AF58" s="169"/>
      <c r="AG58" s="169"/>
      <c r="AH58" s="169"/>
      <c r="AI58" s="169"/>
    </row>
    <row r="59" spans="1:35" ht="15" x14ac:dyDescent="0.25">
      <c r="A59" s="90">
        <v>45473</v>
      </c>
      <c r="B59" s="257">
        <v>340146.82</v>
      </c>
      <c r="C59" s="91">
        <f t="shared" si="6"/>
        <v>5420880.919999999</v>
      </c>
      <c r="D59" s="91">
        <f t="shared" si="0"/>
        <v>5420880.919999999</v>
      </c>
      <c r="E59" s="91">
        <f t="shared" si="22"/>
        <v>158162.69733333334</v>
      </c>
      <c r="F59" s="121">
        <f t="shared" si="15"/>
        <v>23059.796314749994</v>
      </c>
      <c r="G59" s="91">
        <f t="shared" si="16"/>
        <v>-1624976.1839999997</v>
      </c>
      <c r="H59" s="121">
        <f t="shared" si="16"/>
        <v>-205014.60612099987</v>
      </c>
      <c r="I59" s="91">
        <f t="shared" si="17"/>
        <v>3795904.7359999996</v>
      </c>
      <c r="J59" s="91">
        <f t="shared" si="17"/>
        <v>5215866.3138789991</v>
      </c>
      <c r="K59" s="91">
        <f t="shared" si="9"/>
        <v>1419961.5778789995</v>
      </c>
      <c r="L59" s="91">
        <f t="shared" si="10"/>
        <v>-298191.93135458988</v>
      </c>
      <c r="M59" s="91">
        <f t="shared" si="11"/>
        <v>28371.60921390244</v>
      </c>
      <c r="N59" s="132"/>
      <c r="O59" s="91"/>
      <c r="P59" s="133">
        <v>9</v>
      </c>
      <c r="Q59" s="134">
        <f t="shared" si="18"/>
        <v>31</v>
      </c>
      <c r="R59" s="135">
        <v>45474</v>
      </c>
      <c r="S59" s="136">
        <f>+'E34402'!M60</f>
        <v>28057.908809157554</v>
      </c>
      <c r="T59" s="143">
        <f t="shared" si="19"/>
        <v>-326249.84016374743</v>
      </c>
      <c r="U59" s="138">
        <f>V59-SUM(Q$52:$Q59)+1</f>
        <v>154</v>
      </c>
      <c r="V59" s="139">
        <f t="shared" si="23"/>
        <v>366</v>
      </c>
      <c r="W59" s="136">
        <f t="shared" si="20"/>
        <v>11805.78676669471</v>
      </c>
      <c r="X59" s="140">
        <f t="shared" si="21"/>
        <v>-260186.4346848352</v>
      </c>
      <c r="Y59" s="89"/>
      <c r="Z59" s="89"/>
      <c r="AA59" s="89"/>
      <c r="AB59" s="169"/>
      <c r="AC59" s="169"/>
      <c r="AD59" s="169"/>
      <c r="AE59" s="169"/>
      <c r="AF59" s="169"/>
      <c r="AG59" s="169"/>
      <c r="AH59" s="169"/>
      <c r="AI59" s="169"/>
    </row>
    <row r="60" spans="1:35" ht="15" x14ac:dyDescent="0.25">
      <c r="A60" s="90">
        <v>45504</v>
      </c>
      <c r="B60" s="257">
        <v>340146.82</v>
      </c>
      <c r="C60" s="91">
        <f t="shared" si="6"/>
        <v>5761027.7399999993</v>
      </c>
      <c r="D60" s="91">
        <f t="shared" si="0"/>
        <v>5761027.7399999993</v>
      </c>
      <c r="E60" s="91">
        <f t="shared" si="22"/>
        <v>158162.69733333334</v>
      </c>
      <c r="F60" s="121">
        <f t="shared" si="15"/>
        <v>24553.607765916659</v>
      </c>
      <c r="G60" s="91">
        <f t="shared" si="16"/>
        <v>-1783138.881333333</v>
      </c>
      <c r="H60" s="121">
        <f t="shared" si="16"/>
        <v>-229568.21388691652</v>
      </c>
      <c r="I60" s="91">
        <f t="shared" si="17"/>
        <v>3977888.8586666663</v>
      </c>
      <c r="J60" s="91">
        <f t="shared" si="17"/>
        <v>5531459.5261130827</v>
      </c>
      <c r="K60" s="91">
        <f t="shared" si="9"/>
        <v>1553570.6674464163</v>
      </c>
      <c r="L60" s="91">
        <f t="shared" si="10"/>
        <v>-326249.84016374743</v>
      </c>
      <c r="M60" s="91">
        <f t="shared" si="11"/>
        <v>28057.908809157554</v>
      </c>
      <c r="N60" s="132"/>
      <c r="O60" s="91"/>
      <c r="P60" s="133">
        <v>10</v>
      </c>
      <c r="Q60" s="134">
        <f t="shared" si="18"/>
        <v>31</v>
      </c>
      <c r="R60" s="135">
        <v>45505</v>
      </c>
      <c r="S60" s="136">
        <f>+'E34402'!M61</f>
        <v>27744.208404412493</v>
      </c>
      <c r="T60" s="143">
        <f t="shared" si="19"/>
        <v>-353994.04856815992</v>
      </c>
      <c r="U60" s="138">
        <f>V60-SUM(Q$52:$Q60)+1</f>
        <v>123</v>
      </c>
      <c r="V60" s="139">
        <f t="shared" si="23"/>
        <v>366</v>
      </c>
      <c r="W60" s="136">
        <f t="shared" si="20"/>
        <v>9323.8733162369845</v>
      </c>
      <c r="X60" s="140">
        <f t="shared" si="21"/>
        <v>-269510.3080010722</v>
      </c>
      <c r="Y60" s="89"/>
      <c r="Z60" s="89"/>
      <c r="AA60" s="89"/>
      <c r="AB60" s="169"/>
      <c r="AC60" s="169"/>
      <c r="AD60" s="169"/>
      <c r="AE60" s="169"/>
      <c r="AF60" s="169"/>
      <c r="AG60" s="169"/>
      <c r="AH60" s="169"/>
      <c r="AI60" s="169"/>
    </row>
    <row r="61" spans="1:35" ht="15" x14ac:dyDescent="0.25">
      <c r="A61" s="90">
        <v>45535</v>
      </c>
      <c r="B61" s="257">
        <v>340146.82</v>
      </c>
      <c r="C61" s="91">
        <f t="shared" si="6"/>
        <v>6101174.5599999996</v>
      </c>
      <c r="D61" s="91">
        <f t="shared" si="0"/>
        <v>6101174.5599999996</v>
      </c>
      <c r="E61" s="91">
        <f t="shared" si="22"/>
        <v>158162.69733333334</v>
      </c>
      <c r="F61" s="121">
        <f t="shared" si="15"/>
        <v>26047.419217083327</v>
      </c>
      <c r="G61" s="91">
        <f t="shared" si="16"/>
        <v>-1941301.5786666663</v>
      </c>
      <c r="H61" s="121">
        <f t="shared" si="16"/>
        <v>-255615.63310399983</v>
      </c>
      <c r="I61" s="91">
        <f t="shared" si="17"/>
        <v>4159872.9813333331</v>
      </c>
      <c r="J61" s="91">
        <f t="shared" si="17"/>
        <v>5845558.9268959993</v>
      </c>
      <c r="K61" s="91">
        <f t="shared" si="9"/>
        <v>1685685.9455626663</v>
      </c>
      <c r="L61" s="91">
        <f t="shared" si="10"/>
        <v>-353994.04856815992</v>
      </c>
      <c r="M61" s="91">
        <f t="shared" si="11"/>
        <v>27744.208404412493</v>
      </c>
      <c r="N61" s="132"/>
      <c r="O61" s="91"/>
      <c r="P61" s="133">
        <v>11</v>
      </c>
      <c r="Q61" s="134">
        <f t="shared" si="18"/>
        <v>30</v>
      </c>
      <c r="R61" s="135">
        <v>45536</v>
      </c>
      <c r="S61" s="136">
        <f>+'E34402'!M62</f>
        <v>27430.507999667549</v>
      </c>
      <c r="T61" s="143">
        <f t="shared" si="19"/>
        <v>-381424.55656782747</v>
      </c>
      <c r="U61" s="138">
        <f>V61-SUM(Q$52:$Q61)+1</f>
        <v>93</v>
      </c>
      <c r="V61" s="139">
        <f t="shared" si="23"/>
        <v>366</v>
      </c>
      <c r="W61" s="136">
        <f t="shared" si="20"/>
        <v>6970.0471146696227</v>
      </c>
      <c r="X61" s="140">
        <f t="shared" si="21"/>
        <v>-276480.35511574184</v>
      </c>
      <c r="Y61" s="89"/>
      <c r="Z61" s="89"/>
      <c r="AA61" s="89"/>
      <c r="AB61" s="169"/>
      <c r="AC61" s="169"/>
      <c r="AD61" s="169"/>
      <c r="AE61" s="169"/>
      <c r="AF61" s="169"/>
      <c r="AG61" s="169"/>
      <c r="AH61" s="169"/>
      <c r="AI61" s="169"/>
    </row>
    <row r="62" spans="1:35" ht="15" x14ac:dyDescent="0.25">
      <c r="A62" s="90">
        <v>45565</v>
      </c>
      <c r="B62" s="257">
        <v>340146.82</v>
      </c>
      <c r="C62" s="91">
        <f t="shared" si="6"/>
        <v>6441321.3799999999</v>
      </c>
      <c r="D62" s="91">
        <f t="shared" si="0"/>
        <v>6441321.3799999999</v>
      </c>
      <c r="E62" s="91">
        <f t="shared" si="22"/>
        <v>158162.69733333334</v>
      </c>
      <c r="F62" s="121">
        <f t="shared" si="15"/>
        <v>27541.230668249995</v>
      </c>
      <c r="G62" s="91">
        <f t="shared" ref="G62:H77" si="24">-E62+G61</f>
        <v>-2099464.2759999996</v>
      </c>
      <c r="H62" s="121">
        <f t="shared" si="24"/>
        <v>-283156.86377224984</v>
      </c>
      <c r="I62" s="91">
        <f t="shared" ref="I62:J77" si="25">C62+G62</f>
        <v>4341857.1040000003</v>
      </c>
      <c r="J62" s="91">
        <f t="shared" si="25"/>
        <v>6158164.5162277501</v>
      </c>
      <c r="K62" s="91">
        <f t="shared" si="9"/>
        <v>1816307.4122277498</v>
      </c>
      <c r="L62" s="91">
        <f t="shared" si="10"/>
        <v>-381424.55656782747</v>
      </c>
      <c r="M62" s="91">
        <f t="shared" si="11"/>
        <v>27430.507999667549</v>
      </c>
      <c r="N62" s="132"/>
      <c r="O62" s="91"/>
      <c r="P62" s="133">
        <v>12</v>
      </c>
      <c r="Q62" s="134">
        <f t="shared" si="18"/>
        <v>31</v>
      </c>
      <c r="R62" s="135">
        <v>45566</v>
      </c>
      <c r="S62" s="136">
        <f>+'E34402'!M63</f>
        <v>27116.807594922662</v>
      </c>
      <c r="T62" s="143">
        <f t="shared" si="19"/>
        <v>-408541.36416275013</v>
      </c>
      <c r="U62" s="138">
        <f>V62-SUM(Q$52:$Q62)+1</f>
        <v>62</v>
      </c>
      <c r="V62" s="139">
        <f t="shared" si="23"/>
        <v>366</v>
      </c>
      <c r="W62" s="136">
        <f t="shared" si="20"/>
        <v>4593.5575707246035</v>
      </c>
      <c r="X62" s="140">
        <f t="shared" si="21"/>
        <v>-281073.91268646647</v>
      </c>
      <c r="Y62" s="89"/>
      <c r="Z62" s="89"/>
      <c r="AA62" s="89"/>
      <c r="AB62" s="169"/>
      <c r="AC62" s="169"/>
      <c r="AD62" s="169"/>
      <c r="AE62" s="169"/>
      <c r="AF62" s="169"/>
      <c r="AG62" s="169"/>
      <c r="AH62" s="169"/>
      <c r="AI62" s="169"/>
    </row>
    <row r="63" spans="1:35" ht="15" x14ac:dyDescent="0.25">
      <c r="A63" s="90">
        <v>45596</v>
      </c>
      <c r="B63" s="257">
        <v>340146.82</v>
      </c>
      <c r="C63" s="91">
        <f t="shared" si="6"/>
        <v>6781468.2000000002</v>
      </c>
      <c r="D63" s="91">
        <f t="shared" si="0"/>
        <v>6781468.2000000002</v>
      </c>
      <c r="E63" s="91">
        <f t="shared" si="22"/>
        <v>158162.69733333334</v>
      </c>
      <c r="F63" s="121">
        <f t="shared" si="15"/>
        <v>29035.042119416667</v>
      </c>
      <c r="G63" s="91">
        <f t="shared" si="24"/>
        <v>-2257626.9733333332</v>
      </c>
      <c r="H63" s="121">
        <f t="shared" si="24"/>
        <v>-312191.90589166648</v>
      </c>
      <c r="I63" s="91">
        <f t="shared" si="25"/>
        <v>4523841.2266666666</v>
      </c>
      <c r="J63" s="91">
        <f t="shared" si="25"/>
        <v>6469276.294108334</v>
      </c>
      <c r="K63" s="91">
        <f t="shared" si="9"/>
        <v>1945435.0674416674</v>
      </c>
      <c r="L63" s="91">
        <f t="shared" si="10"/>
        <v>-408541.36416275013</v>
      </c>
      <c r="M63" s="91">
        <f t="shared" si="11"/>
        <v>27116.807594922662</v>
      </c>
      <c r="N63" s="132"/>
      <c r="O63" s="91"/>
      <c r="P63" s="133">
        <v>13</v>
      </c>
      <c r="Q63" s="134">
        <f t="shared" si="18"/>
        <v>30</v>
      </c>
      <c r="R63" s="135">
        <v>45597</v>
      </c>
      <c r="S63" s="136">
        <f>+'E34402'!M64</f>
        <v>26803.107190177485</v>
      </c>
      <c r="T63" s="143">
        <f t="shared" si="19"/>
        <v>-435344.47135292762</v>
      </c>
      <c r="U63" s="138">
        <f>V63-SUM(Q$52:$Q63)+1</f>
        <v>32</v>
      </c>
      <c r="V63" s="139">
        <f t="shared" si="23"/>
        <v>366</v>
      </c>
      <c r="W63" s="136">
        <f t="shared" si="20"/>
        <v>2343.4410658078677</v>
      </c>
      <c r="X63" s="140">
        <f t="shared" si="21"/>
        <v>-283417.35375227436</v>
      </c>
      <c r="Y63" s="89"/>
      <c r="Z63" s="89"/>
      <c r="AA63" s="89"/>
      <c r="AB63" s="169"/>
      <c r="AC63" s="169"/>
      <c r="AD63" s="169"/>
      <c r="AE63" s="169"/>
      <c r="AF63" s="169"/>
      <c r="AG63" s="169"/>
      <c r="AH63" s="169"/>
      <c r="AI63" s="169"/>
    </row>
    <row r="64" spans="1:35" ht="15" x14ac:dyDescent="0.25">
      <c r="A64" s="90">
        <v>45626</v>
      </c>
      <c r="B64" s="257">
        <v>340146.82</v>
      </c>
      <c r="C64" s="91">
        <f t="shared" si="6"/>
        <v>7121615.0200000005</v>
      </c>
      <c r="D64" s="91">
        <f t="shared" si="0"/>
        <v>7121615.0200000005</v>
      </c>
      <c r="E64" s="91">
        <f t="shared" si="22"/>
        <v>158162.69733333334</v>
      </c>
      <c r="F64" s="121">
        <f t="shared" si="15"/>
        <v>30528.853570583331</v>
      </c>
      <c r="G64" s="91">
        <f t="shared" si="24"/>
        <v>-2415789.6706666667</v>
      </c>
      <c r="H64" s="121">
        <f t="shared" si="24"/>
        <v>-342720.75946224981</v>
      </c>
      <c r="I64" s="91">
        <f t="shared" si="25"/>
        <v>4705825.3493333338</v>
      </c>
      <c r="J64" s="91">
        <f t="shared" si="25"/>
        <v>6778894.260537751</v>
      </c>
      <c r="K64" s="91">
        <f t="shared" si="9"/>
        <v>2073068.9112044172</v>
      </c>
      <c r="L64" s="91">
        <f t="shared" si="10"/>
        <v>-435344.47135292762</v>
      </c>
      <c r="M64" s="91">
        <f t="shared" si="11"/>
        <v>26803.107190177485</v>
      </c>
      <c r="N64" s="132"/>
      <c r="O64" s="91"/>
      <c r="P64" s="133">
        <v>14</v>
      </c>
      <c r="Q64" s="134">
        <f t="shared" si="18"/>
        <v>31</v>
      </c>
      <c r="R64" s="135">
        <v>45627</v>
      </c>
      <c r="S64" s="136">
        <f>+'E34402'!M65</f>
        <v>26489.406785432424</v>
      </c>
      <c r="T64" s="143">
        <f t="shared" si="19"/>
        <v>-461833.87813836004</v>
      </c>
      <c r="U64" s="138">
        <f>V64-SUM(Q$52:$Q64)+1</f>
        <v>1</v>
      </c>
      <c r="V64" s="139">
        <f t="shared" si="23"/>
        <v>366</v>
      </c>
      <c r="W64" s="136">
        <f t="shared" si="20"/>
        <v>72.37542837549843</v>
      </c>
      <c r="X64" s="140">
        <f t="shared" si="21"/>
        <v>-283489.72918064985</v>
      </c>
      <c r="Y64" s="89"/>
      <c r="Z64" s="89"/>
      <c r="AA64" s="89"/>
      <c r="AB64" s="169"/>
      <c r="AC64" s="169"/>
      <c r="AD64" s="169"/>
      <c r="AE64" s="169"/>
      <c r="AF64" s="169"/>
      <c r="AG64" s="169"/>
      <c r="AH64" s="169"/>
      <c r="AI64" s="169"/>
    </row>
    <row r="65" spans="1:35" ht="15.75" thickBot="1" x14ac:dyDescent="0.3">
      <c r="A65" s="90">
        <v>45657</v>
      </c>
      <c r="B65" s="257">
        <v>340146.82</v>
      </c>
      <c r="C65" s="91">
        <f t="shared" si="6"/>
        <v>7461761.8400000008</v>
      </c>
      <c r="D65" s="258">
        <f t="shared" si="0"/>
        <v>7461761.8400000008</v>
      </c>
      <c r="E65" s="91">
        <f>($C$29*$F$9+($C$41-$C$29)*$E$9+($C$53-$C$41)*$D$9+($C$65-$C$53)*$C$9)/12</f>
        <v>158162.69733333334</v>
      </c>
      <c r="F65" s="121">
        <f t="shared" si="15"/>
        <v>32022.665021749999</v>
      </c>
      <c r="G65" s="91">
        <f t="shared" si="24"/>
        <v>-2573952.3680000002</v>
      </c>
      <c r="H65" s="121">
        <f t="shared" si="24"/>
        <v>-374743.42448399984</v>
      </c>
      <c r="I65" s="91">
        <f t="shared" si="25"/>
        <v>4887809.472000001</v>
      </c>
      <c r="J65" s="91">
        <f t="shared" si="25"/>
        <v>7087018.4155160012</v>
      </c>
      <c r="K65" s="91">
        <f t="shared" si="9"/>
        <v>2199208.9435160002</v>
      </c>
      <c r="L65" s="91">
        <f t="shared" si="10"/>
        <v>-461833.87813836004</v>
      </c>
      <c r="M65" s="91">
        <f t="shared" si="11"/>
        <v>26489.406785432424</v>
      </c>
      <c r="N65" s="132"/>
      <c r="O65" s="91"/>
      <c r="P65" s="133">
        <v>15</v>
      </c>
      <c r="Q65" s="152">
        <f>SUM(Q53:Q64)</f>
        <v>366</v>
      </c>
      <c r="R65" s="103"/>
      <c r="S65" s="153">
        <f>SUM(S53:S64)</f>
        <v>338577.10813836014</v>
      </c>
      <c r="T65" s="154">
        <f>+'E34402'!L65-T64</f>
        <v>0</v>
      </c>
      <c r="U65" s="102"/>
      <c r="V65" s="155"/>
      <c r="W65" s="153">
        <f>SUM(W53:W64)</f>
        <v>160232.95918064986</v>
      </c>
      <c r="X65" s="107"/>
      <c r="Y65" s="89"/>
      <c r="Z65" s="89"/>
      <c r="AA65" s="89"/>
      <c r="AB65" s="169"/>
      <c r="AC65" s="169"/>
      <c r="AD65" s="169"/>
      <c r="AE65" s="169"/>
      <c r="AF65" s="169"/>
      <c r="AG65" s="169"/>
      <c r="AH65" s="169"/>
      <c r="AI65" s="169"/>
    </row>
    <row r="66" spans="1:35" ht="16.5" thickTop="1" thickBot="1" x14ac:dyDescent="0.3">
      <c r="A66" s="147">
        <v>45688</v>
      </c>
      <c r="B66" s="256">
        <v>313604.48166666663</v>
      </c>
      <c r="C66" s="148">
        <f t="shared" si="6"/>
        <v>7775366.3216666672</v>
      </c>
      <c r="D66" s="91">
        <f t="shared" si="0"/>
        <v>7775366.3216666672</v>
      </c>
      <c r="E66" s="148">
        <f t="shared" ref="E66:E76" si="26">($C$29*$G$9+($C$41-$C$29)*$F$9+($C$53-$C$41)*$E$9+($C$65-$C$53)*$D$9+($C$77-$C$65)*$C$9)/12</f>
        <v>225647.87873333346</v>
      </c>
      <c r="F66" s="149">
        <f t="shared" si="15"/>
        <v>33458.193921659724</v>
      </c>
      <c r="G66" s="148">
        <f t="shared" si="24"/>
        <v>-2799600.2467333339</v>
      </c>
      <c r="H66" s="149">
        <f t="shared" si="24"/>
        <v>-408201.61840565957</v>
      </c>
      <c r="I66" s="148">
        <f t="shared" si="25"/>
        <v>4975766.0749333333</v>
      </c>
      <c r="J66" s="148">
        <f t="shared" si="25"/>
        <v>7367164.7032610076</v>
      </c>
      <c r="K66" s="148">
        <f t="shared" si="9"/>
        <v>2391398.6283276742</v>
      </c>
      <c r="L66" s="148">
        <f t="shared" si="10"/>
        <v>-502193.71194881154</v>
      </c>
      <c r="M66" s="148">
        <f t="shared" si="11"/>
        <v>40359.833810451499</v>
      </c>
      <c r="N66" s="132"/>
      <c r="O66" s="91"/>
      <c r="P66" s="133">
        <v>16</v>
      </c>
      <c r="Q66" s="103"/>
      <c r="R66" s="156"/>
      <c r="S66" s="157"/>
      <c r="T66" s="137"/>
      <c r="U66" s="102"/>
      <c r="V66" s="103"/>
      <c r="W66" s="158"/>
      <c r="X66" s="107"/>
      <c r="Y66" s="89"/>
      <c r="Z66" s="89"/>
      <c r="AA66" s="89"/>
      <c r="AB66" s="169"/>
      <c r="AC66" s="169"/>
      <c r="AD66" s="169"/>
      <c r="AE66" s="169"/>
      <c r="AF66" s="169"/>
      <c r="AG66" s="169"/>
      <c r="AH66" s="169"/>
      <c r="AI66" s="169"/>
    </row>
    <row r="67" spans="1:35" ht="15.75" thickBot="1" x14ac:dyDescent="0.3">
      <c r="A67" s="90">
        <v>45716</v>
      </c>
      <c r="B67" s="257">
        <v>313604.48166666663</v>
      </c>
      <c r="C67" s="91">
        <f t="shared" si="6"/>
        <v>8088970.8033333337</v>
      </c>
      <c r="D67" s="91">
        <f t="shared" si="0"/>
        <v>8088970.8033333337</v>
      </c>
      <c r="E67" s="91">
        <f t="shared" si="26"/>
        <v>225647.87873333346</v>
      </c>
      <c r="F67" s="121">
        <f t="shared" si="15"/>
        <v>34835.440270312494</v>
      </c>
      <c r="G67" s="91">
        <f t="shared" si="24"/>
        <v>-3025248.1254666676</v>
      </c>
      <c r="H67" s="121">
        <f t="shared" si="24"/>
        <v>-443037.05867597205</v>
      </c>
      <c r="I67" s="91">
        <f t="shared" si="25"/>
        <v>5063722.6778666656</v>
      </c>
      <c r="J67" s="91">
        <f t="shared" si="25"/>
        <v>7645933.7446573619</v>
      </c>
      <c r="K67" s="91">
        <f t="shared" si="9"/>
        <v>2582211.0667906962</v>
      </c>
      <c r="L67" s="91">
        <f t="shared" si="10"/>
        <v>-542264.3240260462</v>
      </c>
      <c r="M67" s="91">
        <f t="shared" si="11"/>
        <v>40070.612077234662</v>
      </c>
      <c r="N67" s="132"/>
      <c r="O67" s="91"/>
      <c r="P67" s="133">
        <v>17</v>
      </c>
      <c r="Q67" s="103" t="s">
        <v>102</v>
      </c>
      <c r="R67" s="103"/>
      <c r="S67" s="136"/>
      <c r="T67" s="159">
        <f>(T52+T64+SUM(T53:T63)*2)/24</f>
        <v>-296283.58722572459</v>
      </c>
      <c r="U67" s="102"/>
      <c r="V67" s="103"/>
      <c r="W67" s="160" t="s">
        <v>103</v>
      </c>
      <c r="X67" s="161">
        <f>X64</f>
        <v>-283489.72918064985</v>
      </c>
      <c r="Y67" s="89"/>
      <c r="Z67" s="89"/>
      <c r="AA67" s="89"/>
      <c r="AB67" s="169"/>
      <c r="AC67" s="169"/>
      <c r="AD67" s="169"/>
      <c r="AE67" s="169"/>
      <c r="AF67" s="169"/>
      <c r="AG67" s="169"/>
      <c r="AH67" s="169"/>
      <c r="AI67" s="169"/>
    </row>
    <row r="68" spans="1:35" ht="16.5" thickTop="1" thickBot="1" x14ac:dyDescent="0.3">
      <c r="A68" s="90">
        <v>45747</v>
      </c>
      <c r="B68" s="257">
        <v>313604.48166666663</v>
      </c>
      <c r="C68" s="91">
        <f t="shared" si="6"/>
        <v>8402575.2850000001</v>
      </c>
      <c r="D68" s="91">
        <f t="shared" si="0"/>
        <v>8402575.2850000001</v>
      </c>
      <c r="E68" s="91">
        <f t="shared" si="26"/>
        <v>225647.87873333346</v>
      </c>
      <c r="F68" s="121">
        <f t="shared" si="15"/>
        <v>36212.686618965272</v>
      </c>
      <c r="G68" s="91">
        <f t="shared" si="24"/>
        <v>-3250896.0042000012</v>
      </c>
      <c r="H68" s="121">
        <f t="shared" si="24"/>
        <v>-479249.74529493734</v>
      </c>
      <c r="I68" s="91">
        <f t="shared" si="25"/>
        <v>5151679.2807999989</v>
      </c>
      <c r="J68" s="91">
        <f t="shared" si="25"/>
        <v>7923325.5397050632</v>
      </c>
      <c r="K68" s="91">
        <f t="shared" si="9"/>
        <v>2771646.2589050643</v>
      </c>
      <c r="L68" s="91">
        <f t="shared" si="10"/>
        <v>-582045.71437006351</v>
      </c>
      <c r="M68" s="91">
        <f t="shared" si="11"/>
        <v>39781.390344017302</v>
      </c>
      <c r="N68" s="132"/>
      <c r="O68" s="91"/>
      <c r="P68" s="162">
        <v>18</v>
      </c>
      <c r="Q68" s="163"/>
      <c r="R68" s="163"/>
      <c r="S68" s="164"/>
      <c r="T68" s="165"/>
      <c r="U68" s="166"/>
      <c r="V68" s="163"/>
      <c r="W68" s="163"/>
      <c r="X68" s="167"/>
      <c r="Y68" s="89"/>
      <c r="Z68" s="89"/>
      <c r="AA68" s="89"/>
      <c r="AB68" s="169"/>
      <c r="AC68" s="169"/>
      <c r="AD68" s="169"/>
      <c r="AE68" s="169"/>
      <c r="AF68" s="169"/>
      <c r="AG68" s="169"/>
      <c r="AH68" s="169"/>
      <c r="AI68" s="169"/>
    </row>
    <row r="69" spans="1:35" ht="15.75" thickBot="1" x14ac:dyDescent="0.3">
      <c r="A69" s="90">
        <v>45777</v>
      </c>
      <c r="B69" s="257">
        <v>313604.48166666663</v>
      </c>
      <c r="C69" s="91">
        <f t="shared" si="6"/>
        <v>8716179.7666666675</v>
      </c>
      <c r="D69" s="91">
        <f t="shared" si="0"/>
        <v>8716179.7666666675</v>
      </c>
      <c r="E69" s="91">
        <f t="shared" si="26"/>
        <v>225647.87873333346</v>
      </c>
      <c r="F69" s="121">
        <f t="shared" si="15"/>
        <v>37589.932967618057</v>
      </c>
      <c r="G69" s="91">
        <f t="shared" si="24"/>
        <v>-3476543.8829333349</v>
      </c>
      <c r="H69" s="121">
        <f t="shared" si="24"/>
        <v>-516839.67826255539</v>
      </c>
      <c r="I69" s="91">
        <f t="shared" si="25"/>
        <v>5239635.8837333322</v>
      </c>
      <c r="J69" s="91">
        <f t="shared" si="25"/>
        <v>8199340.0884041125</v>
      </c>
      <c r="K69" s="91">
        <f t="shared" si="9"/>
        <v>2959704.2046707803</v>
      </c>
      <c r="L69" s="91">
        <f t="shared" si="10"/>
        <v>-621537.8829808638</v>
      </c>
      <c r="M69" s="91">
        <f t="shared" si="11"/>
        <v>39492.16861080029</v>
      </c>
      <c r="N69" s="132"/>
      <c r="O69" s="91"/>
      <c r="Y69" s="89"/>
      <c r="Z69" s="89"/>
      <c r="AA69" s="89"/>
    </row>
    <row r="70" spans="1:35" ht="15" x14ac:dyDescent="0.25">
      <c r="A70" s="90">
        <v>45808</v>
      </c>
      <c r="B70" s="257">
        <v>313604.48166666663</v>
      </c>
      <c r="C70" s="91">
        <f t="shared" si="6"/>
        <v>9029784.2483333349</v>
      </c>
      <c r="D70" s="91">
        <f t="shared" si="0"/>
        <v>9029784.2483333349</v>
      </c>
      <c r="E70" s="91">
        <f t="shared" si="26"/>
        <v>225647.87873333346</v>
      </c>
      <c r="F70" s="121">
        <f t="shared" si="15"/>
        <v>38967.179316270842</v>
      </c>
      <c r="G70" s="91">
        <f t="shared" si="24"/>
        <v>-3702191.7616666686</v>
      </c>
      <c r="H70" s="121">
        <f t="shared" si="24"/>
        <v>-555806.85757882625</v>
      </c>
      <c r="I70" s="91">
        <f t="shared" si="25"/>
        <v>5327592.4866666663</v>
      </c>
      <c r="J70" s="91">
        <f t="shared" si="25"/>
        <v>8473977.3907545079</v>
      </c>
      <c r="K70" s="91">
        <f t="shared" si="9"/>
        <v>3146384.9040878415</v>
      </c>
      <c r="L70" s="91">
        <f t="shared" si="10"/>
        <v>-660740.82985844673</v>
      </c>
      <c r="M70" s="91">
        <f t="shared" si="11"/>
        <v>39202.94687758293</v>
      </c>
      <c r="N70" s="132"/>
      <c r="O70" s="91"/>
      <c r="P70" s="92"/>
      <c r="Q70" s="93" t="s">
        <v>105</v>
      </c>
      <c r="R70" s="94"/>
      <c r="S70" s="94"/>
      <c r="T70" s="94"/>
      <c r="U70" s="94"/>
      <c r="V70" s="94"/>
      <c r="W70" s="94"/>
      <c r="X70" s="95"/>
      <c r="Y70" s="89"/>
      <c r="Z70" s="89"/>
      <c r="AA70" s="89"/>
    </row>
    <row r="71" spans="1:35" ht="15" x14ac:dyDescent="0.25">
      <c r="A71" s="90">
        <v>45838</v>
      </c>
      <c r="B71" s="257">
        <v>313604.48166666663</v>
      </c>
      <c r="C71" s="91">
        <f t="shared" si="6"/>
        <v>9343388.7300000023</v>
      </c>
      <c r="D71" s="91">
        <f t="shared" si="0"/>
        <v>9343388.7300000023</v>
      </c>
      <c r="E71" s="91">
        <f t="shared" si="26"/>
        <v>225647.87873333346</v>
      </c>
      <c r="F71" s="121">
        <f t="shared" si="15"/>
        <v>40344.425664923619</v>
      </c>
      <c r="G71" s="91">
        <f t="shared" si="24"/>
        <v>-3927839.6404000022</v>
      </c>
      <c r="H71" s="121">
        <f t="shared" si="24"/>
        <v>-596151.28324374987</v>
      </c>
      <c r="I71" s="91">
        <f t="shared" si="25"/>
        <v>5415549.0896000005</v>
      </c>
      <c r="J71" s="91">
        <f t="shared" si="25"/>
        <v>8747237.446756253</v>
      </c>
      <c r="K71" s="91">
        <f t="shared" si="9"/>
        <v>3331688.3571562525</v>
      </c>
      <c r="L71" s="91">
        <f t="shared" si="10"/>
        <v>-699654.55500281299</v>
      </c>
      <c r="M71" s="91">
        <f t="shared" si="11"/>
        <v>38913.725144366268</v>
      </c>
      <c r="N71" s="132"/>
      <c r="O71" s="91"/>
      <c r="P71" s="96"/>
      <c r="Q71" s="97"/>
      <c r="R71" s="98" t="s">
        <v>73</v>
      </c>
      <c r="S71" s="98"/>
      <c r="T71" s="99"/>
      <c r="U71" s="100" t="s">
        <v>74</v>
      </c>
      <c r="V71" s="98"/>
      <c r="W71" s="98"/>
      <c r="X71" s="101"/>
      <c r="Y71" s="89"/>
      <c r="Z71" s="89"/>
      <c r="AA71" s="89"/>
    </row>
    <row r="72" spans="1:35" ht="15" x14ac:dyDescent="0.25">
      <c r="A72" s="90">
        <v>45869</v>
      </c>
      <c r="B72" s="257">
        <v>313604.48166666663</v>
      </c>
      <c r="C72" s="91">
        <f t="shared" si="6"/>
        <v>9656993.2116666697</v>
      </c>
      <c r="D72" s="91">
        <f t="shared" si="0"/>
        <v>9656993.2116666697</v>
      </c>
      <c r="E72" s="91">
        <f t="shared" si="26"/>
        <v>225647.87873333346</v>
      </c>
      <c r="F72" s="121">
        <f t="shared" si="15"/>
        <v>41721.672013576397</v>
      </c>
      <c r="G72" s="91">
        <f t="shared" si="24"/>
        <v>-4153487.5191333359</v>
      </c>
      <c r="H72" s="121">
        <f t="shared" si="24"/>
        <v>-637872.95525732625</v>
      </c>
      <c r="I72" s="91">
        <f t="shared" si="25"/>
        <v>5503505.6925333338</v>
      </c>
      <c r="J72" s="91">
        <f t="shared" si="25"/>
        <v>9019120.2564093433</v>
      </c>
      <c r="K72" s="91">
        <f t="shared" si="9"/>
        <v>3515614.5638760095</v>
      </c>
      <c r="L72" s="91">
        <f t="shared" si="10"/>
        <v>-738279.05841396202</v>
      </c>
      <c r="M72" s="91">
        <f t="shared" si="11"/>
        <v>38624.503411149024</v>
      </c>
      <c r="N72" s="132"/>
      <c r="O72" s="91"/>
      <c r="P72" s="96"/>
      <c r="Q72" s="102"/>
      <c r="R72" s="103"/>
      <c r="S72" s="103"/>
      <c r="T72" s="104" t="s">
        <v>75</v>
      </c>
      <c r="U72" s="105"/>
      <c r="V72" s="106"/>
      <c r="W72" s="106"/>
      <c r="X72" s="107"/>
      <c r="Y72" s="89"/>
      <c r="Z72" s="89"/>
      <c r="AA72" s="89"/>
    </row>
    <row r="73" spans="1:35" ht="15" x14ac:dyDescent="0.25">
      <c r="A73" s="90">
        <v>45900</v>
      </c>
      <c r="B73" s="257">
        <v>313604.48166666663</v>
      </c>
      <c r="C73" s="91">
        <f t="shared" si="6"/>
        <v>9970597.6933333371</v>
      </c>
      <c r="D73" s="91">
        <f t="shared" si="0"/>
        <v>9970597.6933333371</v>
      </c>
      <c r="E73" s="91">
        <f t="shared" si="26"/>
        <v>225647.87873333346</v>
      </c>
      <c r="F73" s="121">
        <f t="shared" si="15"/>
        <v>43098.918362229182</v>
      </c>
      <c r="G73" s="91">
        <f t="shared" si="24"/>
        <v>-4379135.3978666691</v>
      </c>
      <c r="H73" s="121">
        <f t="shared" si="24"/>
        <v>-680971.87361955538</v>
      </c>
      <c r="I73" s="91">
        <f t="shared" si="25"/>
        <v>5591462.295466668</v>
      </c>
      <c r="J73" s="91">
        <f t="shared" si="25"/>
        <v>9289625.8197137825</v>
      </c>
      <c r="K73" s="91">
        <f>J73-I73</f>
        <v>3698163.5242471145</v>
      </c>
      <c r="L73" s="91">
        <f t="shared" si="10"/>
        <v>-776614.34009189403</v>
      </c>
      <c r="M73" s="91">
        <f t="shared" si="11"/>
        <v>38335.281677932013</v>
      </c>
      <c r="N73" s="132"/>
      <c r="O73" s="91"/>
      <c r="P73" s="96" t="s">
        <v>76</v>
      </c>
      <c r="Q73" s="108" t="s">
        <v>77</v>
      </c>
      <c r="R73" s="109" t="s">
        <v>78</v>
      </c>
      <c r="S73" s="109" t="s">
        <v>79</v>
      </c>
      <c r="T73" s="104" t="s">
        <v>80</v>
      </c>
      <c r="U73" s="108" t="s">
        <v>81</v>
      </c>
      <c r="V73" s="109" t="s">
        <v>82</v>
      </c>
      <c r="W73" s="109" t="s">
        <v>83</v>
      </c>
      <c r="X73" s="110" t="s">
        <v>84</v>
      </c>
      <c r="Y73" s="89"/>
      <c r="Z73" s="89"/>
      <c r="AA73" s="89"/>
    </row>
    <row r="74" spans="1:35" ht="15" customHeight="1" x14ac:dyDescent="0.25">
      <c r="A74" s="90">
        <v>45930</v>
      </c>
      <c r="B74" s="257">
        <v>313604.48166666663</v>
      </c>
      <c r="C74" s="91">
        <f t="shared" si="6"/>
        <v>10284202.175000004</v>
      </c>
      <c r="D74" s="91">
        <f t="shared" si="0"/>
        <v>10284202.175000004</v>
      </c>
      <c r="E74" s="91">
        <f t="shared" si="26"/>
        <v>225647.87873333346</v>
      </c>
      <c r="F74" s="121">
        <f t="shared" si="15"/>
        <v>44476.16471088196</v>
      </c>
      <c r="G74" s="91">
        <f t="shared" si="24"/>
        <v>-4604783.2766000023</v>
      </c>
      <c r="H74" s="121">
        <f t="shared" si="24"/>
        <v>-725448.03833043738</v>
      </c>
      <c r="I74" s="91">
        <f t="shared" si="25"/>
        <v>5679418.8984000022</v>
      </c>
      <c r="J74" s="91">
        <f t="shared" si="25"/>
        <v>9558754.1366695669</v>
      </c>
      <c r="K74" s="91">
        <f>J74-I74</f>
        <v>3879335.2382695647</v>
      </c>
      <c r="L74" s="91">
        <f t="shared" si="10"/>
        <v>-814660.40003660857</v>
      </c>
      <c r="M74" s="91">
        <f t="shared" si="11"/>
        <v>38046.059944714536</v>
      </c>
      <c r="N74" s="132"/>
      <c r="O74" s="91"/>
      <c r="P74" s="96"/>
      <c r="Q74" s="111" t="s">
        <v>78</v>
      </c>
      <c r="R74" s="112" t="s">
        <v>85</v>
      </c>
      <c r="S74" s="112" t="s">
        <v>2</v>
      </c>
      <c r="T74" s="113" t="s">
        <v>86</v>
      </c>
      <c r="U74" s="111" t="s">
        <v>87</v>
      </c>
      <c r="V74" s="112" t="s">
        <v>88</v>
      </c>
      <c r="W74" s="112" t="s">
        <v>89</v>
      </c>
      <c r="X74" s="114" t="s">
        <v>90</v>
      </c>
      <c r="Y74" s="89"/>
      <c r="Z74" s="89"/>
      <c r="AA74" s="89"/>
    </row>
    <row r="75" spans="1:35" ht="15" customHeight="1" x14ac:dyDescent="0.25">
      <c r="A75" s="90">
        <v>45961</v>
      </c>
      <c r="B75" s="257">
        <v>313604.48166666663</v>
      </c>
      <c r="C75" s="91">
        <f t="shared" si="6"/>
        <v>10597806.656666672</v>
      </c>
      <c r="D75" s="91">
        <f t="shared" si="0"/>
        <v>10597806.656666672</v>
      </c>
      <c r="E75" s="91">
        <f t="shared" si="26"/>
        <v>225647.87873333346</v>
      </c>
      <c r="F75" s="121">
        <f t="shared" si="15"/>
        <v>45853.411059534745</v>
      </c>
      <c r="G75" s="91">
        <f t="shared" si="24"/>
        <v>-4830431.1553333355</v>
      </c>
      <c r="H75" s="121">
        <f t="shared" si="24"/>
        <v>-771301.44938997214</v>
      </c>
      <c r="I75" s="91">
        <f t="shared" si="25"/>
        <v>5767375.5013333363</v>
      </c>
      <c r="J75" s="91">
        <f t="shared" si="25"/>
        <v>9826505.2072767001</v>
      </c>
      <c r="K75" s="91">
        <f t="shared" ref="K75:K77" si="27">J75-I75</f>
        <v>4059129.7059433637</v>
      </c>
      <c r="L75" s="91">
        <f t="shared" si="10"/>
        <v>-852417.23824810633</v>
      </c>
      <c r="M75" s="91">
        <f t="shared" si="11"/>
        <v>37756.838211497758</v>
      </c>
      <c r="N75" s="132"/>
      <c r="O75" s="91"/>
      <c r="P75" s="96"/>
      <c r="Q75" s="115" t="s">
        <v>91</v>
      </c>
      <c r="R75" s="116" t="s">
        <v>92</v>
      </c>
      <c r="S75" s="117" t="s">
        <v>93</v>
      </c>
      <c r="T75" s="118" t="s">
        <v>94</v>
      </c>
      <c r="U75" s="115" t="s">
        <v>95</v>
      </c>
      <c r="V75" s="119" t="s">
        <v>96</v>
      </c>
      <c r="W75" s="109" t="s">
        <v>97</v>
      </c>
      <c r="X75" s="120" t="s">
        <v>98</v>
      </c>
      <c r="Y75" s="89"/>
      <c r="Z75" s="89"/>
      <c r="AA75" s="89"/>
    </row>
    <row r="76" spans="1:35" ht="15" customHeight="1" x14ac:dyDescent="0.25">
      <c r="A76" s="90">
        <v>45991</v>
      </c>
      <c r="B76" s="257">
        <v>313604.48166666663</v>
      </c>
      <c r="C76" s="91">
        <f t="shared" si="6"/>
        <v>10911411.138333339</v>
      </c>
      <c r="D76" s="91">
        <f t="shared" si="0"/>
        <v>10911411.138333339</v>
      </c>
      <c r="E76" s="91">
        <f t="shared" si="26"/>
        <v>225647.87873333346</v>
      </c>
      <c r="F76" s="121">
        <f t="shared" si="15"/>
        <v>47230.657408187522</v>
      </c>
      <c r="G76" s="91">
        <f t="shared" si="24"/>
        <v>-5056079.0340666687</v>
      </c>
      <c r="H76" s="121">
        <f t="shared" si="24"/>
        <v>-818532.10679815966</v>
      </c>
      <c r="I76" s="91">
        <f t="shared" si="25"/>
        <v>5855332.1042666705</v>
      </c>
      <c r="J76" s="91">
        <f t="shared" si="25"/>
        <v>10092879.03153518</v>
      </c>
      <c r="K76" s="91">
        <f t="shared" si="27"/>
        <v>4237546.9272685098</v>
      </c>
      <c r="L76" s="91">
        <f t="shared" si="10"/>
        <v>-889884.85472638707</v>
      </c>
      <c r="M76" s="91">
        <f t="shared" si="11"/>
        <v>37467.616478280746</v>
      </c>
      <c r="N76" s="132"/>
      <c r="O76" s="91"/>
      <c r="P76" s="124"/>
      <c r="Q76" s="125"/>
      <c r="R76" s="126"/>
      <c r="S76" s="127"/>
      <c r="T76" s="128" t="s">
        <v>99</v>
      </c>
      <c r="U76" s="125" t="s">
        <v>100</v>
      </c>
      <c r="V76" s="129"/>
      <c r="W76" s="130"/>
      <c r="X76" s="131" t="s">
        <v>101</v>
      </c>
      <c r="Y76" s="89"/>
      <c r="Z76" s="89"/>
      <c r="AA76" s="89"/>
    </row>
    <row r="77" spans="1:35" ht="15" x14ac:dyDescent="0.25">
      <c r="A77" s="90">
        <v>46022</v>
      </c>
      <c r="B77" s="257">
        <v>313604.48166666663</v>
      </c>
      <c r="C77" s="91">
        <f t="shared" si="6"/>
        <v>11225015.620000007</v>
      </c>
      <c r="D77" s="91">
        <f t="shared" si="0"/>
        <v>11225015.620000007</v>
      </c>
      <c r="E77" s="91">
        <f>($C$29*$G$9+($C$41-$C$29)*$F$9+($C$53-$C$41)*$E$9+($C$65-$C$53)*$D$9+($C$77-$C$65)*$C$9)/12</f>
        <v>225647.87873333346</v>
      </c>
      <c r="F77" s="121">
        <f t="shared" si="15"/>
        <v>48607.903756840307</v>
      </c>
      <c r="G77" s="91">
        <f t="shared" si="24"/>
        <v>-5281726.9128000019</v>
      </c>
      <c r="H77" s="121">
        <f t="shared" si="24"/>
        <v>-867140.01055499993</v>
      </c>
      <c r="I77" s="91">
        <f t="shared" si="25"/>
        <v>5943288.7072000047</v>
      </c>
      <c r="J77" s="91">
        <f t="shared" si="25"/>
        <v>10357875.609445008</v>
      </c>
      <c r="K77" s="91">
        <f t="shared" si="27"/>
        <v>4414586.9022450028</v>
      </c>
      <c r="L77" s="91">
        <f t="shared" si="10"/>
        <v>-927063.24947145057</v>
      </c>
      <c r="M77" s="91">
        <f t="shared" si="11"/>
        <v>37178.394745063502</v>
      </c>
      <c r="N77" s="132"/>
      <c r="O77" s="91"/>
      <c r="P77" s="133">
        <v>1</v>
      </c>
      <c r="Q77" s="134"/>
      <c r="R77" s="135"/>
      <c r="S77" s="136"/>
      <c r="T77" s="137"/>
      <c r="U77" s="138"/>
      <c r="V77" s="139"/>
      <c r="W77" s="136"/>
      <c r="X77" s="140"/>
      <c r="Y77" s="89"/>
      <c r="Z77" s="89"/>
      <c r="AA77" s="89"/>
    </row>
    <row r="78" spans="1:35" ht="15" x14ac:dyDescent="0.25">
      <c r="A78" s="172" t="s">
        <v>106</v>
      </c>
      <c r="B78" s="246"/>
      <c r="C78" s="173"/>
      <c r="D78" s="146">
        <f>D77-'Closings By Depr Grp'!AX10</f>
        <v>0</v>
      </c>
      <c r="E78" s="174">
        <f>G77+SUM(E18:E77)</f>
        <v>0</v>
      </c>
      <c r="F78" s="175">
        <f>H77+SUM(F24:F77)</f>
        <v>0</v>
      </c>
      <c r="G78" s="173"/>
      <c r="H78" s="176"/>
      <c r="I78" s="173"/>
      <c r="J78" s="173"/>
      <c r="K78" s="173"/>
      <c r="L78" s="173"/>
      <c r="M78" s="177"/>
      <c r="N78" s="132"/>
      <c r="O78" s="91"/>
      <c r="P78" s="133">
        <v>2</v>
      </c>
      <c r="Q78" s="134"/>
      <c r="R78" s="135">
        <v>45657</v>
      </c>
      <c r="S78" s="136">
        <f>+'E34402'!M65</f>
        <v>26489.406785432424</v>
      </c>
      <c r="T78" s="141">
        <f>+'E34402'!L65</f>
        <v>-461833.87813836004</v>
      </c>
      <c r="U78" s="138"/>
      <c r="V78" s="139"/>
      <c r="W78" s="136"/>
      <c r="X78" s="142">
        <f>T78</f>
        <v>-461833.87813836004</v>
      </c>
      <c r="Y78" s="89"/>
      <c r="Z78" s="89"/>
      <c r="AA78" s="89"/>
    </row>
    <row r="79" spans="1:35" ht="15" x14ac:dyDescent="0.25">
      <c r="A79" s="178" t="s">
        <v>107</v>
      </c>
      <c r="B79" s="247"/>
      <c r="C79" s="179"/>
      <c r="D79" s="180"/>
      <c r="E79" s="179"/>
      <c r="F79" s="179"/>
      <c r="G79" s="179"/>
      <c r="H79" s="181"/>
      <c r="I79" s="179"/>
      <c r="J79" s="179"/>
      <c r="K79" s="179"/>
      <c r="L79" s="179"/>
      <c r="M79" s="182"/>
      <c r="N79" s="51"/>
      <c r="O79" s="91"/>
      <c r="P79" s="133">
        <v>3</v>
      </c>
      <c r="Q79" s="134">
        <f t="shared" ref="Q79:Q90" si="28">DAY(EOMONTH(R79,0))</f>
        <v>31</v>
      </c>
      <c r="R79" s="135">
        <v>45658</v>
      </c>
      <c r="S79" s="136">
        <f>+'E34402'!M66</f>
        <v>40359.833810451499</v>
      </c>
      <c r="T79" s="143">
        <f t="shared" ref="T79:T90" si="29">+T78-S79</f>
        <v>-502193.71194881154</v>
      </c>
      <c r="U79" s="138">
        <f>V79-SUM($Q$78:Q79)+1</f>
        <v>335</v>
      </c>
      <c r="V79" s="139">
        <f>Q91</f>
        <v>365</v>
      </c>
      <c r="W79" s="136">
        <f t="shared" ref="W79:W90" si="30">+U79/V79*S79</f>
        <v>37042.587195893844</v>
      </c>
      <c r="X79" s="140">
        <f t="shared" ref="X79:X90" si="31">+X78-W79</f>
        <v>-498876.46533425391</v>
      </c>
      <c r="Y79" s="89"/>
      <c r="Z79" s="89"/>
      <c r="AA79" s="89"/>
    </row>
    <row r="80" spans="1:35" ht="15" x14ac:dyDescent="0.25">
      <c r="A80" s="183" t="s">
        <v>108</v>
      </c>
      <c r="B80" s="248"/>
      <c r="C80" s="173">
        <f>C29</f>
        <v>0</v>
      </c>
      <c r="D80" s="173">
        <f>D29</f>
        <v>0</v>
      </c>
      <c r="E80" s="173">
        <f>SUM(E24:E29)</f>
        <v>0</v>
      </c>
      <c r="F80" s="173">
        <f>SUM(F24:F29)</f>
        <v>0</v>
      </c>
      <c r="G80" s="173">
        <f t="shared" ref="G80:L80" si="32">G29</f>
        <v>0</v>
      </c>
      <c r="H80" s="173">
        <f t="shared" si="32"/>
        <v>0</v>
      </c>
      <c r="I80" s="173">
        <f t="shared" si="32"/>
        <v>0</v>
      </c>
      <c r="J80" s="173">
        <f t="shared" si="32"/>
        <v>0</v>
      </c>
      <c r="K80" s="173">
        <f t="shared" si="32"/>
        <v>0</v>
      </c>
      <c r="L80" s="173">
        <f t="shared" si="32"/>
        <v>0</v>
      </c>
      <c r="M80" s="184">
        <f>SUM(M24:M29)</f>
        <v>0</v>
      </c>
      <c r="N80" s="51"/>
      <c r="O80" s="91"/>
      <c r="P80" s="133">
        <v>4</v>
      </c>
      <c r="Q80" s="134">
        <f t="shared" si="28"/>
        <v>28</v>
      </c>
      <c r="R80" s="135">
        <v>45689</v>
      </c>
      <c r="S80" s="136">
        <f>+'E34402'!M67</f>
        <v>40070.612077234662</v>
      </c>
      <c r="T80" s="143">
        <f t="shared" si="29"/>
        <v>-542264.3240260462</v>
      </c>
      <c r="U80" s="138">
        <f>V80-SUM($Q$78:Q80)+1</f>
        <v>307</v>
      </c>
      <c r="V80" s="139">
        <f t="shared" ref="V80:V90" si="33">V79</f>
        <v>365</v>
      </c>
      <c r="W80" s="136">
        <f t="shared" si="30"/>
        <v>33703.22714441381</v>
      </c>
      <c r="X80" s="140">
        <f t="shared" si="31"/>
        <v>-532579.69247866771</v>
      </c>
      <c r="Y80" s="89"/>
      <c r="Z80" s="89"/>
      <c r="AA80" s="89"/>
    </row>
    <row r="81" spans="1:43" ht="15" x14ac:dyDescent="0.25">
      <c r="A81" s="185" t="s">
        <v>109</v>
      </c>
      <c r="B81" s="249"/>
      <c r="C81" s="186">
        <f>(0+C29+SUM(C18:C28)*2)/24</f>
        <v>0</v>
      </c>
      <c r="D81" s="186">
        <f>(0+D29+SUM(D18:D28)*2)/24</f>
        <v>0</v>
      </c>
      <c r="E81" s="186"/>
      <c r="F81" s="187"/>
      <c r="G81" s="186">
        <f t="shared" ref="G81:L81" si="34">(0+G29+SUM(G18:G28)*2)/24</f>
        <v>0</v>
      </c>
      <c r="H81" s="186">
        <f t="shared" si="34"/>
        <v>0</v>
      </c>
      <c r="I81" s="186">
        <f t="shared" si="34"/>
        <v>0</v>
      </c>
      <c r="J81" s="186">
        <f t="shared" si="34"/>
        <v>0</v>
      </c>
      <c r="K81" s="186">
        <f t="shared" si="34"/>
        <v>0</v>
      </c>
      <c r="L81" s="186">
        <f t="shared" si="34"/>
        <v>0</v>
      </c>
      <c r="M81" s="186"/>
      <c r="N81" s="51"/>
      <c r="O81" s="91"/>
      <c r="P81" s="133">
        <v>5</v>
      </c>
      <c r="Q81" s="134">
        <f t="shared" si="28"/>
        <v>31</v>
      </c>
      <c r="R81" s="135">
        <v>45717</v>
      </c>
      <c r="S81" s="136">
        <f>+'E34402'!M68</f>
        <v>39781.390344017302</v>
      </c>
      <c r="T81" s="143">
        <f t="shared" si="29"/>
        <v>-582045.71437006351</v>
      </c>
      <c r="U81" s="138">
        <f>V81-SUM($Q$78:Q81)+1</f>
        <v>276</v>
      </c>
      <c r="V81" s="139">
        <f t="shared" si="33"/>
        <v>365</v>
      </c>
      <c r="W81" s="136">
        <f t="shared" si="30"/>
        <v>30081.270506708974</v>
      </c>
      <c r="X81" s="140">
        <f t="shared" si="31"/>
        <v>-562660.96298537671</v>
      </c>
      <c r="Y81" s="89"/>
      <c r="Z81" s="89"/>
      <c r="AA81" s="89"/>
    </row>
    <row r="82" spans="1:43" ht="15" x14ac:dyDescent="0.25">
      <c r="A82" s="188" t="s">
        <v>110</v>
      </c>
      <c r="B82" s="250"/>
      <c r="C82" s="189"/>
      <c r="D82" s="190"/>
      <c r="E82" s="189"/>
      <c r="F82" s="189"/>
      <c r="G82" s="189"/>
      <c r="H82" s="191"/>
      <c r="I82" s="189"/>
      <c r="J82" s="189"/>
      <c r="K82" s="189"/>
      <c r="L82" s="189"/>
      <c r="M82" s="192"/>
      <c r="N82" s="51"/>
      <c r="O82" s="91"/>
      <c r="P82" s="133">
        <v>6</v>
      </c>
      <c r="Q82" s="134">
        <f t="shared" si="28"/>
        <v>30</v>
      </c>
      <c r="R82" s="135">
        <v>45748</v>
      </c>
      <c r="S82" s="136">
        <f>+'E34402'!M69</f>
        <v>39492.16861080029</v>
      </c>
      <c r="T82" s="143">
        <f t="shared" si="29"/>
        <v>-621537.8829808638</v>
      </c>
      <c r="U82" s="138">
        <f>V82-SUM($Q$78:Q82)+1</f>
        <v>246</v>
      </c>
      <c r="V82" s="139">
        <f t="shared" si="33"/>
        <v>365</v>
      </c>
      <c r="W82" s="136">
        <f t="shared" si="30"/>
        <v>26616.639666457184</v>
      </c>
      <c r="X82" s="140">
        <f t="shared" si="31"/>
        <v>-589277.60265183391</v>
      </c>
      <c r="Y82" s="89"/>
      <c r="Z82" s="89"/>
      <c r="AA82" s="89"/>
    </row>
    <row r="83" spans="1:43" ht="15" x14ac:dyDescent="0.25">
      <c r="A83" s="193" t="s">
        <v>111</v>
      </c>
      <c r="B83" s="251"/>
      <c r="C83" s="194">
        <f>C41</f>
        <v>0</v>
      </c>
      <c r="D83" s="194">
        <f>D41</f>
        <v>0</v>
      </c>
      <c r="E83" s="194">
        <f>SUM(E30:E41)</f>
        <v>0</v>
      </c>
      <c r="F83" s="194">
        <f>SUM(F30:F41)</f>
        <v>0</v>
      </c>
      <c r="G83" s="194">
        <f t="shared" ref="G83:J83" si="35">G41</f>
        <v>0</v>
      </c>
      <c r="H83" s="194">
        <f t="shared" si="35"/>
        <v>0</v>
      </c>
      <c r="I83" s="194">
        <f t="shared" si="35"/>
        <v>0</v>
      </c>
      <c r="J83" s="194">
        <f t="shared" si="35"/>
        <v>0</v>
      </c>
      <c r="K83" s="194">
        <f>K41</f>
        <v>0</v>
      </c>
      <c r="L83" s="194">
        <f>L41</f>
        <v>0</v>
      </c>
      <c r="M83" s="195">
        <f>SUM(M30:M41)</f>
        <v>0</v>
      </c>
      <c r="N83" s="51"/>
      <c r="O83" s="91"/>
      <c r="P83" s="133">
        <v>7</v>
      </c>
      <c r="Q83" s="134">
        <f t="shared" si="28"/>
        <v>31</v>
      </c>
      <c r="R83" s="135">
        <v>45778</v>
      </c>
      <c r="S83" s="136">
        <f>+'E34402'!M70</f>
        <v>39202.94687758293</v>
      </c>
      <c r="T83" s="143">
        <f t="shared" si="29"/>
        <v>-660740.82985844673</v>
      </c>
      <c r="U83" s="138">
        <f>V83-SUM($Q$78:Q83)+1</f>
        <v>215</v>
      </c>
      <c r="V83" s="139">
        <f t="shared" si="33"/>
        <v>365</v>
      </c>
      <c r="W83" s="136">
        <f t="shared" si="30"/>
        <v>23092.146790905015</v>
      </c>
      <c r="X83" s="140">
        <f t="shared" si="31"/>
        <v>-612369.74944273895</v>
      </c>
      <c r="Y83" s="89"/>
      <c r="Z83" s="89"/>
      <c r="AA83" s="89"/>
    </row>
    <row r="84" spans="1:43" ht="15" x14ac:dyDescent="0.25">
      <c r="A84" s="196" t="s">
        <v>112</v>
      </c>
      <c r="B84" s="252"/>
      <c r="C84" s="197">
        <f>(C29+C41+SUM(C30:C40)*2)/24</f>
        <v>0</v>
      </c>
      <c r="D84" s="197">
        <f>(D29+D41+SUM(D30:D40)*2)/24</f>
        <v>0</v>
      </c>
      <c r="E84" s="197"/>
      <c r="F84" s="198"/>
      <c r="G84" s="197">
        <f t="shared" ref="G84:J84" si="36">(G29+G41+SUM(G30:G40)*2)/24</f>
        <v>0</v>
      </c>
      <c r="H84" s="197">
        <f t="shared" si="36"/>
        <v>0</v>
      </c>
      <c r="I84" s="197">
        <f t="shared" si="36"/>
        <v>0</v>
      </c>
      <c r="J84" s="197">
        <f t="shared" si="36"/>
        <v>0</v>
      </c>
      <c r="K84" s="197">
        <f>(K29+K41+SUM(K30:K40)*2)/24</f>
        <v>0</v>
      </c>
      <c r="L84" s="197">
        <f>(L29+L41+SUM(L30:L40)*2)/24</f>
        <v>0</v>
      </c>
      <c r="M84" s="199"/>
      <c r="N84" s="51"/>
      <c r="O84" s="91"/>
      <c r="P84" s="133">
        <v>8</v>
      </c>
      <c r="Q84" s="134">
        <f t="shared" si="28"/>
        <v>30</v>
      </c>
      <c r="R84" s="135">
        <v>45809</v>
      </c>
      <c r="S84" s="136">
        <f>+'E34402'!M71</f>
        <v>38913.725144366268</v>
      </c>
      <c r="T84" s="143">
        <f t="shared" si="29"/>
        <v>-699654.55500281299</v>
      </c>
      <c r="U84" s="138">
        <f>V84-SUM($Q$78:Q84)+1</f>
        <v>185</v>
      </c>
      <c r="V84" s="139">
        <f t="shared" si="33"/>
        <v>365</v>
      </c>
      <c r="W84" s="136">
        <f t="shared" si="30"/>
        <v>19723.394936185643</v>
      </c>
      <c r="X84" s="140">
        <f t="shared" si="31"/>
        <v>-632093.14437892463</v>
      </c>
      <c r="Y84" s="89"/>
      <c r="Z84" s="89"/>
      <c r="AA84" s="89"/>
    </row>
    <row r="85" spans="1:43" ht="15" x14ac:dyDescent="0.25">
      <c r="A85" s="178" t="s">
        <v>113</v>
      </c>
      <c r="B85" s="247"/>
      <c r="C85" s="179"/>
      <c r="D85" s="180"/>
      <c r="E85" s="179"/>
      <c r="F85" s="179"/>
      <c r="G85" s="179"/>
      <c r="H85" s="181"/>
      <c r="I85" s="179"/>
      <c r="J85" s="179"/>
      <c r="K85" s="179"/>
      <c r="L85" s="179"/>
      <c r="M85" s="182"/>
      <c r="N85" s="51"/>
      <c r="O85" s="91"/>
      <c r="P85" s="133">
        <v>9</v>
      </c>
      <c r="Q85" s="134">
        <f t="shared" si="28"/>
        <v>31</v>
      </c>
      <c r="R85" s="135">
        <v>45839</v>
      </c>
      <c r="S85" s="136">
        <f>+'E34402'!M72</f>
        <v>38624.503411149024</v>
      </c>
      <c r="T85" s="143">
        <f t="shared" si="29"/>
        <v>-738279.05841396202</v>
      </c>
      <c r="U85" s="138">
        <f>V85-SUM($Q$78:Q85)+1</f>
        <v>154</v>
      </c>
      <c r="V85" s="139">
        <f t="shared" si="33"/>
        <v>365</v>
      </c>
      <c r="W85" s="136">
        <f t="shared" si="30"/>
        <v>16296.365822786163</v>
      </c>
      <c r="X85" s="140">
        <f t="shared" si="31"/>
        <v>-648389.51020171074</v>
      </c>
      <c r="Y85" s="89"/>
      <c r="Z85" s="89"/>
      <c r="AA85" s="89"/>
    </row>
    <row r="86" spans="1:43" ht="15" x14ac:dyDescent="0.25">
      <c r="A86" s="183" t="s">
        <v>114</v>
      </c>
      <c r="B86" s="248"/>
      <c r="C86" s="173">
        <f>C53</f>
        <v>3379999.9999999986</v>
      </c>
      <c r="D86" s="173">
        <f>D53</f>
        <v>3379999.9999999986</v>
      </c>
      <c r="E86" s="173">
        <f>SUM(E42:E53)</f>
        <v>675999.99999999977</v>
      </c>
      <c r="F86" s="173">
        <f>SUM(F42:F53)</f>
        <v>89062.999999999956</v>
      </c>
      <c r="G86" s="173">
        <f t="shared" ref="G86:L86" si="37">G53</f>
        <v>-675999.99999999977</v>
      </c>
      <c r="H86" s="173">
        <f t="shared" si="37"/>
        <v>-89062.999999999956</v>
      </c>
      <c r="I86" s="173">
        <f t="shared" si="37"/>
        <v>2703999.9999999991</v>
      </c>
      <c r="J86" s="173">
        <f t="shared" si="37"/>
        <v>3290936.9999999986</v>
      </c>
      <c r="K86" s="173">
        <f t="shared" si="37"/>
        <v>586936.99999999953</v>
      </c>
      <c r="L86" s="173">
        <f t="shared" si="37"/>
        <v>-123256.7699999999</v>
      </c>
      <c r="M86" s="177">
        <f>SUM(M42:M53)</f>
        <v>123256.7699999999</v>
      </c>
      <c r="N86" s="51"/>
      <c r="O86" s="123"/>
      <c r="P86" s="133">
        <v>10</v>
      </c>
      <c r="Q86" s="134">
        <f t="shared" si="28"/>
        <v>31</v>
      </c>
      <c r="R86" s="135">
        <v>45870</v>
      </c>
      <c r="S86" s="136">
        <f>+'E34402'!M73</f>
        <v>38335.281677932013</v>
      </c>
      <c r="T86" s="143">
        <f t="shared" si="29"/>
        <v>-776614.34009189403</v>
      </c>
      <c r="U86" s="138">
        <f>V86-SUM($Q$78:Q86)+1</f>
        <v>123</v>
      </c>
      <c r="V86" s="139">
        <f t="shared" si="33"/>
        <v>365</v>
      </c>
      <c r="W86" s="136">
        <f t="shared" si="30"/>
        <v>12918.464784618185</v>
      </c>
      <c r="X86" s="140">
        <f t="shared" si="31"/>
        <v>-661307.97498632898</v>
      </c>
      <c r="Y86" s="89"/>
      <c r="Z86" s="89"/>
      <c r="AA86" s="89"/>
    </row>
    <row r="87" spans="1:43" ht="15" x14ac:dyDescent="0.25">
      <c r="A87" s="185" t="s">
        <v>115</v>
      </c>
      <c r="B87" s="249"/>
      <c r="C87" s="186">
        <f>(C41+C53+SUM(C42:C52)*2)/24</f>
        <v>1689999.9999999993</v>
      </c>
      <c r="D87" s="186">
        <f>(D41+D53+SUM(D42:D52)*2)/24</f>
        <v>1689999.9999999993</v>
      </c>
      <c r="E87" s="186"/>
      <c r="F87" s="187"/>
      <c r="G87" s="186">
        <f t="shared" ref="G87:L87" si="38">(G41+G53+SUM(G42:G52)*2)/24</f>
        <v>-337999.99999999988</v>
      </c>
      <c r="H87" s="186">
        <f t="shared" si="38"/>
        <v>-29790.748842592584</v>
      </c>
      <c r="I87" s="186">
        <f t="shared" si="38"/>
        <v>1351999.9999999998</v>
      </c>
      <c r="J87" s="186">
        <f t="shared" si="38"/>
        <v>1660209.251157407</v>
      </c>
      <c r="K87" s="186">
        <f t="shared" si="38"/>
        <v>308209.25115740724</v>
      </c>
      <c r="L87" s="186">
        <f t="shared" si="38"/>
        <v>-64723.942743055522</v>
      </c>
      <c r="M87" s="200"/>
      <c r="N87" s="51"/>
      <c r="O87" s="123"/>
      <c r="P87" s="133">
        <v>11</v>
      </c>
      <c r="Q87" s="134">
        <f t="shared" si="28"/>
        <v>30</v>
      </c>
      <c r="R87" s="135">
        <v>45901</v>
      </c>
      <c r="S87" s="136">
        <f>+'E34402'!M74</f>
        <v>38046.059944714536</v>
      </c>
      <c r="T87" s="143">
        <f t="shared" si="29"/>
        <v>-814660.40003660857</v>
      </c>
      <c r="U87" s="138">
        <f>V87-SUM($Q$78:Q87)+1</f>
        <v>93</v>
      </c>
      <c r="V87" s="139">
        <f t="shared" si="33"/>
        <v>365</v>
      </c>
      <c r="W87" s="136">
        <f t="shared" si="30"/>
        <v>9693.9276023519233</v>
      </c>
      <c r="X87" s="140">
        <f t="shared" si="31"/>
        <v>-671001.90258868085</v>
      </c>
      <c r="Y87" s="89"/>
      <c r="Z87" s="89"/>
      <c r="AA87" s="89"/>
    </row>
    <row r="88" spans="1:43" ht="15" x14ac:dyDescent="0.25">
      <c r="A88" s="188" t="s">
        <v>116</v>
      </c>
      <c r="B88" s="250"/>
      <c r="C88" s="189"/>
      <c r="D88" s="190"/>
      <c r="E88" s="189"/>
      <c r="F88" s="189"/>
      <c r="G88" s="189"/>
      <c r="H88" s="191"/>
      <c r="I88" s="189"/>
      <c r="J88" s="189"/>
      <c r="K88" s="189"/>
      <c r="L88" s="189"/>
      <c r="M88" s="192"/>
      <c r="N88" s="51"/>
      <c r="P88" s="133">
        <v>12</v>
      </c>
      <c r="Q88" s="134">
        <f t="shared" si="28"/>
        <v>31</v>
      </c>
      <c r="R88" s="135">
        <v>45931</v>
      </c>
      <c r="S88" s="136">
        <f>+'E34402'!M75</f>
        <v>37756.838211497758</v>
      </c>
      <c r="T88" s="143">
        <f t="shared" si="29"/>
        <v>-852417.23824810633</v>
      </c>
      <c r="U88" s="138">
        <f>V88-SUM($Q$78:Q88)+1</f>
        <v>62</v>
      </c>
      <c r="V88" s="139">
        <f t="shared" si="33"/>
        <v>365</v>
      </c>
      <c r="W88" s="136">
        <f t="shared" si="30"/>
        <v>6413.490326336605</v>
      </c>
      <c r="X88" s="140">
        <f t="shared" si="31"/>
        <v>-677415.39291501744</v>
      </c>
      <c r="Y88" s="89"/>
      <c r="Z88" s="89"/>
      <c r="AA88" s="89"/>
    </row>
    <row r="89" spans="1:43" ht="15" x14ac:dyDescent="0.25">
      <c r="A89" s="193" t="s">
        <v>117</v>
      </c>
      <c r="B89" s="251"/>
      <c r="C89" s="194">
        <f>C65</f>
        <v>7461761.8400000008</v>
      </c>
      <c r="D89" s="194">
        <f>D65</f>
        <v>7461761.8400000008</v>
      </c>
      <c r="E89" s="194">
        <f>SUM(E54:E65)</f>
        <v>1897952.368</v>
      </c>
      <c r="F89" s="194">
        <f>SUM(F54:F65)</f>
        <v>285680.42448399996</v>
      </c>
      <c r="G89" s="194">
        <f t="shared" ref="G89:L89" si="39">G65</f>
        <v>-2573952.3680000002</v>
      </c>
      <c r="H89" s="194">
        <f t="shared" si="39"/>
        <v>-374743.42448399984</v>
      </c>
      <c r="I89" s="194">
        <f t="shared" si="39"/>
        <v>4887809.472000001</v>
      </c>
      <c r="J89" s="194">
        <f t="shared" si="39"/>
        <v>7087018.4155160012</v>
      </c>
      <c r="K89" s="194">
        <f t="shared" si="39"/>
        <v>2199208.9435160002</v>
      </c>
      <c r="L89" s="194">
        <f t="shared" si="39"/>
        <v>-461833.87813836004</v>
      </c>
      <c r="M89" s="195">
        <f>SUM(M54:M65)</f>
        <v>338577.10813836014</v>
      </c>
      <c r="N89" s="51"/>
      <c r="O89" s="38"/>
      <c r="P89" s="133">
        <v>13</v>
      </c>
      <c r="Q89" s="134">
        <f t="shared" si="28"/>
        <v>30</v>
      </c>
      <c r="R89" s="135">
        <v>45962</v>
      </c>
      <c r="S89" s="136">
        <f>+'E34402'!M76</f>
        <v>37467.616478280746</v>
      </c>
      <c r="T89" s="143">
        <f t="shared" si="29"/>
        <v>-889884.85472638707</v>
      </c>
      <c r="U89" s="138">
        <f>V89-SUM($Q$78:Q89)+1</f>
        <v>32</v>
      </c>
      <c r="V89" s="139">
        <f t="shared" si="33"/>
        <v>365</v>
      </c>
      <c r="W89" s="136">
        <f t="shared" si="30"/>
        <v>3284.8321296026957</v>
      </c>
      <c r="X89" s="140">
        <f t="shared" si="31"/>
        <v>-680700.22504462011</v>
      </c>
      <c r="Y89" s="89"/>
      <c r="Z89" s="89"/>
      <c r="AA89" s="89"/>
    </row>
    <row r="90" spans="1:43" ht="15" x14ac:dyDescent="0.25">
      <c r="A90" s="196" t="s">
        <v>118</v>
      </c>
      <c r="B90" s="252"/>
      <c r="C90" s="197">
        <f t="shared" ref="C90:D90" si="40">(C53+C65+SUM(C54:C64)*2)/24</f>
        <v>5420880.9199999999</v>
      </c>
      <c r="D90" s="197">
        <f t="shared" si="40"/>
        <v>5420880.9199999999</v>
      </c>
      <c r="E90" s="197"/>
      <c r="F90" s="198"/>
      <c r="G90" s="197">
        <f t="shared" ref="G90:I90" si="41">(G53+G65+SUM(G54:G64)*2)/24</f>
        <v>-1624976.1839999997</v>
      </c>
      <c r="H90" s="197">
        <f t="shared" si="41"/>
        <v>-214101.95911559707</v>
      </c>
      <c r="I90" s="197">
        <f t="shared" si="41"/>
        <v>3795904.7359999991</v>
      </c>
      <c r="J90" s="197">
        <f>(J53+J65+SUM(J54:J64)*2)/24</f>
        <v>5206778.9608844025</v>
      </c>
      <c r="K90" s="197">
        <f t="shared" ref="K90:L90" si="42">(K53+K65+SUM(K54:K64)*2)/24</f>
        <v>1410874.2248844027</v>
      </c>
      <c r="L90" s="197">
        <f t="shared" si="42"/>
        <v>-296283.58722572459</v>
      </c>
      <c r="M90" s="199"/>
      <c r="P90" s="133">
        <v>14</v>
      </c>
      <c r="Q90" s="134">
        <f t="shared" si="28"/>
        <v>31</v>
      </c>
      <c r="R90" s="135">
        <v>45992</v>
      </c>
      <c r="S90" s="136">
        <f>+'E34402'!M77</f>
        <v>37178.394745063502</v>
      </c>
      <c r="T90" s="143">
        <f t="shared" si="29"/>
        <v>-927063.24947145057</v>
      </c>
      <c r="U90" s="138">
        <f>V90-SUM($Q$78:Q90)+1</f>
        <v>1</v>
      </c>
      <c r="V90" s="139">
        <f t="shared" si="33"/>
        <v>365</v>
      </c>
      <c r="W90" s="136">
        <f t="shared" si="30"/>
        <v>101.8586157399</v>
      </c>
      <c r="X90" s="140">
        <f t="shared" si="31"/>
        <v>-680802.08366035996</v>
      </c>
      <c r="Y90" s="89"/>
      <c r="Z90" s="89"/>
      <c r="AA90" s="89"/>
    </row>
    <row r="91" spans="1:43" ht="15.75" thickBot="1" x14ac:dyDescent="0.3">
      <c r="A91" s="178" t="s">
        <v>119</v>
      </c>
      <c r="B91" s="247"/>
      <c r="C91" s="179"/>
      <c r="D91" s="180"/>
      <c r="E91" s="179"/>
      <c r="F91" s="179"/>
      <c r="G91" s="179"/>
      <c r="H91" s="181"/>
      <c r="I91" s="179"/>
      <c r="J91" s="179"/>
      <c r="K91" s="179"/>
      <c r="L91" s="179"/>
      <c r="M91" s="182"/>
      <c r="P91" s="133">
        <v>15</v>
      </c>
      <c r="Q91" s="152">
        <f>SUM(Q79:Q90)</f>
        <v>365</v>
      </c>
      <c r="R91" s="103"/>
      <c r="S91" s="153">
        <f>SUM(S79:S90)</f>
        <v>465229.37133309053</v>
      </c>
      <c r="T91" s="154">
        <f>+'E34402'!L77-T90</f>
        <v>0</v>
      </c>
      <c r="U91" s="102"/>
      <c r="V91" s="155"/>
      <c r="W91" s="153">
        <f>SUM(W79:W90)</f>
        <v>218968.20552199997</v>
      </c>
      <c r="X91" s="107"/>
      <c r="Y91" s="89"/>
      <c r="Z91" s="89"/>
      <c r="AA91" s="89"/>
    </row>
    <row r="92" spans="1:43" s="123" customFormat="1" ht="16.5" thickTop="1" thickBot="1" x14ac:dyDescent="0.3">
      <c r="A92" s="183" t="s">
        <v>120</v>
      </c>
      <c r="B92" s="248"/>
      <c r="C92" s="173">
        <f>C77</f>
        <v>11225015.620000007</v>
      </c>
      <c r="D92" s="173">
        <f>D77</f>
        <v>11225015.620000007</v>
      </c>
      <c r="E92" s="173">
        <f>SUM(E66:E77)</f>
        <v>2707774.5448000021</v>
      </c>
      <c r="F92" s="173">
        <f>SUM(F66:F77)</f>
        <v>492396.58607100014</v>
      </c>
      <c r="G92" s="173">
        <f t="shared" ref="G92:L92" si="43">G77</f>
        <v>-5281726.9128000019</v>
      </c>
      <c r="H92" s="173">
        <f t="shared" si="43"/>
        <v>-867140.01055499993</v>
      </c>
      <c r="I92" s="173">
        <f t="shared" si="43"/>
        <v>5943288.7072000047</v>
      </c>
      <c r="J92" s="173">
        <f t="shared" si="43"/>
        <v>10357875.609445008</v>
      </c>
      <c r="K92" s="173">
        <f t="shared" si="43"/>
        <v>4414586.9022450028</v>
      </c>
      <c r="L92" s="173">
        <f t="shared" si="43"/>
        <v>-927063.24947145057</v>
      </c>
      <c r="M92" s="177">
        <f>SUM(M66:M77)</f>
        <v>465229.37133309053</v>
      </c>
      <c r="O92" s="52"/>
      <c r="P92" s="133">
        <v>16</v>
      </c>
      <c r="Q92" s="103"/>
      <c r="R92" s="156"/>
      <c r="S92" s="157"/>
      <c r="T92" s="137"/>
      <c r="U92" s="102"/>
      <c r="V92" s="103"/>
      <c r="W92" s="158"/>
      <c r="X92" s="107"/>
      <c r="Y92" s="89"/>
      <c r="Z92" s="89"/>
      <c r="AA92" s="89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43" s="123" customFormat="1" ht="15.75" thickBot="1" x14ac:dyDescent="0.3">
      <c r="A93" s="185" t="s">
        <v>121</v>
      </c>
      <c r="B93" s="249"/>
      <c r="C93" s="186">
        <f>(C65+C77+SUM(C66:C76)*2)/24</f>
        <v>9343388.7300000023</v>
      </c>
      <c r="D93" s="186">
        <f>(D65+D77+SUM(D66:D76)*2)/24</f>
        <v>9343388.7300000023</v>
      </c>
      <c r="E93" s="186"/>
      <c r="F93" s="187"/>
      <c r="G93" s="186">
        <f t="shared" ref="G93:L93" si="44">(G65+G77+SUM(G66:G76)*2)/24</f>
        <v>-3927839.6404000018</v>
      </c>
      <c r="H93" s="186">
        <f t="shared" si="44"/>
        <v>-604529.53186472086</v>
      </c>
      <c r="I93" s="186">
        <f t="shared" si="44"/>
        <v>5415549.0896000015</v>
      </c>
      <c r="J93" s="186">
        <f t="shared" si="44"/>
        <v>8738859.198135281</v>
      </c>
      <c r="K93" s="186">
        <f t="shared" si="44"/>
        <v>3323310.1085352809</v>
      </c>
      <c r="L93" s="186">
        <f t="shared" si="44"/>
        <v>-697895.12279240903</v>
      </c>
      <c r="M93" s="200"/>
      <c r="O93" s="52"/>
      <c r="P93" s="133">
        <v>17</v>
      </c>
      <c r="Q93" s="103" t="s">
        <v>102</v>
      </c>
      <c r="R93" s="103"/>
      <c r="S93" s="136"/>
      <c r="T93" s="159">
        <f>(T78+T90+SUM(T79:T89)*2)/24</f>
        <v>-697895.12279240903</v>
      </c>
      <c r="U93" s="102"/>
      <c r="V93" s="103"/>
      <c r="W93" s="160" t="s">
        <v>103</v>
      </c>
      <c r="X93" s="161">
        <f>X90</f>
        <v>-680802.08366035996</v>
      </c>
      <c r="Y93" s="89"/>
      <c r="Z93" s="89"/>
      <c r="AA93" s="89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43" s="123" customFormat="1" ht="16.5" thickTop="1" thickBo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O94" s="52"/>
      <c r="P94" s="162">
        <v>18</v>
      </c>
      <c r="Q94" s="163"/>
      <c r="R94" s="163"/>
      <c r="S94" s="164"/>
      <c r="T94" s="165"/>
      <c r="U94" s="166"/>
      <c r="V94" s="163"/>
      <c r="W94" s="163"/>
      <c r="X94" s="167"/>
      <c r="Y94" s="89"/>
      <c r="Z94" s="89"/>
      <c r="AA94" s="89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43" s="123" customFormat="1" ht="15" x14ac:dyDescent="0.25">
      <c r="A95" s="201" t="s">
        <v>106</v>
      </c>
      <c r="B95" s="253"/>
      <c r="C95" s="202">
        <f>C92-C77</f>
        <v>0</v>
      </c>
      <c r="D95" s="202">
        <f>D92-D77</f>
        <v>0</v>
      </c>
      <c r="E95" s="202">
        <f>E92+E89+E86+E83+E80+-SUM(E24:E77)</f>
        <v>0</v>
      </c>
      <c r="F95" s="202">
        <f>F92+F89+F86+F83+F80+-SUM(F24:F77)</f>
        <v>0</v>
      </c>
      <c r="G95" s="202">
        <f t="shared" ref="G95:L95" si="45">G77-G92</f>
        <v>0</v>
      </c>
      <c r="H95" s="202">
        <f t="shared" si="45"/>
        <v>0</v>
      </c>
      <c r="I95" s="202">
        <f t="shared" si="45"/>
        <v>0</v>
      </c>
      <c r="J95" s="202">
        <f t="shared" si="45"/>
        <v>0</v>
      </c>
      <c r="K95" s="202">
        <f t="shared" si="45"/>
        <v>0</v>
      </c>
      <c r="L95" s="202">
        <f t="shared" si="45"/>
        <v>0</v>
      </c>
      <c r="M95" s="202">
        <f>M92+M89+M86+M83+M80+-SUM(M24:M77)</f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89"/>
      <c r="Z95" s="89"/>
      <c r="AA95" s="89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1:43" s="123" customFormat="1" ht="15" x14ac:dyDescent="0.25">
      <c r="A96" s="203">
        <v>2023</v>
      </c>
      <c r="B96" s="254"/>
      <c r="C96" s="204">
        <f>D87+H87+X41</f>
        <v>1600008.9220415391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89"/>
      <c r="Z96" s="89"/>
      <c r="AA96" s="89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:27" ht="15" x14ac:dyDescent="0.25">
      <c r="A97" s="203">
        <v>2024</v>
      </c>
      <c r="B97" s="254"/>
      <c r="C97" s="204">
        <f>D90+H90+X67</f>
        <v>4923289.2317037527</v>
      </c>
      <c r="D97" s="89"/>
      <c r="E97" s="89"/>
      <c r="F97" s="89"/>
      <c r="G97" s="89"/>
      <c r="H97" s="89"/>
      <c r="I97" s="89"/>
      <c r="J97" s="89"/>
      <c r="K97" s="89"/>
      <c r="L97" s="89"/>
      <c r="M97" s="89"/>
      <c r="Y97" s="89"/>
      <c r="Z97" s="89"/>
      <c r="AA97" s="89"/>
    </row>
    <row r="98" spans="1:27" ht="15" x14ac:dyDescent="0.25">
      <c r="A98" s="203">
        <v>2025</v>
      </c>
      <c r="B98" s="254"/>
      <c r="C98" s="204">
        <f>D93+H93+X93</f>
        <v>8058057.1144749206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Y98" s="89"/>
      <c r="Z98" s="89"/>
      <c r="AA98" s="89"/>
    </row>
    <row r="99" spans="1:27" ht="1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Y99" s="89"/>
      <c r="Z99" s="89"/>
      <c r="AA99" s="89"/>
    </row>
    <row r="100" spans="1:27" ht="1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Y100" s="89"/>
      <c r="Z100" s="89"/>
      <c r="AA100" s="89"/>
    </row>
    <row r="101" spans="1:27" ht="1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Y101" s="89"/>
      <c r="Z101" s="89"/>
      <c r="AA101" s="89"/>
    </row>
    <row r="102" spans="1:27" ht="1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Y102" s="89"/>
      <c r="Z102" s="89"/>
      <c r="AA102" s="89"/>
    </row>
    <row r="103" spans="1:27" ht="1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Y103" s="89"/>
      <c r="Z103" s="89"/>
      <c r="AA103" s="89"/>
    </row>
    <row r="104" spans="1:27" ht="1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Y104" s="89"/>
      <c r="Z104" s="89"/>
      <c r="AA104" s="89"/>
    </row>
    <row r="105" spans="1:27" ht="1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Y105" s="89"/>
      <c r="Z105" s="89"/>
      <c r="AA105" s="89"/>
    </row>
    <row r="106" spans="1:27" ht="1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Y106" s="89"/>
      <c r="Z106" s="89"/>
      <c r="AA106" s="89"/>
    </row>
    <row r="107" spans="1:27" ht="1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Y107" s="89"/>
      <c r="Z107" s="89"/>
      <c r="AA107" s="89"/>
    </row>
    <row r="108" spans="1:27" ht="1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Y108" s="89"/>
      <c r="Z108" s="89"/>
      <c r="AA108" s="89"/>
    </row>
    <row r="109" spans="1:27" ht="1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Y109" s="89"/>
      <c r="Z109" s="89"/>
      <c r="AA109" s="89"/>
    </row>
    <row r="110" spans="1:27" ht="1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Y110" s="89"/>
      <c r="Z110" s="89"/>
      <c r="AA110" s="89"/>
    </row>
    <row r="111" spans="1:27" ht="1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Y111" s="89"/>
      <c r="Z111" s="89"/>
      <c r="AA111" s="89"/>
    </row>
    <row r="112" spans="1:27" ht="1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Y112" s="89"/>
      <c r="Z112" s="89"/>
      <c r="AA112" s="89"/>
    </row>
    <row r="113" spans="1:27" ht="1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Y113" s="89"/>
      <c r="Z113" s="89"/>
      <c r="AA113" s="89"/>
    </row>
    <row r="114" spans="1:27" ht="1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Y114" s="89"/>
      <c r="Z114" s="89"/>
      <c r="AA114" s="89"/>
    </row>
    <row r="115" spans="1:27" ht="1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Y115" s="89"/>
      <c r="Z115" s="89"/>
      <c r="AA115" s="89"/>
    </row>
    <row r="116" spans="1:27" ht="1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Y116" s="89"/>
      <c r="Z116" s="89"/>
      <c r="AA116" s="89"/>
    </row>
    <row r="117" spans="1:27" ht="1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Y117" s="89"/>
      <c r="Z117" s="89"/>
      <c r="AA117" s="89"/>
    </row>
    <row r="118" spans="1:27" ht="1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Y118" s="89"/>
      <c r="Z118" s="89"/>
      <c r="AA118" s="89"/>
    </row>
    <row r="119" spans="1:27" ht="1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Y119" s="89"/>
      <c r="Z119" s="89"/>
      <c r="AA119" s="89"/>
    </row>
    <row r="120" spans="1:27" ht="1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Y120" s="89"/>
      <c r="Z120" s="89"/>
      <c r="AA120" s="89"/>
    </row>
    <row r="121" spans="1:27" ht="1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Y121" s="89"/>
      <c r="Z121" s="89"/>
      <c r="AA121" s="89"/>
    </row>
    <row r="122" spans="1:27" ht="1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Y122" s="89"/>
      <c r="Z122" s="89"/>
      <c r="AA122" s="89"/>
    </row>
    <row r="123" spans="1:27" ht="1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Y123" s="89"/>
      <c r="Z123" s="89"/>
      <c r="AA123" s="89"/>
    </row>
    <row r="124" spans="1:27" ht="1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Y124" s="89"/>
      <c r="Z124" s="89"/>
      <c r="AA124" s="89"/>
    </row>
    <row r="125" spans="1:27" ht="1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Y125" s="89"/>
      <c r="Z125" s="89"/>
      <c r="AA125" s="89"/>
    </row>
    <row r="126" spans="1:27" ht="15" x14ac:dyDescent="0.25">
      <c r="Y126" s="89"/>
      <c r="Z126" s="89"/>
      <c r="AA126" s="89"/>
    </row>
    <row r="127" spans="1:27" ht="15" x14ac:dyDescent="0.25">
      <c r="Y127" s="89"/>
      <c r="Z127" s="89"/>
      <c r="AA127" s="89"/>
    </row>
    <row r="128" spans="1:27" ht="15" x14ac:dyDescent="0.25">
      <c r="Y128" s="89"/>
      <c r="Z128" s="89"/>
      <c r="AA128" s="89"/>
    </row>
    <row r="129" spans="25:27" ht="15" x14ac:dyDescent="0.25">
      <c r="Y129" s="89"/>
      <c r="Z129" s="89"/>
      <c r="AA129" s="89"/>
    </row>
    <row r="130" spans="25:27" ht="15" x14ac:dyDescent="0.25">
      <c r="Y130" s="89"/>
      <c r="Z130" s="89"/>
      <c r="AA130" s="89"/>
    </row>
    <row r="131" spans="25:27" ht="15" x14ac:dyDescent="0.25">
      <c r="Y131" s="89"/>
      <c r="Z131" s="89"/>
      <c r="AA131" s="89"/>
    </row>
    <row r="132" spans="25:27" ht="15" x14ac:dyDescent="0.25">
      <c r="Y132" s="89"/>
      <c r="Z132" s="89"/>
      <c r="AA132" s="89"/>
    </row>
    <row r="133" spans="25:27" ht="15" x14ac:dyDescent="0.25">
      <c r="Y133" s="89"/>
      <c r="Z133" s="89"/>
      <c r="AA133" s="89"/>
    </row>
    <row r="134" spans="25:27" ht="15" x14ac:dyDescent="0.25">
      <c r="Y134" s="89"/>
      <c r="Z134" s="89"/>
      <c r="AA134" s="89"/>
    </row>
    <row r="135" spans="25:27" ht="15" x14ac:dyDescent="0.25">
      <c r="Y135" s="89"/>
      <c r="Z135" s="89"/>
      <c r="AA135" s="89"/>
    </row>
    <row r="136" spans="25:27" ht="15" x14ac:dyDescent="0.25">
      <c r="Y136" s="89"/>
      <c r="Z136" s="89"/>
      <c r="AA136" s="89"/>
    </row>
    <row r="137" spans="25:27" ht="15" x14ac:dyDescent="0.25">
      <c r="Y137" s="89"/>
      <c r="Z137" s="89"/>
      <c r="AA137" s="89"/>
    </row>
    <row r="138" spans="25:27" ht="15" x14ac:dyDescent="0.25">
      <c r="Y138" s="89"/>
      <c r="Z138" s="89"/>
      <c r="AA138" s="89"/>
    </row>
    <row r="139" spans="25:27" ht="15" x14ac:dyDescent="0.25">
      <c r="Y139" s="89"/>
      <c r="Z139" s="89"/>
      <c r="AA139" s="89"/>
    </row>
    <row r="140" spans="25:27" ht="15" x14ac:dyDescent="0.25">
      <c r="Y140" s="89"/>
      <c r="Z140" s="89"/>
      <c r="AA140" s="89"/>
    </row>
    <row r="141" spans="25:27" ht="15" x14ac:dyDescent="0.25">
      <c r="Y141" s="89"/>
      <c r="Z141" s="89"/>
      <c r="AA141" s="89"/>
    </row>
    <row r="142" spans="25:27" ht="15" x14ac:dyDescent="0.25">
      <c r="Y142" s="89"/>
      <c r="Z142" s="89"/>
      <c r="AA142" s="89"/>
    </row>
    <row r="143" spans="25:27" ht="15" x14ac:dyDescent="0.25">
      <c r="Y143" s="89"/>
      <c r="Z143" s="89"/>
      <c r="AA143" s="89"/>
    </row>
    <row r="144" spans="25:27" ht="15" x14ac:dyDescent="0.25">
      <c r="Y144" s="89"/>
      <c r="Z144" s="89"/>
      <c r="AA144" s="89"/>
    </row>
    <row r="145" spans="25:27" ht="15" x14ac:dyDescent="0.25">
      <c r="Y145" s="89"/>
      <c r="Z145" s="89"/>
      <c r="AA145" s="89"/>
    </row>
    <row r="146" spans="25:27" ht="15" x14ac:dyDescent="0.25">
      <c r="Y146" s="89"/>
      <c r="Z146" s="89"/>
      <c r="AA146" s="89"/>
    </row>
    <row r="147" spans="25:27" ht="15" x14ac:dyDescent="0.25">
      <c r="Y147" s="89"/>
      <c r="Z147" s="89"/>
      <c r="AA147" s="89"/>
    </row>
    <row r="148" spans="25:27" ht="15" x14ac:dyDescent="0.25">
      <c r="Y148" s="89"/>
      <c r="Z148" s="89"/>
      <c r="AA148" s="89"/>
    </row>
    <row r="149" spans="25:27" ht="15" x14ac:dyDescent="0.25">
      <c r="Y149" s="89"/>
      <c r="Z149" s="89"/>
      <c r="AA149" s="89"/>
    </row>
    <row r="150" spans="25:27" ht="15" x14ac:dyDescent="0.25">
      <c r="Y150" s="89"/>
      <c r="Z150" s="89"/>
      <c r="AA150" s="89"/>
    </row>
    <row r="151" spans="25:27" ht="15" x14ac:dyDescent="0.25">
      <c r="Y151" s="89"/>
      <c r="Z151" s="89"/>
      <c r="AA151" s="89"/>
    </row>
    <row r="152" spans="25:27" ht="15" x14ac:dyDescent="0.25">
      <c r="Y152" s="89"/>
      <c r="Z152" s="89"/>
      <c r="AA152" s="89"/>
    </row>
    <row r="153" spans="25:27" ht="15" x14ac:dyDescent="0.25">
      <c r="Y153" s="89"/>
      <c r="Z153" s="89"/>
      <c r="AA153" s="89"/>
    </row>
    <row r="154" spans="25:27" ht="15" x14ac:dyDescent="0.25">
      <c r="Y154" s="89"/>
      <c r="Z154" s="89"/>
      <c r="AA154" s="89"/>
    </row>
    <row r="155" spans="25:27" ht="15" x14ac:dyDescent="0.25">
      <c r="Y155" s="89"/>
      <c r="Z155" s="89"/>
      <c r="AA155" s="89"/>
    </row>
    <row r="156" spans="25:27" ht="15" x14ac:dyDescent="0.25">
      <c r="Y156" s="89"/>
      <c r="Z156" s="89"/>
      <c r="AA156" s="89"/>
    </row>
    <row r="157" spans="25:27" ht="15" x14ac:dyDescent="0.25">
      <c r="Y157" s="89"/>
      <c r="Z157" s="89"/>
      <c r="AA157" s="89"/>
    </row>
    <row r="158" spans="25:27" ht="15" x14ac:dyDescent="0.25">
      <c r="Y158" s="89"/>
      <c r="Z158" s="89"/>
      <c r="AA158" s="89"/>
    </row>
    <row r="159" spans="25:27" ht="15" x14ac:dyDescent="0.25">
      <c r="Y159" s="89"/>
      <c r="Z159" s="89"/>
      <c r="AA159" s="89"/>
    </row>
    <row r="160" spans="25:27" ht="15" x14ac:dyDescent="0.25">
      <c r="Y160" s="89"/>
      <c r="Z160" s="89"/>
      <c r="AA160" s="89"/>
    </row>
    <row r="161" spans="25:27" ht="15" x14ac:dyDescent="0.25">
      <c r="Y161" s="89"/>
      <c r="Z161" s="89"/>
      <c r="AA161" s="89"/>
    </row>
    <row r="162" spans="25:27" ht="15" x14ac:dyDescent="0.25">
      <c r="Y162" s="89"/>
      <c r="Z162" s="89"/>
      <c r="AA162" s="89"/>
    </row>
    <row r="163" spans="25:27" ht="15" x14ac:dyDescent="0.25">
      <c r="Y163" s="89"/>
      <c r="Z163" s="89"/>
      <c r="AA163" s="89"/>
    </row>
    <row r="164" spans="25:27" ht="15" x14ac:dyDescent="0.25">
      <c r="Y164" s="89"/>
      <c r="Z164" s="89"/>
      <c r="AA164" s="89"/>
    </row>
    <row r="165" spans="25:27" ht="15" x14ac:dyDescent="0.25">
      <c r="Y165" s="89"/>
      <c r="Z165" s="89"/>
      <c r="AA165" s="89"/>
    </row>
    <row r="166" spans="25:27" ht="15" x14ac:dyDescent="0.25">
      <c r="Y166" s="89"/>
      <c r="Z166" s="89"/>
      <c r="AA166" s="89"/>
    </row>
    <row r="167" spans="25:27" ht="15" x14ac:dyDescent="0.25">
      <c r="Y167" s="89"/>
      <c r="Z167" s="89"/>
      <c r="AA167" s="89"/>
    </row>
    <row r="168" spans="25:27" ht="15" x14ac:dyDescent="0.25">
      <c r="Y168" s="89"/>
      <c r="Z168" s="89"/>
      <c r="AA168" s="89"/>
    </row>
    <row r="169" spans="25:27" ht="15" x14ac:dyDescent="0.25">
      <c r="Y169" s="89"/>
      <c r="Z169" s="89"/>
      <c r="AA169" s="89"/>
    </row>
    <row r="170" spans="25:27" ht="15" x14ac:dyDescent="0.25">
      <c r="Y170" s="89"/>
      <c r="Z170" s="89"/>
      <c r="AA170" s="89"/>
    </row>
    <row r="171" spans="25:27" ht="15" x14ac:dyDescent="0.25">
      <c r="Y171" s="89"/>
      <c r="Z171" s="89"/>
      <c r="AA171" s="89"/>
    </row>
    <row r="172" spans="25:27" ht="15" x14ac:dyDescent="0.25">
      <c r="Y172" s="89"/>
      <c r="Z172" s="89"/>
      <c r="AA172" s="89"/>
    </row>
    <row r="173" spans="25:27" ht="15" x14ac:dyDescent="0.25">
      <c r="Y173" s="89"/>
      <c r="Z173" s="89"/>
      <c r="AA173" s="89"/>
    </row>
    <row r="174" spans="25:27" ht="15" x14ac:dyDescent="0.25">
      <c r="Y174" s="89"/>
      <c r="Z174" s="89"/>
      <c r="AA174" s="89"/>
    </row>
    <row r="175" spans="25:27" ht="15" x14ac:dyDescent="0.25">
      <c r="Y175" s="89"/>
      <c r="Z175" s="89"/>
      <c r="AA175" s="89"/>
    </row>
    <row r="176" spans="25:27" ht="15" x14ac:dyDescent="0.25">
      <c r="Y176" s="89"/>
      <c r="Z176" s="89"/>
      <c r="AA176" s="89"/>
    </row>
    <row r="177" spans="25:27" ht="15" x14ac:dyDescent="0.25">
      <c r="Y177" s="89"/>
      <c r="Z177" s="89"/>
      <c r="AA177" s="89"/>
    </row>
    <row r="178" spans="25:27" ht="15" x14ac:dyDescent="0.25">
      <c r="Y178" s="89"/>
      <c r="Z178" s="89"/>
      <c r="AA178" s="89"/>
    </row>
    <row r="179" spans="25:27" ht="15" x14ac:dyDescent="0.25">
      <c r="Y179" s="89"/>
      <c r="Z179" s="89"/>
      <c r="AA179" s="89"/>
    </row>
    <row r="180" spans="25:27" ht="15" x14ac:dyDescent="0.25">
      <c r="Y180" s="89"/>
      <c r="Z180" s="89"/>
      <c r="AA180" s="89"/>
    </row>
    <row r="181" spans="25:27" ht="15" x14ac:dyDescent="0.25">
      <c r="Y181" s="89"/>
      <c r="Z181" s="89"/>
      <c r="AA181" s="89"/>
    </row>
    <row r="182" spans="25:27" ht="15" x14ac:dyDescent="0.25">
      <c r="Y182" s="89"/>
      <c r="Z182" s="89"/>
      <c r="AA182" s="89"/>
    </row>
    <row r="183" spans="25:27" ht="15" x14ac:dyDescent="0.25">
      <c r="Y183" s="89"/>
      <c r="Z183" s="89"/>
      <c r="AA183" s="89"/>
    </row>
    <row r="184" spans="25:27" ht="15" x14ac:dyDescent="0.25">
      <c r="Y184" s="89"/>
      <c r="Z184" s="89"/>
      <c r="AA184" s="89"/>
    </row>
    <row r="185" spans="25:27" ht="15" x14ac:dyDescent="0.25">
      <c r="Y185" s="89"/>
      <c r="Z185" s="89"/>
      <c r="AA185" s="89"/>
    </row>
    <row r="186" spans="25:27" ht="15" x14ac:dyDescent="0.25">
      <c r="Y186" s="89"/>
      <c r="Z186" s="89"/>
      <c r="AA186" s="89"/>
    </row>
    <row r="187" spans="25:27" ht="15" x14ac:dyDescent="0.25">
      <c r="Y187" s="89"/>
      <c r="Z187" s="89"/>
      <c r="AA187" s="89"/>
    </row>
    <row r="188" spans="25:27" ht="15" x14ac:dyDescent="0.25">
      <c r="Y188" s="89"/>
      <c r="Z188" s="89"/>
      <c r="AA188" s="89"/>
    </row>
  </sheetData>
  <dataConsolidate/>
  <pageMargins left="0.25" right="0.25" top="0.25" bottom="0.25" header="0.3" footer="0.3"/>
  <pageSetup scale="65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33"/>
  </sheetPr>
  <dimension ref="A1:AQ188"/>
  <sheetViews>
    <sheetView zoomScaleNormal="100" workbookViewId="0">
      <pane xSplit="1" ySplit="16" topLeftCell="B17" activePane="bottomRight" state="frozen"/>
      <selection activeCell="K48" sqref="K48"/>
      <selection pane="topRight" activeCell="K48" sqref="K48"/>
      <selection pane="bottomLeft" activeCell="K48" sqref="K48"/>
      <selection pane="bottomRight" activeCell="A6" sqref="A6"/>
    </sheetView>
  </sheetViews>
  <sheetFormatPr defaultColWidth="8.7109375" defaultRowHeight="12.75" x14ac:dyDescent="0.2"/>
  <cols>
    <col min="1" max="1" width="24.42578125" style="52" customWidth="1"/>
    <col min="2" max="2" width="14.28515625" style="52" customWidth="1"/>
    <col min="3" max="3" width="14.42578125" style="52" customWidth="1"/>
    <col min="4" max="4" width="14.42578125" style="52" bestFit="1" customWidth="1"/>
    <col min="5" max="5" width="11.7109375" style="52" bestFit="1" customWidth="1"/>
    <col min="6" max="6" width="13.42578125" style="52" bestFit="1" customWidth="1"/>
    <col min="7" max="8" width="11.7109375" style="52" bestFit="1" customWidth="1"/>
    <col min="9" max="10" width="12.42578125" style="52" bestFit="1" customWidth="1"/>
    <col min="11" max="11" width="11.42578125" style="52" bestFit="1" customWidth="1"/>
    <col min="12" max="12" width="9.5703125" style="52" bestFit="1" customWidth="1"/>
    <col min="13" max="13" width="11.5703125" style="52" bestFit="1" customWidth="1"/>
    <col min="14" max="14" width="9.5703125" style="123" bestFit="1" customWidth="1"/>
    <col min="15" max="15" width="7.5703125" style="52" bestFit="1" customWidth="1"/>
    <col min="16" max="18" width="7.42578125" style="52" bestFit="1" customWidth="1"/>
    <col min="19" max="19" width="11.7109375" style="52" bestFit="1" customWidth="1"/>
    <col min="20" max="20" width="13.28515625" style="52" bestFit="1" customWidth="1"/>
    <col min="21" max="21" width="11" style="52" bestFit="1" customWidth="1"/>
    <col min="22" max="22" width="14.5703125" style="52" bestFit="1" customWidth="1"/>
    <col min="23" max="23" width="12" style="52" bestFit="1" customWidth="1"/>
    <col min="24" max="24" width="13.28515625" style="52" bestFit="1" customWidth="1"/>
    <col min="25" max="29" width="10.28515625" style="52" customWidth="1"/>
    <col min="30" max="42" width="8.7109375" style="52"/>
    <col min="43" max="43" width="9.42578125" style="52" bestFit="1" customWidth="1"/>
    <col min="44" max="16384" width="8.7109375" style="52"/>
  </cols>
  <sheetData>
    <row r="1" spans="1:43" ht="15" x14ac:dyDescent="0.25">
      <c r="AQ1" s="280" t="s">
        <v>158</v>
      </c>
    </row>
    <row r="2" spans="1:43" ht="15" x14ac:dyDescent="0.25">
      <c r="AQ2" s="280" t="s">
        <v>159</v>
      </c>
    </row>
    <row r="3" spans="1:43" ht="15" x14ac:dyDescent="0.25">
      <c r="AQ3" s="280" t="s">
        <v>162</v>
      </c>
    </row>
    <row r="4" spans="1:43" s="38" customFormat="1" x14ac:dyDescent="0.2">
      <c r="A4" s="36" t="s">
        <v>8</v>
      </c>
      <c r="B4" s="36"/>
      <c r="C4" s="36"/>
      <c r="D4" s="37"/>
      <c r="E4" s="37"/>
      <c r="F4" s="37"/>
      <c r="K4" s="37"/>
      <c r="L4" s="37"/>
      <c r="M4" s="39"/>
      <c r="N4" s="40"/>
      <c r="O4" s="39"/>
    </row>
    <row r="5" spans="1:43" s="38" customFormat="1" x14ac:dyDescent="0.2">
      <c r="A5" s="36"/>
      <c r="B5" s="36"/>
      <c r="C5" s="41"/>
      <c r="D5" s="42"/>
      <c r="E5" s="41"/>
      <c r="G5" s="37"/>
      <c r="H5" s="43"/>
      <c r="I5" s="44"/>
      <c r="J5" s="37"/>
      <c r="K5" s="37"/>
      <c r="L5" s="37"/>
      <c r="M5" s="45"/>
      <c r="N5" s="40"/>
      <c r="O5" s="39"/>
    </row>
    <row r="6" spans="1:43" s="38" customFormat="1" x14ac:dyDescent="0.2">
      <c r="A6" s="46"/>
      <c r="B6" s="243"/>
      <c r="C6" s="47"/>
      <c r="D6" s="48"/>
      <c r="E6" s="47"/>
      <c r="F6" s="49"/>
      <c r="G6" s="37"/>
      <c r="H6" s="50"/>
      <c r="K6" s="51"/>
      <c r="L6" s="51"/>
      <c r="M6" s="45"/>
      <c r="N6" s="40"/>
      <c r="O6" s="43"/>
    </row>
    <row r="7" spans="1:43" s="38" customFormat="1" ht="6.6" customHeight="1" x14ac:dyDescent="0.2">
      <c r="A7" s="52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43" s="38" customFormat="1" x14ac:dyDescent="0.2">
      <c r="A8" s="54" t="s">
        <v>145</v>
      </c>
      <c r="B8" s="54"/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>
        <v>6</v>
      </c>
      <c r="I8" s="55">
        <v>7</v>
      </c>
      <c r="J8" s="55">
        <v>8</v>
      </c>
      <c r="K8" s="55">
        <v>9</v>
      </c>
      <c r="L8" s="55">
        <v>10</v>
      </c>
      <c r="M8" s="55">
        <v>11</v>
      </c>
      <c r="N8" s="55">
        <v>12</v>
      </c>
      <c r="O8" s="55">
        <v>13</v>
      </c>
      <c r="P8" s="55">
        <v>14</v>
      </c>
      <c r="Q8" s="55">
        <v>15</v>
      </c>
      <c r="R8" s="55">
        <v>16</v>
      </c>
      <c r="S8" s="55">
        <v>17</v>
      </c>
      <c r="T8" s="55">
        <v>18</v>
      </c>
      <c r="U8" s="55">
        <v>19</v>
      </c>
      <c r="V8" s="55">
        <v>20</v>
      </c>
      <c r="W8" s="55">
        <v>21</v>
      </c>
      <c r="X8" s="55">
        <v>22</v>
      </c>
      <c r="Y8" s="55">
        <v>23</v>
      </c>
      <c r="Z8" s="55">
        <v>24</v>
      </c>
      <c r="AA8" s="55">
        <v>25</v>
      </c>
      <c r="AB8" s="55">
        <v>26</v>
      </c>
      <c r="AC8" s="55">
        <v>27</v>
      </c>
      <c r="AD8" s="55">
        <v>28</v>
      </c>
      <c r="AE8" s="55">
        <v>29</v>
      </c>
      <c r="AF8" s="55">
        <v>30</v>
      </c>
      <c r="AG8" s="55">
        <v>31</v>
      </c>
      <c r="AH8" s="55">
        <v>32</v>
      </c>
      <c r="AI8" s="55">
        <v>33</v>
      </c>
      <c r="AJ8" s="55">
        <v>34</v>
      </c>
      <c r="AK8" s="55">
        <v>35</v>
      </c>
      <c r="AL8" s="55">
        <v>36</v>
      </c>
      <c r="AM8" s="55">
        <v>37</v>
      </c>
      <c r="AN8" s="55">
        <v>38</v>
      </c>
      <c r="AO8" s="55">
        <v>39</v>
      </c>
      <c r="AP8" s="55">
        <v>40</v>
      </c>
      <c r="AQ8" s="55" t="s">
        <v>1</v>
      </c>
    </row>
    <row r="9" spans="1:43" s="38" customFormat="1" x14ac:dyDescent="0.2">
      <c r="A9" s="56" t="s">
        <v>38</v>
      </c>
      <c r="B9" s="56"/>
      <c r="C9" s="57">
        <v>0.2</v>
      </c>
      <c r="D9" s="57">
        <v>0.32</v>
      </c>
      <c r="E9" s="57">
        <v>0.192</v>
      </c>
      <c r="F9" s="57">
        <v>0.1152</v>
      </c>
      <c r="G9" s="57">
        <v>0.1152</v>
      </c>
      <c r="H9" s="57">
        <v>5.7599999999999998E-2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>
        <f>SUM(C9:AP9)</f>
        <v>0.99999999999999989</v>
      </c>
    </row>
    <row r="10" spans="1:43" s="38" customFormat="1" ht="7.35" customHeight="1" x14ac:dyDescent="0.2">
      <c r="A10" s="58"/>
      <c r="B10" s="58"/>
      <c r="C10" s="53"/>
      <c r="D10" s="53"/>
      <c r="E10" s="53"/>
      <c r="F10" s="53"/>
      <c r="G10" s="53"/>
      <c r="H10" s="53"/>
      <c r="I10" s="59"/>
      <c r="J10" s="59"/>
      <c r="K10" s="59"/>
    </row>
    <row r="11" spans="1:43" ht="13.5" thickBot="1" x14ac:dyDescent="0.25">
      <c r="A11" s="60" t="s">
        <v>39</v>
      </c>
      <c r="B11" s="244" t="s">
        <v>142</v>
      </c>
      <c r="C11" s="61" t="s">
        <v>40</v>
      </c>
      <c r="D11" s="62"/>
      <c r="E11" s="61" t="s">
        <v>41</v>
      </c>
      <c r="F11" s="63"/>
      <c r="G11" s="61" t="s">
        <v>42</v>
      </c>
      <c r="H11" s="62"/>
      <c r="I11" s="61" t="s">
        <v>43</v>
      </c>
      <c r="J11" s="62"/>
      <c r="K11" s="64" t="s">
        <v>44</v>
      </c>
      <c r="L11" s="64" t="s">
        <v>45</v>
      </c>
      <c r="M11" s="65" t="s">
        <v>46</v>
      </c>
      <c r="N11" s="52"/>
    </row>
    <row r="12" spans="1:43" ht="13.5" thickBot="1" x14ac:dyDescent="0.25">
      <c r="A12" s="66"/>
      <c r="B12" s="85" t="s">
        <v>143</v>
      </c>
      <c r="C12" s="67"/>
      <c r="D12" s="68"/>
      <c r="E12" s="67" t="s">
        <v>47</v>
      </c>
      <c r="F12" s="69">
        <f>'Closings By Depr Grp'!AZ7</f>
        <v>0.1</v>
      </c>
      <c r="G12" s="70"/>
      <c r="H12" s="68"/>
      <c r="I12" s="71"/>
      <c r="J12" s="72"/>
      <c r="K12" s="73"/>
      <c r="L12" s="73"/>
      <c r="M12" s="74" t="s">
        <v>48</v>
      </c>
      <c r="N12" s="52"/>
    </row>
    <row r="13" spans="1:43" ht="13.5" thickBot="1" x14ac:dyDescent="0.25">
      <c r="A13" s="66"/>
      <c r="B13" s="85" t="s">
        <v>144</v>
      </c>
      <c r="C13" s="67"/>
      <c r="D13" s="68"/>
      <c r="E13" s="67" t="s">
        <v>15</v>
      </c>
      <c r="F13" s="69">
        <f>'Closings By Depr Grp'!BA7</f>
        <v>5.1400000000000001E-2</v>
      </c>
      <c r="G13" s="70"/>
      <c r="H13" s="68"/>
      <c r="I13" s="71"/>
      <c r="J13" s="72"/>
      <c r="K13" s="73"/>
      <c r="L13" s="75" t="s">
        <v>49</v>
      </c>
      <c r="M13" s="74"/>
      <c r="N13" s="52"/>
    </row>
    <row r="14" spans="1:43" x14ac:dyDescent="0.2">
      <c r="A14" s="76"/>
      <c r="B14" s="123"/>
      <c r="C14" s="71" t="s">
        <v>50</v>
      </c>
      <c r="D14" s="72" t="s">
        <v>51</v>
      </c>
      <c r="E14" s="71" t="s">
        <v>52</v>
      </c>
      <c r="F14" s="72" t="s">
        <v>53</v>
      </c>
      <c r="G14" s="71" t="s">
        <v>50</v>
      </c>
      <c r="H14" s="72" t="s">
        <v>51</v>
      </c>
      <c r="I14" s="71" t="s">
        <v>50</v>
      </c>
      <c r="J14" s="72" t="s">
        <v>54</v>
      </c>
      <c r="K14" s="73" t="s">
        <v>55</v>
      </c>
      <c r="L14" s="75">
        <v>0.21</v>
      </c>
      <c r="M14" s="74" t="s">
        <v>56</v>
      </c>
      <c r="N14" s="52"/>
    </row>
    <row r="15" spans="1:43" x14ac:dyDescent="0.2">
      <c r="A15" s="76"/>
      <c r="B15" s="123"/>
      <c r="C15" s="71"/>
      <c r="D15" s="72"/>
      <c r="E15" s="71" t="s">
        <v>57</v>
      </c>
      <c r="F15" s="72" t="s">
        <v>58</v>
      </c>
      <c r="G15" s="71" t="s">
        <v>59</v>
      </c>
      <c r="H15" s="72" t="s">
        <v>60</v>
      </c>
      <c r="I15" s="71"/>
      <c r="J15" s="72"/>
      <c r="K15" s="73"/>
      <c r="L15" s="75" t="s">
        <v>61</v>
      </c>
      <c r="M15" s="74" t="s">
        <v>62</v>
      </c>
      <c r="N15" s="52"/>
    </row>
    <row r="16" spans="1:43" ht="15" x14ac:dyDescent="0.25">
      <c r="A16" s="77"/>
      <c r="B16" s="245"/>
      <c r="C16" s="78" t="s">
        <v>63</v>
      </c>
      <c r="D16" s="79" t="s">
        <v>64</v>
      </c>
      <c r="E16" s="78"/>
      <c r="F16" s="79" t="s">
        <v>65</v>
      </c>
      <c r="G16" s="78" t="s">
        <v>66</v>
      </c>
      <c r="H16" s="79" t="s">
        <v>67</v>
      </c>
      <c r="I16" s="78" t="s">
        <v>68</v>
      </c>
      <c r="J16" s="79" t="s">
        <v>69</v>
      </c>
      <c r="K16" s="80" t="s">
        <v>70</v>
      </c>
      <c r="L16" s="81">
        <v>0.21</v>
      </c>
      <c r="M16" s="82" t="s">
        <v>71</v>
      </c>
      <c r="N16" s="83"/>
    </row>
    <row r="17" spans="1:27" ht="15.75" thickBot="1" x14ac:dyDescent="0.3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87"/>
      <c r="M17" s="88"/>
      <c r="N17" s="83"/>
      <c r="Y17" s="264"/>
      <c r="Z17" s="264"/>
      <c r="AA17" s="264"/>
    </row>
    <row r="18" spans="1:27" ht="15" x14ac:dyDescent="0.25">
      <c r="A18" s="90">
        <v>44227</v>
      </c>
      <c r="B18" s="255"/>
      <c r="C18" s="91"/>
      <c r="D18" s="91">
        <f>B18</f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P18" s="92"/>
      <c r="Q18" s="93" t="s">
        <v>72</v>
      </c>
      <c r="R18" s="94"/>
      <c r="S18" s="94"/>
      <c r="T18" s="94"/>
      <c r="U18" s="94"/>
      <c r="V18" s="94"/>
      <c r="W18" s="94"/>
      <c r="X18" s="95"/>
      <c r="Y18" s="264"/>
      <c r="Z18" s="264"/>
      <c r="AA18" s="264"/>
    </row>
    <row r="19" spans="1:27" ht="15" x14ac:dyDescent="0.25">
      <c r="A19" s="90">
        <v>44255</v>
      </c>
      <c r="B19" s="255"/>
      <c r="C19" s="91"/>
      <c r="D19" s="91">
        <f>D18+B19</f>
        <v>0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P19" s="96"/>
      <c r="Q19" s="97"/>
      <c r="R19" s="98" t="s">
        <v>73</v>
      </c>
      <c r="S19" s="98"/>
      <c r="T19" s="99"/>
      <c r="U19" s="100" t="s">
        <v>74</v>
      </c>
      <c r="V19" s="98"/>
      <c r="W19" s="98"/>
      <c r="X19" s="101"/>
      <c r="Y19" s="264"/>
      <c r="Z19" s="264"/>
      <c r="AA19" s="264"/>
    </row>
    <row r="20" spans="1:27" ht="15" x14ac:dyDescent="0.25">
      <c r="A20" s="90">
        <v>44286</v>
      </c>
      <c r="B20" s="255"/>
      <c r="C20" s="91"/>
      <c r="D20" s="91">
        <f t="shared" ref="D20:D77" si="0">D19+B20</f>
        <v>0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P20" s="96"/>
      <c r="Q20" s="102"/>
      <c r="R20" s="103"/>
      <c r="S20" s="103"/>
      <c r="T20" s="104" t="s">
        <v>75</v>
      </c>
      <c r="U20" s="105"/>
      <c r="V20" s="106"/>
      <c r="W20" s="106"/>
      <c r="X20" s="107"/>
      <c r="Y20" s="264"/>
      <c r="Z20" s="264"/>
      <c r="AA20" s="264"/>
    </row>
    <row r="21" spans="1:27" ht="15" x14ac:dyDescent="0.25">
      <c r="A21" s="90">
        <v>44316</v>
      </c>
      <c r="B21" s="255"/>
      <c r="C21" s="91"/>
      <c r="D21" s="91">
        <f t="shared" si="0"/>
        <v>0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P21" s="96" t="s">
        <v>76</v>
      </c>
      <c r="Q21" s="108" t="s">
        <v>77</v>
      </c>
      <c r="R21" s="109" t="s">
        <v>78</v>
      </c>
      <c r="S21" s="109" t="s">
        <v>79</v>
      </c>
      <c r="T21" s="104" t="s">
        <v>80</v>
      </c>
      <c r="U21" s="108" t="s">
        <v>81</v>
      </c>
      <c r="V21" s="109" t="s">
        <v>82</v>
      </c>
      <c r="W21" s="109" t="s">
        <v>83</v>
      </c>
      <c r="X21" s="110" t="s">
        <v>84</v>
      </c>
      <c r="Y21" s="264"/>
      <c r="Z21" s="264"/>
      <c r="AA21" s="264"/>
    </row>
    <row r="22" spans="1:27" ht="15" x14ac:dyDescent="0.25">
      <c r="A22" s="90">
        <v>44347</v>
      </c>
      <c r="B22" s="255"/>
      <c r="C22" s="91"/>
      <c r="D22" s="91">
        <f t="shared" si="0"/>
        <v>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P22" s="96"/>
      <c r="Q22" s="111" t="s">
        <v>78</v>
      </c>
      <c r="R22" s="112" t="s">
        <v>85</v>
      </c>
      <c r="S22" s="112" t="s">
        <v>2</v>
      </c>
      <c r="T22" s="113" t="s">
        <v>86</v>
      </c>
      <c r="U22" s="111" t="s">
        <v>87</v>
      </c>
      <c r="V22" s="112" t="s">
        <v>88</v>
      </c>
      <c r="W22" s="112" t="s">
        <v>89</v>
      </c>
      <c r="X22" s="114" t="s">
        <v>90</v>
      </c>
      <c r="Y22" s="264"/>
      <c r="Z22" s="264"/>
      <c r="AA22" s="264"/>
    </row>
    <row r="23" spans="1:27" ht="15" x14ac:dyDescent="0.25">
      <c r="A23" s="90">
        <v>44377</v>
      </c>
      <c r="B23" s="255"/>
      <c r="C23" s="91"/>
      <c r="D23" s="91">
        <f t="shared" si="0"/>
        <v>0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96"/>
      <c r="Q23" s="115" t="s">
        <v>91</v>
      </c>
      <c r="R23" s="116" t="s">
        <v>92</v>
      </c>
      <c r="S23" s="117" t="s">
        <v>93</v>
      </c>
      <c r="T23" s="118" t="s">
        <v>94</v>
      </c>
      <c r="U23" s="115" t="s">
        <v>95</v>
      </c>
      <c r="V23" s="119" t="s">
        <v>96</v>
      </c>
      <c r="W23" s="109" t="s">
        <v>97</v>
      </c>
      <c r="X23" s="120" t="s">
        <v>98</v>
      </c>
      <c r="Y23" s="264"/>
      <c r="Z23" s="264"/>
      <c r="AA23" s="264"/>
    </row>
    <row r="24" spans="1:27" ht="15" x14ac:dyDescent="0.25">
      <c r="A24" s="90">
        <v>44408</v>
      </c>
      <c r="B24" s="255"/>
      <c r="C24" s="91"/>
      <c r="D24" s="91">
        <f t="shared" si="0"/>
        <v>0</v>
      </c>
      <c r="E24" s="91"/>
      <c r="F24" s="121"/>
      <c r="G24" s="122"/>
      <c r="H24" s="91"/>
      <c r="I24" s="122"/>
      <c r="J24" s="91"/>
      <c r="K24" s="122"/>
      <c r="L24" s="122"/>
      <c r="M24" s="91"/>
      <c r="N24" s="91"/>
      <c r="O24" s="123"/>
      <c r="P24" s="124"/>
      <c r="Q24" s="125"/>
      <c r="R24" s="126"/>
      <c r="S24" s="127"/>
      <c r="T24" s="128" t="s">
        <v>99</v>
      </c>
      <c r="U24" s="125" t="s">
        <v>100</v>
      </c>
      <c r="V24" s="129"/>
      <c r="W24" s="130"/>
      <c r="X24" s="131" t="s">
        <v>101</v>
      </c>
      <c r="Y24" s="264"/>
      <c r="Z24" s="264"/>
      <c r="AA24" s="264"/>
    </row>
    <row r="25" spans="1:27" ht="15" x14ac:dyDescent="0.25">
      <c r="A25" s="90">
        <v>44439</v>
      </c>
      <c r="B25" s="255"/>
      <c r="C25" s="91"/>
      <c r="D25" s="91">
        <f t="shared" si="0"/>
        <v>0</v>
      </c>
      <c r="E25" s="91"/>
      <c r="F25" s="91"/>
      <c r="G25" s="122"/>
      <c r="H25" s="121"/>
      <c r="I25" s="122"/>
      <c r="J25" s="91"/>
      <c r="K25" s="122"/>
      <c r="L25" s="122"/>
      <c r="M25" s="91"/>
      <c r="N25" s="132"/>
      <c r="O25" s="123"/>
      <c r="P25" s="133">
        <v>1</v>
      </c>
      <c r="Q25" s="134"/>
      <c r="R25" s="135"/>
      <c r="S25" s="136"/>
      <c r="T25" s="137"/>
      <c r="U25" s="138"/>
      <c r="V25" s="139"/>
      <c r="W25" s="136"/>
      <c r="X25" s="140"/>
      <c r="Y25" s="264"/>
      <c r="Z25" s="264"/>
      <c r="AA25" s="264"/>
    </row>
    <row r="26" spans="1:27" ht="15" x14ac:dyDescent="0.25">
      <c r="A26" s="90">
        <v>44469</v>
      </c>
      <c r="B26" s="255"/>
      <c r="C26" s="91"/>
      <c r="D26" s="91">
        <f t="shared" si="0"/>
        <v>0</v>
      </c>
      <c r="E26" s="91"/>
      <c r="F26" s="91"/>
      <c r="G26" s="91"/>
      <c r="H26" s="91"/>
      <c r="I26" s="91"/>
      <c r="J26" s="91"/>
      <c r="K26" s="91"/>
      <c r="L26" s="91"/>
      <c r="M26" s="91"/>
      <c r="N26" s="132"/>
      <c r="O26" s="123"/>
      <c r="P26" s="133">
        <v>2</v>
      </c>
      <c r="Q26" s="134"/>
      <c r="R26" s="135">
        <v>44926</v>
      </c>
      <c r="S26" s="136">
        <f>+'E3631'!M41</f>
        <v>0</v>
      </c>
      <c r="T26" s="141">
        <f>+'E3631'!L41</f>
        <v>0</v>
      </c>
      <c r="U26" s="138"/>
      <c r="V26" s="139"/>
      <c r="W26" s="136"/>
      <c r="X26" s="142">
        <f>T26</f>
        <v>0</v>
      </c>
      <c r="Y26" s="264"/>
      <c r="Z26" s="264"/>
      <c r="AA26" s="264"/>
    </row>
    <row r="27" spans="1:27" ht="15" x14ac:dyDescent="0.25">
      <c r="A27" s="90">
        <v>44500</v>
      </c>
      <c r="B27" s="255"/>
      <c r="C27" s="91"/>
      <c r="D27" s="91">
        <f t="shared" si="0"/>
        <v>0</v>
      </c>
      <c r="E27" s="91"/>
      <c r="F27" s="91"/>
      <c r="G27" s="91"/>
      <c r="H27" s="91"/>
      <c r="I27" s="91"/>
      <c r="J27" s="91"/>
      <c r="K27" s="91"/>
      <c r="L27" s="91"/>
      <c r="M27" s="91"/>
      <c r="N27" s="132"/>
      <c r="O27" s="123"/>
      <c r="P27" s="133">
        <v>3</v>
      </c>
      <c r="Q27" s="134">
        <f t="shared" ref="Q27:Q38" si="1">DAY(EOMONTH(R27,0))</f>
        <v>31</v>
      </c>
      <c r="R27" s="135">
        <v>44927</v>
      </c>
      <c r="S27" s="136">
        <f>+'E3631'!M42</f>
        <v>0</v>
      </c>
      <c r="T27" s="143">
        <f t="shared" ref="T27:T38" si="2">+T26-S27</f>
        <v>0</v>
      </c>
      <c r="U27" s="138">
        <f>V27-SUM($Q$26:Q27)+1</f>
        <v>335</v>
      </c>
      <c r="V27" s="139">
        <f>Q39</f>
        <v>365</v>
      </c>
      <c r="W27" s="136">
        <f t="shared" ref="W27:W38" si="3">+U27/V27*S27</f>
        <v>0</v>
      </c>
      <c r="X27" s="140">
        <f t="shared" ref="X27:X38" si="4">+X26-W27</f>
        <v>0</v>
      </c>
      <c r="Y27" s="264"/>
      <c r="Z27" s="264"/>
      <c r="AA27" s="264"/>
    </row>
    <row r="28" spans="1:27" ht="15" x14ac:dyDescent="0.25">
      <c r="A28" s="90">
        <v>44530</v>
      </c>
      <c r="B28" s="255"/>
      <c r="C28" s="91"/>
      <c r="D28" s="91">
        <f t="shared" si="0"/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132"/>
      <c r="O28" s="144"/>
      <c r="P28" s="133">
        <v>4</v>
      </c>
      <c r="Q28" s="134">
        <f t="shared" si="1"/>
        <v>28</v>
      </c>
      <c r="R28" s="135">
        <v>44958</v>
      </c>
      <c r="S28" s="136">
        <f>+'E3631'!M43</f>
        <v>0</v>
      </c>
      <c r="T28" s="143">
        <f t="shared" si="2"/>
        <v>0</v>
      </c>
      <c r="U28" s="138">
        <f>V28-SUM($Q$26:Q28)+1</f>
        <v>307</v>
      </c>
      <c r="V28" s="139">
        <f t="shared" ref="V28:V38" si="5">V27</f>
        <v>365</v>
      </c>
      <c r="W28" s="136">
        <f t="shared" si="3"/>
        <v>0</v>
      </c>
      <c r="X28" s="140">
        <f t="shared" si="4"/>
        <v>0</v>
      </c>
      <c r="Y28" s="264"/>
      <c r="Z28" s="264"/>
      <c r="AA28" s="264"/>
    </row>
    <row r="29" spans="1:27" ht="15" x14ac:dyDescent="0.25">
      <c r="A29" s="90">
        <v>44561</v>
      </c>
      <c r="B29" s="255"/>
      <c r="C29" s="122"/>
      <c r="D29" s="258">
        <f t="shared" si="0"/>
        <v>0</v>
      </c>
      <c r="E29" s="91"/>
      <c r="F29" s="122"/>
      <c r="G29" s="121"/>
      <c r="H29" s="122"/>
      <c r="I29" s="121"/>
      <c r="J29" s="122"/>
      <c r="K29" s="121"/>
      <c r="L29" s="91"/>
      <c r="M29" s="91"/>
      <c r="N29" s="145"/>
      <c r="O29" s="146"/>
      <c r="P29" s="133">
        <v>5</v>
      </c>
      <c r="Q29" s="134">
        <f t="shared" si="1"/>
        <v>31</v>
      </c>
      <c r="R29" s="135">
        <v>44986</v>
      </c>
      <c r="S29" s="136">
        <f>+'E3631'!M44</f>
        <v>0</v>
      </c>
      <c r="T29" s="143">
        <f t="shared" si="2"/>
        <v>0</v>
      </c>
      <c r="U29" s="138">
        <f>V29-SUM($Q$26:Q29)+1</f>
        <v>276</v>
      </c>
      <c r="V29" s="139">
        <f t="shared" si="5"/>
        <v>365</v>
      </c>
      <c r="W29" s="136">
        <f t="shared" si="3"/>
        <v>0</v>
      </c>
      <c r="X29" s="140">
        <f t="shared" si="4"/>
        <v>0</v>
      </c>
      <c r="Y29" s="264"/>
      <c r="Z29" s="264"/>
      <c r="AA29" s="264"/>
    </row>
    <row r="30" spans="1:27" ht="15" x14ac:dyDescent="0.25">
      <c r="A30" s="147">
        <v>44592</v>
      </c>
      <c r="B30" s="256">
        <f t="array" ref="B30:B77">TRANSPOSE('Closings By Depr Grp'!B7:AW7)</f>
        <v>0</v>
      </c>
      <c r="C30" s="148">
        <f t="shared" ref="C30:C77" si="6">D30</f>
        <v>0</v>
      </c>
      <c r="D30" s="91">
        <f t="shared" si="0"/>
        <v>0</v>
      </c>
      <c r="E30" s="148">
        <f>(($C$29*$D$9/12)+(($C$41-$C$29)*$C$9/12))</f>
        <v>0</v>
      </c>
      <c r="F30" s="149">
        <f>+(D29*$F$12/12)+(((D30-D29)*$F$12/12)*0.5)</f>
        <v>0</v>
      </c>
      <c r="G30" s="148">
        <f t="shared" ref="G30:H45" si="7">-E30+G29</f>
        <v>0</v>
      </c>
      <c r="H30" s="149">
        <f t="shared" si="7"/>
        <v>0</v>
      </c>
      <c r="I30" s="148">
        <f t="shared" ref="I30:J45" si="8">C30+G30</f>
        <v>0</v>
      </c>
      <c r="J30" s="149">
        <f t="shared" si="8"/>
        <v>0</v>
      </c>
      <c r="K30" s="148">
        <f t="shared" ref="K30:K72" si="9">J30-I30</f>
        <v>0</v>
      </c>
      <c r="L30" s="148">
        <f t="shared" ref="L30:L77" si="10">-K30*$L$14</f>
        <v>0</v>
      </c>
      <c r="M30" s="148">
        <f t="shared" ref="M30:M77" si="11">-L30+L29</f>
        <v>0</v>
      </c>
      <c r="N30" s="132"/>
      <c r="O30" s="123"/>
      <c r="P30" s="133">
        <v>6</v>
      </c>
      <c r="Q30" s="134">
        <f t="shared" si="1"/>
        <v>30</v>
      </c>
      <c r="R30" s="135">
        <v>45017</v>
      </c>
      <c r="S30" s="136">
        <f>+'E3631'!M45</f>
        <v>0</v>
      </c>
      <c r="T30" s="143">
        <f t="shared" si="2"/>
        <v>0</v>
      </c>
      <c r="U30" s="138">
        <f>V30-SUM($Q$26:Q30)+1</f>
        <v>246</v>
      </c>
      <c r="V30" s="139">
        <f t="shared" si="5"/>
        <v>365</v>
      </c>
      <c r="W30" s="136">
        <f t="shared" si="3"/>
        <v>0</v>
      </c>
      <c r="X30" s="140">
        <f t="shared" si="4"/>
        <v>0</v>
      </c>
      <c r="Y30" s="264"/>
      <c r="Z30" s="264"/>
      <c r="AA30" s="264"/>
    </row>
    <row r="31" spans="1:27" ht="15" x14ac:dyDescent="0.25">
      <c r="A31" s="90">
        <v>44620</v>
      </c>
      <c r="B31" s="257">
        <v>0</v>
      </c>
      <c r="C31" s="91">
        <f t="shared" si="6"/>
        <v>0</v>
      </c>
      <c r="D31" s="91">
        <f t="shared" si="0"/>
        <v>0</v>
      </c>
      <c r="E31" s="91">
        <f t="shared" ref="E31:E41" si="12">(($C$29*$D$9/12)+(($C$41-$C$29)*$C$9/12))</f>
        <v>0</v>
      </c>
      <c r="F31" s="121">
        <f>+(D30*$F$12/12)+(((D31-D30)*$F$12/12)*0.5)</f>
        <v>0</v>
      </c>
      <c r="G31" s="91">
        <f t="shared" si="7"/>
        <v>0</v>
      </c>
      <c r="H31" s="121">
        <f t="shared" si="7"/>
        <v>0</v>
      </c>
      <c r="I31" s="91">
        <f t="shared" si="8"/>
        <v>0</v>
      </c>
      <c r="J31" s="91">
        <f t="shared" si="8"/>
        <v>0</v>
      </c>
      <c r="K31" s="91">
        <f t="shared" si="9"/>
        <v>0</v>
      </c>
      <c r="L31" s="91">
        <f t="shared" si="10"/>
        <v>0</v>
      </c>
      <c r="M31" s="91">
        <f t="shared" si="11"/>
        <v>0</v>
      </c>
      <c r="N31" s="132"/>
      <c r="O31" s="150"/>
      <c r="P31" s="133">
        <v>7</v>
      </c>
      <c r="Q31" s="134">
        <f t="shared" si="1"/>
        <v>31</v>
      </c>
      <c r="R31" s="135">
        <v>45047</v>
      </c>
      <c r="S31" s="136">
        <f>+'E3631'!M46</f>
        <v>0</v>
      </c>
      <c r="T31" s="143">
        <f t="shared" si="2"/>
        <v>0</v>
      </c>
      <c r="U31" s="138">
        <f>V31-SUM($Q$26:Q31)+1</f>
        <v>215</v>
      </c>
      <c r="V31" s="139">
        <f t="shared" si="5"/>
        <v>365</v>
      </c>
      <c r="W31" s="136">
        <f t="shared" si="3"/>
        <v>0</v>
      </c>
      <c r="X31" s="140">
        <f t="shared" si="4"/>
        <v>0</v>
      </c>
      <c r="Y31" s="264"/>
      <c r="Z31" s="264"/>
      <c r="AA31" s="264"/>
    </row>
    <row r="32" spans="1:27" ht="15" x14ac:dyDescent="0.25">
      <c r="A32" s="90">
        <v>44651</v>
      </c>
      <c r="B32" s="257">
        <v>0</v>
      </c>
      <c r="C32" s="91">
        <f t="shared" si="6"/>
        <v>0</v>
      </c>
      <c r="D32" s="91">
        <f t="shared" si="0"/>
        <v>0</v>
      </c>
      <c r="E32" s="91">
        <f t="shared" si="12"/>
        <v>0</v>
      </c>
      <c r="F32" s="121">
        <f>+(D31*$F$12/12)+(((D32-D31)*$F$12/12)*0.5)</f>
        <v>0</v>
      </c>
      <c r="G32" s="91">
        <f t="shared" si="7"/>
        <v>0</v>
      </c>
      <c r="H32" s="121">
        <f t="shared" si="7"/>
        <v>0</v>
      </c>
      <c r="I32" s="91">
        <f t="shared" si="8"/>
        <v>0</v>
      </c>
      <c r="J32" s="91">
        <f t="shared" si="8"/>
        <v>0</v>
      </c>
      <c r="K32" s="91">
        <f t="shared" si="9"/>
        <v>0</v>
      </c>
      <c r="L32" s="91">
        <f t="shared" si="10"/>
        <v>0</v>
      </c>
      <c r="M32" s="91">
        <f t="shared" si="11"/>
        <v>0</v>
      </c>
      <c r="N32" s="132"/>
      <c r="O32" s="123"/>
      <c r="P32" s="133">
        <v>8</v>
      </c>
      <c r="Q32" s="134">
        <f t="shared" si="1"/>
        <v>30</v>
      </c>
      <c r="R32" s="135">
        <v>45078</v>
      </c>
      <c r="S32" s="136">
        <f>+'E3631'!M47</f>
        <v>0</v>
      </c>
      <c r="T32" s="143">
        <f t="shared" si="2"/>
        <v>0</v>
      </c>
      <c r="U32" s="138">
        <f>V32-SUM($Q$26:Q32)+1</f>
        <v>185</v>
      </c>
      <c r="V32" s="139">
        <f t="shared" si="5"/>
        <v>365</v>
      </c>
      <c r="W32" s="136">
        <f t="shared" si="3"/>
        <v>0</v>
      </c>
      <c r="X32" s="140">
        <f t="shared" si="4"/>
        <v>0</v>
      </c>
      <c r="Y32" s="264"/>
      <c r="Z32" s="264"/>
      <c r="AA32" s="264"/>
    </row>
    <row r="33" spans="1:35" ht="15" x14ac:dyDescent="0.25">
      <c r="A33" s="90">
        <v>44681</v>
      </c>
      <c r="B33" s="257">
        <v>0</v>
      </c>
      <c r="C33" s="91">
        <f t="shared" si="6"/>
        <v>0</v>
      </c>
      <c r="D33" s="91">
        <f t="shared" si="0"/>
        <v>0</v>
      </c>
      <c r="E33" s="91">
        <f t="shared" si="12"/>
        <v>0</v>
      </c>
      <c r="F33" s="121">
        <f t="shared" ref="F33:F41" si="13">+(D32*$F$12/12)+(((D33-D32)*$F$12/12)*0.5)</f>
        <v>0</v>
      </c>
      <c r="G33" s="91">
        <f t="shared" si="7"/>
        <v>0</v>
      </c>
      <c r="H33" s="121">
        <f t="shared" si="7"/>
        <v>0</v>
      </c>
      <c r="I33" s="91">
        <f t="shared" si="8"/>
        <v>0</v>
      </c>
      <c r="J33" s="91">
        <f t="shared" si="8"/>
        <v>0</v>
      </c>
      <c r="K33" s="91">
        <f t="shared" si="9"/>
        <v>0</v>
      </c>
      <c r="L33" s="91">
        <f t="shared" si="10"/>
        <v>0</v>
      </c>
      <c r="M33" s="91">
        <f t="shared" si="11"/>
        <v>0</v>
      </c>
      <c r="N33" s="132"/>
      <c r="O33" s="123"/>
      <c r="P33" s="133">
        <v>9</v>
      </c>
      <c r="Q33" s="134">
        <f t="shared" si="1"/>
        <v>31</v>
      </c>
      <c r="R33" s="135">
        <v>45108</v>
      </c>
      <c r="S33" s="136">
        <f>+'E3631'!M48</f>
        <v>0</v>
      </c>
      <c r="T33" s="143">
        <f t="shared" si="2"/>
        <v>0</v>
      </c>
      <c r="U33" s="138">
        <f>V33-SUM($Q$26:Q33)+1</f>
        <v>154</v>
      </c>
      <c r="V33" s="139">
        <f t="shared" si="5"/>
        <v>365</v>
      </c>
      <c r="W33" s="136">
        <f t="shared" si="3"/>
        <v>0</v>
      </c>
      <c r="X33" s="140">
        <f t="shared" si="4"/>
        <v>0</v>
      </c>
      <c r="Y33" s="264"/>
      <c r="Z33" s="264"/>
      <c r="AA33" s="264"/>
    </row>
    <row r="34" spans="1:35" ht="15" x14ac:dyDescent="0.25">
      <c r="A34" s="90">
        <v>44712</v>
      </c>
      <c r="B34" s="257">
        <v>0</v>
      </c>
      <c r="C34" s="91">
        <f t="shared" si="6"/>
        <v>0</v>
      </c>
      <c r="D34" s="91">
        <f t="shared" si="0"/>
        <v>0</v>
      </c>
      <c r="E34" s="91">
        <f t="shared" si="12"/>
        <v>0</v>
      </c>
      <c r="F34" s="121">
        <f t="shared" si="13"/>
        <v>0</v>
      </c>
      <c r="G34" s="91">
        <f t="shared" si="7"/>
        <v>0</v>
      </c>
      <c r="H34" s="121">
        <f t="shared" si="7"/>
        <v>0</v>
      </c>
      <c r="I34" s="91">
        <f t="shared" si="8"/>
        <v>0</v>
      </c>
      <c r="J34" s="91">
        <f t="shared" si="8"/>
        <v>0</v>
      </c>
      <c r="K34" s="91">
        <f t="shared" si="9"/>
        <v>0</v>
      </c>
      <c r="L34" s="91">
        <f t="shared" si="10"/>
        <v>0</v>
      </c>
      <c r="M34" s="91">
        <f t="shared" si="11"/>
        <v>0</v>
      </c>
      <c r="N34" s="132"/>
      <c r="O34" s="123"/>
      <c r="P34" s="133">
        <v>10</v>
      </c>
      <c r="Q34" s="134">
        <f t="shared" si="1"/>
        <v>31</v>
      </c>
      <c r="R34" s="135">
        <v>45139</v>
      </c>
      <c r="S34" s="136">
        <f>+'E3631'!M49</f>
        <v>0</v>
      </c>
      <c r="T34" s="143">
        <f t="shared" si="2"/>
        <v>0</v>
      </c>
      <c r="U34" s="138">
        <f>V34-SUM($Q$26:Q34)+1</f>
        <v>123</v>
      </c>
      <c r="V34" s="139">
        <f t="shared" si="5"/>
        <v>365</v>
      </c>
      <c r="W34" s="136">
        <f t="shared" si="3"/>
        <v>0</v>
      </c>
      <c r="X34" s="140">
        <f t="shared" si="4"/>
        <v>0</v>
      </c>
      <c r="Y34" s="264"/>
      <c r="Z34" s="264"/>
      <c r="AA34" s="264"/>
    </row>
    <row r="35" spans="1:35" ht="15" x14ac:dyDescent="0.25">
      <c r="A35" s="90">
        <v>44742</v>
      </c>
      <c r="B35" s="257">
        <v>0</v>
      </c>
      <c r="C35" s="91">
        <f t="shared" si="6"/>
        <v>0</v>
      </c>
      <c r="D35" s="91">
        <f t="shared" si="0"/>
        <v>0</v>
      </c>
      <c r="E35" s="91">
        <f t="shared" si="12"/>
        <v>0</v>
      </c>
      <c r="F35" s="121">
        <f t="shared" si="13"/>
        <v>0</v>
      </c>
      <c r="G35" s="91">
        <f t="shared" si="7"/>
        <v>0</v>
      </c>
      <c r="H35" s="121">
        <f t="shared" si="7"/>
        <v>0</v>
      </c>
      <c r="I35" s="91">
        <f t="shared" si="8"/>
        <v>0</v>
      </c>
      <c r="J35" s="91">
        <f t="shared" si="8"/>
        <v>0</v>
      </c>
      <c r="K35" s="91">
        <f t="shared" si="9"/>
        <v>0</v>
      </c>
      <c r="L35" s="91">
        <f t="shared" si="10"/>
        <v>0</v>
      </c>
      <c r="M35" s="91">
        <f t="shared" si="11"/>
        <v>0</v>
      </c>
      <c r="N35" s="132"/>
      <c r="O35" s="123"/>
      <c r="P35" s="133">
        <v>11</v>
      </c>
      <c r="Q35" s="134">
        <f t="shared" si="1"/>
        <v>30</v>
      </c>
      <c r="R35" s="135">
        <v>45170</v>
      </c>
      <c r="S35" s="136">
        <f>+'E3631'!M50</f>
        <v>0</v>
      </c>
      <c r="T35" s="143">
        <f t="shared" si="2"/>
        <v>0</v>
      </c>
      <c r="U35" s="138">
        <f>V35-SUM($Q$26:Q35)+1</f>
        <v>93</v>
      </c>
      <c r="V35" s="139">
        <f t="shared" si="5"/>
        <v>365</v>
      </c>
      <c r="W35" s="136">
        <f t="shared" si="3"/>
        <v>0</v>
      </c>
      <c r="X35" s="140">
        <f t="shared" si="4"/>
        <v>0</v>
      </c>
      <c r="Y35" s="264"/>
      <c r="Z35" s="264"/>
      <c r="AA35" s="264"/>
    </row>
    <row r="36" spans="1:35" ht="15" x14ac:dyDescent="0.25">
      <c r="A36" s="90">
        <v>44773</v>
      </c>
      <c r="B36" s="257">
        <v>0</v>
      </c>
      <c r="C36" s="91">
        <f t="shared" si="6"/>
        <v>0</v>
      </c>
      <c r="D36" s="91">
        <f t="shared" si="0"/>
        <v>0</v>
      </c>
      <c r="E36" s="91">
        <f t="shared" si="12"/>
        <v>0</v>
      </c>
      <c r="F36" s="121">
        <f t="shared" si="13"/>
        <v>0</v>
      </c>
      <c r="G36" s="91">
        <f t="shared" si="7"/>
        <v>0</v>
      </c>
      <c r="H36" s="121">
        <f t="shared" si="7"/>
        <v>0</v>
      </c>
      <c r="I36" s="91">
        <f t="shared" si="8"/>
        <v>0</v>
      </c>
      <c r="J36" s="91">
        <f t="shared" si="8"/>
        <v>0</v>
      </c>
      <c r="K36" s="91">
        <f t="shared" si="9"/>
        <v>0</v>
      </c>
      <c r="L36" s="91">
        <f t="shared" si="10"/>
        <v>0</v>
      </c>
      <c r="M36" s="91">
        <f t="shared" si="11"/>
        <v>0</v>
      </c>
      <c r="N36" s="132"/>
      <c r="O36" s="123"/>
      <c r="P36" s="133">
        <v>12</v>
      </c>
      <c r="Q36" s="134">
        <f t="shared" si="1"/>
        <v>31</v>
      </c>
      <c r="R36" s="135">
        <v>45200</v>
      </c>
      <c r="S36" s="136">
        <f>+'E3631'!M51</f>
        <v>0</v>
      </c>
      <c r="T36" s="143">
        <f t="shared" si="2"/>
        <v>0</v>
      </c>
      <c r="U36" s="138">
        <f>V36-SUM($Q$26:Q36)+1</f>
        <v>62</v>
      </c>
      <c r="V36" s="139">
        <f t="shared" si="5"/>
        <v>365</v>
      </c>
      <c r="W36" s="136">
        <f t="shared" si="3"/>
        <v>0</v>
      </c>
      <c r="X36" s="140">
        <f t="shared" si="4"/>
        <v>0</v>
      </c>
      <c r="Y36" s="264"/>
      <c r="Z36" s="264"/>
      <c r="AA36" s="264"/>
    </row>
    <row r="37" spans="1:35" ht="15" x14ac:dyDescent="0.25">
      <c r="A37" s="90">
        <v>44804</v>
      </c>
      <c r="B37" s="257">
        <v>0</v>
      </c>
      <c r="C37" s="91">
        <f t="shared" si="6"/>
        <v>0</v>
      </c>
      <c r="D37" s="91">
        <f t="shared" si="0"/>
        <v>0</v>
      </c>
      <c r="E37" s="91">
        <f t="shared" si="12"/>
        <v>0</v>
      </c>
      <c r="F37" s="121">
        <f t="shared" si="13"/>
        <v>0</v>
      </c>
      <c r="G37" s="91">
        <f t="shared" si="7"/>
        <v>0</v>
      </c>
      <c r="H37" s="121">
        <f t="shared" si="7"/>
        <v>0</v>
      </c>
      <c r="I37" s="91">
        <f t="shared" si="8"/>
        <v>0</v>
      </c>
      <c r="J37" s="91">
        <f t="shared" si="8"/>
        <v>0</v>
      </c>
      <c r="K37" s="91">
        <f t="shared" si="9"/>
        <v>0</v>
      </c>
      <c r="L37" s="91">
        <f t="shared" si="10"/>
        <v>0</v>
      </c>
      <c r="M37" s="91">
        <f t="shared" si="11"/>
        <v>0</v>
      </c>
      <c r="N37" s="132"/>
      <c r="O37" s="123"/>
      <c r="P37" s="133">
        <v>13</v>
      </c>
      <c r="Q37" s="134">
        <f t="shared" si="1"/>
        <v>30</v>
      </c>
      <c r="R37" s="135">
        <v>45231</v>
      </c>
      <c r="S37" s="136">
        <f>+'E3631'!M52</f>
        <v>0</v>
      </c>
      <c r="T37" s="143">
        <f t="shared" si="2"/>
        <v>0</v>
      </c>
      <c r="U37" s="138">
        <f>V37-SUM($Q$26:Q37)+1</f>
        <v>32</v>
      </c>
      <c r="V37" s="139">
        <f t="shared" si="5"/>
        <v>365</v>
      </c>
      <c r="W37" s="136">
        <f t="shared" si="3"/>
        <v>0</v>
      </c>
      <c r="X37" s="140">
        <f t="shared" si="4"/>
        <v>0</v>
      </c>
      <c r="Y37" s="264"/>
      <c r="Z37" s="264"/>
      <c r="AA37" s="264"/>
    </row>
    <row r="38" spans="1:35" ht="15" x14ac:dyDescent="0.25">
      <c r="A38" s="90">
        <v>44834</v>
      </c>
      <c r="B38" s="257">
        <v>0</v>
      </c>
      <c r="C38" s="91">
        <f t="shared" si="6"/>
        <v>0</v>
      </c>
      <c r="D38" s="91">
        <f t="shared" si="0"/>
        <v>0</v>
      </c>
      <c r="E38" s="91">
        <f t="shared" si="12"/>
        <v>0</v>
      </c>
      <c r="F38" s="121">
        <f t="shared" si="13"/>
        <v>0</v>
      </c>
      <c r="G38" s="91">
        <f t="shared" si="7"/>
        <v>0</v>
      </c>
      <c r="H38" s="121">
        <f t="shared" si="7"/>
        <v>0</v>
      </c>
      <c r="I38" s="91">
        <f t="shared" si="8"/>
        <v>0</v>
      </c>
      <c r="J38" s="91">
        <f t="shared" si="8"/>
        <v>0</v>
      </c>
      <c r="K38" s="91">
        <f t="shared" si="9"/>
        <v>0</v>
      </c>
      <c r="L38" s="91">
        <f t="shared" si="10"/>
        <v>0</v>
      </c>
      <c r="M38" s="91">
        <f t="shared" si="11"/>
        <v>0</v>
      </c>
      <c r="N38" s="132"/>
      <c r="O38" s="151"/>
      <c r="P38" s="133">
        <v>14</v>
      </c>
      <c r="Q38" s="134">
        <f t="shared" si="1"/>
        <v>31</v>
      </c>
      <c r="R38" s="135">
        <v>45261</v>
      </c>
      <c r="S38" s="136">
        <f>+'E3631'!M53</f>
        <v>0</v>
      </c>
      <c r="T38" s="143">
        <f t="shared" si="2"/>
        <v>0</v>
      </c>
      <c r="U38" s="138">
        <f>V38-SUM($Q$26:Q38)+1</f>
        <v>1</v>
      </c>
      <c r="V38" s="139">
        <f t="shared" si="5"/>
        <v>365</v>
      </c>
      <c r="W38" s="136">
        <f t="shared" si="3"/>
        <v>0</v>
      </c>
      <c r="X38" s="140">
        <f t="shared" si="4"/>
        <v>0</v>
      </c>
      <c r="Y38" s="264"/>
      <c r="Z38" s="264"/>
      <c r="AA38" s="264"/>
    </row>
    <row r="39" spans="1:35" ht="15.75" thickBot="1" x14ac:dyDescent="0.3">
      <c r="A39" s="90">
        <v>44865</v>
      </c>
      <c r="B39" s="257">
        <v>0</v>
      </c>
      <c r="C39" s="91">
        <f t="shared" si="6"/>
        <v>0</v>
      </c>
      <c r="D39" s="91">
        <f t="shared" si="0"/>
        <v>0</v>
      </c>
      <c r="E39" s="91">
        <f t="shared" si="12"/>
        <v>0</v>
      </c>
      <c r="F39" s="121">
        <f t="shared" si="13"/>
        <v>0</v>
      </c>
      <c r="G39" s="91">
        <f t="shared" si="7"/>
        <v>0</v>
      </c>
      <c r="H39" s="121">
        <f t="shared" si="7"/>
        <v>0</v>
      </c>
      <c r="I39" s="91">
        <f t="shared" si="8"/>
        <v>0</v>
      </c>
      <c r="J39" s="91">
        <f t="shared" si="8"/>
        <v>0</v>
      </c>
      <c r="K39" s="91">
        <f t="shared" si="9"/>
        <v>0</v>
      </c>
      <c r="L39" s="91">
        <f t="shared" si="10"/>
        <v>0</v>
      </c>
      <c r="M39" s="91">
        <f t="shared" si="11"/>
        <v>0</v>
      </c>
      <c r="N39" s="132"/>
      <c r="O39" s="123"/>
      <c r="P39" s="133">
        <v>15</v>
      </c>
      <c r="Q39" s="152">
        <f>SUM(Q27:Q38)</f>
        <v>365</v>
      </c>
      <c r="R39" s="103"/>
      <c r="S39" s="153">
        <f>SUM(S27:S38)</f>
        <v>0</v>
      </c>
      <c r="T39" s="154">
        <f>+'E3631'!L53-T38</f>
        <v>0</v>
      </c>
      <c r="U39" s="102"/>
      <c r="V39" s="155"/>
      <c r="W39" s="153">
        <f>SUM(W27:W38)</f>
        <v>0</v>
      </c>
      <c r="X39" s="107"/>
      <c r="Y39" s="264"/>
      <c r="Z39" s="264"/>
      <c r="AA39" s="264"/>
    </row>
    <row r="40" spans="1:35" ht="16.5" thickTop="1" thickBot="1" x14ac:dyDescent="0.3">
      <c r="A40" s="90">
        <v>44895</v>
      </c>
      <c r="B40" s="257">
        <v>0</v>
      </c>
      <c r="C40" s="91">
        <f t="shared" si="6"/>
        <v>0</v>
      </c>
      <c r="D40" s="91">
        <f t="shared" si="0"/>
        <v>0</v>
      </c>
      <c r="E40" s="91">
        <f t="shared" si="12"/>
        <v>0</v>
      </c>
      <c r="F40" s="121">
        <f t="shared" si="13"/>
        <v>0</v>
      </c>
      <c r="G40" s="91">
        <f t="shared" si="7"/>
        <v>0</v>
      </c>
      <c r="H40" s="121">
        <f t="shared" si="7"/>
        <v>0</v>
      </c>
      <c r="I40" s="91">
        <f t="shared" si="8"/>
        <v>0</v>
      </c>
      <c r="J40" s="91">
        <f t="shared" si="8"/>
        <v>0</v>
      </c>
      <c r="K40" s="91">
        <f t="shared" si="9"/>
        <v>0</v>
      </c>
      <c r="L40" s="91">
        <f t="shared" si="10"/>
        <v>0</v>
      </c>
      <c r="M40" s="91">
        <f t="shared" si="11"/>
        <v>0</v>
      </c>
      <c r="N40" s="132"/>
      <c r="O40" s="144"/>
      <c r="P40" s="133">
        <v>16</v>
      </c>
      <c r="Q40" s="103"/>
      <c r="R40" s="156"/>
      <c r="S40" s="157"/>
      <c r="T40" s="137"/>
      <c r="U40" s="102"/>
      <c r="V40" s="103"/>
      <c r="W40" s="158"/>
      <c r="X40" s="107"/>
      <c r="Y40" s="264"/>
      <c r="Z40" s="264"/>
      <c r="AA40" s="264"/>
    </row>
    <row r="41" spans="1:35" ht="15.75" thickBot="1" x14ac:dyDescent="0.3">
      <c r="A41" s="90">
        <v>44926</v>
      </c>
      <c r="B41" s="257">
        <v>0</v>
      </c>
      <c r="C41" s="91">
        <f t="shared" si="6"/>
        <v>0</v>
      </c>
      <c r="D41" s="258">
        <f t="shared" si="0"/>
        <v>0</v>
      </c>
      <c r="E41" s="91">
        <f t="shared" si="12"/>
        <v>0</v>
      </c>
      <c r="F41" s="121">
        <f t="shared" si="13"/>
        <v>0</v>
      </c>
      <c r="G41" s="91">
        <f t="shared" si="7"/>
        <v>0</v>
      </c>
      <c r="H41" s="121">
        <f t="shared" si="7"/>
        <v>0</v>
      </c>
      <c r="I41" s="91">
        <f t="shared" si="8"/>
        <v>0</v>
      </c>
      <c r="J41" s="91">
        <f t="shared" si="8"/>
        <v>0</v>
      </c>
      <c r="K41" s="91">
        <f t="shared" si="9"/>
        <v>0</v>
      </c>
      <c r="L41" s="91">
        <f t="shared" si="10"/>
        <v>0</v>
      </c>
      <c r="M41" s="91">
        <f t="shared" si="11"/>
        <v>0</v>
      </c>
      <c r="N41" s="145"/>
      <c r="O41" s="146"/>
      <c r="P41" s="133">
        <v>17</v>
      </c>
      <c r="Q41" s="103" t="s">
        <v>102</v>
      </c>
      <c r="R41" s="103"/>
      <c r="S41" s="136"/>
      <c r="T41" s="159">
        <f>(T26+T38+SUM(T27:T37)*2)/24</f>
        <v>0</v>
      </c>
      <c r="U41" s="102"/>
      <c r="V41" s="103"/>
      <c r="W41" s="160" t="s">
        <v>103</v>
      </c>
      <c r="X41" s="161">
        <f>X38</f>
        <v>0</v>
      </c>
      <c r="Y41" s="264"/>
      <c r="Z41" s="264"/>
      <c r="AA41" s="264"/>
    </row>
    <row r="42" spans="1:35" ht="16.5" thickTop="1" thickBot="1" x14ac:dyDescent="0.3">
      <c r="A42" s="147">
        <v>44957</v>
      </c>
      <c r="B42" s="256">
        <v>0</v>
      </c>
      <c r="C42" s="148">
        <f t="shared" si="6"/>
        <v>0</v>
      </c>
      <c r="D42" s="91">
        <f t="shared" si="0"/>
        <v>0</v>
      </c>
      <c r="E42" s="148">
        <f>(($C$29*$E$9/12)+(($C$41-$C$29)*$D$9/12)+(($C$53-$C$41)*$C$9/12))</f>
        <v>0</v>
      </c>
      <c r="F42" s="149">
        <f>+(D41*$F$13/12)+(((D42-D41)*$F$13/12)*0.5)</f>
        <v>0</v>
      </c>
      <c r="G42" s="148">
        <f t="shared" si="7"/>
        <v>0</v>
      </c>
      <c r="H42" s="149">
        <f t="shared" si="7"/>
        <v>0</v>
      </c>
      <c r="I42" s="148">
        <f t="shared" si="8"/>
        <v>0</v>
      </c>
      <c r="J42" s="148">
        <f t="shared" si="8"/>
        <v>0</v>
      </c>
      <c r="K42" s="148">
        <f t="shared" si="9"/>
        <v>0</v>
      </c>
      <c r="L42" s="148">
        <f t="shared" si="10"/>
        <v>0</v>
      </c>
      <c r="M42" s="148">
        <f t="shared" si="11"/>
        <v>0</v>
      </c>
      <c r="N42" s="132"/>
      <c r="O42" s="123"/>
      <c r="P42" s="162">
        <v>18</v>
      </c>
      <c r="Q42" s="163"/>
      <c r="R42" s="163"/>
      <c r="S42" s="164"/>
      <c r="T42" s="165"/>
      <c r="U42" s="166"/>
      <c r="V42" s="163"/>
      <c r="W42" s="163"/>
      <c r="X42" s="167"/>
      <c r="Y42" s="264"/>
      <c r="Z42" s="264"/>
      <c r="AA42" s="264"/>
    </row>
    <row r="43" spans="1:35" ht="15.75" thickBot="1" x14ac:dyDescent="0.3">
      <c r="A43" s="90">
        <v>44985</v>
      </c>
      <c r="B43" s="257">
        <v>0</v>
      </c>
      <c r="C43" s="91">
        <f t="shared" si="6"/>
        <v>0</v>
      </c>
      <c r="D43" s="91">
        <f t="shared" si="0"/>
        <v>0</v>
      </c>
      <c r="E43" s="91">
        <f t="shared" ref="E43:E53" si="14">(($C$29*$E$9/12)+(($C$41-$C$29)*$D$9/12)+(($C$53-$C$41)*$C$9/12))</f>
        <v>0</v>
      </c>
      <c r="F43" s="121">
        <f>+(D42*$F$13/12)+(((D43-D42)*$F$13/12)*0.5)</f>
        <v>0</v>
      </c>
      <c r="G43" s="91">
        <f t="shared" si="7"/>
        <v>0</v>
      </c>
      <c r="H43" s="121">
        <f t="shared" si="7"/>
        <v>0</v>
      </c>
      <c r="I43" s="91">
        <f t="shared" si="8"/>
        <v>0</v>
      </c>
      <c r="J43" s="91">
        <f t="shared" si="8"/>
        <v>0</v>
      </c>
      <c r="K43" s="91">
        <f t="shared" si="9"/>
        <v>0</v>
      </c>
      <c r="L43" s="91">
        <f t="shared" si="10"/>
        <v>0</v>
      </c>
      <c r="M43" s="91">
        <f t="shared" si="11"/>
        <v>0</v>
      </c>
      <c r="N43" s="132"/>
      <c r="O43" s="123"/>
      <c r="P43" s="168"/>
      <c r="Q43" s="168"/>
      <c r="R43" s="168"/>
      <c r="S43" s="168"/>
      <c r="T43" s="168"/>
      <c r="U43" s="168"/>
      <c r="V43" s="168"/>
      <c r="W43" s="168"/>
      <c r="X43" s="168"/>
      <c r="Y43" s="264"/>
      <c r="Z43" s="264"/>
      <c r="AA43" s="264"/>
      <c r="AB43" s="169"/>
      <c r="AC43" s="169"/>
      <c r="AD43" s="169"/>
      <c r="AE43" s="169"/>
      <c r="AF43" s="169"/>
      <c r="AG43" s="169"/>
      <c r="AH43" s="169"/>
      <c r="AI43" s="169"/>
    </row>
    <row r="44" spans="1:35" ht="15" x14ac:dyDescent="0.25">
      <c r="A44" s="90">
        <v>45016</v>
      </c>
      <c r="B44" s="257">
        <v>0</v>
      </c>
      <c r="C44" s="91">
        <f t="shared" si="6"/>
        <v>0</v>
      </c>
      <c r="D44" s="91">
        <f t="shared" si="0"/>
        <v>0</v>
      </c>
      <c r="E44" s="91">
        <f t="shared" si="14"/>
        <v>0</v>
      </c>
      <c r="F44" s="121">
        <f t="shared" ref="F44:F77" si="15">+(D43*$F$13/12)+(((D44-D43)*$F$13/12)*0.5)</f>
        <v>0</v>
      </c>
      <c r="G44" s="91">
        <f t="shared" si="7"/>
        <v>0</v>
      </c>
      <c r="H44" s="121">
        <f t="shared" si="7"/>
        <v>0</v>
      </c>
      <c r="I44" s="91">
        <f t="shared" si="8"/>
        <v>0</v>
      </c>
      <c r="J44" s="91">
        <f t="shared" si="8"/>
        <v>0</v>
      </c>
      <c r="K44" s="91">
        <f t="shared" si="9"/>
        <v>0</v>
      </c>
      <c r="L44" s="91">
        <f t="shared" si="10"/>
        <v>0</v>
      </c>
      <c r="M44" s="91">
        <f t="shared" si="11"/>
        <v>0</v>
      </c>
      <c r="N44" s="132"/>
      <c r="O44" s="123"/>
      <c r="P44" s="92"/>
      <c r="Q44" s="93" t="s">
        <v>104</v>
      </c>
      <c r="R44" s="94"/>
      <c r="S44" s="94"/>
      <c r="T44" s="94"/>
      <c r="U44" s="94"/>
      <c r="V44" s="94"/>
      <c r="W44" s="94"/>
      <c r="X44" s="95"/>
      <c r="Y44" s="264"/>
      <c r="Z44" s="264"/>
      <c r="AA44" s="264"/>
      <c r="AB44" s="169"/>
      <c r="AC44" s="169"/>
      <c r="AD44" s="169"/>
      <c r="AE44" s="169"/>
      <c r="AF44" s="169"/>
      <c r="AG44" s="169"/>
      <c r="AH44" s="169"/>
      <c r="AI44" s="169"/>
    </row>
    <row r="45" spans="1:35" ht="15" x14ac:dyDescent="0.25">
      <c r="A45" s="90">
        <v>45046</v>
      </c>
      <c r="B45" s="257">
        <v>0</v>
      </c>
      <c r="C45" s="91">
        <f t="shared" si="6"/>
        <v>0</v>
      </c>
      <c r="D45" s="91">
        <f t="shared" si="0"/>
        <v>0</v>
      </c>
      <c r="E45" s="91">
        <f t="shared" si="14"/>
        <v>0</v>
      </c>
      <c r="F45" s="121">
        <f t="shared" si="15"/>
        <v>0</v>
      </c>
      <c r="G45" s="91">
        <f t="shared" si="7"/>
        <v>0</v>
      </c>
      <c r="H45" s="121">
        <f t="shared" si="7"/>
        <v>0</v>
      </c>
      <c r="I45" s="91">
        <f t="shared" si="8"/>
        <v>0</v>
      </c>
      <c r="J45" s="91">
        <f t="shared" si="8"/>
        <v>0</v>
      </c>
      <c r="K45" s="91">
        <f t="shared" si="9"/>
        <v>0</v>
      </c>
      <c r="L45" s="91">
        <f t="shared" si="10"/>
        <v>0</v>
      </c>
      <c r="M45" s="91">
        <f t="shared" si="11"/>
        <v>0</v>
      </c>
      <c r="N45" s="132"/>
      <c r="O45" s="91"/>
      <c r="P45" s="96"/>
      <c r="Q45" s="97"/>
      <c r="R45" s="98" t="s">
        <v>73</v>
      </c>
      <c r="S45" s="98"/>
      <c r="T45" s="99"/>
      <c r="U45" s="100" t="s">
        <v>74</v>
      </c>
      <c r="V45" s="98"/>
      <c r="W45" s="98"/>
      <c r="X45" s="101"/>
      <c r="Y45" s="264"/>
      <c r="Z45" s="264"/>
      <c r="AA45" s="264"/>
      <c r="AB45" s="169"/>
      <c r="AC45" s="169"/>
      <c r="AD45" s="169"/>
      <c r="AE45" s="169"/>
      <c r="AF45" s="169"/>
      <c r="AG45" s="169"/>
      <c r="AH45" s="169"/>
      <c r="AI45" s="169"/>
    </row>
    <row r="46" spans="1:35" ht="15" x14ac:dyDescent="0.25">
      <c r="A46" s="90">
        <v>45077</v>
      </c>
      <c r="B46" s="257">
        <v>0</v>
      </c>
      <c r="C46" s="91">
        <f t="shared" si="6"/>
        <v>0</v>
      </c>
      <c r="D46" s="91">
        <f t="shared" si="0"/>
        <v>0</v>
      </c>
      <c r="E46" s="91">
        <f t="shared" si="14"/>
        <v>0</v>
      </c>
      <c r="F46" s="121">
        <f t="shared" si="15"/>
        <v>0</v>
      </c>
      <c r="G46" s="91">
        <f t="shared" ref="G46:H61" si="16">-E46+G45</f>
        <v>0</v>
      </c>
      <c r="H46" s="121">
        <f t="shared" si="16"/>
        <v>0</v>
      </c>
      <c r="I46" s="91">
        <f t="shared" ref="I46:J61" si="17">C46+G46</f>
        <v>0</v>
      </c>
      <c r="J46" s="91">
        <f t="shared" si="17"/>
        <v>0</v>
      </c>
      <c r="K46" s="91">
        <f t="shared" si="9"/>
        <v>0</v>
      </c>
      <c r="L46" s="91">
        <f t="shared" si="10"/>
        <v>0</v>
      </c>
      <c r="M46" s="91">
        <f t="shared" si="11"/>
        <v>0</v>
      </c>
      <c r="N46" s="132"/>
      <c r="O46" s="121"/>
      <c r="P46" s="96"/>
      <c r="Q46" s="102"/>
      <c r="R46" s="103"/>
      <c r="S46" s="103"/>
      <c r="T46" s="104" t="s">
        <v>75</v>
      </c>
      <c r="U46" s="105"/>
      <c r="V46" s="106"/>
      <c r="W46" s="106"/>
      <c r="X46" s="107"/>
      <c r="Y46" s="264"/>
      <c r="Z46" s="264"/>
      <c r="AA46" s="264"/>
      <c r="AB46" s="169"/>
      <c r="AC46" s="169"/>
      <c r="AD46" s="169"/>
      <c r="AE46" s="169"/>
      <c r="AF46" s="169"/>
      <c r="AG46" s="169"/>
      <c r="AH46" s="169"/>
      <c r="AI46" s="169"/>
    </row>
    <row r="47" spans="1:35" ht="15" x14ac:dyDescent="0.25">
      <c r="A47" s="90">
        <v>45107</v>
      </c>
      <c r="B47" s="257">
        <v>0</v>
      </c>
      <c r="C47" s="91">
        <f t="shared" si="6"/>
        <v>0</v>
      </c>
      <c r="D47" s="91">
        <f t="shared" si="0"/>
        <v>0</v>
      </c>
      <c r="E47" s="91">
        <f t="shared" si="14"/>
        <v>0</v>
      </c>
      <c r="F47" s="121">
        <f t="shared" si="15"/>
        <v>0</v>
      </c>
      <c r="G47" s="91">
        <f t="shared" si="16"/>
        <v>0</v>
      </c>
      <c r="H47" s="121">
        <f t="shared" si="16"/>
        <v>0</v>
      </c>
      <c r="I47" s="91">
        <f t="shared" si="17"/>
        <v>0</v>
      </c>
      <c r="J47" s="91">
        <f t="shared" si="17"/>
        <v>0</v>
      </c>
      <c r="K47" s="91">
        <f t="shared" si="9"/>
        <v>0</v>
      </c>
      <c r="L47" s="91">
        <f t="shared" si="10"/>
        <v>0</v>
      </c>
      <c r="M47" s="91">
        <f t="shared" si="11"/>
        <v>0</v>
      </c>
      <c r="N47" s="132"/>
      <c r="O47" s="123"/>
      <c r="P47" s="96" t="s">
        <v>76</v>
      </c>
      <c r="Q47" s="108" t="s">
        <v>77</v>
      </c>
      <c r="R47" s="109" t="s">
        <v>78</v>
      </c>
      <c r="S47" s="109" t="s">
        <v>79</v>
      </c>
      <c r="T47" s="104" t="s">
        <v>80</v>
      </c>
      <c r="U47" s="108" t="s">
        <v>81</v>
      </c>
      <c r="V47" s="109" t="s">
        <v>82</v>
      </c>
      <c r="W47" s="109" t="s">
        <v>83</v>
      </c>
      <c r="X47" s="110" t="s">
        <v>84</v>
      </c>
      <c r="Y47" s="264"/>
      <c r="Z47" s="264"/>
      <c r="AA47" s="264"/>
      <c r="AB47" s="169"/>
      <c r="AC47" s="169"/>
      <c r="AD47" s="169"/>
      <c r="AE47" s="169"/>
      <c r="AF47" s="169"/>
      <c r="AG47" s="169"/>
      <c r="AH47" s="169"/>
      <c r="AI47" s="169"/>
    </row>
    <row r="48" spans="1:35" ht="15" x14ac:dyDescent="0.25">
      <c r="A48" s="90">
        <v>45138</v>
      </c>
      <c r="B48" s="257">
        <v>0</v>
      </c>
      <c r="C48" s="91">
        <f t="shared" si="6"/>
        <v>0</v>
      </c>
      <c r="D48" s="91">
        <f t="shared" si="0"/>
        <v>0</v>
      </c>
      <c r="E48" s="91">
        <f t="shared" si="14"/>
        <v>0</v>
      </c>
      <c r="F48" s="121">
        <f t="shared" si="15"/>
        <v>0</v>
      </c>
      <c r="G48" s="91">
        <f t="shared" si="16"/>
        <v>0</v>
      </c>
      <c r="H48" s="121">
        <f t="shared" si="16"/>
        <v>0</v>
      </c>
      <c r="I48" s="91">
        <f t="shared" si="17"/>
        <v>0</v>
      </c>
      <c r="J48" s="91">
        <f t="shared" si="17"/>
        <v>0</v>
      </c>
      <c r="K48" s="91">
        <f t="shared" si="9"/>
        <v>0</v>
      </c>
      <c r="L48" s="91">
        <f t="shared" si="10"/>
        <v>0</v>
      </c>
      <c r="M48" s="91">
        <f t="shared" si="11"/>
        <v>0</v>
      </c>
      <c r="N48" s="132"/>
      <c r="O48" s="123"/>
      <c r="P48" s="96"/>
      <c r="Q48" s="111" t="s">
        <v>78</v>
      </c>
      <c r="R48" s="112" t="s">
        <v>85</v>
      </c>
      <c r="S48" s="112" t="s">
        <v>2</v>
      </c>
      <c r="T48" s="113" t="s">
        <v>86</v>
      </c>
      <c r="U48" s="111" t="s">
        <v>87</v>
      </c>
      <c r="V48" s="112" t="s">
        <v>88</v>
      </c>
      <c r="W48" s="112" t="s">
        <v>89</v>
      </c>
      <c r="X48" s="114" t="s">
        <v>90</v>
      </c>
      <c r="Y48" s="264"/>
      <c r="Z48" s="264"/>
      <c r="AA48" s="264"/>
      <c r="AB48" s="169"/>
      <c r="AC48" s="169"/>
      <c r="AD48" s="169"/>
      <c r="AE48" s="169"/>
      <c r="AF48" s="169"/>
      <c r="AG48" s="169"/>
      <c r="AH48" s="169"/>
      <c r="AI48" s="169"/>
    </row>
    <row r="49" spans="1:35" ht="15" x14ac:dyDescent="0.25">
      <c r="A49" s="90">
        <v>45169</v>
      </c>
      <c r="B49" s="257">
        <v>0</v>
      </c>
      <c r="C49" s="91">
        <f t="shared" si="6"/>
        <v>0</v>
      </c>
      <c r="D49" s="91">
        <f t="shared" si="0"/>
        <v>0</v>
      </c>
      <c r="E49" s="91">
        <f t="shared" si="14"/>
        <v>0</v>
      </c>
      <c r="F49" s="121">
        <f t="shared" si="15"/>
        <v>0</v>
      </c>
      <c r="G49" s="91">
        <f t="shared" si="16"/>
        <v>0</v>
      </c>
      <c r="H49" s="121">
        <f t="shared" si="16"/>
        <v>0</v>
      </c>
      <c r="I49" s="91">
        <f t="shared" si="17"/>
        <v>0</v>
      </c>
      <c r="J49" s="91">
        <f t="shared" si="17"/>
        <v>0</v>
      </c>
      <c r="K49" s="91">
        <f t="shared" si="9"/>
        <v>0</v>
      </c>
      <c r="L49" s="91">
        <f t="shared" si="10"/>
        <v>0</v>
      </c>
      <c r="M49" s="91">
        <f t="shared" si="11"/>
        <v>0</v>
      </c>
      <c r="N49" s="132"/>
      <c r="O49" s="91"/>
      <c r="P49" s="96"/>
      <c r="Q49" s="115" t="s">
        <v>91</v>
      </c>
      <c r="R49" s="116" t="s">
        <v>92</v>
      </c>
      <c r="S49" s="117" t="s">
        <v>93</v>
      </c>
      <c r="T49" s="118" t="s">
        <v>94</v>
      </c>
      <c r="U49" s="115" t="s">
        <v>95</v>
      </c>
      <c r="V49" s="119" t="s">
        <v>96</v>
      </c>
      <c r="W49" s="109" t="s">
        <v>97</v>
      </c>
      <c r="X49" s="120" t="s">
        <v>98</v>
      </c>
      <c r="Y49" s="264"/>
      <c r="Z49" s="264"/>
      <c r="AA49" s="264"/>
      <c r="AB49" s="169"/>
      <c r="AC49" s="169"/>
      <c r="AD49" s="169"/>
      <c r="AE49" s="169"/>
      <c r="AF49" s="169"/>
      <c r="AG49" s="169"/>
      <c r="AH49" s="169"/>
      <c r="AI49" s="169"/>
    </row>
    <row r="50" spans="1:35" ht="15" x14ac:dyDescent="0.25">
      <c r="A50" s="90">
        <v>45199</v>
      </c>
      <c r="B50" s="257">
        <v>0</v>
      </c>
      <c r="C50" s="91">
        <f t="shared" si="6"/>
        <v>0</v>
      </c>
      <c r="D50" s="91">
        <f t="shared" si="0"/>
        <v>0</v>
      </c>
      <c r="E50" s="91">
        <f t="shared" si="14"/>
        <v>0</v>
      </c>
      <c r="F50" s="121">
        <f t="shared" si="15"/>
        <v>0</v>
      </c>
      <c r="G50" s="91">
        <f t="shared" si="16"/>
        <v>0</v>
      </c>
      <c r="H50" s="121">
        <f t="shared" si="16"/>
        <v>0</v>
      </c>
      <c r="I50" s="91">
        <f t="shared" si="17"/>
        <v>0</v>
      </c>
      <c r="J50" s="91">
        <f t="shared" si="17"/>
        <v>0</v>
      </c>
      <c r="K50" s="91">
        <f t="shared" si="9"/>
        <v>0</v>
      </c>
      <c r="L50" s="91">
        <f t="shared" si="10"/>
        <v>0</v>
      </c>
      <c r="M50" s="91">
        <f t="shared" si="11"/>
        <v>0</v>
      </c>
      <c r="N50" s="132"/>
      <c r="O50" s="91"/>
      <c r="P50" s="124"/>
      <c r="Q50" s="125"/>
      <c r="R50" s="126"/>
      <c r="S50" s="127"/>
      <c r="T50" s="128" t="s">
        <v>99</v>
      </c>
      <c r="U50" s="125" t="s">
        <v>100</v>
      </c>
      <c r="V50" s="129"/>
      <c r="W50" s="130"/>
      <c r="X50" s="170" t="s">
        <v>101</v>
      </c>
      <c r="Y50" s="264"/>
      <c r="Z50" s="264"/>
      <c r="AA50" s="264"/>
      <c r="AB50" s="169"/>
      <c r="AC50" s="169"/>
      <c r="AD50" s="169"/>
      <c r="AE50" s="169"/>
      <c r="AF50" s="169"/>
      <c r="AG50" s="169"/>
      <c r="AH50" s="169"/>
      <c r="AI50" s="169"/>
    </row>
    <row r="51" spans="1:35" ht="15" x14ac:dyDescent="0.25">
      <c r="A51" s="90">
        <v>45230</v>
      </c>
      <c r="B51" s="257">
        <v>0</v>
      </c>
      <c r="C51" s="91">
        <f t="shared" si="6"/>
        <v>0</v>
      </c>
      <c r="D51" s="91">
        <f t="shared" si="0"/>
        <v>0</v>
      </c>
      <c r="E51" s="91">
        <f t="shared" si="14"/>
        <v>0</v>
      </c>
      <c r="F51" s="121">
        <f t="shared" si="15"/>
        <v>0</v>
      </c>
      <c r="G51" s="91">
        <f t="shared" si="16"/>
        <v>0</v>
      </c>
      <c r="H51" s="121">
        <f t="shared" si="16"/>
        <v>0</v>
      </c>
      <c r="I51" s="91">
        <f t="shared" si="17"/>
        <v>0</v>
      </c>
      <c r="J51" s="91">
        <f t="shared" si="17"/>
        <v>0</v>
      </c>
      <c r="K51" s="91">
        <f t="shared" si="9"/>
        <v>0</v>
      </c>
      <c r="L51" s="91">
        <f t="shared" si="10"/>
        <v>0</v>
      </c>
      <c r="M51" s="91">
        <f t="shared" si="11"/>
        <v>0</v>
      </c>
      <c r="N51" s="132"/>
      <c r="O51" s="91"/>
      <c r="P51" s="133">
        <v>1</v>
      </c>
      <c r="Q51" s="134"/>
      <c r="R51" s="135"/>
      <c r="S51" s="136"/>
      <c r="T51" s="137"/>
      <c r="U51" s="138"/>
      <c r="V51" s="139"/>
      <c r="W51" s="136"/>
      <c r="X51" s="171"/>
      <c r="Y51" s="264"/>
      <c r="Z51" s="264"/>
      <c r="AA51" s="264"/>
      <c r="AB51" s="169"/>
      <c r="AC51" s="169"/>
      <c r="AD51" s="169"/>
      <c r="AE51" s="169"/>
      <c r="AF51" s="169"/>
      <c r="AG51" s="169"/>
      <c r="AH51" s="169"/>
      <c r="AI51" s="169"/>
    </row>
    <row r="52" spans="1:35" ht="15" x14ac:dyDescent="0.25">
      <c r="A52" s="90">
        <v>45260</v>
      </c>
      <c r="B52" s="257">
        <v>0</v>
      </c>
      <c r="C52" s="91">
        <f t="shared" si="6"/>
        <v>0</v>
      </c>
      <c r="D52" s="91">
        <f t="shared" si="0"/>
        <v>0</v>
      </c>
      <c r="E52" s="91">
        <f t="shared" si="14"/>
        <v>0</v>
      </c>
      <c r="F52" s="121">
        <f t="shared" si="15"/>
        <v>0</v>
      </c>
      <c r="G52" s="91">
        <f t="shared" si="16"/>
        <v>0</v>
      </c>
      <c r="H52" s="121">
        <f t="shared" si="16"/>
        <v>0</v>
      </c>
      <c r="I52" s="91">
        <f t="shared" si="17"/>
        <v>0</v>
      </c>
      <c r="J52" s="91">
        <f t="shared" si="17"/>
        <v>0</v>
      </c>
      <c r="K52" s="91">
        <f t="shared" si="9"/>
        <v>0</v>
      </c>
      <c r="L52" s="91">
        <f t="shared" si="10"/>
        <v>0</v>
      </c>
      <c r="M52" s="91">
        <f t="shared" si="11"/>
        <v>0</v>
      </c>
      <c r="N52" s="132"/>
      <c r="O52" s="91"/>
      <c r="P52" s="133">
        <v>2</v>
      </c>
      <c r="Q52" s="134"/>
      <c r="R52" s="135">
        <v>45291</v>
      </c>
      <c r="S52" s="136">
        <f>+'E3631'!M53</f>
        <v>0</v>
      </c>
      <c r="T52" s="141">
        <f>+'E3631'!L53</f>
        <v>0</v>
      </c>
      <c r="U52" s="138"/>
      <c r="V52" s="139"/>
      <c r="W52" s="136"/>
      <c r="X52" s="142">
        <f>T52</f>
        <v>0</v>
      </c>
      <c r="Y52" s="264"/>
      <c r="Z52" s="264"/>
      <c r="AA52" s="264"/>
      <c r="AB52" s="169"/>
      <c r="AC52" s="169"/>
      <c r="AD52" s="169"/>
      <c r="AE52" s="169"/>
      <c r="AF52" s="169"/>
      <c r="AG52" s="169"/>
      <c r="AH52" s="169"/>
      <c r="AI52" s="169"/>
    </row>
    <row r="53" spans="1:35" ht="15" x14ac:dyDescent="0.25">
      <c r="A53" s="90">
        <v>45291</v>
      </c>
      <c r="B53" s="257">
        <v>0</v>
      </c>
      <c r="C53" s="91">
        <f t="shared" si="6"/>
        <v>0</v>
      </c>
      <c r="D53" s="258">
        <f t="shared" si="0"/>
        <v>0</v>
      </c>
      <c r="E53" s="91">
        <f t="shared" si="14"/>
        <v>0</v>
      </c>
      <c r="F53" s="121">
        <f t="shared" si="15"/>
        <v>0</v>
      </c>
      <c r="G53" s="91">
        <f t="shared" si="16"/>
        <v>0</v>
      </c>
      <c r="H53" s="121">
        <f t="shared" si="16"/>
        <v>0</v>
      </c>
      <c r="I53" s="91">
        <f t="shared" si="17"/>
        <v>0</v>
      </c>
      <c r="J53" s="91">
        <f t="shared" si="17"/>
        <v>0</v>
      </c>
      <c r="K53" s="91">
        <f t="shared" si="9"/>
        <v>0</v>
      </c>
      <c r="L53" s="91">
        <f t="shared" si="10"/>
        <v>0</v>
      </c>
      <c r="M53" s="91">
        <f t="shared" si="11"/>
        <v>0</v>
      </c>
      <c r="N53" s="132"/>
      <c r="O53" s="91"/>
      <c r="P53" s="133">
        <v>3</v>
      </c>
      <c r="Q53" s="134">
        <f t="shared" ref="Q53:Q64" si="18">DAY(EOMONTH(R53,0))</f>
        <v>31</v>
      </c>
      <c r="R53" s="135">
        <v>45292</v>
      </c>
      <c r="S53" s="136">
        <f>+'E3631'!M54</f>
        <v>290.86947113716252</v>
      </c>
      <c r="T53" s="143">
        <f t="shared" ref="T53:T64" si="19">+T52-S53</f>
        <v>-290.86947113716252</v>
      </c>
      <c r="U53" s="138">
        <f>V53-SUM(Q$52:$Q53)+1</f>
        <v>336</v>
      </c>
      <c r="V53" s="139">
        <f>Q65</f>
        <v>366</v>
      </c>
      <c r="W53" s="136">
        <f t="shared" ref="W53:W64" si="20">+U53/V53*S53</f>
        <v>267.02771120788691</v>
      </c>
      <c r="X53" s="140">
        <f t="shared" ref="X53:X64" si="21">+X52-W53</f>
        <v>-267.02771120788691</v>
      </c>
      <c r="Y53" s="264"/>
      <c r="Z53" s="264"/>
      <c r="AA53" s="264"/>
      <c r="AB53" s="169"/>
      <c r="AC53" s="169"/>
      <c r="AD53" s="169"/>
      <c r="AE53" s="169"/>
      <c r="AF53" s="169"/>
      <c r="AG53" s="169"/>
      <c r="AH53" s="169"/>
      <c r="AI53" s="169"/>
    </row>
    <row r="54" spans="1:35" ht="15" x14ac:dyDescent="0.25">
      <c r="A54" s="147">
        <v>45322</v>
      </c>
      <c r="B54" s="256">
        <v>7000.426498929909</v>
      </c>
      <c r="C54" s="148">
        <f t="shared" si="6"/>
        <v>7000.426498929909</v>
      </c>
      <c r="D54" s="91">
        <f t="shared" si="0"/>
        <v>7000.426498929909</v>
      </c>
      <c r="E54" s="148">
        <f t="shared" ref="E54:E64" si="22">($C$29*$F$9+($C$41-$C$29)*$E$9+($C$53-$C$41)*$D$9+($C$65-$C$53)*$C$9)/12</f>
        <v>1400.0852997859822</v>
      </c>
      <c r="F54" s="149">
        <f t="shared" si="15"/>
        <v>14.992580085208223</v>
      </c>
      <c r="G54" s="148">
        <f t="shared" si="16"/>
        <v>-1400.0852997859822</v>
      </c>
      <c r="H54" s="149">
        <f t="shared" si="16"/>
        <v>-14.992580085208223</v>
      </c>
      <c r="I54" s="148">
        <f t="shared" si="17"/>
        <v>5600.341199143927</v>
      </c>
      <c r="J54" s="148">
        <f t="shared" si="17"/>
        <v>6985.4339188447011</v>
      </c>
      <c r="K54" s="148">
        <f t="shared" si="9"/>
        <v>1385.0927197007741</v>
      </c>
      <c r="L54" s="148">
        <f t="shared" si="10"/>
        <v>-290.86947113716252</v>
      </c>
      <c r="M54" s="148">
        <f t="shared" si="11"/>
        <v>290.86947113716252</v>
      </c>
      <c r="N54" s="132"/>
      <c r="O54" s="91"/>
      <c r="P54" s="133">
        <v>4</v>
      </c>
      <c r="Q54" s="134">
        <f t="shared" si="18"/>
        <v>29</v>
      </c>
      <c r="R54" s="135">
        <v>45323</v>
      </c>
      <c r="S54" s="136">
        <f>+'E3631'!M55</f>
        <v>284.57258750137481</v>
      </c>
      <c r="T54" s="143">
        <f t="shared" si="19"/>
        <v>-575.44205863853733</v>
      </c>
      <c r="U54" s="138">
        <f>V54-SUM(Q$52:$Q54)+1</f>
        <v>307</v>
      </c>
      <c r="V54" s="139">
        <f t="shared" ref="V54:V64" si="23">V53</f>
        <v>366</v>
      </c>
      <c r="W54" s="136">
        <f t="shared" si="20"/>
        <v>238.69886437956851</v>
      </c>
      <c r="X54" s="140">
        <f t="shared" si="21"/>
        <v>-505.72657558745539</v>
      </c>
      <c r="Y54" s="264"/>
      <c r="Z54" s="264"/>
      <c r="AA54" s="264"/>
      <c r="AB54" s="169"/>
      <c r="AC54" s="169"/>
      <c r="AD54" s="169"/>
      <c r="AE54" s="169"/>
      <c r="AF54" s="169"/>
      <c r="AG54" s="169"/>
      <c r="AH54" s="169"/>
      <c r="AI54" s="169"/>
    </row>
    <row r="55" spans="1:35" ht="15" x14ac:dyDescent="0.25">
      <c r="A55" s="90">
        <v>45351</v>
      </c>
      <c r="B55" s="257">
        <v>7000.426498929909</v>
      </c>
      <c r="C55" s="91">
        <f t="shared" si="6"/>
        <v>14000.852997859818</v>
      </c>
      <c r="D55" s="91">
        <f t="shared" si="0"/>
        <v>14000.852997859818</v>
      </c>
      <c r="E55" s="91">
        <f t="shared" si="22"/>
        <v>1400.0852997859822</v>
      </c>
      <c r="F55" s="121">
        <f t="shared" si="15"/>
        <v>44.977740255624667</v>
      </c>
      <c r="G55" s="91">
        <f t="shared" si="16"/>
        <v>-2800.1705995719644</v>
      </c>
      <c r="H55" s="121">
        <f t="shared" si="16"/>
        <v>-59.970320340832892</v>
      </c>
      <c r="I55" s="91">
        <f t="shared" si="17"/>
        <v>11200.682398287854</v>
      </c>
      <c r="J55" s="91">
        <f t="shared" si="17"/>
        <v>13940.882677518985</v>
      </c>
      <c r="K55" s="91">
        <f t="shared" si="9"/>
        <v>2740.2002792311305</v>
      </c>
      <c r="L55" s="91">
        <f t="shared" si="10"/>
        <v>-575.44205863853733</v>
      </c>
      <c r="M55" s="91">
        <f t="shared" si="11"/>
        <v>284.57258750137481</v>
      </c>
      <c r="N55" s="132"/>
      <c r="O55" s="91"/>
      <c r="P55" s="133">
        <v>5</v>
      </c>
      <c r="Q55" s="134">
        <f t="shared" si="18"/>
        <v>31</v>
      </c>
      <c r="R55" s="135">
        <v>45352</v>
      </c>
      <c r="S55" s="136">
        <f>+'E3631'!M56</f>
        <v>278.27570386558818</v>
      </c>
      <c r="T55" s="143">
        <f t="shared" si="19"/>
        <v>-853.71776250412552</v>
      </c>
      <c r="U55" s="138">
        <f>V55-SUM(Q$52:$Q55)+1</f>
        <v>276</v>
      </c>
      <c r="V55" s="139">
        <f t="shared" si="23"/>
        <v>366</v>
      </c>
      <c r="W55" s="136">
        <f t="shared" si="20"/>
        <v>209.84725209536157</v>
      </c>
      <c r="X55" s="140">
        <f t="shared" si="21"/>
        <v>-715.57382768281695</v>
      </c>
      <c r="Y55" s="264"/>
      <c r="Z55" s="264"/>
      <c r="AA55" s="264"/>
      <c r="AB55" s="169"/>
      <c r="AC55" s="169"/>
      <c r="AD55" s="169"/>
      <c r="AE55" s="169"/>
      <c r="AF55" s="169"/>
      <c r="AG55" s="169"/>
      <c r="AH55" s="169"/>
      <c r="AI55" s="169"/>
    </row>
    <row r="56" spans="1:35" ht="15" x14ac:dyDescent="0.25">
      <c r="A56" s="90">
        <v>45382</v>
      </c>
      <c r="B56" s="257">
        <v>7000.426498929909</v>
      </c>
      <c r="C56" s="91">
        <f t="shared" si="6"/>
        <v>21001.279496789728</v>
      </c>
      <c r="D56" s="91">
        <f t="shared" si="0"/>
        <v>21001.279496789728</v>
      </c>
      <c r="E56" s="91">
        <f t="shared" si="22"/>
        <v>1400.0852997859822</v>
      </c>
      <c r="F56" s="121">
        <f t="shared" si="15"/>
        <v>74.962900426041116</v>
      </c>
      <c r="G56" s="91">
        <f t="shared" si="16"/>
        <v>-4200.2558993579469</v>
      </c>
      <c r="H56" s="121">
        <f t="shared" si="16"/>
        <v>-134.933220766874</v>
      </c>
      <c r="I56" s="91">
        <f t="shared" si="17"/>
        <v>16801.02359743178</v>
      </c>
      <c r="J56" s="91">
        <f t="shared" si="17"/>
        <v>20866.346276022854</v>
      </c>
      <c r="K56" s="91">
        <f t="shared" si="9"/>
        <v>4065.3226785910738</v>
      </c>
      <c r="L56" s="91">
        <f t="shared" si="10"/>
        <v>-853.71776250412552</v>
      </c>
      <c r="M56" s="91">
        <f t="shared" si="11"/>
        <v>278.27570386558818</v>
      </c>
      <c r="N56" s="132"/>
      <c r="O56" s="91"/>
      <c r="P56" s="133">
        <v>6</v>
      </c>
      <c r="Q56" s="134">
        <f t="shared" si="18"/>
        <v>30</v>
      </c>
      <c r="R56" s="135">
        <v>45383</v>
      </c>
      <c r="S56" s="136">
        <f>+'E3631'!M57</f>
        <v>271.97882022979991</v>
      </c>
      <c r="T56" s="143">
        <f t="shared" si="19"/>
        <v>-1125.6965827339254</v>
      </c>
      <c r="U56" s="138">
        <f>V56-SUM(Q$52:$Q56)+1</f>
        <v>246</v>
      </c>
      <c r="V56" s="139">
        <f t="shared" si="23"/>
        <v>366</v>
      </c>
      <c r="W56" s="136">
        <f t="shared" si="20"/>
        <v>182.8054365478983</v>
      </c>
      <c r="X56" s="140">
        <f t="shared" si="21"/>
        <v>-898.37926423071531</v>
      </c>
      <c r="Y56" s="264"/>
      <c r="Z56" s="264"/>
      <c r="AA56" s="264"/>
      <c r="AB56" s="169"/>
      <c r="AC56" s="169"/>
      <c r="AD56" s="169"/>
      <c r="AE56" s="169"/>
      <c r="AF56" s="169"/>
      <c r="AG56" s="169"/>
      <c r="AH56" s="169"/>
      <c r="AI56" s="169"/>
    </row>
    <row r="57" spans="1:35" ht="15" x14ac:dyDescent="0.25">
      <c r="A57" s="90">
        <v>45412</v>
      </c>
      <c r="B57" s="257">
        <v>7000.426498929909</v>
      </c>
      <c r="C57" s="91">
        <f t="shared" si="6"/>
        <v>28001.705995719636</v>
      </c>
      <c r="D57" s="91">
        <f t="shared" si="0"/>
        <v>28001.705995719636</v>
      </c>
      <c r="E57" s="91">
        <f t="shared" si="22"/>
        <v>1400.0852997859822</v>
      </c>
      <c r="F57" s="121">
        <f t="shared" si="15"/>
        <v>104.94806059645755</v>
      </c>
      <c r="G57" s="91">
        <f t="shared" si="16"/>
        <v>-5600.3411991439289</v>
      </c>
      <c r="H57" s="121">
        <f t="shared" si="16"/>
        <v>-239.88128136333154</v>
      </c>
      <c r="I57" s="91">
        <f t="shared" si="17"/>
        <v>22401.364796575708</v>
      </c>
      <c r="J57" s="91">
        <f t="shared" si="17"/>
        <v>27761.824714356306</v>
      </c>
      <c r="K57" s="91">
        <f t="shared" si="9"/>
        <v>5360.4599177805976</v>
      </c>
      <c r="L57" s="91">
        <f t="shared" si="10"/>
        <v>-1125.6965827339254</v>
      </c>
      <c r="M57" s="91">
        <f t="shared" si="11"/>
        <v>271.97882022979991</v>
      </c>
      <c r="N57" s="132"/>
      <c r="O57" s="91"/>
      <c r="P57" s="133">
        <v>7</v>
      </c>
      <c r="Q57" s="134">
        <f t="shared" si="18"/>
        <v>31</v>
      </c>
      <c r="R57" s="135">
        <v>45413</v>
      </c>
      <c r="S57" s="136">
        <f>+'E3631'!M58</f>
        <v>265.681936594013</v>
      </c>
      <c r="T57" s="143">
        <f t="shared" si="19"/>
        <v>-1391.3785193279384</v>
      </c>
      <c r="U57" s="138">
        <f>V57-SUM(Q$52:$Q57)+1</f>
        <v>215</v>
      </c>
      <c r="V57" s="139">
        <f t="shared" si="23"/>
        <v>366</v>
      </c>
      <c r="W57" s="136">
        <f t="shared" si="20"/>
        <v>156.06999007571801</v>
      </c>
      <c r="X57" s="140">
        <f t="shared" si="21"/>
        <v>-1054.4492543064334</v>
      </c>
      <c r="Y57" s="264"/>
      <c r="Z57" s="264"/>
      <c r="AA57" s="264"/>
      <c r="AB57" s="169"/>
      <c r="AC57" s="169"/>
      <c r="AD57" s="169"/>
      <c r="AE57" s="169"/>
      <c r="AF57" s="169"/>
      <c r="AG57" s="169"/>
      <c r="AH57" s="169"/>
      <c r="AI57" s="169"/>
    </row>
    <row r="58" spans="1:35" ht="15" x14ac:dyDescent="0.25">
      <c r="A58" s="90">
        <v>45443</v>
      </c>
      <c r="B58" s="257">
        <v>7000.426498929909</v>
      </c>
      <c r="C58" s="91">
        <f t="shared" si="6"/>
        <v>35002.132494649544</v>
      </c>
      <c r="D58" s="91">
        <f t="shared" si="0"/>
        <v>35002.132494649544</v>
      </c>
      <c r="E58" s="91">
        <f t="shared" si="22"/>
        <v>1400.0852997859822</v>
      </c>
      <c r="F58" s="121">
        <f t="shared" si="15"/>
        <v>134.933220766874</v>
      </c>
      <c r="G58" s="91">
        <f t="shared" si="16"/>
        <v>-7000.4264989299108</v>
      </c>
      <c r="H58" s="121">
        <f t="shared" si="16"/>
        <v>-374.81450213020554</v>
      </c>
      <c r="I58" s="91">
        <f t="shared" si="17"/>
        <v>28001.705995719632</v>
      </c>
      <c r="J58" s="91">
        <f t="shared" si="17"/>
        <v>34627.31799251934</v>
      </c>
      <c r="K58" s="91">
        <f t="shared" si="9"/>
        <v>6625.6119967997074</v>
      </c>
      <c r="L58" s="91">
        <f t="shared" si="10"/>
        <v>-1391.3785193279384</v>
      </c>
      <c r="M58" s="91">
        <f t="shared" si="11"/>
        <v>265.681936594013</v>
      </c>
      <c r="N58" s="132"/>
      <c r="O58" s="91"/>
      <c r="P58" s="133">
        <v>8</v>
      </c>
      <c r="Q58" s="134">
        <f t="shared" si="18"/>
        <v>30</v>
      </c>
      <c r="R58" s="135">
        <v>45444</v>
      </c>
      <c r="S58" s="136">
        <f>+'E3631'!M59</f>
        <v>259.38505295822551</v>
      </c>
      <c r="T58" s="143">
        <f t="shared" si="19"/>
        <v>-1650.7635722861639</v>
      </c>
      <c r="U58" s="138">
        <f>V58-SUM(Q$52:$Q58)+1</f>
        <v>185</v>
      </c>
      <c r="V58" s="139">
        <f t="shared" si="23"/>
        <v>366</v>
      </c>
      <c r="W58" s="136">
        <f t="shared" si="20"/>
        <v>131.10993114008667</v>
      </c>
      <c r="X58" s="140">
        <f t="shared" si="21"/>
        <v>-1185.5591854465201</v>
      </c>
      <c r="Y58" s="264"/>
      <c r="Z58" s="264"/>
      <c r="AA58" s="264"/>
      <c r="AB58" s="169"/>
      <c r="AC58" s="169"/>
      <c r="AD58" s="169"/>
      <c r="AE58" s="169"/>
      <c r="AF58" s="169"/>
      <c r="AG58" s="169"/>
      <c r="AH58" s="169"/>
      <c r="AI58" s="169"/>
    </row>
    <row r="59" spans="1:35" ht="15" x14ac:dyDescent="0.25">
      <c r="A59" s="90">
        <v>45473</v>
      </c>
      <c r="B59" s="257">
        <v>7000.426498929909</v>
      </c>
      <c r="C59" s="91">
        <f t="shared" si="6"/>
        <v>42002.558993579456</v>
      </c>
      <c r="D59" s="91">
        <f t="shared" si="0"/>
        <v>42002.558993579456</v>
      </c>
      <c r="E59" s="91">
        <f t="shared" si="22"/>
        <v>1400.0852997859822</v>
      </c>
      <c r="F59" s="121">
        <f t="shared" si="15"/>
        <v>164.91838093729046</v>
      </c>
      <c r="G59" s="91">
        <f t="shared" si="16"/>
        <v>-8400.5117987158937</v>
      </c>
      <c r="H59" s="121">
        <f t="shared" si="16"/>
        <v>-539.732883067496</v>
      </c>
      <c r="I59" s="91">
        <f t="shared" si="17"/>
        <v>33602.04719486356</v>
      </c>
      <c r="J59" s="91">
        <f t="shared" si="17"/>
        <v>41462.82611051196</v>
      </c>
      <c r="K59" s="91">
        <f t="shared" si="9"/>
        <v>7860.7789156483996</v>
      </c>
      <c r="L59" s="91">
        <f t="shared" si="10"/>
        <v>-1650.7635722861639</v>
      </c>
      <c r="M59" s="91">
        <f t="shared" si="11"/>
        <v>259.38505295822551</v>
      </c>
      <c r="N59" s="132"/>
      <c r="O59" s="91"/>
      <c r="P59" s="133">
        <v>9</v>
      </c>
      <c r="Q59" s="134">
        <f t="shared" si="18"/>
        <v>31</v>
      </c>
      <c r="R59" s="135">
        <v>45474</v>
      </c>
      <c r="S59" s="136">
        <f>+'E3631'!M60</f>
        <v>253.08816932243826</v>
      </c>
      <c r="T59" s="143">
        <f t="shared" si="19"/>
        <v>-1903.8517416086022</v>
      </c>
      <c r="U59" s="138">
        <f>V59-SUM(Q$52:$Q59)+1</f>
        <v>154</v>
      </c>
      <c r="V59" s="139">
        <f t="shared" si="23"/>
        <v>366</v>
      </c>
      <c r="W59" s="136">
        <f t="shared" si="20"/>
        <v>106.49065047993304</v>
      </c>
      <c r="X59" s="140">
        <f t="shared" si="21"/>
        <v>-1292.0498359264532</v>
      </c>
      <c r="Y59" s="264"/>
      <c r="Z59" s="264"/>
      <c r="AA59" s="264"/>
      <c r="AB59" s="169"/>
      <c r="AC59" s="169"/>
      <c r="AD59" s="169"/>
      <c r="AE59" s="169"/>
      <c r="AF59" s="169"/>
      <c r="AG59" s="169"/>
      <c r="AH59" s="169"/>
      <c r="AI59" s="169"/>
    </row>
    <row r="60" spans="1:35" ht="15" x14ac:dyDescent="0.25">
      <c r="A60" s="90">
        <v>45504</v>
      </c>
      <c r="B60" s="257">
        <v>7000.426498929909</v>
      </c>
      <c r="C60" s="91">
        <f t="shared" si="6"/>
        <v>49002.985492509368</v>
      </c>
      <c r="D60" s="91">
        <f t="shared" si="0"/>
        <v>49002.985492509368</v>
      </c>
      <c r="E60" s="91">
        <f t="shared" si="22"/>
        <v>1400.0852997859822</v>
      </c>
      <c r="F60" s="121">
        <f t="shared" si="15"/>
        <v>194.9035411077069</v>
      </c>
      <c r="G60" s="91">
        <f t="shared" si="16"/>
        <v>-9800.5970985018757</v>
      </c>
      <c r="H60" s="121">
        <f t="shared" si="16"/>
        <v>-734.63642417520293</v>
      </c>
      <c r="I60" s="91">
        <f t="shared" si="17"/>
        <v>39202.388394007488</v>
      </c>
      <c r="J60" s="91">
        <f t="shared" si="17"/>
        <v>48268.349068334166</v>
      </c>
      <c r="K60" s="91">
        <f t="shared" si="9"/>
        <v>9065.9606743266777</v>
      </c>
      <c r="L60" s="91">
        <f t="shared" si="10"/>
        <v>-1903.8517416086022</v>
      </c>
      <c r="M60" s="91">
        <f t="shared" si="11"/>
        <v>253.08816932243826</v>
      </c>
      <c r="N60" s="132"/>
      <c r="O60" s="91"/>
      <c r="P60" s="133">
        <v>10</v>
      </c>
      <c r="Q60" s="134">
        <f t="shared" si="18"/>
        <v>31</v>
      </c>
      <c r="R60" s="135">
        <v>45505</v>
      </c>
      <c r="S60" s="136">
        <f>+'E3631'!M61</f>
        <v>246.79128568664851</v>
      </c>
      <c r="T60" s="143">
        <f t="shared" si="19"/>
        <v>-2150.6430272952507</v>
      </c>
      <c r="U60" s="138">
        <f>V60-SUM(Q$52:$Q60)+1</f>
        <v>123</v>
      </c>
      <c r="V60" s="139">
        <f t="shared" si="23"/>
        <v>366</v>
      </c>
      <c r="W60" s="136">
        <f t="shared" si="20"/>
        <v>82.938055025840882</v>
      </c>
      <c r="X60" s="140">
        <f t="shared" si="21"/>
        <v>-1374.987890952294</v>
      </c>
      <c r="Y60" s="264"/>
      <c r="Z60" s="264"/>
      <c r="AA60" s="264"/>
      <c r="AB60" s="169"/>
      <c r="AC60" s="169"/>
      <c r="AD60" s="169"/>
      <c r="AE60" s="169"/>
      <c r="AF60" s="169"/>
      <c r="AG60" s="169"/>
      <c r="AH60" s="169"/>
      <c r="AI60" s="169"/>
    </row>
    <row r="61" spans="1:35" ht="15" x14ac:dyDescent="0.25">
      <c r="A61" s="90">
        <v>45535</v>
      </c>
      <c r="B61" s="257">
        <v>7000.426498929909</v>
      </c>
      <c r="C61" s="91">
        <f t="shared" si="6"/>
        <v>56003.41199143928</v>
      </c>
      <c r="D61" s="91">
        <f t="shared" si="0"/>
        <v>56003.41199143928</v>
      </c>
      <c r="E61" s="91">
        <f t="shared" si="22"/>
        <v>1400.0852997859822</v>
      </c>
      <c r="F61" s="121">
        <f t="shared" si="15"/>
        <v>224.88870127812334</v>
      </c>
      <c r="G61" s="91">
        <f t="shared" si="16"/>
        <v>-11200.682398287858</v>
      </c>
      <c r="H61" s="121">
        <f t="shared" si="16"/>
        <v>-959.52512545332627</v>
      </c>
      <c r="I61" s="91">
        <f t="shared" si="17"/>
        <v>44802.729593151424</v>
      </c>
      <c r="J61" s="91">
        <f t="shared" si="17"/>
        <v>55043.886865985951</v>
      </c>
      <c r="K61" s="91">
        <f t="shared" si="9"/>
        <v>10241.157272834527</v>
      </c>
      <c r="L61" s="91">
        <f t="shared" si="10"/>
        <v>-2150.6430272952507</v>
      </c>
      <c r="M61" s="91">
        <f t="shared" si="11"/>
        <v>246.79128568664851</v>
      </c>
      <c r="N61" s="132"/>
      <c r="O61" s="91"/>
      <c r="P61" s="133">
        <v>11</v>
      </c>
      <c r="Q61" s="134">
        <f t="shared" si="18"/>
        <v>30</v>
      </c>
      <c r="R61" s="135">
        <v>45536</v>
      </c>
      <c r="S61" s="136">
        <f>+'E3631'!M62</f>
        <v>240.49440205086285</v>
      </c>
      <c r="T61" s="143">
        <f t="shared" si="19"/>
        <v>-2391.1374293461135</v>
      </c>
      <c r="U61" s="138">
        <f>V61-SUM(Q$52:$Q61)+1</f>
        <v>93</v>
      </c>
      <c r="V61" s="139">
        <f t="shared" si="23"/>
        <v>366</v>
      </c>
      <c r="W61" s="136">
        <f t="shared" si="20"/>
        <v>61.109233308006132</v>
      </c>
      <c r="X61" s="140">
        <f t="shared" si="21"/>
        <v>-1436.0971242603002</v>
      </c>
      <c r="Y61" s="264"/>
      <c r="Z61" s="264"/>
      <c r="AA61" s="264"/>
      <c r="AB61" s="169"/>
      <c r="AC61" s="169"/>
      <c r="AD61" s="169"/>
      <c r="AE61" s="169"/>
      <c r="AF61" s="169"/>
      <c r="AG61" s="169"/>
      <c r="AH61" s="169"/>
      <c r="AI61" s="169"/>
    </row>
    <row r="62" spans="1:35" ht="15" x14ac:dyDescent="0.25">
      <c r="A62" s="90">
        <v>45565</v>
      </c>
      <c r="B62" s="257">
        <v>7000.426498929909</v>
      </c>
      <c r="C62" s="91">
        <f t="shared" si="6"/>
        <v>63003.838490369191</v>
      </c>
      <c r="D62" s="91">
        <f t="shared" si="0"/>
        <v>63003.838490369191</v>
      </c>
      <c r="E62" s="91">
        <f t="shared" si="22"/>
        <v>1400.0852997859822</v>
      </c>
      <c r="F62" s="121">
        <f t="shared" si="15"/>
        <v>254.87386144853983</v>
      </c>
      <c r="G62" s="91">
        <f t="shared" ref="G62:H77" si="24">-E62+G61</f>
        <v>-12600.76769807384</v>
      </c>
      <c r="H62" s="121">
        <f t="shared" si="24"/>
        <v>-1214.398986901866</v>
      </c>
      <c r="I62" s="91">
        <f t="shared" ref="I62:J77" si="25">C62+G62</f>
        <v>50403.070792295352</v>
      </c>
      <c r="J62" s="91">
        <f t="shared" si="25"/>
        <v>61789.439503467322</v>
      </c>
      <c r="K62" s="91">
        <f t="shared" si="9"/>
        <v>11386.36871117197</v>
      </c>
      <c r="L62" s="91">
        <f t="shared" si="10"/>
        <v>-2391.1374293461135</v>
      </c>
      <c r="M62" s="91">
        <f t="shared" si="11"/>
        <v>240.49440205086285</v>
      </c>
      <c r="N62" s="132"/>
      <c r="O62" s="91"/>
      <c r="P62" s="133">
        <v>12</v>
      </c>
      <c r="Q62" s="134">
        <f t="shared" si="18"/>
        <v>31</v>
      </c>
      <c r="R62" s="135">
        <v>45566</v>
      </c>
      <c r="S62" s="136">
        <f>+'E3631'!M63</f>
        <v>234.19751841507787</v>
      </c>
      <c r="T62" s="143">
        <f t="shared" si="19"/>
        <v>-2625.3349477611914</v>
      </c>
      <c r="U62" s="138">
        <f>V62-SUM(Q$52:$Q62)+1</f>
        <v>62</v>
      </c>
      <c r="V62" s="139">
        <f t="shared" si="23"/>
        <v>366</v>
      </c>
      <c r="W62" s="136">
        <f t="shared" si="20"/>
        <v>39.672803665942148</v>
      </c>
      <c r="X62" s="140">
        <f t="shared" si="21"/>
        <v>-1475.7699279262424</v>
      </c>
      <c r="Y62" s="264"/>
      <c r="Z62" s="264"/>
      <c r="AA62" s="264"/>
      <c r="AB62" s="169"/>
      <c r="AC62" s="169"/>
      <c r="AD62" s="169"/>
      <c r="AE62" s="169"/>
      <c r="AF62" s="169"/>
      <c r="AG62" s="169"/>
      <c r="AH62" s="169"/>
      <c r="AI62" s="169"/>
    </row>
    <row r="63" spans="1:35" ht="15" x14ac:dyDescent="0.25">
      <c r="A63" s="90">
        <v>45596</v>
      </c>
      <c r="B63" s="257">
        <v>7000.426498929909</v>
      </c>
      <c r="C63" s="91">
        <f t="shared" si="6"/>
        <v>70004.264989299103</v>
      </c>
      <c r="D63" s="91">
        <f t="shared" si="0"/>
        <v>70004.264989299103</v>
      </c>
      <c r="E63" s="91">
        <f t="shared" si="22"/>
        <v>1400.0852997859822</v>
      </c>
      <c r="F63" s="121">
        <f t="shared" si="15"/>
        <v>284.85902161895626</v>
      </c>
      <c r="G63" s="91">
        <f t="shared" si="24"/>
        <v>-14000.852997859822</v>
      </c>
      <c r="H63" s="121">
        <f t="shared" si="24"/>
        <v>-1499.2580085208224</v>
      </c>
      <c r="I63" s="91">
        <f t="shared" si="25"/>
        <v>56003.41199143928</v>
      </c>
      <c r="J63" s="91">
        <f t="shared" si="25"/>
        <v>68505.006980778286</v>
      </c>
      <c r="K63" s="91">
        <f t="shared" si="9"/>
        <v>12501.594989339006</v>
      </c>
      <c r="L63" s="91">
        <f t="shared" si="10"/>
        <v>-2625.3349477611914</v>
      </c>
      <c r="M63" s="91">
        <f t="shared" si="11"/>
        <v>234.19751841507787</v>
      </c>
      <c r="N63" s="132"/>
      <c r="O63" s="91"/>
      <c r="P63" s="133">
        <v>13</v>
      </c>
      <c r="Q63" s="134">
        <f t="shared" si="18"/>
        <v>30</v>
      </c>
      <c r="R63" s="135">
        <v>45597</v>
      </c>
      <c r="S63" s="136">
        <f>+'E3631'!M64</f>
        <v>227.90063477928561</v>
      </c>
      <c r="T63" s="143">
        <f t="shared" si="19"/>
        <v>-2853.235582540477</v>
      </c>
      <c r="U63" s="138">
        <f>V63-SUM(Q$52:$Q63)+1</f>
        <v>32</v>
      </c>
      <c r="V63" s="139">
        <f t="shared" si="23"/>
        <v>366</v>
      </c>
      <c r="W63" s="136">
        <f t="shared" si="20"/>
        <v>19.925738559937539</v>
      </c>
      <c r="X63" s="140">
        <f t="shared" si="21"/>
        <v>-1495.69566648618</v>
      </c>
      <c r="Y63" s="264"/>
      <c r="Z63" s="264"/>
      <c r="AA63" s="264"/>
      <c r="AB63" s="169"/>
      <c r="AC63" s="169"/>
      <c r="AD63" s="169"/>
      <c r="AE63" s="169"/>
      <c r="AF63" s="169"/>
      <c r="AG63" s="169"/>
      <c r="AH63" s="169"/>
      <c r="AI63" s="169"/>
    </row>
    <row r="64" spans="1:35" ht="15" x14ac:dyDescent="0.25">
      <c r="A64" s="90">
        <v>45626</v>
      </c>
      <c r="B64" s="257">
        <v>7000.426498929909</v>
      </c>
      <c r="C64" s="91">
        <f t="shared" si="6"/>
        <v>77004.691488229015</v>
      </c>
      <c r="D64" s="91">
        <f t="shared" si="0"/>
        <v>77004.691488229015</v>
      </c>
      <c r="E64" s="91">
        <f t="shared" si="22"/>
        <v>1400.0852997859822</v>
      </c>
      <c r="F64" s="121">
        <f t="shared" si="15"/>
        <v>314.84418178937267</v>
      </c>
      <c r="G64" s="91">
        <f t="shared" si="24"/>
        <v>-15400.938297645804</v>
      </c>
      <c r="H64" s="121">
        <f t="shared" si="24"/>
        <v>-1814.1021903101951</v>
      </c>
      <c r="I64" s="91">
        <f t="shared" si="25"/>
        <v>61603.753190583215</v>
      </c>
      <c r="J64" s="91">
        <f t="shared" si="25"/>
        <v>75190.589297918821</v>
      </c>
      <c r="K64" s="91">
        <f t="shared" si="9"/>
        <v>13586.836107335606</v>
      </c>
      <c r="L64" s="91">
        <f t="shared" si="10"/>
        <v>-2853.235582540477</v>
      </c>
      <c r="M64" s="91">
        <f t="shared" si="11"/>
        <v>227.90063477928561</v>
      </c>
      <c r="N64" s="132"/>
      <c r="O64" s="91"/>
      <c r="P64" s="133">
        <v>14</v>
      </c>
      <c r="Q64" s="134">
        <f t="shared" si="18"/>
        <v>31</v>
      </c>
      <c r="R64" s="135">
        <v>45627</v>
      </c>
      <c r="S64" s="136">
        <f>+'E3631'!M65</f>
        <v>221.60375114350245</v>
      </c>
      <c r="T64" s="143">
        <f t="shared" si="19"/>
        <v>-3074.8393336839795</v>
      </c>
      <c r="U64" s="138">
        <f>V64-SUM(Q$52:$Q64)+1</f>
        <v>1</v>
      </c>
      <c r="V64" s="139">
        <f t="shared" si="23"/>
        <v>366</v>
      </c>
      <c r="W64" s="136">
        <f t="shared" si="20"/>
        <v>0.60547472990027995</v>
      </c>
      <c r="X64" s="140">
        <f t="shared" si="21"/>
        <v>-1496.3011412160804</v>
      </c>
      <c r="Y64" s="264"/>
      <c r="Z64" s="264"/>
      <c r="AA64" s="264"/>
      <c r="AB64" s="169"/>
      <c r="AC64" s="169"/>
      <c r="AD64" s="169"/>
      <c r="AE64" s="169"/>
      <c r="AF64" s="169"/>
      <c r="AG64" s="169"/>
      <c r="AH64" s="169"/>
      <c r="AI64" s="169"/>
    </row>
    <row r="65" spans="1:35" ht="15.75" thickBot="1" x14ac:dyDescent="0.3">
      <c r="A65" s="90">
        <v>45657</v>
      </c>
      <c r="B65" s="257">
        <v>7000.426498929909</v>
      </c>
      <c r="C65" s="91">
        <f t="shared" si="6"/>
        <v>84005.117987158927</v>
      </c>
      <c r="D65" s="258">
        <f t="shared" si="0"/>
        <v>84005.117987158927</v>
      </c>
      <c r="E65" s="91">
        <f>($C$29*$F$9+($C$41-$C$29)*$E$9+($C$53-$C$41)*$D$9+($C$65-$C$53)*$C$9)/12</f>
        <v>1400.0852997859822</v>
      </c>
      <c r="F65" s="121">
        <f t="shared" si="15"/>
        <v>344.82934195978919</v>
      </c>
      <c r="G65" s="91">
        <f t="shared" si="24"/>
        <v>-16801.023597431787</v>
      </c>
      <c r="H65" s="121">
        <f t="shared" si="24"/>
        <v>-2158.931532269984</v>
      </c>
      <c r="I65" s="91">
        <f t="shared" si="25"/>
        <v>67204.094389727135</v>
      </c>
      <c r="J65" s="91">
        <f t="shared" si="25"/>
        <v>81846.186454888943</v>
      </c>
      <c r="K65" s="91">
        <f t="shared" si="9"/>
        <v>14642.092065161807</v>
      </c>
      <c r="L65" s="91">
        <f t="shared" si="10"/>
        <v>-3074.8393336839795</v>
      </c>
      <c r="M65" s="91">
        <f t="shared" si="11"/>
        <v>221.60375114350245</v>
      </c>
      <c r="N65" s="132"/>
      <c r="O65" s="91"/>
      <c r="P65" s="133">
        <v>15</v>
      </c>
      <c r="Q65" s="152">
        <f>SUM(Q53:Q64)</f>
        <v>366</v>
      </c>
      <c r="R65" s="103"/>
      <c r="S65" s="153">
        <f>SUM(S53:S64)</f>
        <v>3074.8393336839795</v>
      </c>
      <c r="T65" s="154">
        <f>+'E3631'!L65-T64</f>
        <v>0</v>
      </c>
      <c r="U65" s="102"/>
      <c r="V65" s="155"/>
      <c r="W65" s="153">
        <f>SUM(W53:W64)</f>
        <v>1496.3011412160804</v>
      </c>
      <c r="X65" s="107"/>
      <c r="Y65" s="264"/>
      <c r="Z65" s="264"/>
      <c r="AA65" s="264"/>
      <c r="AB65" s="169"/>
      <c r="AC65" s="169"/>
      <c r="AD65" s="169"/>
      <c r="AE65" s="169"/>
      <c r="AF65" s="169"/>
      <c r="AG65" s="169"/>
      <c r="AH65" s="169"/>
      <c r="AI65" s="169"/>
    </row>
    <row r="66" spans="1:35" ht="16.5" thickTop="1" thickBot="1" x14ac:dyDescent="0.3">
      <c r="A66" s="147">
        <v>45688</v>
      </c>
      <c r="B66" s="256">
        <v>17175.24345846799</v>
      </c>
      <c r="C66" s="148">
        <f t="shared" si="6"/>
        <v>101180.36144562691</v>
      </c>
      <c r="D66" s="91">
        <f t="shared" si="0"/>
        <v>101180.36144562691</v>
      </c>
      <c r="E66" s="148">
        <f t="shared" ref="E66:E76" si="26">($C$29*$G$9+($C$41-$C$29)*$F$9+($C$53-$C$41)*$E$9+($C$65-$C$53)*$D$9+($C$77-$C$65)*$C$9)/12</f>
        <v>5675.1851713511714</v>
      </c>
      <c r="F66" s="149">
        <f t="shared" si="15"/>
        <v>396.60556845188302</v>
      </c>
      <c r="G66" s="148">
        <f t="shared" si="24"/>
        <v>-22476.208768782959</v>
      </c>
      <c r="H66" s="149">
        <f t="shared" si="24"/>
        <v>-2555.5371007218669</v>
      </c>
      <c r="I66" s="148">
        <f t="shared" si="25"/>
        <v>78704.152676843951</v>
      </c>
      <c r="J66" s="148">
        <f t="shared" si="25"/>
        <v>98624.82434490505</v>
      </c>
      <c r="K66" s="148">
        <f t="shared" si="9"/>
        <v>19920.671668061099</v>
      </c>
      <c r="L66" s="148">
        <f t="shared" si="10"/>
        <v>-4183.3410502928309</v>
      </c>
      <c r="M66" s="148">
        <f t="shared" si="11"/>
        <v>1108.5017166088514</v>
      </c>
      <c r="N66" s="132"/>
      <c r="O66" s="91"/>
      <c r="P66" s="133">
        <v>16</v>
      </c>
      <c r="Q66" s="103"/>
      <c r="R66" s="156"/>
      <c r="S66" s="157"/>
      <c r="T66" s="137"/>
      <c r="U66" s="102"/>
      <c r="V66" s="103"/>
      <c r="W66" s="158"/>
      <c r="X66" s="107"/>
      <c r="Y66" s="264"/>
      <c r="Z66" s="264"/>
      <c r="AA66" s="264"/>
      <c r="AB66" s="169"/>
      <c r="AC66" s="169"/>
      <c r="AD66" s="169"/>
      <c r="AE66" s="169"/>
      <c r="AF66" s="169"/>
      <c r="AG66" s="169"/>
      <c r="AH66" s="169"/>
      <c r="AI66" s="169"/>
    </row>
    <row r="67" spans="1:35" ht="15.75" thickBot="1" x14ac:dyDescent="0.3">
      <c r="A67" s="90">
        <v>45716</v>
      </c>
      <c r="B67" s="257">
        <v>17175.24345846799</v>
      </c>
      <c r="C67" s="91">
        <f t="shared" si="6"/>
        <v>118355.6049040949</v>
      </c>
      <c r="D67" s="91">
        <f t="shared" si="0"/>
        <v>118355.6049040949</v>
      </c>
      <c r="E67" s="91">
        <f t="shared" si="26"/>
        <v>5675.1851713511714</v>
      </c>
      <c r="F67" s="121">
        <f t="shared" si="15"/>
        <v>470.17286126565426</v>
      </c>
      <c r="G67" s="91">
        <f t="shared" si="24"/>
        <v>-28151.39394013413</v>
      </c>
      <c r="H67" s="121">
        <f t="shared" si="24"/>
        <v>-3025.7099619875212</v>
      </c>
      <c r="I67" s="91">
        <f t="shared" si="25"/>
        <v>90204.210963960766</v>
      </c>
      <c r="J67" s="91">
        <f t="shared" si="25"/>
        <v>115329.89494210738</v>
      </c>
      <c r="K67" s="91">
        <f t="shared" si="9"/>
        <v>25125.683978146611</v>
      </c>
      <c r="L67" s="91">
        <f t="shared" si="10"/>
        <v>-5276.3936354107882</v>
      </c>
      <c r="M67" s="91">
        <f t="shared" si="11"/>
        <v>1093.0525851179573</v>
      </c>
      <c r="N67" s="132"/>
      <c r="O67" s="91"/>
      <c r="P67" s="133">
        <v>17</v>
      </c>
      <c r="Q67" s="103" t="s">
        <v>102</v>
      </c>
      <c r="R67" s="103"/>
      <c r="S67" s="136"/>
      <c r="T67" s="159">
        <f>(T52+T64+SUM(T53:T63)*2)/24</f>
        <v>-1612.4575301684565</v>
      </c>
      <c r="U67" s="102"/>
      <c r="V67" s="103"/>
      <c r="W67" s="160" t="s">
        <v>103</v>
      </c>
      <c r="X67" s="161">
        <f>X64</f>
        <v>-1496.3011412160804</v>
      </c>
      <c r="Y67" s="264"/>
      <c r="Z67" s="264"/>
      <c r="AA67" s="264"/>
      <c r="AB67" s="169"/>
      <c r="AC67" s="169"/>
      <c r="AD67" s="169"/>
      <c r="AE67" s="169"/>
      <c r="AF67" s="169"/>
      <c r="AG67" s="169"/>
      <c r="AH67" s="169"/>
      <c r="AI67" s="169"/>
    </row>
    <row r="68" spans="1:35" ht="16.5" thickTop="1" thickBot="1" x14ac:dyDescent="0.3">
      <c r="A68" s="90">
        <v>45747</v>
      </c>
      <c r="B68" s="257">
        <v>17175.24345846799</v>
      </c>
      <c r="C68" s="91">
        <f t="shared" si="6"/>
        <v>135530.84836256289</v>
      </c>
      <c r="D68" s="91">
        <f t="shared" si="0"/>
        <v>135530.84836256289</v>
      </c>
      <c r="E68" s="91">
        <f t="shared" si="26"/>
        <v>5675.1851713511714</v>
      </c>
      <c r="F68" s="121">
        <f t="shared" si="15"/>
        <v>543.74015407942545</v>
      </c>
      <c r="G68" s="91">
        <f t="shared" si="24"/>
        <v>-33826.579111485305</v>
      </c>
      <c r="H68" s="121">
        <f t="shared" si="24"/>
        <v>-3569.4501160669465</v>
      </c>
      <c r="I68" s="91">
        <f t="shared" si="25"/>
        <v>101704.26925107758</v>
      </c>
      <c r="J68" s="91">
        <f t="shared" si="25"/>
        <v>131961.39824649593</v>
      </c>
      <c r="K68" s="91">
        <f t="shared" si="9"/>
        <v>30257.128995418345</v>
      </c>
      <c r="L68" s="91">
        <f t="shared" si="10"/>
        <v>-6353.9970890378518</v>
      </c>
      <c r="M68" s="91">
        <f t="shared" si="11"/>
        <v>1077.6034536270636</v>
      </c>
      <c r="N68" s="132"/>
      <c r="O68" s="91"/>
      <c r="P68" s="162">
        <v>18</v>
      </c>
      <c r="Q68" s="163"/>
      <c r="R68" s="163"/>
      <c r="S68" s="164"/>
      <c r="T68" s="165"/>
      <c r="U68" s="166"/>
      <c r="V68" s="163"/>
      <c r="W68" s="163"/>
      <c r="X68" s="167"/>
      <c r="Y68" s="264"/>
      <c r="Z68" s="264"/>
      <c r="AA68" s="264"/>
      <c r="AB68" s="169"/>
      <c r="AC68" s="169"/>
      <c r="AD68" s="169"/>
      <c r="AE68" s="169"/>
      <c r="AF68" s="169"/>
      <c r="AG68" s="169"/>
      <c r="AH68" s="169"/>
      <c r="AI68" s="169"/>
    </row>
    <row r="69" spans="1:35" ht="15.75" thickBot="1" x14ac:dyDescent="0.3">
      <c r="A69" s="90">
        <v>45777</v>
      </c>
      <c r="B69" s="257">
        <v>17175.24345846799</v>
      </c>
      <c r="C69" s="91">
        <f t="shared" si="6"/>
        <v>152706.09182103089</v>
      </c>
      <c r="D69" s="91">
        <f t="shared" si="0"/>
        <v>152706.09182103089</v>
      </c>
      <c r="E69" s="91">
        <f t="shared" si="26"/>
        <v>5675.1851713511714</v>
      </c>
      <c r="F69" s="121">
        <f t="shared" si="15"/>
        <v>617.3074468931967</v>
      </c>
      <c r="G69" s="91">
        <f t="shared" si="24"/>
        <v>-39501.764282836477</v>
      </c>
      <c r="H69" s="121">
        <f t="shared" si="24"/>
        <v>-4186.7575629601433</v>
      </c>
      <c r="I69" s="91">
        <f t="shared" si="25"/>
        <v>113204.32753819441</v>
      </c>
      <c r="J69" s="91">
        <f t="shared" si="25"/>
        <v>148519.33425807074</v>
      </c>
      <c r="K69" s="91">
        <f t="shared" si="9"/>
        <v>35315.006719876328</v>
      </c>
      <c r="L69" s="91">
        <f t="shared" si="10"/>
        <v>-7416.1514111740289</v>
      </c>
      <c r="M69" s="91">
        <f t="shared" si="11"/>
        <v>1062.1543221361771</v>
      </c>
      <c r="N69" s="132"/>
      <c r="O69" s="91"/>
      <c r="Y69" s="264"/>
      <c r="Z69" s="264"/>
      <c r="AA69" s="264"/>
    </row>
    <row r="70" spans="1:35" ht="15" x14ac:dyDescent="0.25">
      <c r="A70" s="90">
        <v>45808</v>
      </c>
      <c r="B70" s="257">
        <v>17175.24345846799</v>
      </c>
      <c r="C70" s="91">
        <f t="shared" si="6"/>
        <v>169881.33527949889</v>
      </c>
      <c r="D70" s="91">
        <f t="shared" si="0"/>
        <v>169881.33527949889</v>
      </c>
      <c r="E70" s="91">
        <f t="shared" si="26"/>
        <v>5675.1851713511714</v>
      </c>
      <c r="F70" s="121">
        <f t="shared" si="15"/>
        <v>690.87473970696794</v>
      </c>
      <c r="G70" s="91">
        <f t="shared" si="24"/>
        <v>-45176.949454187648</v>
      </c>
      <c r="H70" s="121">
        <f t="shared" si="24"/>
        <v>-4877.6323026671116</v>
      </c>
      <c r="I70" s="91">
        <f t="shared" si="25"/>
        <v>124704.38582531124</v>
      </c>
      <c r="J70" s="91">
        <f t="shared" si="25"/>
        <v>165003.70297683179</v>
      </c>
      <c r="K70" s="91">
        <f t="shared" si="9"/>
        <v>40299.317151520547</v>
      </c>
      <c r="L70" s="91">
        <f t="shared" si="10"/>
        <v>-8462.8566018193142</v>
      </c>
      <c r="M70" s="91">
        <f t="shared" si="11"/>
        <v>1046.7051906452853</v>
      </c>
      <c r="N70" s="132"/>
      <c r="O70" s="91"/>
      <c r="P70" s="92"/>
      <c r="Q70" s="93" t="s">
        <v>105</v>
      </c>
      <c r="R70" s="94"/>
      <c r="S70" s="94"/>
      <c r="T70" s="94"/>
      <c r="U70" s="94"/>
      <c r="V70" s="94"/>
      <c r="W70" s="94"/>
      <c r="X70" s="95"/>
      <c r="Y70" s="264"/>
      <c r="Z70" s="264"/>
      <c r="AA70" s="264"/>
    </row>
    <row r="71" spans="1:35" ht="15" x14ac:dyDescent="0.25">
      <c r="A71" s="90">
        <v>45838</v>
      </c>
      <c r="B71" s="257">
        <v>17175.24345846799</v>
      </c>
      <c r="C71" s="91">
        <f t="shared" si="6"/>
        <v>187056.57873796689</v>
      </c>
      <c r="D71" s="91">
        <f t="shared" si="0"/>
        <v>187056.57873796689</v>
      </c>
      <c r="E71" s="91">
        <f t="shared" si="26"/>
        <v>5675.1851713511714</v>
      </c>
      <c r="F71" s="121">
        <f t="shared" si="15"/>
        <v>764.4420325207393</v>
      </c>
      <c r="G71" s="91">
        <f t="shared" si="24"/>
        <v>-50852.13462553882</v>
      </c>
      <c r="H71" s="121">
        <f t="shared" si="24"/>
        <v>-5642.0743351878509</v>
      </c>
      <c r="I71" s="91">
        <f t="shared" si="25"/>
        <v>136204.44411242806</v>
      </c>
      <c r="J71" s="91">
        <f t="shared" si="25"/>
        <v>181414.50440277904</v>
      </c>
      <c r="K71" s="91">
        <f t="shared" si="9"/>
        <v>45210.060290350986</v>
      </c>
      <c r="L71" s="91">
        <f t="shared" si="10"/>
        <v>-9494.1126609737075</v>
      </c>
      <c r="M71" s="91">
        <f t="shared" si="11"/>
        <v>1031.2560591543934</v>
      </c>
      <c r="N71" s="132"/>
      <c r="O71" s="91"/>
      <c r="P71" s="96"/>
      <c r="Q71" s="97"/>
      <c r="R71" s="98" t="s">
        <v>73</v>
      </c>
      <c r="S71" s="98"/>
      <c r="T71" s="99"/>
      <c r="U71" s="100" t="s">
        <v>74</v>
      </c>
      <c r="V71" s="98"/>
      <c r="W71" s="98"/>
      <c r="X71" s="101"/>
      <c r="Y71" s="264"/>
      <c r="Z71" s="264"/>
      <c r="AA71" s="264"/>
    </row>
    <row r="72" spans="1:35" ht="15" x14ac:dyDescent="0.25">
      <c r="A72" s="90">
        <v>45869</v>
      </c>
      <c r="B72" s="257">
        <v>17175.24345846799</v>
      </c>
      <c r="C72" s="91">
        <f t="shared" si="6"/>
        <v>204231.82219643489</v>
      </c>
      <c r="D72" s="91">
        <f t="shared" si="0"/>
        <v>204231.82219643489</v>
      </c>
      <c r="E72" s="91">
        <f t="shared" si="26"/>
        <v>5675.1851713511714</v>
      </c>
      <c r="F72" s="121">
        <f t="shared" si="15"/>
        <v>838.00932533451044</v>
      </c>
      <c r="G72" s="91">
        <f t="shared" si="24"/>
        <v>-56527.319796889991</v>
      </c>
      <c r="H72" s="121">
        <f t="shared" si="24"/>
        <v>-6480.0836605223612</v>
      </c>
      <c r="I72" s="91">
        <f t="shared" si="25"/>
        <v>147704.5023995449</v>
      </c>
      <c r="J72" s="91">
        <f t="shared" si="25"/>
        <v>197751.73853591253</v>
      </c>
      <c r="K72" s="91">
        <f t="shared" si="9"/>
        <v>50047.236136367632</v>
      </c>
      <c r="L72" s="91">
        <f t="shared" si="10"/>
        <v>-10509.919588637202</v>
      </c>
      <c r="M72" s="91">
        <f t="shared" si="11"/>
        <v>1015.8069276634942</v>
      </c>
      <c r="N72" s="132"/>
      <c r="O72" s="91"/>
      <c r="P72" s="96"/>
      <c r="Q72" s="102"/>
      <c r="R72" s="103"/>
      <c r="S72" s="103"/>
      <c r="T72" s="104" t="s">
        <v>75</v>
      </c>
      <c r="U72" s="105"/>
      <c r="V72" s="106"/>
      <c r="W72" s="106"/>
      <c r="X72" s="107"/>
      <c r="Y72" s="264"/>
      <c r="Z72" s="264"/>
      <c r="AA72" s="264"/>
    </row>
    <row r="73" spans="1:35" ht="15" x14ac:dyDescent="0.25">
      <c r="A73" s="90">
        <v>45900</v>
      </c>
      <c r="B73" s="257">
        <v>17175.24345846799</v>
      </c>
      <c r="C73" s="91">
        <f t="shared" si="6"/>
        <v>221407.06565490289</v>
      </c>
      <c r="D73" s="91">
        <f t="shared" si="0"/>
        <v>221407.06565490289</v>
      </c>
      <c r="E73" s="91">
        <f t="shared" si="26"/>
        <v>5675.1851713511714</v>
      </c>
      <c r="F73" s="121">
        <f t="shared" si="15"/>
        <v>911.5766181482818</v>
      </c>
      <c r="G73" s="91">
        <f t="shared" si="24"/>
        <v>-62202.504968241163</v>
      </c>
      <c r="H73" s="121">
        <f t="shared" si="24"/>
        <v>-7391.6602786706426</v>
      </c>
      <c r="I73" s="91">
        <f t="shared" si="25"/>
        <v>159204.56068666175</v>
      </c>
      <c r="J73" s="91">
        <f t="shared" si="25"/>
        <v>214015.40537623226</v>
      </c>
      <c r="K73" s="91">
        <f>J73-I73</f>
        <v>54810.844689570513</v>
      </c>
      <c r="L73" s="91">
        <f t="shared" si="10"/>
        <v>-11510.277384809808</v>
      </c>
      <c r="M73" s="91">
        <f t="shared" si="11"/>
        <v>1000.357796172606</v>
      </c>
      <c r="N73" s="132"/>
      <c r="O73" s="91"/>
      <c r="P73" s="96" t="s">
        <v>76</v>
      </c>
      <c r="Q73" s="108" t="s">
        <v>77</v>
      </c>
      <c r="R73" s="109" t="s">
        <v>78</v>
      </c>
      <c r="S73" s="109" t="s">
        <v>79</v>
      </c>
      <c r="T73" s="104" t="s">
        <v>80</v>
      </c>
      <c r="U73" s="108" t="s">
        <v>81</v>
      </c>
      <c r="V73" s="109" t="s">
        <v>82</v>
      </c>
      <c r="W73" s="109" t="s">
        <v>83</v>
      </c>
      <c r="X73" s="110" t="s">
        <v>84</v>
      </c>
      <c r="Y73" s="264"/>
      <c r="Z73" s="264"/>
      <c r="AA73" s="264"/>
    </row>
    <row r="74" spans="1:35" ht="15" customHeight="1" x14ac:dyDescent="0.25">
      <c r="A74" s="90">
        <v>45930</v>
      </c>
      <c r="B74" s="257">
        <v>17175.24345846799</v>
      </c>
      <c r="C74" s="91">
        <f t="shared" si="6"/>
        <v>238582.30911337089</v>
      </c>
      <c r="D74" s="91">
        <f t="shared" si="0"/>
        <v>238582.30911337089</v>
      </c>
      <c r="E74" s="91">
        <f t="shared" si="26"/>
        <v>5675.1851713511714</v>
      </c>
      <c r="F74" s="121">
        <f t="shared" si="15"/>
        <v>985.14391096205304</v>
      </c>
      <c r="G74" s="91">
        <f t="shared" si="24"/>
        <v>-67877.690139592334</v>
      </c>
      <c r="H74" s="121">
        <f t="shared" si="24"/>
        <v>-8376.8041896326959</v>
      </c>
      <c r="I74" s="91">
        <f t="shared" si="25"/>
        <v>170704.61897377856</v>
      </c>
      <c r="J74" s="91">
        <f t="shared" si="25"/>
        <v>230205.50492373819</v>
      </c>
      <c r="K74" s="91">
        <f>J74-I74</f>
        <v>59500.885949959629</v>
      </c>
      <c r="L74" s="91">
        <f t="shared" si="10"/>
        <v>-12495.186049491522</v>
      </c>
      <c r="M74" s="91">
        <f t="shared" si="11"/>
        <v>984.90866468171407</v>
      </c>
      <c r="N74" s="132"/>
      <c r="O74" s="91"/>
      <c r="P74" s="96"/>
      <c r="Q74" s="111" t="s">
        <v>78</v>
      </c>
      <c r="R74" s="112" t="s">
        <v>85</v>
      </c>
      <c r="S74" s="112" t="s">
        <v>2</v>
      </c>
      <c r="T74" s="113" t="s">
        <v>86</v>
      </c>
      <c r="U74" s="111" t="s">
        <v>87</v>
      </c>
      <c r="V74" s="112" t="s">
        <v>88</v>
      </c>
      <c r="W74" s="112" t="s">
        <v>89</v>
      </c>
      <c r="X74" s="114" t="s">
        <v>90</v>
      </c>
      <c r="Y74" s="264"/>
      <c r="Z74" s="264"/>
      <c r="AA74" s="264"/>
    </row>
    <row r="75" spans="1:35" ht="15" customHeight="1" x14ac:dyDescent="0.25">
      <c r="A75" s="90">
        <v>45961</v>
      </c>
      <c r="B75" s="257">
        <v>17175.24345846799</v>
      </c>
      <c r="C75" s="91">
        <f t="shared" si="6"/>
        <v>255757.5525718389</v>
      </c>
      <c r="D75" s="91">
        <f t="shared" si="0"/>
        <v>255757.5525718389</v>
      </c>
      <c r="E75" s="91">
        <f t="shared" si="26"/>
        <v>5675.1851713511714</v>
      </c>
      <c r="F75" s="121">
        <f t="shared" si="15"/>
        <v>1058.7112037758243</v>
      </c>
      <c r="G75" s="91">
        <f t="shared" si="24"/>
        <v>-73552.875310943506</v>
      </c>
      <c r="H75" s="121">
        <f t="shared" si="24"/>
        <v>-9435.515393408521</v>
      </c>
      <c r="I75" s="91">
        <f t="shared" si="25"/>
        <v>182204.67726089538</v>
      </c>
      <c r="J75" s="91">
        <f t="shared" si="25"/>
        <v>246322.03717843039</v>
      </c>
      <c r="K75" s="91">
        <f t="shared" ref="K75:K77" si="27">J75-I75</f>
        <v>64117.35991753501</v>
      </c>
      <c r="L75" s="91">
        <f t="shared" si="10"/>
        <v>-13464.645582682351</v>
      </c>
      <c r="M75" s="91">
        <f t="shared" si="11"/>
        <v>969.45953319082946</v>
      </c>
      <c r="N75" s="132"/>
      <c r="O75" s="91"/>
      <c r="P75" s="96"/>
      <c r="Q75" s="115" t="s">
        <v>91</v>
      </c>
      <c r="R75" s="116" t="s">
        <v>92</v>
      </c>
      <c r="S75" s="117" t="s">
        <v>93</v>
      </c>
      <c r="T75" s="118" t="s">
        <v>94</v>
      </c>
      <c r="U75" s="115" t="s">
        <v>95</v>
      </c>
      <c r="V75" s="119" t="s">
        <v>96</v>
      </c>
      <c r="W75" s="109" t="s">
        <v>97</v>
      </c>
      <c r="X75" s="120" t="s">
        <v>98</v>
      </c>
      <c r="Y75" s="264"/>
      <c r="Z75" s="264"/>
      <c r="AA75" s="264"/>
    </row>
    <row r="76" spans="1:35" ht="15" customHeight="1" x14ac:dyDescent="0.25">
      <c r="A76" s="90">
        <v>45991</v>
      </c>
      <c r="B76" s="257">
        <v>17175.24345846799</v>
      </c>
      <c r="C76" s="91">
        <f t="shared" si="6"/>
        <v>272932.7960303069</v>
      </c>
      <c r="D76" s="91">
        <f t="shared" si="0"/>
        <v>272932.7960303069</v>
      </c>
      <c r="E76" s="91">
        <f t="shared" si="26"/>
        <v>5675.1851713511714</v>
      </c>
      <c r="F76" s="121">
        <f t="shared" si="15"/>
        <v>1132.2784965895958</v>
      </c>
      <c r="G76" s="91">
        <f t="shared" si="24"/>
        <v>-79228.060482294677</v>
      </c>
      <c r="H76" s="121">
        <f t="shared" si="24"/>
        <v>-10567.793889998116</v>
      </c>
      <c r="I76" s="91">
        <f t="shared" si="25"/>
        <v>193704.73554801222</v>
      </c>
      <c r="J76" s="91">
        <f t="shared" si="25"/>
        <v>262365.00214030879</v>
      </c>
      <c r="K76" s="91">
        <f t="shared" si="27"/>
        <v>68660.266592296568</v>
      </c>
      <c r="L76" s="91">
        <f t="shared" si="10"/>
        <v>-14418.655984382278</v>
      </c>
      <c r="M76" s="91">
        <f t="shared" si="11"/>
        <v>954.01040169992666</v>
      </c>
      <c r="N76" s="132"/>
      <c r="O76" s="91"/>
      <c r="P76" s="124"/>
      <c r="Q76" s="125"/>
      <c r="R76" s="126"/>
      <c r="S76" s="127"/>
      <c r="T76" s="128" t="s">
        <v>99</v>
      </c>
      <c r="U76" s="125" t="s">
        <v>100</v>
      </c>
      <c r="V76" s="129"/>
      <c r="W76" s="130"/>
      <c r="X76" s="131" t="s">
        <v>101</v>
      </c>
      <c r="Y76" s="264"/>
      <c r="Z76" s="264"/>
      <c r="AA76" s="264"/>
    </row>
    <row r="77" spans="1:35" ht="15" x14ac:dyDescent="0.25">
      <c r="A77" s="90">
        <v>46022</v>
      </c>
      <c r="B77" s="257">
        <v>17175.24345846799</v>
      </c>
      <c r="C77" s="91">
        <f t="shared" si="6"/>
        <v>290108.0394887749</v>
      </c>
      <c r="D77" s="91">
        <f t="shared" si="0"/>
        <v>290108.0394887749</v>
      </c>
      <c r="E77" s="91">
        <f>($C$29*$G$9+($C$41-$C$29)*$F$9+($C$53-$C$41)*$E$9+($C$65-$C$53)*$D$9+($C$77-$C$65)*$C$9)/12</f>
        <v>5675.1851713511714</v>
      </c>
      <c r="F77" s="121">
        <f t="shared" si="15"/>
        <v>1205.845789403367</v>
      </c>
      <c r="G77" s="91">
        <f t="shared" si="24"/>
        <v>-84903.245653645849</v>
      </c>
      <c r="H77" s="121">
        <f t="shared" si="24"/>
        <v>-11773.639679401484</v>
      </c>
      <c r="I77" s="91">
        <f t="shared" si="25"/>
        <v>205204.79383512906</v>
      </c>
      <c r="J77" s="91">
        <f t="shared" si="25"/>
        <v>278334.39980937343</v>
      </c>
      <c r="K77" s="91">
        <f t="shared" si="27"/>
        <v>73129.605974244361</v>
      </c>
      <c r="L77" s="91">
        <f t="shared" si="10"/>
        <v>-15357.217254591314</v>
      </c>
      <c r="M77" s="91">
        <f t="shared" si="11"/>
        <v>938.56127020903659</v>
      </c>
      <c r="N77" s="132"/>
      <c r="O77" s="91"/>
      <c r="P77" s="133">
        <v>1</v>
      </c>
      <c r="Q77" s="134"/>
      <c r="R77" s="135"/>
      <c r="S77" s="136"/>
      <c r="T77" s="137"/>
      <c r="U77" s="138"/>
      <c r="V77" s="139"/>
      <c r="W77" s="136"/>
      <c r="X77" s="140"/>
      <c r="Y77" s="264"/>
      <c r="Z77" s="264"/>
      <c r="AA77" s="264"/>
    </row>
    <row r="78" spans="1:35" ht="15" x14ac:dyDescent="0.25">
      <c r="A78" s="172" t="s">
        <v>106</v>
      </c>
      <c r="B78" s="246"/>
      <c r="C78" s="173"/>
      <c r="D78" s="146">
        <f>D77-'Closings By Depr Grp'!AX7</f>
        <v>0</v>
      </c>
      <c r="E78" s="174">
        <f>G77+SUM(E18:E77)</f>
        <v>0</v>
      </c>
      <c r="F78" s="175">
        <f>H77+SUM(F24:F77)</f>
        <v>0</v>
      </c>
      <c r="G78" s="173"/>
      <c r="H78" s="176"/>
      <c r="I78" s="173"/>
      <c r="J78" s="173"/>
      <c r="K78" s="173"/>
      <c r="L78" s="173"/>
      <c r="M78" s="177"/>
      <c r="N78" s="132"/>
      <c r="O78" s="91"/>
      <c r="P78" s="133">
        <v>2</v>
      </c>
      <c r="Q78" s="134"/>
      <c r="R78" s="135">
        <v>45657</v>
      </c>
      <c r="S78" s="136">
        <f>+'E3631'!M65</f>
        <v>221.60375114350245</v>
      </c>
      <c r="T78" s="141">
        <f>+'E3631'!L65</f>
        <v>-3074.8393336839795</v>
      </c>
      <c r="U78" s="138"/>
      <c r="V78" s="139"/>
      <c r="W78" s="136"/>
      <c r="X78" s="142">
        <f>T78</f>
        <v>-3074.8393336839795</v>
      </c>
      <c r="Y78" s="264"/>
      <c r="Z78" s="264"/>
      <c r="AA78" s="264"/>
    </row>
    <row r="79" spans="1:35" ht="15" x14ac:dyDescent="0.25">
      <c r="A79" s="178" t="s">
        <v>107</v>
      </c>
      <c r="B79" s="247"/>
      <c r="C79" s="179"/>
      <c r="D79" s="180"/>
      <c r="E79" s="179"/>
      <c r="F79" s="179"/>
      <c r="G79" s="179"/>
      <c r="H79" s="181"/>
      <c r="I79" s="179"/>
      <c r="J79" s="179"/>
      <c r="K79" s="179"/>
      <c r="L79" s="179"/>
      <c r="M79" s="182"/>
      <c r="N79" s="51"/>
      <c r="O79" s="91"/>
      <c r="P79" s="133">
        <v>3</v>
      </c>
      <c r="Q79" s="134">
        <f t="shared" ref="Q79:Q90" si="28">DAY(EOMONTH(R79,0))</f>
        <v>31</v>
      </c>
      <c r="R79" s="135">
        <v>45658</v>
      </c>
      <c r="S79" s="136">
        <f>+'E3631'!M66</f>
        <v>1108.5017166088514</v>
      </c>
      <c r="T79" s="143">
        <f t="shared" ref="T79:T90" si="29">+T78-S79</f>
        <v>-4183.3410502928309</v>
      </c>
      <c r="U79" s="138">
        <f>V79-SUM($Q$78:Q79)+1</f>
        <v>335</v>
      </c>
      <c r="V79" s="139">
        <f>Q91</f>
        <v>365</v>
      </c>
      <c r="W79" s="136">
        <f t="shared" ref="W79:W90" si="30">+U79/V79*S79</f>
        <v>1017.391986476617</v>
      </c>
      <c r="X79" s="140">
        <f t="shared" ref="X79:X90" si="31">+X78-W79</f>
        <v>-4092.2313201605966</v>
      </c>
      <c r="Y79" s="264"/>
      <c r="Z79" s="264"/>
      <c r="AA79" s="264"/>
    </row>
    <row r="80" spans="1:35" ht="15" x14ac:dyDescent="0.25">
      <c r="A80" s="183" t="s">
        <v>108</v>
      </c>
      <c r="B80" s="248"/>
      <c r="C80" s="173">
        <f>C29</f>
        <v>0</v>
      </c>
      <c r="D80" s="173">
        <f>D29</f>
        <v>0</v>
      </c>
      <c r="E80" s="173">
        <f>SUM(E24:E29)</f>
        <v>0</v>
      </c>
      <c r="F80" s="173">
        <f>SUM(F24:F29)</f>
        <v>0</v>
      </c>
      <c r="G80" s="173">
        <f t="shared" ref="G80:L80" si="32">G29</f>
        <v>0</v>
      </c>
      <c r="H80" s="173">
        <f t="shared" si="32"/>
        <v>0</v>
      </c>
      <c r="I80" s="173">
        <f t="shared" si="32"/>
        <v>0</v>
      </c>
      <c r="J80" s="173">
        <f t="shared" si="32"/>
        <v>0</v>
      </c>
      <c r="K80" s="173">
        <f t="shared" si="32"/>
        <v>0</v>
      </c>
      <c r="L80" s="173">
        <f t="shared" si="32"/>
        <v>0</v>
      </c>
      <c r="M80" s="184">
        <f>SUM(M24:M29)</f>
        <v>0</v>
      </c>
      <c r="N80" s="51"/>
      <c r="O80" s="91"/>
      <c r="P80" s="133">
        <v>4</v>
      </c>
      <c r="Q80" s="134">
        <f t="shared" si="28"/>
        <v>28</v>
      </c>
      <c r="R80" s="135">
        <v>45689</v>
      </c>
      <c r="S80" s="136">
        <f>+'E3631'!M67</f>
        <v>1093.0525851179573</v>
      </c>
      <c r="T80" s="143">
        <f t="shared" si="29"/>
        <v>-5276.3936354107882</v>
      </c>
      <c r="U80" s="138">
        <f>V80-SUM($Q$78:Q80)+1</f>
        <v>307</v>
      </c>
      <c r="V80" s="139">
        <f t="shared" ref="V80:V90" si="33">V79</f>
        <v>365</v>
      </c>
      <c r="W80" s="136">
        <f t="shared" si="30"/>
        <v>919.36203734578874</v>
      </c>
      <c r="X80" s="140">
        <f t="shared" si="31"/>
        <v>-5011.5933575063855</v>
      </c>
      <c r="Y80" s="264"/>
      <c r="Z80" s="264"/>
      <c r="AA80" s="264"/>
    </row>
    <row r="81" spans="1:43" ht="15" x14ac:dyDescent="0.25">
      <c r="A81" s="185" t="s">
        <v>109</v>
      </c>
      <c r="B81" s="249"/>
      <c r="C81" s="186">
        <f>(0+C29+SUM(C18:C28)*2)/24</f>
        <v>0</v>
      </c>
      <c r="D81" s="186">
        <f>(0+D29+SUM(D18:D28)*2)/24</f>
        <v>0</v>
      </c>
      <c r="E81" s="186"/>
      <c r="F81" s="187"/>
      <c r="G81" s="186">
        <f t="shared" ref="G81:L81" si="34">(0+G29+SUM(G18:G28)*2)/24</f>
        <v>0</v>
      </c>
      <c r="H81" s="186">
        <f t="shared" si="34"/>
        <v>0</v>
      </c>
      <c r="I81" s="186">
        <f t="shared" si="34"/>
        <v>0</v>
      </c>
      <c r="J81" s="186">
        <f t="shared" si="34"/>
        <v>0</v>
      </c>
      <c r="K81" s="186">
        <f t="shared" si="34"/>
        <v>0</v>
      </c>
      <c r="L81" s="186">
        <f t="shared" si="34"/>
        <v>0</v>
      </c>
      <c r="M81" s="186"/>
      <c r="N81" s="51"/>
      <c r="O81" s="91"/>
      <c r="P81" s="133">
        <v>5</v>
      </c>
      <c r="Q81" s="134">
        <f t="shared" si="28"/>
        <v>31</v>
      </c>
      <c r="R81" s="135">
        <v>45717</v>
      </c>
      <c r="S81" s="136">
        <f>+'E3631'!M68</f>
        <v>1077.6034536270636</v>
      </c>
      <c r="T81" s="143">
        <f t="shared" si="29"/>
        <v>-6353.9970890378518</v>
      </c>
      <c r="U81" s="138">
        <f>V81-SUM($Q$78:Q81)+1</f>
        <v>276</v>
      </c>
      <c r="V81" s="139">
        <f t="shared" si="33"/>
        <v>365</v>
      </c>
      <c r="W81" s="136">
        <f t="shared" si="30"/>
        <v>814.84535123580702</v>
      </c>
      <c r="X81" s="140">
        <f t="shared" si="31"/>
        <v>-5826.4387087421928</v>
      </c>
      <c r="Y81" s="264"/>
      <c r="Z81" s="264"/>
      <c r="AA81" s="264"/>
    </row>
    <row r="82" spans="1:43" ht="15" x14ac:dyDescent="0.25">
      <c r="A82" s="188" t="s">
        <v>110</v>
      </c>
      <c r="B82" s="250"/>
      <c r="C82" s="189"/>
      <c r="D82" s="190"/>
      <c r="E82" s="189"/>
      <c r="F82" s="189"/>
      <c r="G82" s="189"/>
      <c r="H82" s="191"/>
      <c r="I82" s="189"/>
      <c r="J82" s="189"/>
      <c r="K82" s="189"/>
      <c r="L82" s="189"/>
      <c r="M82" s="192"/>
      <c r="N82" s="51"/>
      <c r="O82" s="91"/>
      <c r="P82" s="133">
        <v>6</v>
      </c>
      <c r="Q82" s="134">
        <f t="shared" si="28"/>
        <v>30</v>
      </c>
      <c r="R82" s="135">
        <v>45748</v>
      </c>
      <c r="S82" s="136">
        <f>+'E3631'!M69</f>
        <v>1062.1543221361771</v>
      </c>
      <c r="T82" s="143">
        <f t="shared" si="29"/>
        <v>-7416.1514111740289</v>
      </c>
      <c r="U82" s="138">
        <f>V82-SUM($Q$78:Q82)+1</f>
        <v>246</v>
      </c>
      <c r="V82" s="139">
        <f t="shared" si="33"/>
        <v>365</v>
      </c>
      <c r="W82" s="136">
        <f t="shared" si="30"/>
        <v>715.86291300136872</v>
      </c>
      <c r="X82" s="140">
        <f t="shared" si="31"/>
        <v>-6542.3016217435616</v>
      </c>
      <c r="Y82" s="264"/>
      <c r="Z82" s="264"/>
      <c r="AA82" s="264"/>
    </row>
    <row r="83" spans="1:43" ht="15" x14ac:dyDescent="0.25">
      <c r="A83" s="193" t="s">
        <v>111</v>
      </c>
      <c r="B83" s="251"/>
      <c r="C83" s="194">
        <f>C41</f>
        <v>0</v>
      </c>
      <c r="D83" s="194">
        <f>D41</f>
        <v>0</v>
      </c>
      <c r="E83" s="194">
        <f>SUM(E30:E41)</f>
        <v>0</v>
      </c>
      <c r="F83" s="194">
        <f>SUM(F30:F41)</f>
        <v>0</v>
      </c>
      <c r="G83" s="194">
        <f t="shared" ref="G83:J83" si="35">G41</f>
        <v>0</v>
      </c>
      <c r="H83" s="194">
        <f t="shared" si="35"/>
        <v>0</v>
      </c>
      <c r="I83" s="194">
        <f t="shared" si="35"/>
        <v>0</v>
      </c>
      <c r="J83" s="194">
        <f t="shared" si="35"/>
        <v>0</v>
      </c>
      <c r="K83" s="194">
        <f>K41</f>
        <v>0</v>
      </c>
      <c r="L83" s="194">
        <f>L41</f>
        <v>0</v>
      </c>
      <c r="M83" s="195">
        <f>SUM(M30:M41)</f>
        <v>0</v>
      </c>
      <c r="N83" s="51"/>
      <c r="O83" s="91"/>
      <c r="P83" s="133">
        <v>7</v>
      </c>
      <c r="Q83" s="134">
        <f t="shared" si="28"/>
        <v>31</v>
      </c>
      <c r="R83" s="135">
        <v>45778</v>
      </c>
      <c r="S83" s="136">
        <f>+'E3631'!M70</f>
        <v>1046.7051906452853</v>
      </c>
      <c r="T83" s="143">
        <f t="shared" si="29"/>
        <v>-8462.8566018193142</v>
      </c>
      <c r="U83" s="138">
        <f>V83-SUM($Q$78:Q83)+1</f>
        <v>215</v>
      </c>
      <c r="V83" s="139">
        <f t="shared" si="33"/>
        <v>365</v>
      </c>
      <c r="W83" s="136">
        <f t="shared" si="30"/>
        <v>616.55237257188037</v>
      </c>
      <c r="X83" s="140">
        <f t="shared" si="31"/>
        <v>-7158.8539943154419</v>
      </c>
      <c r="Y83" s="264"/>
      <c r="Z83" s="264"/>
      <c r="AA83" s="264"/>
    </row>
    <row r="84" spans="1:43" ht="15" x14ac:dyDescent="0.25">
      <c r="A84" s="196" t="s">
        <v>112</v>
      </c>
      <c r="B84" s="252"/>
      <c r="C84" s="197">
        <f>(C29+C41+SUM(C30:C40)*2)/24</f>
        <v>0</v>
      </c>
      <c r="D84" s="197">
        <f>(D29+D41+SUM(D30:D40)*2)/24</f>
        <v>0</v>
      </c>
      <c r="E84" s="197"/>
      <c r="F84" s="198"/>
      <c r="G84" s="197">
        <f t="shared" ref="G84:J84" si="36">(G29+G41+SUM(G30:G40)*2)/24</f>
        <v>0</v>
      </c>
      <c r="H84" s="197">
        <f t="shared" si="36"/>
        <v>0</v>
      </c>
      <c r="I84" s="197">
        <f t="shared" si="36"/>
        <v>0</v>
      </c>
      <c r="J84" s="197">
        <f t="shared" si="36"/>
        <v>0</v>
      </c>
      <c r="K84" s="197">
        <f>(K29+K41+SUM(K30:K40)*2)/24</f>
        <v>0</v>
      </c>
      <c r="L84" s="197">
        <f>(L29+L41+SUM(L30:L40)*2)/24</f>
        <v>0</v>
      </c>
      <c r="M84" s="199"/>
      <c r="N84" s="51"/>
      <c r="O84" s="91"/>
      <c r="P84" s="133">
        <v>8</v>
      </c>
      <c r="Q84" s="134">
        <f t="shared" si="28"/>
        <v>30</v>
      </c>
      <c r="R84" s="135">
        <v>45809</v>
      </c>
      <c r="S84" s="136">
        <f>+'E3631'!M71</f>
        <v>1031.2560591543934</v>
      </c>
      <c r="T84" s="143">
        <f t="shared" si="29"/>
        <v>-9494.1126609737075</v>
      </c>
      <c r="U84" s="138">
        <f>V84-SUM($Q$78:Q84)+1</f>
        <v>185</v>
      </c>
      <c r="V84" s="139">
        <f t="shared" si="33"/>
        <v>365</v>
      </c>
      <c r="W84" s="136">
        <f t="shared" si="30"/>
        <v>522.69142724263781</v>
      </c>
      <c r="X84" s="140">
        <f t="shared" si="31"/>
        <v>-7681.5454215580794</v>
      </c>
      <c r="Y84" s="264"/>
      <c r="Z84" s="264"/>
      <c r="AA84" s="264"/>
    </row>
    <row r="85" spans="1:43" ht="15" x14ac:dyDescent="0.25">
      <c r="A85" s="178" t="s">
        <v>113</v>
      </c>
      <c r="B85" s="247"/>
      <c r="C85" s="179"/>
      <c r="D85" s="180"/>
      <c r="E85" s="179"/>
      <c r="F85" s="179"/>
      <c r="G85" s="179"/>
      <c r="H85" s="181"/>
      <c r="I85" s="179"/>
      <c r="J85" s="179"/>
      <c r="K85" s="179"/>
      <c r="L85" s="179"/>
      <c r="M85" s="182"/>
      <c r="N85" s="51"/>
      <c r="O85" s="91"/>
      <c r="P85" s="133">
        <v>9</v>
      </c>
      <c r="Q85" s="134">
        <f t="shared" si="28"/>
        <v>31</v>
      </c>
      <c r="R85" s="135">
        <v>45839</v>
      </c>
      <c r="S85" s="136">
        <f>+'E3631'!M72</f>
        <v>1015.8069276634942</v>
      </c>
      <c r="T85" s="143">
        <f t="shared" si="29"/>
        <v>-10509.919588637202</v>
      </c>
      <c r="U85" s="138">
        <f>V85-SUM($Q$78:Q85)+1</f>
        <v>154</v>
      </c>
      <c r="V85" s="139">
        <f t="shared" si="33"/>
        <v>365</v>
      </c>
      <c r="W85" s="136">
        <f t="shared" si="30"/>
        <v>428.58703249363862</v>
      </c>
      <c r="X85" s="140">
        <f t="shared" si="31"/>
        <v>-8110.132454051718</v>
      </c>
      <c r="Y85" s="264"/>
      <c r="Z85" s="264"/>
      <c r="AA85" s="264"/>
    </row>
    <row r="86" spans="1:43" ht="15" x14ac:dyDescent="0.25">
      <c r="A86" s="183" t="s">
        <v>114</v>
      </c>
      <c r="B86" s="248"/>
      <c r="C86" s="173">
        <f>C53</f>
        <v>0</v>
      </c>
      <c r="D86" s="173">
        <f>D53</f>
        <v>0</v>
      </c>
      <c r="E86" s="173">
        <f>SUM(E42:E53)</f>
        <v>0</v>
      </c>
      <c r="F86" s="173">
        <f>SUM(F42:F53)</f>
        <v>0</v>
      </c>
      <c r="G86" s="173">
        <f t="shared" ref="G86:L86" si="37">G53</f>
        <v>0</v>
      </c>
      <c r="H86" s="173">
        <f t="shared" si="37"/>
        <v>0</v>
      </c>
      <c r="I86" s="173">
        <f t="shared" si="37"/>
        <v>0</v>
      </c>
      <c r="J86" s="173">
        <f t="shared" si="37"/>
        <v>0</v>
      </c>
      <c r="K86" s="173">
        <f t="shared" si="37"/>
        <v>0</v>
      </c>
      <c r="L86" s="173">
        <f t="shared" si="37"/>
        <v>0</v>
      </c>
      <c r="M86" s="177">
        <f>SUM(M42:M53)</f>
        <v>0</v>
      </c>
      <c r="N86" s="51"/>
      <c r="O86" s="123"/>
      <c r="P86" s="133">
        <v>10</v>
      </c>
      <c r="Q86" s="134">
        <f t="shared" si="28"/>
        <v>31</v>
      </c>
      <c r="R86" s="135">
        <v>45870</v>
      </c>
      <c r="S86" s="136">
        <f>+'E3631'!M73</f>
        <v>1000.357796172606</v>
      </c>
      <c r="T86" s="143">
        <f t="shared" si="29"/>
        <v>-11510.277384809808</v>
      </c>
      <c r="U86" s="138">
        <f>V86-SUM($Q$78:Q86)+1</f>
        <v>123</v>
      </c>
      <c r="V86" s="139">
        <f t="shared" si="33"/>
        <v>365</v>
      </c>
      <c r="W86" s="136">
        <f t="shared" si="30"/>
        <v>337.1068737787138</v>
      </c>
      <c r="X86" s="140">
        <f t="shared" si="31"/>
        <v>-8447.2393278304316</v>
      </c>
      <c r="Y86" s="264"/>
      <c r="Z86" s="264"/>
      <c r="AA86" s="264"/>
    </row>
    <row r="87" spans="1:43" ht="15" x14ac:dyDescent="0.25">
      <c r="A87" s="185" t="s">
        <v>115</v>
      </c>
      <c r="B87" s="249"/>
      <c r="C87" s="186">
        <f>(C41+C53+SUM(C42:C52)*2)/24</f>
        <v>0</v>
      </c>
      <c r="D87" s="186">
        <f>(D41+D53+SUM(D42:D52)*2)/24</f>
        <v>0</v>
      </c>
      <c r="E87" s="186"/>
      <c r="F87" s="187"/>
      <c r="G87" s="186">
        <f t="shared" ref="G87:L87" si="38">(G41+G53+SUM(G42:G52)*2)/24</f>
        <v>0</v>
      </c>
      <c r="H87" s="186">
        <f t="shared" si="38"/>
        <v>0</v>
      </c>
      <c r="I87" s="186">
        <f t="shared" si="38"/>
        <v>0</v>
      </c>
      <c r="J87" s="186">
        <f t="shared" si="38"/>
        <v>0</v>
      </c>
      <c r="K87" s="186">
        <f t="shared" si="38"/>
        <v>0</v>
      </c>
      <c r="L87" s="186">
        <f t="shared" si="38"/>
        <v>0</v>
      </c>
      <c r="M87" s="200"/>
      <c r="N87" s="51"/>
      <c r="O87" s="123"/>
      <c r="P87" s="133">
        <v>11</v>
      </c>
      <c r="Q87" s="134">
        <f t="shared" si="28"/>
        <v>30</v>
      </c>
      <c r="R87" s="135">
        <v>45901</v>
      </c>
      <c r="S87" s="136">
        <f>+'E3631'!M74</f>
        <v>984.90866468171407</v>
      </c>
      <c r="T87" s="143">
        <f t="shared" si="29"/>
        <v>-12495.186049491522</v>
      </c>
      <c r="U87" s="138">
        <f>V87-SUM($Q$78:Q87)+1</f>
        <v>93</v>
      </c>
      <c r="V87" s="139">
        <f t="shared" si="33"/>
        <v>365</v>
      </c>
      <c r="W87" s="136">
        <f t="shared" si="30"/>
        <v>250.94933100109427</v>
      </c>
      <c r="X87" s="140">
        <f t="shared" si="31"/>
        <v>-8698.1886588315265</v>
      </c>
      <c r="Y87" s="264"/>
      <c r="Z87" s="264"/>
      <c r="AA87" s="264"/>
    </row>
    <row r="88" spans="1:43" ht="15" x14ac:dyDescent="0.25">
      <c r="A88" s="188" t="s">
        <v>116</v>
      </c>
      <c r="B88" s="250"/>
      <c r="C88" s="189"/>
      <c r="D88" s="190"/>
      <c r="E88" s="189"/>
      <c r="F88" s="189"/>
      <c r="G88" s="189"/>
      <c r="H88" s="191"/>
      <c r="I88" s="189"/>
      <c r="J88" s="189"/>
      <c r="K88" s="189"/>
      <c r="L88" s="189"/>
      <c r="M88" s="192"/>
      <c r="N88" s="51"/>
      <c r="P88" s="133">
        <v>12</v>
      </c>
      <c r="Q88" s="134">
        <f t="shared" si="28"/>
        <v>31</v>
      </c>
      <c r="R88" s="135">
        <v>45931</v>
      </c>
      <c r="S88" s="136">
        <f>+'E3631'!M75</f>
        <v>969.45953319082946</v>
      </c>
      <c r="T88" s="143">
        <f t="shared" si="29"/>
        <v>-13464.645582682351</v>
      </c>
      <c r="U88" s="138">
        <f>V88-SUM($Q$78:Q88)+1</f>
        <v>62</v>
      </c>
      <c r="V88" s="139">
        <f t="shared" si="33"/>
        <v>365</v>
      </c>
      <c r="W88" s="136">
        <f t="shared" si="30"/>
        <v>164.67531796666145</v>
      </c>
      <c r="X88" s="140">
        <f t="shared" si="31"/>
        <v>-8862.8639767981877</v>
      </c>
      <c r="Y88" s="264"/>
      <c r="Z88" s="264"/>
      <c r="AA88" s="264"/>
    </row>
    <row r="89" spans="1:43" ht="15" x14ac:dyDescent="0.25">
      <c r="A89" s="193" t="s">
        <v>117</v>
      </c>
      <c r="B89" s="251"/>
      <c r="C89" s="194">
        <f>C65</f>
        <v>84005.117987158927</v>
      </c>
      <c r="D89" s="194">
        <f>D65</f>
        <v>84005.117987158927</v>
      </c>
      <c r="E89" s="194">
        <f>SUM(E54:E65)</f>
        <v>16801.023597431787</v>
      </c>
      <c r="F89" s="194">
        <f>SUM(F54:F65)</f>
        <v>2158.931532269984</v>
      </c>
      <c r="G89" s="194">
        <f t="shared" ref="G89:L89" si="39">G65</f>
        <v>-16801.023597431787</v>
      </c>
      <c r="H89" s="194">
        <f t="shared" si="39"/>
        <v>-2158.931532269984</v>
      </c>
      <c r="I89" s="194">
        <f t="shared" si="39"/>
        <v>67204.094389727135</v>
      </c>
      <c r="J89" s="194">
        <f t="shared" si="39"/>
        <v>81846.186454888943</v>
      </c>
      <c r="K89" s="194">
        <f t="shared" si="39"/>
        <v>14642.092065161807</v>
      </c>
      <c r="L89" s="194">
        <f t="shared" si="39"/>
        <v>-3074.8393336839795</v>
      </c>
      <c r="M89" s="195">
        <f>SUM(M54:M65)</f>
        <v>3074.8393336839795</v>
      </c>
      <c r="N89" s="51"/>
      <c r="O89" s="38"/>
      <c r="P89" s="133">
        <v>13</v>
      </c>
      <c r="Q89" s="134">
        <f t="shared" si="28"/>
        <v>30</v>
      </c>
      <c r="R89" s="135">
        <v>45962</v>
      </c>
      <c r="S89" s="136">
        <f>+'E3631'!M76</f>
        <v>954.01040169992666</v>
      </c>
      <c r="T89" s="143">
        <f t="shared" si="29"/>
        <v>-14418.655984382278</v>
      </c>
      <c r="U89" s="138">
        <f>V89-SUM($Q$78:Q89)+1</f>
        <v>32</v>
      </c>
      <c r="V89" s="139">
        <f t="shared" si="33"/>
        <v>365</v>
      </c>
      <c r="W89" s="136">
        <f t="shared" si="30"/>
        <v>83.639268094240151</v>
      </c>
      <c r="X89" s="140">
        <f t="shared" si="31"/>
        <v>-8946.5032448924285</v>
      </c>
      <c r="Y89" s="264"/>
      <c r="Z89" s="264"/>
      <c r="AA89" s="264"/>
    </row>
    <row r="90" spans="1:43" ht="15" x14ac:dyDescent="0.25">
      <c r="A90" s="196" t="s">
        <v>118</v>
      </c>
      <c r="B90" s="252"/>
      <c r="C90" s="197">
        <f t="shared" ref="C90:D90" si="40">(C53+C65+SUM(C54:C64)*2)/24</f>
        <v>42002.558993579463</v>
      </c>
      <c r="D90" s="197">
        <f t="shared" si="40"/>
        <v>42002.558993579463</v>
      </c>
      <c r="E90" s="197"/>
      <c r="F90" s="198"/>
      <c r="G90" s="197">
        <f t="shared" ref="G90:I90" si="41">(G53+G65+SUM(G54:G64)*2)/24</f>
        <v>-8400.5117987158919</v>
      </c>
      <c r="H90" s="197">
        <f t="shared" si="41"/>
        <v>-722.14260743752948</v>
      </c>
      <c r="I90" s="197">
        <f t="shared" si="41"/>
        <v>33602.04719486356</v>
      </c>
      <c r="J90" s="197">
        <f>(J53+J65+SUM(J54:J64)*2)/24</f>
        <v>41280.416386141929</v>
      </c>
      <c r="K90" s="197">
        <f t="shared" ref="K90:L90" si="42">(K53+K65+SUM(K54:K64)*2)/24</f>
        <v>7678.3691912783643</v>
      </c>
      <c r="L90" s="197">
        <f t="shared" si="42"/>
        <v>-1612.4575301684565</v>
      </c>
      <c r="M90" s="199"/>
      <c r="P90" s="133">
        <v>14</v>
      </c>
      <c r="Q90" s="134">
        <f t="shared" si="28"/>
        <v>31</v>
      </c>
      <c r="R90" s="135">
        <v>45992</v>
      </c>
      <c r="S90" s="136">
        <f>+'E3631'!M77</f>
        <v>938.56127020903659</v>
      </c>
      <c r="T90" s="143">
        <f t="shared" si="29"/>
        <v>-15357.217254591314</v>
      </c>
      <c r="U90" s="138">
        <f>V90-SUM($Q$78:Q90)+1</f>
        <v>1</v>
      </c>
      <c r="V90" s="139">
        <f t="shared" si="33"/>
        <v>365</v>
      </c>
      <c r="W90" s="136">
        <f t="shared" si="30"/>
        <v>2.5714007402987304</v>
      </c>
      <c r="X90" s="140">
        <f t="shared" si="31"/>
        <v>-8949.074645632727</v>
      </c>
      <c r="Y90" s="264"/>
      <c r="Z90" s="264"/>
      <c r="AA90" s="264"/>
    </row>
    <row r="91" spans="1:43" ht="15.75" thickBot="1" x14ac:dyDescent="0.3">
      <c r="A91" s="178" t="s">
        <v>119</v>
      </c>
      <c r="B91" s="247"/>
      <c r="C91" s="179"/>
      <c r="D91" s="180"/>
      <c r="E91" s="179"/>
      <c r="F91" s="179"/>
      <c r="G91" s="179"/>
      <c r="H91" s="181"/>
      <c r="I91" s="179"/>
      <c r="J91" s="179"/>
      <c r="K91" s="179"/>
      <c r="L91" s="179"/>
      <c r="M91" s="182"/>
      <c r="P91" s="133">
        <v>15</v>
      </c>
      <c r="Q91" s="152">
        <f>SUM(Q79:Q90)</f>
        <v>365</v>
      </c>
      <c r="R91" s="103"/>
      <c r="S91" s="153">
        <f>SUM(S79:S90)</f>
        <v>12282.377920907335</v>
      </c>
      <c r="T91" s="154">
        <f>+'E3631'!L77-T90</f>
        <v>0</v>
      </c>
      <c r="U91" s="102"/>
      <c r="V91" s="155"/>
      <c r="W91" s="153">
        <f>SUM(W79:W90)</f>
        <v>5874.2353119487452</v>
      </c>
      <c r="X91" s="107"/>
      <c r="Y91" s="264"/>
      <c r="Z91" s="264"/>
      <c r="AA91" s="264"/>
    </row>
    <row r="92" spans="1:43" s="123" customFormat="1" ht="16.5" thickTop="1" thickBot="1" x14ac:dyDescent="0.3">
      <c r="A92" s="183" t="s">
        <v>120</v>
      </c>
      <c r="B92" s="248"/>
      <c r="C92" s="173">
        <f>C77</f>
        <v>290108.0394887749</v>
      </c>
      <c r="D92" s="173">
        <f>D77</f>
        <v>290108.0394887749</v>
      </c>
      <c r="E92" s="173">
        <f>SUM(E66:E77)</f>
        <v>68102.222056214057</v>
      </c>
      <c r="F92" s="173">
        <f>SUM(F66:F77)</f>
        <v>9614.7081471314996</v>
      </c>
      <c r="G92" s="173">
        <f t="shared" ref="G92:L92" si="43">G77</f>
        <v>-84903.245653645849</v>
      </c>
      <c r="H92" s="173">
        <f t="shared" si="43"/>
        <v>-11773.639679401484</v>
      </c>
      <c r="I92" s="173">
        <f t="shared" si="43"/>
        <v>205204.79383512906</v>
      </c>
      <c r="J92" s="173">
        <f t="shared" si="43"/>
        <v>278334.39980937343</v>
      </c>
      <c r="K92" s="173">
        <f t="shared" si="43"/>
        <v>73129.605974244361</v>
      </c>
      <c r="L92" s="173">
        <f t="shared" si="43"/>
        <v>-15357.217254591314</v>
      </c>
      <c r="M92" s="177">
        <f>SUM(M66:M77)</f>
        <v>12282.377920907335</v>
      </c>
      <c r="O92" s="52"/>
      <c r="P92" s="133">
        <v>16</v>
      </c>
      <c r="Q92" s="103"/>
      <c r="R92" s="156"/>
      <c r="S92" s="157"/>
      <c r="T92" s="137"/>
      <c r="U92" s="102"/>
      <c r="V92" s="103"/>
      <c r="W92" s="158"/>
      <c r="X92" s="107"/>
      <c r="Y92" s="264"/>
      <c r="Z92" s="264"/>
      <c r="AA92" s="264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43" s="123" customFormat="1" ht="15.75" thickBot="1" x14ac:dyDescent="0.3">
      <c r="A93" s="185" t="s">
        <v>121</v>
      </c>
      <c r="B93" s="249"/>
      <c r="C93" s="186">
        <f>(C65+C77+SUM(C66:C76)*2)/24</f>
        <v>187056.57873796692</v>
      </c>
      <c r="D93" s="186">
        <f>(D65+D77+SUM(D66:D76)*2)/24</f>
        <v>187056.57873796692</v>
      </c>
      <c r="E93" s="186"/>
      <c r="F93" s="187"/>
      <c r="G93" s="186">
        <f t="shared" ref="G93:L93" si="44">(G65+G77+SUM(G66:G76)*2)/24</f>
        <v>-50852.134625538827</v>
      </c>
      <c r="H93" s="186">
        <f t="shared" si="44"/>
        <v>-6089.6086998049605</v>
      </c>
      <c r="I93" s="186">
        <f t="shared" si="44"/>
        <v>136204.44411242809</v>
      </c>
      <c r="J93" s="186">
        <f t="shared" si="44"/>
        <v>180966.97003816193</v>
      </c>
      <c r="K93" s="186">
        <f t="shared" si="44"/>
        <v>44762.525925733855</v>
      </c>
      <c r="L93" s="186">
        <f t="shared" si="44"/>
        <v>-9400.1304444041107</v>
      </c>
      <c r="M93" s="200"/>
      <c r="O93" s="52"/>
      <c r="P93" s="133">
        <v>17</v>
      </c>
      <c r="Q93" s="103" t="s">
        <v>102</v>
      </c>
      <c r="R93" s="103"/>
      <c r="S93" s="136"/>
      <c r="T93" s="159">
        <f>(T78+T90+SUM(T79:T89)*2)/24</f>
        <v>-9400.1304444041107</v>
      </c>
      <c r="U93" s="102"/>
      <c r="V93" s="103"/>
      <c r="W93" s="160" t="s">
        <v>103</v>
      </c>
      <c r="X93" s="161">
        <f>X90</f>
        <v>-8949.074645632727</v>
      </c>
      <c r="Y93" s="264"/>
      <c r="Z93" s="264"/>
      <c r="AA93" s="264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43" s="123" customFormat="1" ht="16.5" thickTop="1" thickBo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O94" s="52"/>
      <c r="P94" s="162">
        <v>18</v>
      </c>
      <c r="Q94" s="163"/>
      <c r="R94" s="163"/>
      <c r="S94" s="164"/>
      <c r="T94" s="165"/>
      <c r="U94" s="166"/>
      <c r="V94" s="163"/>
      <c r="W94" s="163"/>
      <c r="X94" s="167"/>
      <c r="Y94" s="264"/>
      <c r="Z94" s="264"/>
      <c r="AA94" s="264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43" s="123" customFormat="1" ht="15" x14ac:dyDescent="0.25">
      <c r="A95" s="201" t="s">
        <v>106</v>
      </c>
      <c r="B95" s="253"/>
      <c r="C95" s="202">
        <f>C92-C77</f>
        <v>0</v>
      </c>
      <c r="D95" s="202">
        <f>D92-D77</f>
        <v>0</v>
      </c>
      <c r="E95" s="202">
        <f>E92+E89+E86+E83+E80+-SUM(E24:E77)</f>
        <v>0</v>
      </c>
      <c r="F95" s="202">
        <f>F92+F89+F86+F83+F80+-SUM(F24:F77)</f>
        <v>0</v>
      </c>
      <c r="G95" s="202">
        <f t="shared" ref="G95:L95" si="45">G77-G92</f>
        <v>0</v>
      </c>
      <c r="H95" s="202">
        <f t="shared" si="45"/>
        <v>0</v>
      </c>
      <c r="I95" s="202">
        <f t="shared" si="45"/>
        <v>0</v>
      </c>
      <c r="J95" s="202">
        <f t="shared" si="45"/>
        <v>0</v>
      </c>
      <c r="K95" s="202">
        <f t="shared" si="45"/>
        <v>0</v>
      </c>
      <c r="L95" s="202">
        <f t="shared" si="45"/>
        <v>0</v>
      </c>
      <c r="M95" s="202">
        <f>M92+M89+M86+M83+M80+-SUM(M24:M77)</f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264"/>
      <c r="Z95" s="264"/>
      <c r="AA95" s="264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1:43" s="123" customFormat="1" ht="15" x14ac:dyDescent="0.25">
      <c r="A96" s="203">
        <v>2023</v>
      </c>
      <c r="B96" s="254"/>
      <c r="C96" s="204">
        <f>D87+H87+X41</f>
        <v>0</v>
      </c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264"/>
      <c r="Z96" s="264"/>
      <c r="AA96" s="264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:27" ht="15" x14ac:dyDescent="0.25">
      <c r="A97" s="203">
        <v>2024</v>
      </c>
      <c r="B97" s="254"/>
      <c r="C97" s="204">
        <f>D90+H90+X67</f>
        <v>39784.115244925859</v>
      </c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Y97" s="264"/>
      <c r="Z97" s="264"/>
      <c r="AA97" s="264"/>
    </row>
    <row r="98" spans="1:27" ht="15" x14ac:dyDescent="0.25">
      <c r="A98" s="203">
        <v>2025</v>
      </c>
      <c r="B98" s="254"/>
      <c r="C98" s="204">
        <f>D93+H93+X93</f>
        <v>172017.89539252923</v>
      </c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Y98" s="264"/>
      <c r="Z98" s="264"/>
      <c r="AA98" s="264"/>
    </row>
    <row r="99" spans="1:27" ht="15" x14ac:dyDescent="0.25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Y99" s="264"/>
      <c r="Z99" s="264"/>
      <c r="AA99" s="264"/>
    </row>
    <row r="100" spans="1:27" ht="15" x14ac:dyDescent="0.25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Y100" s="264"/>
      <c r="Z100" s="264"/>
      <c r="AA100" s="264"/>
    </row>
    <row r="101" spans="1:27" ht="15" x14ac:dyDescent="0.25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Y101" s="264"/>
      <c r="Z101" s="264"/>
      <c r="AA101" s="264"/>
    </row>
    <row r="102" spans="1:27" ht="15" x14ac:dyDescent="0.25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Y102" s="264"/>
      <c r="Z102" s="264"/>
      <c r="AA102" s="264"/>
    </row>
    <row r="103" spans="1:27" ht="15" x14ac:dyDescent="0.25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Y103" s="264"/>
      <c r="Z103" s="264"/>
      <c r="AA103" s="264"/>
    </row>
    <row r="104" spans="1:27" ht="15" x14ac:dyDescent="0.25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Y104" s="264"/>
      <c r="Z104" s="264"/>
      <c r="AA104" s="264"/>
    </row>
    <row r="105" spans="1:27" ht="15" x14ac:dyDescent="0.25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Y105" s="264"/>
      <c r="Z105" s="264"/>
      <c r="AA105" s="264"/>
    </row>
    <row r="106" spans="1:27" ht="15" x14ac:dyDescent="0.25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Y106" s="264"/>
      <c r="Z106" s="264"/>
      <c r="AA106" s="264"/>
    </row>
    <row r="107" spans="1:27" ht="15" x14ac:dyDescent="0.25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Y107" s="264"/>
      <c r="Z107" s="264"/>
      <c r="AA107" s="264"/>
    </row>
    <row r="108" spans="1:27" ht="15" x14ac:dyDescent="0.25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Y108" s="264"/>
      <c r="Z108" s="264"/>
      <c r="AA108" s="264"/>
    </row>
    <row r="109" spans="1:27" ht="15" x14ac:dyDescent="0.25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Y109" s="264"/>
      <c r="Z109" s="264"/>
      <c r="AA109" s="264"/>
    </row>
    <row r="110" spans="1:27" ht="15" x14ac:dyDescent="0.25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Y110" s="264"/>
      <c r="Z110" s="264"/>
      <c r="AA110" s="264"/>
    </row>
    <row r="111" spans="1:27" ht="15" x14ac:dyDescent="0.25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Y111" s="264"/>
      <c r="Z111" s="264"/>
      <c r="AA111" s="264"/>
    </row>
    <row r="112" spans="1:27" ht="15" x14ac:dyDescent="0.25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Y112" s="264"/>
      <c r="Z112" s="264"/>
      <c r="AA112" s="264"/>
    </row>
    <row r="113" spans="1:27" ht="15" x14ac:dyDescent="0.25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Y113" s="264"/>
      <c r="Z113" s="264"/>
      <c r="AA113" s="264"/>
    </row>
    <row r="114" spans="1:27" ht="15" x14ac:dyDescent="0.25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Y114" s="264"/>
      <c r="Z114" s="264"/>
      <c r="AA114" s="264"/>
    </row>
    <row r="115" spans="1:27" ht="15" x14ac:dyDescent="0.25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Y115" s="264"/>
      <c r="Z115" s="264"/>
      <c r="AA115" s="264"/>
    </row>
    <row r="116" spans="1:27" ht="15" x14ac:dyDescent="0.25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Y116" s="264"/>
      <c r="Z116" s="264"/>
      <c r="AA116" s="264"/>
    </row>
    <row r="117" spans="1:27" ht="15" x14ac:dyDescent="0.25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Y117" s="264"/>
      <c r="Z117" s="264"/>
      <c r="AA117" s="264"/>
    </row>
    <row r="118" spans="1:27" ht="15" x14ac:dyDescent="0.25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Y118" s="264"/>
      <c r="Z118" s="264"/>
      <c r="AA118" s="264"/>
    </row>
    <row r="119" spans="1:27" ht="15" x14ac:dyDescent="0.25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Y119" s="264"/>
      <c r="Z119" s="264"/>
      <c r="AA119" s="264"/>
    </row>
    <row r="120" spans="1:27" ht="15" x14ac:dyDescent="0.25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Y120" s="264"/>
      <c r="Z120" s="264"/>
      <c r="AA120" s="264"/>
    </row>
    <row r="121" spans="1:27" ht="15" x14ac:dyDescent="0.25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Y121" s="264"/>
      <c r="Z121" s="264"/>
      <c r="AA121" s="264"/>
    </row>
    <row r="122" spans="1:27" ht="15" x14ac:dyDescent="0.25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Y122" s="264"/>
      <c r="Z122" s="264"/>
      <c r="AA122" s="264"/>
    </row>
    <row r="123" spans="1:27" ht="15" x14ac:dyDescent="0.25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Y123" s="264"/>
      <c r="Z123" s="264"/>
      <c r="AA123" s="264"/>
    </row>
    <row r="124" spans="1:27" ht="15" x14ac:dyDescent="0.25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Y124" s="264"/>
      <c r="Z124" s="264"/>
      <c r="AA124" s="264"/>
    </row>
    <row r="125" spans="1:27" ht="15" x14ac:dyDescent="0.25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Y125" s="264"/>
      <c r="Z125" s="264"/>
      <c r="AA125" s="264"/>
    </row>
    <row r="126" spans="1:27" ht="15" x14ac:dyDescent="0.25">
      <c r="Y126" s="264"/>
      <c r="Z126" s="264"/>
      <c r="AA126" s="264"/>
    </row>
    <row r="127" spans="1:27" ht="15" x14ac:dyDescent="0.25">
      <c r="Y127" s="264"/>
      <c r="Z127" s="264"/>
      <c r="AA127" s="264"/>
    </row>
    <row r="128" spans="1:27" ht="15" x14ac:dyDescent="0.25">
      <c r="Y128" s="264"/>
      <c r="Z128" s="264"/>
      <c r="AA128" s="264"/>
    </row>
    <row r="129" spans="25:27" ht="15" x14ac:dyDescent="0.25">
      <c r="Y129" s="264"/>
      <c r="Z129" s="264"/>
      <c r="AA129" s="264"/>
    </row>
    <row r="130" spans="25:27" ht="15" x14ac:dyDescent="0.25">
      <c r="Y130" s="264"/>
      <c r="Z130" s="264"/>
      <c r="AA130" s="264"/>
    </row>
    <row r="131" spans="25:27" ht="15" x14ac:dyDescent="0.25">
      <c r="Y131" s="264"/>
      <c r="Z131" s="264"/>
      <c r="AA131" s="264"/>
    </row>
    <row r="132" spans="25:27" ht="15" x14ac:dyDescent="0.25">
      <c r="Y132" s="264"/>
      <c r="Z132" s="264"/>
      <c r="AA132" s="264"/>
    </row>
    <row r="133" spans="25:27" ht="15" x14ac:dyDescent="0.25">
      <c r="Y133" s="264"/>
      <c r="Z133" s="264"/>
      <c r="AA133" s="264"/>
    </row>
    <row r="134" spans="25:27" ht="15" x14ac:dyDescent="0.25">
      <c r="Y134" s="264"/>
      <c r="Z134" s="264"/>
      <c r="AA134" s="264"/>
    </row>
    <row r="135" spans="25:27" ht="15" x14ac:dyDescent="0.25">
      <c r="Y135" s="264"/>
      <c r="Z135" s="264"/>
      <c r="AA135" s="264"/>
    </row>
    <row r="136" spans="25:27" ht="15" x14ac:dyDescent="0.25">
      <c r="Y136" s="264"/>
      <c r="Z136" s="264"/>
      <c r="AA136" s="264"/>
    </row>
    <row r="137" spans="25:27" ht="15" x14ac:dyDescent="0.25">
      <c r="Y137" s="264"/>
      <c r="Z137" s="264"/>
      <c r="AA137" s="264"/>
    </row>
    <row r="138" spans="25:27" ht="15" x14ac:dyDescent="0.25">
      <c r="Y138" s="264"/>
      <c r="Z138" s="264"/>
      <c r="AA138" s="264"/>
    </row>
    <row r="139" spans="25:27" ht="15" x14ac:dyDescent="0.25">
      <c r="Y139" s="264"/>
      <c r="Z139" s="264"/>
      <c r="AA139" s="264"/>
    </row>
    <row r="140" spans="25:27" ht="15" x14ac:dyDescent="0.25">
      <c r="Y140" s="264"/>
      <c r="Z140" s="264"/>
      <c r="AA140" s="264"/>
    </row>
    <row r="141" spans="25:27" ht="15" x14ac:dyDescent="0.25">
      <c r="Y141" s="264"/>
      <c r="Z141" s="264"/>
      <c r="AA141" s="264"/>
    </row>
    <row r="142" spans="25:27" ht="15" x14ac:dyDescent="0.25">
      <c r="Y142" s="264"/>
      <c r="Z142" s="264"/>
      <c r="AA142" s="264"/>
    </row>
    <row r="143" spans="25:27" ht="15" x14ac:dyDescent="0.25">
      <c r="Y143" s="264"/>
      <c r="Z143" s="264"/>
      <c r="AA143" s="264"/>
    </row>
    <row r="144" spans="25:27" ht="15" x14ac:dyDescent="0.25">
      <c r="Y144" s="264"/>
      <c r="Z144" s="264"/>
      <c r="AA144" s="264"/>
    </row>
    <row r="145" spans="25:27" ht="15" x14ac:dyDescent="0.25">
      <c r="Y145" s="264"/>
      <c r="Z145" s="264"/>
      <c r="AA145" s="264"/>
    </row>
    <row r="146" spans="25:27" ht="15" x14ac:dyDescent="0.25">
      <c r="Y146" s="264"/>
      <c r="Z146" s="264"/>
      <c r="AA146" s="264"/>
    </row>
    <row r="147" spans="25:27" ht="15" x14ac:dyDescent="0.25">
      <c r="Y147" s="264"/>
      <c r="Z147" s="264"/>
      <c r="AA147" s="264"/>
    </row>
    <row r="148" spans="25:27" ht="15" x14ac:dyDescent="0.25">
      <c r="Y148" s="264"/>
      <c r="Z148" s="264"/>
      <c r="AA148" s="264"/>
    </row>
    <row r="149" spans="25:27" ht="15" x14ac:dyDescent="0.25">
      <c r="Y149" s="264"/>
      <c r="Z149" s="264"/>
      <c r="AA149" s="264"/>
    </row>
    <row r="150" spans="25:27" ht="15" x14ac:dyDescent="0.25">
      <c r="Y150" s="264"/>
      <c r="Z150" s="264"/>
      <c r="AA150" s="264"/>
    </row>
    <row r="151" spans="25:27" ht="15" x14ac:dyDescent="0.25">
      <c r="Y151" s="264"/>
      <c r="Z151" s="264"/>
      <c r="AA151" s="264"/>
    </row>
    <row r="152" spans="25:27" ht="15" x14ac:dyDescent="0.25">
      <c r="Y152" s="264"/>
      <c r="Z152" s="264"/>
      <c r="AA152" s="264"/>
    </row>
    <row r="153" spans="25:27" ht="15" x14ac:dyDescent="0.25">
      <c r="Y153" s="264"/>
      <c r="Z153" s="264"/>
      <c r="AA153" s="264"/>
    </row>
    <row r="154" spans="25:27" ht="15" x14ac:dyDescent="0.25">
      <c r="Y154" s="264"/>
      <c r="Z154" s="264"/>
      <c r="AA154" s="264"/>
    </row>
    <row r="155" spans="25:27" ht="15" x14ac:dyDescent="0.25">
      <c r="Y155" s="264"/>
      <c r="Z155" s="264"/>
      <c r="AA155" s="264"/>
    </row>
    <row r="156" spans="25:27" ht="15" x14ac:dyDescent="0.25">
      <c r="Y156" s="264"/>
      <c r="Z156" s="264"/>
      <c r="AA156" s="264"/>
    </row>
    <row r="157" spans="25:27" ht="15" x14ac:dyDescent="0.25">
      <c r="Y157" s="264"/>
      <c r="Z157" s="264"/>
      <c r="AA157" s="264"/>
    </row>
    <row r="158" spans="25:27" ht="15" x14ac:dyDescent="0.25">
      <c r="Y158" s="264"/>
      <c r="Z158" s="264"/>
      <c r="AA158" s="264"/>
    </row>
    <row r="159" spans="25:27" ht="15" x14ac:dyDescent="0.25">
      <c r="Y159" s="264"/>
      <c r="Z159" s="264"/>
      <c r="AA159" s="264"/>
    </row>
    <row r="160" spans="25:27" ht="15" x14ac:dyDescent="0.25">
      <c r="Y160" s="264"/>
      <c r="Z160" s="264"/>
      <c r="AA160" s="264"/>
    </row>
    <row r="161" spans="25:27" ht="15" x14ac:dyDescent="0.25">
      <c r="Y161" s="264"/>
      <c r="Z161" s="264"/>
      <c r="AA161" s="264"/>
    </row>
    <row r="162" spans="25:27" ht="15" x14ac:dyDescent="0.25">
      <c r="Y162" s="264"/>
      <c r="Z162" s="264"/>
      <c r="AA162" s="264"/>
    </row>
    <row r="163" spans="25:27" ht="15" x14ac:dyDescent="0.25">
      <c r="Y163" s="264"/>
      <c r="Z163" s="264"/>
      <c r="AA163" s="264"/>
    </row>
    <row r="164" spans="25:27" ht="15" x14ac:dyDescent="0.25">
      <c r="Y164" s="264"/>
      <c r="Z164" s="264"/>
      <c r="AA164" s="264"/>
    </row>
    <row r="165" spans="25:27" ht="15" x14ac:dyDescent="0.25">
      <c r="Y165" s="264"/>
      <c r="Z165" s="264"/>
      <c r="AA165" s="264"/>
    </row>
    <row r="166" spans="25:27" ht="15" x14ac:dyDescent="0.25">
      <c r="Y166" s="264"/>
      <c r="Z166" s="264"/>
      <c r="AA166" s="264"/>
    </row>
    <row r="167" spans="25:27" ht="15" x14ac:dyDescent="0.25">
      <c r="Y167" s="264"/>
      <c r="Z167" s="264"/>
      <c r="AA167" s="264"/>
    </row>
    <row r="168" spans="25:27" ht="15" x14ac:dyDescent="0.25">
      <c r="Y168" s="264"/>
      <c r="Z168" s="264"/>
      <c r="AA168" s="264"/>
    </row>
    <row r="169" spans="25:27" ht="15" x14ac:dyDescent="0.25">
      <c r="Y169" s="264"/>
      <c r="Z169" s="264"/>
      <c r="AA169" s="264"/>
    </row>
    <row r="170" spans="25:27" ht="15" x14ac:dyDescent="0.25">
      <c r="Y170" s="264"/>
      <c r="Z170" s="264"/>
      <c r="AA170" s="264"/>
    </row>
    <row r="171" spans="25:27" ht="15" x14ac:dyDescent="0.25">
      <c r="Y171" s="264"/>
      <c r="Z171" s="264"/>
      <c r="AA171" s="264"/>
    </row>
    <row r="172" spans="25:27" ht="15" x14ac:dyDescent="0.25">
      <c r="Y172" s="264"/>
      <c r="Z172" s="264"/>
      <c r="AA172" s="264"/>
    </row>
    <row r="173" spans="25:27" ht="15" x14ac:dyDescent="0.25">
      <c r="Y173" s="264"/>
      <c r="Z173" s="264"/>
      <c r="AA173" s="264"/>
    </row>
    <row r="174" spans="25:27" ht="15" x14ac:dyDescent="0.25">
      <c r="Y174" s="264"/>
      <c r="Z174" s="264"/>
      <c r="AA174" s="264"/>
    </row>
    <row r="175" spans="25:27" ht="15" x14ac:dyDescent="0.25">
      <c r="Y175" s="264"/>
      <c r="Z175" s="264"/>
      <c r="AA175" s="264"/>
    </row>
    <row r="176" spans="25:27" ht="15" x14ac:dyDescent="0.25">
      <c r="Y176" s="264"/>
      <c r="Z176" s="264"/>
      <c r="AA176" s="264"/>
    </row>
    <row r="177" spans="25:27" ht="15" x14ac:dyDescent="0.25">
      <c r="Y177" s="264"/>
      <c r="Z177" s="264"/>
      <c r="AA177" s="264"/>
    </row>
    <row r="178" spans="25:27" ht="15" x14ac:dyDescent="0.25">
      <c r="Y178" s="264"/>
      <c r="Z178" s="264"/>
      <c r="AA178" s="264"/>
    </row>
    <row r="179" spans="25:27" ht="15" x14ac:dyDescent="0.25">
      <c r="Y179" s="264"/>
      <c r="Z179" s="264"/>
      <c r="AA179" s="264"/>
    </row>
    <row r="180" spans="25:27" ht="15" x14ac:dyDescent="0.25">
      <c r="Y180" s="264"/>
      <c r="Z180" s="264"/>
      <c r="AA180" s="264"/>
    </row>
    <row r="181" spans="25:27" ht="15" x14ac:dyDescent="0.25">
      <c r="Y181" s="264"/>
      <c r="Z181" s="264"/>
      <c r="AA181" s="264"/>
    </row>
    <row r="182" spans="25:27" ht="15" x14ac:dyDescent="0.25">
      <c r="Y182" s="264"/>
      <c r="Z182" s="264"/>
      <c r="AA182" s="264"/>
    </row>
    <row r="183" spans="25:27" ht="15" x14ac:dyDescent="0.25">
      <c r="Y183" s="264"/>
      <c r="Z183" s="264"/>
      <c r="AA183" s="264"/>
    </row>
    <row r="184" spans="25:27" ht="15" x14ac:dyDescent="0.25">
      <c r="Y184" s="264"/>
      <c r="Z184" s="264"/>
      <c r="AA184" s="264"/>
    </row>
    <row r="185" spans="25:27" ht="15" x14ac:dyDescent="0.25">
      <c r="Y185" s="264"/>
      <c r="Z185" s="264"/>
      <c r="AA185" s="264"/>
    </row>
    <row r="186" spans="25:27" ht="15" x14ac:dyDescent="0.25">
      <c r="Y186" s="264"/>
      <c r="Z186" s="264"/>
      <c r="AA186" s="264"/>
    </row>
    <row r="187" spans="25:27" ht="15" x14ac:dyDescent="0.25">
      <c r="Y187" s="264"/>
      <c r="Z187" s="264"/>
      <c r="AA187" s="264"/>
    </row>
    <row r="188" spans="25:27" ht="15" x14ac:dyDescent="0.25">
      <c r="Y188" s="264"/>
      <c r="Z188" s="264"/>
      <c r="AA188" s="264"/>
    </row>
  </sheetData>
  <dataConsolidate/>
  <pageMargins left="0.25" right="0.25" top="0.25" bottom="0.25" header="0.3" footer="0.3"/>
  <pageSetup scale="65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AQ188"/>
  <sheetViews>
    <sheetView zoomScaleNormal="100" workbookViewId="0">
      <pane xSplit="1" ySplit="16" topLeftCell="I17" activePane="bottomRight" state="frozen"/>
      <selection activeCell="K48" sqref="K48"/>
      <selection pane="topRight" activeCell="K48" sqref="K48"/>
      <selection pane="bottomLeft" activeCell="K48" sqref="K48"/>
      <selection pane="bottomRight" activeCell="AD20" sqref="AD20"/>
    </sheetView>
  </sheetViews>
  <sheetFormatPr defaultColWidth="8.7109375" defaultRowHeight="12.75" x14ac:dyDescent="0.2"/>
  <cols>
    <col min="1" max="1" width="24.42578125" style="52" customWidth="1"/>
    <col min="2" max="2" width="14.28515625" style="52" customWidth="1"/>
    <col min="3" max="3" width="14.42578125" style="52" customWidth="1"/>
    <col min="4" max="4" width="14.42578125" style="52" bestFit="1" customWidth="1"/>
    <col min="5" max="5" width="11.7109375" style="52" bestFit="1" customWidth="1"/>
    <col min="6" max="6" width="13.42578125" style="52" bestFit="1" customWidth="1"/>
    <col min="7" max="7" width="12.28515625" style="52" bestFit="1" customWidth="1"/>
    <col min="8" max="8" width="11.7109375" style="52" bestFit="1" customWidth="1"/>
    <col min="9" max="10" width="12.42578125" style="52" bestFit="1" customWidth="1"/>
    <col min="11" max="11" width="11.42578125" style="52" bestFit="1" customWidth="1"/>
    <col min="12" max="12" width="11.28515625" style="52" bestFit="1" customWidth="1"/>
    <col min="13" max="13" width="11.5703125" style="52" bestFit="1" customWidth="1"/>
    <col min="14" max="14" width="9.5703125" style="123" bestFit="1" customWidth="1"/>
    <col min="15" max="15" width="7.5703125" style="52" bestFit="1" customWidth="1"/>
    <col min="16" max="18" width="7.42578125" style="52" bestFit="1" customWidth="1"/>
    <col min="19" max="19" width="11.7109375" style="52" bestFit="1" customWidth="1"/>
    <col min="20" max="20" width="13.28515625" style="52" bestFit="1" customWidth="1"/>
    <col min="21" max="21" width="11" style="52" bestFit="1" customWidth="1"/>
    <col min="22" max="22" width="14.5703125" style="52" bestFit="1" customWidth="1"/>
    <col min="23" max="23" width="12" style="52" bestFit="1" customWidth="1"/>
    <col min="24" max="24" width="13.28515625" style="52" bestFit="1" customWidth="1"/>
    <col min="25" max="29" width="10.28515625" style="52" customWidth="1"/>
    <col min="30" max="42" width="8.7109375" style="52"/>
    <col min="43" max="43" width="9.42578125" style="52" bestFit="1" customWidth="1"/>
    <col min="44" max="16384" width="8.7109375" style="52"/>
  </cols>
  <sheetData>
    <row r="1" spans="1:43" ht="15" x14ac:dyDescent="0.25">
      <c r="AQ1" s="280" t="s">
        <v>158</v>
      </c>
    </row>
    <row r="2" spans="1:43" ht="15" x14ac:dyDescent="0.25">
      <c r="AQ2" s="280" t="s">
        <v>159</v>
      </c>
    </row>
    <row r="3" spans="1:43" ht="15" x14ac:dyDescent="0.25">
      <c r="AQ3" s="280" t="s">
        <v>163</v>
      </c>
    </row>
    <row r="4" spans="1:43" s="38" customFormat="1" x14ac:dyDescent="0.2">
      <c r="A4" s="36" t="s">
        <v>6</v>
      </c>
      <c r="B4" s="36"/>
      <c r="C4" s="36"/>
      <c r="D4" s="37"/>
      <c r="E4" s="37"/>
      <c r="F4" s="37"/>
      <c r="K4" s="37"/>
      <c r="L4" s="37"/>
      <c r="M4" s="39"/>
      <c r="N4" s="40"/>
      <c r="O4" s="39"/>
    </row>
    <row r="5" spans="1:43" s="38" customFormat="1" x14ac:dyDescent="0.2">
      <c r="A5" s="36"/>
      <c r="B5" s="36"/>
      <c r="C5" s="41"/>
      <c r="D5" s="42"/>
      <c r="E5" s="41"/>
      <c r="G5" s="37"/>
      <c r="H5" s="43"/>
      <c r="I5" s="44"/>
      <c r="J5" s="37"/>
      <c r="K5" s="37"/>
      <c r="L5" s="37"/>
      <c r="M5" s="45"/>
      <c r="N5" s="40"/>
      <c r="O5" s="39"/>
    </row>
    <row r="6" spans="1:43" s="38" customFormat="1" x14ac:dyDescent="0.2">
      <c r="A6" s="46"/>
      <c r="B6" s="243"/>
      <c r="C6" s="47"/>
      <c r="D6" s="48"/>
      <c r="E6" s="47"/>
      <c r="F6" s="49"/>
      <c r="G6" s="37"/>
      <c r="H6" s="50"/>
      <c r="K6" s="51"/>
      <c r="L6" s="51"/>
      <c r="M6" s="45"/>
      <c r="N6" s="40"/>
      <c r="O6" s="43"/>
    </row>
    <row r="7" spans="1:43" s="38" customFormat="1" ht="6.6" customHeight="1" x14ac:dyDescent="0.2">
      <c r="A7" s="52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43" s="38" customFormat="1" x14ac:dyDescent="0.2">
      <c r="A8" s="54" t="s">
        <v>146</v>
      </c>
      <c r="B8" s="54"/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>
        <v>6</v>
      </c>
      <c r="I8" s="55">
        <v>7</v>
      </c>
      <c r="J8" s="55">
        <v>8</v>
      </c>
      <c r="K8" s="55">
        <v>9</v>
      </c>
      <c r="L8" s="55">
        <v>10</v>
      </c>
      <c r="M8" s="55">
        <v>11</v>
      </c>
      <c r="N8" s="55">
        <v>12</v>
      </c>
      <c r="O8" s="55">
        <v>13</v>
      </c>
      <c r="P8" s="55">
        <v>14</v>
      </c>
      <c r="Q8" s="55">
        <v>15</v>
      </c>
      <c r="R8" s="55">
        <v>16</v>
      </c>
      <c r="S8" s="55">
        <v>17</v>
      </c>
      <c r="T8" s="55">
        <v>18</v>
      </c>
      <c r="U8" s="55">
        <v>19</v>
      </c>
      <c r="V8" s="55">
        <v>20</v>
      </c>
      <c r="W8" s="55">
        <v>21</v>
      </c>
      <c r="X8" s="55">
        <v>22</v>
      </c>
      <c r="Y8" s="55">
        <v>23</v>
      </c>
      <c r="Z8" s="55">
        <v>24</v>
      </c>
      <c r="AA8" s="55">
        <v>25</v>
      </c>
      <c r="AB8" s="55">
        <v>26</v>
      </c>
      <c r="AC8" s="55">
        <v>27</v>
      </c>
      <c r="AD8" s="55">
        <v>28</v>
      </c>
      <c r="AE8" s="55">
        <v>29</v>
      </c>
      <c r="AF8" s="55">
        <v>30</v>
      </c>
      <c r="AG8" s="55">
        <v>31</v>
      </c>
      <c r="AH8" s="55">
        <v>32</v>
      </c>
      <c r="AI8" s="55">
        <v>33</v>
      </c>
      <c r="AJ8" s="55">
        <v>34</v>
      </c>
      <c r="AK8" s="55">
        <v>35</v>
      </c>
      <c r="AL8" s="55">
        <v>36</v>
      </c>
      <c r="AM8" s="55">
        <v>37</v>
      </c>
      <c r="AN8" s="55">
        <v>38</v>
      </c>
      <c r="AO8" s="55">
        <v>39</v>
      </c>
      <c r="AP8" s="55">
        <v>40</v>
      </c>
      <c r="AQ8" s="55" t="s">
        <v>1</v>
      </c>
    </row>
    <row r="9" spans="1:43" s="38" customFormat="1" x14ac:dyDescent="0.2">
      <c r="A9" s="56" t="s">
        <v>38</v>
      </c>
      <c r="B9" s="56"/>
      <c r="C9" s="57">
        <v>0.1429</v>
      </c>
      <c r="D9" s="57">
        <v>0.24490000000000001</v>
      </c>
      <c r="E9" s="57">
        <v>0.1749</v>
      </c>
      <c r="F9" s="57">
        <v>0.1249</v>
      </c>
      <c r="G9" s="57">
        <v>8.9300000000000004E-2</v>
      </c>
      <c r="H9" s="57">
        <v>8.9200000000000002E-2</v>
      </c>
      <c r="I9" s="57">
        <v>8.9300000000000004E-2</v>
      </c>
      <c r="J9" s="57">
        <v>4.4600000000000001E-2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>
        <f>SUM(C9:AP9)</f>
        <v>1.0000000000000002</v>
      </c>
    </row>
    <row r="10" spans="1:43" s="38" customFormat="1" ht="7.35" customHeight="1" x14ac:dyDescent="0.2">
      <c r="A10" s="58"/>
      <c r="B10" s="58"/>
      <c r="C10" s="53"/>
      <c r="D10" s="53"/>
      <c r="E10" s="53"/>
      <c r="F10" s="53"/>
      <c r="G10" s="53"/>
      <c r="H10" s="53"/>
      <c r="I10" s="59"/>
      <c r="J10" s="59"/>
      <c r="K10" s="59"/>
    </row>
    <row r="11" spans="1:43" ht="13.5" thickBot="1" x14ac:dyDescent="0.25">
      <c r="A11" s="60" t="s">
        <v>39</v>
      </c>
      <c r="B11" s="244" t="s">
        <v>142</v>
      </c>
      <c r="C11" s="61" t="s">
        <v>40</v>
      </c>
      <c r="D11" s="62"/>
      <c r="E11" s="61" t="s">
        <v>41</v>
      </c>
      <c r="F11" s="63"/>
      <c r="G11" s="61" t="s">
        <v>42</v>
      </c>
      <c r="H11" s="62"/>
      <c r="I11" s="61" t="s">
        <v>43</v>
      </c>
      <c r="J11" s="62"/>
      <c r="K11" s="64" t="s">
        <v>44</v>
      </c>
      <c r="L11" s="64" t="s">
        <v>45</v>
      </c>
      <c r="M11" s="65" t="s">
        <v>46</v>
      </c>
      <c r="N11" s="52"/>
    </row>
    <row r="12" spans="1:43" ht="13.5" thickBot="1" x14ac:dyDescent="0.25">
      <c r="A12" s="66"/>
      <c r="B12" s="85" t="s">
        <v>143</v>
      </c>
      <c r="C12" s="67"/>
      <c r="D12" s="68"/>
      <c r="E12" s="67" t="s">
        <v>47</v>
      </c>
      <c r="F12" s="69">
        <f>'Closings By Depr Grp'!AZ8</f>
        <v>0.05</v>
      </c>
      <c r="G12" s="70"/>
      <c r="H12" s="68"/>
      <c r="I12" s="71"/>
      <c r="J12" s="72"/>
      <c r="K12" s="73"/>
      <c r="L12" s="73"/>
      <c r="M12" s="74" t="s">
        <v>48</v>
      </c>
      <c r="N12" s="52"/>
    </row>
    <row r="13" spans="1:43" ht="13.5" thickBot="1" x14ac:dyDescent="0.25">
      <c r="A13" s="66"/>
      <c r="B13" s="85" t="s">
        <v>144</v>
      </c>
      <c r="C13" s="67"/>
      <c r="D13" s="68"/>
      <c r="E13" s="67" t="s">
        <v>15</v>
      </c>
      <c r="F13" s="69">
        <f>'Closings By Depr Grp'!BA8</f>
        <v>0.05</v>
      </c>
      <c r="G13" s="70"/>
      <c r="H13" s="68"/>
      <c r="I13" s="71"/>
      <c r="J13" s="72"/>
      <c r="K13" s="73"/>
      <c r="L13" s="75" t="s">
        <v>49</v>
      </c>
      <c r="M13" s="74"/>
      <c r="N13" s="52"/>
    </row>
    <row r="14" spans="1:43" x14ac:dyDescent="0.2">
      <c r="A14" s="76"/>
      <c r="B14" s="123"/>
      <c r="C14" s="71" t="s">
        <v>50</v>
      </c>
      <c r="D14" s="72" t="s">
        <v>51</v>
      </c>
      <c r="E14" s="71" t="s">
        <v>52</v>
      </c>
      <c r="F14" s="72" t="s">
        <v>53</v>
      </c>
      <c r="G14" s="71" t="s">
        <v>50</v>
      </c>
      <c r="H14" s="72" t="s">
        <v>51</v>
      </c>
      <c r="I14" s="71" t="s">
        <v>50</v>
      </c>
      <c r="J14" s="72" t="s">
        <v>54</v>
      </c>
      <c r="K14" s="73" t="s">
        <v>55</v>
      </c>
      <c r="L14" s="75">
        <v>0.21</v>
      </c>
      <c r="M14" s="74" t="s">
        <v>56</v>
      </c>
      <c r="N14" s="52"/>
    </row>
    <row r="15" spans="1:43" x14ac:dyDescent="0.2">
      <c r="A15" s="76"/>
      <c r="B15" s="123"/>
      <c r="C15" s="71"/>
      <c r="D15" s="72"/>
      <c r="E15" s="71" t="s">
        <v>57</v>
      </c>
      <c r="F15" s="72" t="s">
        <v>58</v>
      </c>
      <c r="G15" s="71" t="s">
        <v>59</v>
      </c>
      <c r="H15" s="72" t="s">
        <v>60</v>
      </c>
      <c r="I15" s="71"/>
      <c r="J15" s="72"/>
      <c r="K15" s="73"/>
      <c r="L15" s="75" t="s">
        <v>61</v>
      </c>
      <c r="M15" s="74" t="s">
        <v>62</v>
      </c>
      <c r="N15" s="52"/>
    </row>
    <row r="16" spans="1:43" ht="15" x14ac:dyDescent="0.25">
      <c r="A16" s="77"/>
      <c r="B16" s="245"/>
      <c r="C16" s="78" t="s">
        <v>63</v>
      </c>
      <c r="D16" s="79" t="s">
        <v>64</v>
      </c>
      <c r="E16" s="78"/>
      <c r="F16" s="79" t="s">
        <v>65</v>
      </c>
      <c r="G16" s="78" t="s">
        <v>66</v>
      </c>
      <c r="H16" s="79" t="s">
        <v>67</v>
      </c>
      <c r="I16" s="78" t="s">
        <v>68</v>
      </c>
      <c r="J16" s="79" t="s">
        <v>69</v>
      </c>
      <c r="K16" s="80" t="s">
        <v>70</v>
      </c>
      <c r="L16" s="81">
        <v>0.21</v>
      </c>
      <c r="M16" s="82" t="s">
        <v>71</v>
      </c>
      <c r="N16" s="83"/>
    </row>
    <row r="17" spans="1:27" ht="15.75" thickBot="1" x14ac:dyDescent="0.3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87"/>
      <c r="M17" s="88"/>
      <c r="N17" s="83"/>
      <c r="Y17" s="89"/>
      <c r="Z17" s="89"/>
      <c r="AA17" s="89"/>
    </row>
    <row r="18" spans="1:27" ht="15" x14ac:dyDescent="0.25">
      <c r="A18" s="90">
        <v>44227</v>
      </c>
      <c r="B18" s="255"/>
      <c r="C18" s="91"/>
      <c r="D18" s="91">
        <f>B18</f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P18" s="92"/>
      <c r="Q18" s="93" t="s">
        <v>72</v>
      </c>
      <c r="R18" s="94"/>
      <c r="S18" s="94"/>
      <c r="T18" s="94"/>
      <c r="U18" s="94"/>
      <c r="V18" s="94"/>
      <c r="W18" s="94"/>
      <c r="X18" s="95"/>
      <c r="Y18" s="89"/>
      <c r="Z18" s="89"/>
      <c r="AA18" s="89"/>
    </row>
    <row r="19" spans="1:27" ht="15" x14ac:dyDescent="0.25">
      <c r="A19" s="90">
        <v>44255</v>
      </c>
      <c r="B19" s="255"/>
      <c r="C19" s="91"/>
      <c r="D19" s="91">
        <f>D18+B19</f>
        <v>0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P19" s="96"/>
      <c r="Q19" s="97"/>
      <c r="R19" s="98" t="s">
        <v>73</v>
      </c>
      <c r="S19" s="98"/>
      <c r="T19" s="99"/>
      <c r="U19" s="100" t="s">
        <v>74</v>
      </c>
      <c r="V19" s="98"/>
      <c r="W19" s="98"/>
      <c r="X19" s="101"/>
      <c r="Y19" s="89"/>
      <c r="Z19" s="89"/>
      <c r="AA19" s="89"/>
    </row>
    <row r="20" spans="1:27" ht="15" x14ac:dyDescent="0.25">
      <c r="A20" s="90">
        <v>44286</v>
      </c>
      <c r="B20" s="255"/>
      <c r="C20" s="91"/>
      <c r="D20" s="91">
        <f t="shared" ref="D20:D77" si="0">D19+B20</f>
        <v>0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P20" s="96"/>
      <c r="Q20" s="102"/>
      <c r="R20" s="103"/>
      <c r="S20" s="103"/>
      <c r="T20" s="104" t="s">
        <v>75</v>
      </c>
      <c r="U20" s="105"/>
      <c r="V20" s="106"/>
      <c r="W20" s="106"/>
      <c r="X20" s="107"/>
      <c r="Y20" s="89"/>
      <c r="Z20" s="89"/>
      <c r="AA20" s="89"/>
    </row>
    <row r="21" spans="1:27" ht="15" x14ac:dyDescent="0.25">
      <c r="A21" s="90">
        <v>44316</v>
      </c>
      <c r="B21" s="255"/>
      <c r="C21" s="91"/>
      <c r="D21" s="91">
        <f t="shared" si="0"/>
        <v>0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P21" s="96" t="s">
        <v>76</v>
      </c>
      <c r="Q21" s="108" t="s">
        <v>77</v>
      </c>
      <c r="R21" s="109" t="s">
        <v>78</v>
      </c>
      <c r="S21" s="109" t="s">
        <v>79</v>
      </c>
      <c r="T21" s="104" t="s">
        <v>80</v>
      </c>
      <c r="U21" s="108" t="s">
        <v>81</v>
      </c>
      <c r="V21" s="109" t="s">
        <v>82</v>
      </c>
      <c r="W21" s="109" t="s">
        <v>83</v>
      </c>
      <c r="X21" s="110" t="s">
        <v>84</v>
      </c>
      <c r="Y21" s="89"/>
      <c r="Z21" s="89"/>
      <c r="AA21" s="89"/>
    </row>
    <row r="22" spans="1:27" ht="15" x14ac:dyDescent="0.25">
      <c r="A22" s="90">
        <v>44347</v>
      </c>
      <c r="B22" s="255"/>
      <c r="C22" s="91"/>
      <c r="D22" s="91">
        <f t="shared" si="0"/>
        <v>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P22" s="96"/>
      <c r="Q22" s="111" t="s">
        <v>78</v>
      </c>
      <c r="R22" s="112" t="s">
        <v>85</v>
      </c>
      <c r="S22" s="112" t="s">
        <v>2</v>
      </c>
      <c r="T22" s="113" t="s">
        <v>86</v>
      </c>
      <c r="U22" s="111" t="s">
        <v>87</v>
      </c>
      <c r="V22" s="112" t="s">
        <v>88</v>
      </c>
      <c r="W22" s="112" t="s">
        <v>89</v>
      </c>
      <c r="X22" s="114" t="s">
        <v>90</v>
      </c>
      <c r="Y22" s="89"/>
      <c r="Z22" s="89"/>
      <c r="AA22" s="89"/>
    </row>
    <row r="23" spans="1:27" ht="15" x14ac:dyDescent="0.25">
      <c r="A23" s="90">
        <v>44377</v>
      </c>
      <c r="B23" s="255"/>
      <c r="C23" s="91"/>
      <c r="D23" s="91">
        <f t="shared" si="0"/>
        <v>0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96"/>
      <c r="Q23" s="115" t="s">
        <v>91</v>
      </c>
      <c r="R23" s="116" t="s">
        <v>92</v>
      </c>
      <c r="S23" s="117" t="s">
        <v>93</v>
      </c>
      <c r="T23" s="118" t="s">
        <v>94</v>
      </c>
      <c r="U23" s="115" t="s">
        <v>95</v>
      </c>
      <c r="V23" s="119" t="s">
        <v>96</v>
      </c>
      <c r="W23" s="109" t="s">
        <v>97</v>
      </c>
      <c r="X23" s="120" t="s">
        <v>98</v>
      </c>
      <c r="Y23" s="89"/>
      <c r="Z23" s="89"/>
      <c r="AA23" s="89"/>
    </row>
    <row r="24" spans="1:27" ht="15" x14ac:dyDescent="0.25">
      <c r="A24" s="90">
        <v>44408</v>
      </c>
      <c r="B24" s="255"/>
      <c r="C24" s="91"/>
      <c r="D24" s="91">
        <f t="shared" si="0"/>
        <v>0</v>
      </c>
      <c r="E24" s="91"/>
      <c r="F24" s="121"/>
      <c r="G24" s="122"/>
      <c r="H24" s="91"/>
      <c r="I24" s="122"/>
      <c r="J24" s="91"/>
      <c r="K24" s="122"/>
      <c r="L24" s="122"/>
      <c r="M24" s="91"/>
      <c r="N24" s="91"/>
      <c r="O24" s="123"/>
      <c r="P24" s="124"/>
      <c r="Q24" s="125"/>
      <c r="R24" s="126"/>
      <c r="S24" s="127"/>
      <c r="T24" s="128" t="s">
        <v>99</v>
      </c>
      <c r="U24" s="125" t="s">
        <v>100</v>
      </c>
      <c r="V24" s="129"/>
      <c r="W24" s="130"/>
      <c r="X24" s="131" t="s">
        <v>101</v>
      </c>
      <c r="Y24" s="89"/>
      <c r="Z24" s="89"/>
      <c r="AA24" s="89"/>
    </row>
    <row r="25" spans="1:27" ht="15" x14ac:dyDescent="0.25">
      <c r="A25" s="90">
        <v>44439</v>
      </c>
      <c r="B25" s="255"/>
      <c r="C25" s="91"/>
      <c r="D25" s="91">
        <f t="shared" si="0"/>
        <v>0</v>
      </c>
      <c r="E25" s="91"/>
      <c r="F25" s="91"/>
      <c r="G25" s="122"/>
      <c r="H25" s="121"/>
      <c r="I25" s="122"/>
      <c r="J25" s="91"/>
      <c r="K25" s="122"/>
      <c r="L25" s="122"/>
      <c r="M25" s="91"/>
      <c r="N25" s="132"/>
      <c r="O25" s="123"/>
      <c r="P25" s="133">
        <v>1</v>
      </c>
      <c r="Q25" s="134"/>
      <c r="R25" s="135"/>
      <c r="S25" s="136"/>
      <c r="T25" s="137"/>
      <c r="U25" s="138"/>
      <c r="V25" s="139"/>
      <c r="W25" s="136"/>
      <c r="X25" s="140"/>
      <c r="Y25" s="89"/>
      <c r="Z25" s="89"/>
      <c r="AA25" s="89"/>
    </row>
    <row r="26" spans="1:27" ht="15" x14ac:dyDescent="0.25">
      <c r="A26" s="90">
        <v>44469</v>
      </c>
      <c r="B26" s="255"/>
      <c r="C26" s="91"/>
      <c r="D26" s="91">
        <f t="shared" si="0"/>
        <v>0</v>
      </c>
      <c r="E26" s="91"/>
      <c r="F26" s="91"/>
      <c r="G26" s="91"/>
      <c r="H26" s="91"/>
      <c r="I26" s="91"/>
      <c r="J26" s="91"/>
      <c r="K26" s="91"/>
      <c r="L26" s="91"/>
      <c r="M26" s="91"/>
      <c r="N26" s="132"/>
      <c r="O26" s="123"/>
      <c r="P26" s="133">
        <v>2</v>
      </c>
      <c r="Q26" s="134"/>
      <c r="R26" s="135">
        <v>44926</v>
      </c>
      <c r="S26" s="136">
        <f>+'E3940'!M41</f>
        <v>477.08443373499904</v>
      </c>
      <c r="T26" s="141">
        <f>+'E3940'!L41</f>
        <v>-7394.0384035700017</v>
      </c>
      <c r="U26" s="138"/>
      <c r="V26" s="139"/>
      <c r="W26" s="136"/>
      <c r="X26" s="142">
        <f>T26</f>
        <v>-7394.0384035700017</v>
      </c>
      <c r="Y26" s="89"/>
      <c r="Z26" s="89"/>
      <c r="AA26" s="89"/>
    </row>
    <row r="27" spans="1:27" ht="15" x14ac:dyDescent="0.25">
      <c r="A27" s="90">
        <v>44500</v>
      </c>
      <c r="B27" s="255"/>
      <c r="C27" s="91"/>
      <c r="D27" s="91">
        <f t="shared" si="0"/>
        <v>0</v>
      </c>
      <c r="E27" s="91"/>
      <c r="F27" s="91"/>
      <c r="G27" s="91"/>
      <c r="H27" s="91"/>
      <c r="I27" s="91"/>
      <c r="J27" s="91"/>
      <c r="K27" s="91"/>
      <c r="L27" s="91"/>
      <c r="M27" s="91"/>
      <c r="N27" s="132"/>
      <c r="O27" s="123"/>
      <c r="P27" s="133">
        <v>3</v>
      </c>
      <c r="Q27" s="134">
        <f t="shared" ref="Q27:Q38" si="1">DAY(EOMONTH(R27,0))</f>
        <v>31</v>
      </c>
      <c r="R27" s="135">
        <v>44927</v>
      </c>
      <c r="S27" s="136">
        <f>+'E3940'!M42</f>
        <v>3563.7649063683302</v>
      </c>
      <c r="T27" s="143">
        <f t="shared" ref="T27:T38" si="2">+T26-S27</f>
        <v>-10957.803309938332</v>
      </c>
      <c r="U27" s="138">
        <f>V27-SUM($Q$26:Q27)+1</f>
        <v>335</v>
      </c>
      <c r="V27" s="139">
        <f>Q39</f>
        <v>365</v>
      </c>
      <c r="W27" s="136">
        <f t="shared" ref="W27:W38" si="3">+U27/V27*S27</f>
        <v>3270.8527222832622</v>
      </c>
      <c r="X27" s="140">
        <f t="shared" ref="X27:X38" si="4">+X26-W27</f>
        <v>-10664.891125853264</v>
      </c>
      <c r="Y27" s="89"/>
      <c r="Z27" s="89"/>
      <c r="AA27" s="89"/>
    </row>
    <row r="28" spans="1:27" ht="15" x14ac:dyDescent="0.25">
      <c r="A28" s="90">
        <v>44530</v>
      </c>
      <c r="B28" s="255"/>
      <c r="C28" s="91"/>
      <c r="D28" s="91">
        <f t="shared" si="0"/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132"/>
      <c r="O28" s="144"/>
      <c r="P28" s="133">
        <v>4</v>
      </c>
      <c r="Q28" s="134">
        <f t="shared" si="1"/>
        <v>28</v>
      </c>
      <c r="R28" s="135">
        <v>44958</v>
      </c>
      <c r="S28" s="136">
        <f>+'E3940'!M43</f>
        <v>3487.9315730350081</v>
      </c>
      <c r="T28" s="143">
        <f t="shared" si="2"/>
        <v>-14445.73488297334</v>
      </c>
      <c r="U28" s="138">
        <f>V28-SUM($Q$26:Q28)+1</f>
        <v>307</v>
      </c>
      <c r="V28" s="139">
        <f t="shared" ref="V28:V38" si="5">V27</f>
        <v>365</v>
      </c>
      <c r="W28" s="136">
        <f t="shared" si="3"/>
        <v>2933.6849121143769</v>
      </c>
      <c r="X28" s="140">
        <f t="shared" si="4"/>
        <v>-13598.576037967641</v>
      </c>
      <c r="Y28" s="89"/>
      <c r="Z28" s="89"/>
      <c r="AA28" s="89"/>
    </row>
    <row r="29" spans="1:27" ht="15" x14ac:dyDescent="0.25">
      <c r="A29" s="90">
        <v>44561</v>
      </c>
      <c r="B29" s="255"/>
      <c r="C29" s="122"/>
      <c r="D29" s="258">
        <f t="shared" si="0"/>
        <v>0</v>
      </c>
      <c r="E29" s="91"/>
      <c r="F29" s="122"/>
      <c r="G29" s="121"/>
      <c r="H29" s="122"/>
      <c r="I29" s="121"/>
      <c r="J29" s="122"/>
      <c r="K29" s="121"/>
      <c r="L29" s="91"/>
      <c r="M29" s="91"/>
      <c r="N29" s="145"/>
      <c r="O29" s="146"/>
      <c r="P29" s="133">
        <v>5</v>
      </c>
      <c r="Q29" s="134">
        <f t="shared" si="1"/>
        <v>31</v>
      </c>
      <c r="R29" s="135">
        <v>44986</v>
      </c>
      <c r="S29" s="136">
        <f>+'E3940'!M44</f>
        <v>3412.0982397016687</v>
      </c>
      <c r="T29" s="143">
        <f t="shared" si="2"/>
        <v>-17857.833122675009</v>
      </c>
      <c r="U29" s="138">
        <f>V29-SUM($Q$26:Q29)+1</f>
        <v>276</v>
      </c>
      <c r="V29" s="139">
        <f t="shared" si="5"/>
        <v>365</v>
      </c>
      <c r="W29" s="136">
        <f t="shared" si="3"/>
        <v>2580.1071620757825</v>
      </c>
      <c r="X29" s="140">
        <f t="shared" si="4"/>
        <v>-16178.683200043424</v>
      </c>
      <c r="Y29" s="89"/>
      <c r="Z29" s="89"/>
      <c r="AA29" s="89"/>
    </row>
    <row r="30" spans="1:27" ht="15" x14ac:dyDescent="0.25">
      <c r="A30" s="147">
        <v>44592</v>
      </c>
      <c r="B30" s="256">
        <f t="array" ref="B30:B77">TRANSPOSE('Closings By Depr Grp'!B8:AW8)</f>
        <v>0</v>
      </c>
      <c r="C30" s="148">
        <f t="shared" ref="C30:C77" si="6">D30</f>
        <v>0</v>
      </c>
      <c r="D30" s="91">
        <f t="shared" si="0"/>
        <v>0</v>
      </c>
      <c r="E30" s="148">
        <f>(($C$29*$D$9/12)+(($C$41-$C$29)*$C$9/12))</f>
        <v>3494.5597201666665</v>
      </c>
      <c r="F30" s="149">
        <f>+(D29*$F$12/12)+(((D30-D29)*$F$12/12)*0.5)</f>
        <v>0</v>
      </c>
      <c r="G30" s="148">
        <f t="shared" ref="G30:H45" si="7">-E30+G29</f>
        <v>-3494.5597201666665</v>
      </c>
      <c r="H30" s="149">
        <f t="shared" si="7"/>
        <v>0</v>
      </c>
      <c r="I30" s="148">
        <f t="shared" ref="I30:J45" si="8">C30+G30</f>
        <v>-3494.5597201666665</v>
      </c>
      <c r="J30" s="149">
        <f t="shared" si="8"/>
        <v>0</v>
      </c>
      <c r="K30" s="148">
        <f t="shared" ref="K30:K72" si="9">J30-I30</f>
        <v>3494.5597201666665</v>
      </c>
      <c r="L30" s="148">
        <f t="shared" ref="L30:L77" si="10">-K30*$L$14</f>
        <v>-733.85754123499999</v>
      </c>
      <c r="M30" s="148">
        <f t="shared" ref="M30:M77" si="11">-L30+L29</f>
        <v>733.85754123499999</v>
      </c>
      <c r="N30" s="132"/>
      <c r="O30" s="123"/>
      <c r="P30" s="133">
        <v>6</v>
      </c>
      <c r="Q30" s="134">
        <f t="shared" si="1"/>
        <v>30</v>
      </c>
      <c r="R30" s="135">
        <v>45017</v>
      </c>
      <c r="S30" s="136">
        <f>+'E3940'!M45</f>
        <v>3336.2649063683239</v>
      </c>
      <c r="T30" s="143">
        <f t="shared" si="2"/>
        <v>-21194.098029043333</v>
      </c>
      <c r="U30" s="138">
        <f>V30-SUM($Q$26:Q30)+1</f>
        <v>246</v>
      </c>
      <c r="V30" s="139">
        <f t="shared" si="5"/>
        <v>365</v>
      </c>
      <c r="W30" s="136">
        <f t="shared" si="3"/>
        <v>2248.5511423742678</v>
      </c>
      <c r="X30" s="140">
        <f t="shared" si="4"/>
        <v>-18427.234342417691</v>
      </c>
      <c r="Y30" s="89"/>
      <c r="Z30" s="89"/>
      <c r="AA30" s="89"/>
    </row>
    <row r="31" spans="1:27" ht="15" x14ac:dyDescent="0.25">
      <c r="A31" s="90">
        <v>44620</v>
      </c>
      <c r="B31" s="257">
        <v>0</v>
      </c>
      <c r="C31" s="91">
        <f t="shared" si="6"/>
        <v>0</v>
      </c>
      <c r="D31" s="91">
        <f t="shared" si="0"/>
        <v>0</v>
      </c>
      <c r="E31" s="91">
        <f t="shared" ref="E31:E41" si="12">(($C$29*$D$9/12)+(($C$41-$C$29)*$C$9/12))</f>
        <v>3494.5597201666665</v>
      </c>
      <c r="F31" s="121">
        <f>+(D30*$F$12/12)+(((D31-D30)*$F$12/12)*0.5)</f>
        <v>0</v>
      </c>
      <c r="G31" s="91">
        <f t="shared" si="7"/>
        <v>-6989.1194403333329</v>
      </c>
      <c r="H31" s="121">
        <f t="shared" si="7"/>
        <v>0</v>
      </c>
      <c r="I31" s="91">
        <f t="shared" si="8"/>
        <v>-6989.1194403333329</v>
      </c>
      <c r="J31" s="91">
        <f t="shared" si="8"/>
        <v>0</v>
      </c>
      <c r="K31" s="91">
        <f t="shared" si="9"/>
        <v>6989.1194403333329</v>
      </c>
      <c r="L31" s="91">
        <f t="shared" si="10"/>
        <v>-1467.71508247</v>
      </c>
      <c r="M31" s="91">
        <f t="shared" si="11"/>
        <v>733.85754123499999</v>
      </c>
      <c r="N31" s="132"/>
      <c r="O31" s="150"/>
      <c r="P31" s="133">
        <v>7</v>
      </c>
      <c r="Q31" s="134">
        <f t="shared" si="1"/>
        <v>31</v>
      </c>
      <c r="R31" s="135">
        <v>45047</v>
      </c>
      <c r="S31" s="136">
        <f>+'E3940'!M46</f>
        <v>3260.431573034999</v>
      </c>
      <c r="T31" s="143">
        <f t="shared" si="2"/>
        <v>-24454.529602078332</v>
      </c>
      <c r="U31" s="138">
        <f>V31-SUM($Q$26:Q31)+1</f>
        <v>215</v>
      </c>
      <c r="V31" s="139">
        <f t="shared" si="5"/>
        <v>365</v>
      </c>
      <c r="W31" s="136">
        <f t="shared" si="3"/>
        <v>1920.5281868562324</v>
      </c>
      <c r="X31" s="140">
        <f t="shared" si="4"/>
        <v>-20347.762529273925</v>
      </c>
      <c r="Y31" s="89"/>
      <c r="Z31" s="89"/>
      <c r="AA31" s="89"/>
    </row>
    <row r="32" spans="1:27" ht="15" x14ac:dyDescent="0.25">
      <c r="A32" s="90">
        <v>44651</v>
      </c>
      <c r="B32" s="257">
        <v>0</v>
      </c>
      <c r="C32" s="91">
        <f t="shared" si="6"/>
        <v>0</v>
      </c>
      <c r="D32" s="91">
        <f t="shared" si="0"/>
        <v>0</v>
      </c>
      <c r="E32" s="91">
        <f t="shared" si="12"/>
        <v>3494.5597201666665</v>
      </c>
      <c r="F32" s="121">
        <f>+(D31*$F$12/12)+(((D32-D31)*$F$12/12)*0.5)</f>
        <v>0</v>
      </c>
      <c r="G32" s="91">
        <f t="shared" si="7"/>
        <v>-10483.6791605</v>
      </c>
      <c r="H32" s="121">
        <f t="shared" si="7"/>
        <v>0</v>
      </c>
      <c r="I32" s="91">
        <f t="shared" si="8"/>
        <v>-10483.6791605</v>
      </c>
      <c r="J32" s="91">
        <f t="shared" si="8"/>
        <v>0</v>
      </c>
      <c r="K32" s="91">
        <f t="shared" si="9"/>
        <v>10483.6791605</v>
      </c>
      <c r="L32" s="91">
        <f t="shared" si="10"/>
        <v>-2201.5726237049998</v>
      </c>
      <c r="M32" s="91">
        <f t="shared" si="11"/>
        <v>733.85754123499987</v>
      </c>
      <c r="N32" s="132"/>
      <c r="O32" s="123"/>
      <c r="P32" s="133">
        <v>8</v>
      </c>
      <c r="Q32" s="134">
        <f t="shared" si="1"/>
        <v>30</v>
      </c>
      <c r="R32" s="135">
        <v>45078</v>
      </c>
      <c r="S32" s="136">
        <f>+'E3940'!M47</f>
        <v>3184.5982397016633</v>
      </c>
      <c r="T32" s="143">
        <f t="shared" si="2"/>
        <v>-27639.127841779995</v>
      </c>
      <c r="U32" s="138">
        <f>V32-SUM($Q$26:Q32)+1</f>
        <v>185</v>
      </c>
      <c r="V32" s="139">
        <f t="shared" si="5"/>
        <v>365</v>
      </c>
      <c r="W32" s="136">
        <f t="shared" si="3"/>
        <v>1614.111436561117</v>
      </c>
      <c r="X32" s="140">
        <f t="shared" si="4"/>
        <v>-21961.873965835042</v>
      </c>
      <c r="Y32" s="89"/>
      <c r="Z32" s="89"/>
      <c r="AA32" s="89"/>
    </row>
    <row r="33" spans="1:35" ht="15" x14ac:dyDescent="0.25">
      <c r="A33" s="90">
        <v>44681</v>
      </c>
      <c r="B33" s="257">
        <v>0</v>
      </c>
      <c r="C33" s="91">
        <f t="shared" si="6"/>
        <v>0</v>
      </c>
      <c r="D33" s="91">
        <f t="shared" si="0"/>
        <v>0</v>
      </c>
      <c r="E33" s="91">
        <f t="shared" si="12"/>
        <v>3494.5597201666665</v>
      </c>
      <c r="F33" s="121">
        <f t="shared" ref="F33:F41" si="13">+(D32*$F$12/12)+(((D33-D32)*$F$12/12)*0.5)</f>
        <v>0</v>
      </c>
      <c r="G33" s="91">
        <f t="shared" si="7"/>
        <v>-13978.238880666666</v>
      </c>
      <c r="H33" s="121">
        <f t="shared" si="7"/>
        <v>0</v>
      </c>
      <c r="I33" s="91">
        <f t="shared" si="8"/>
        <v>-13978.238880666666</v>
      </c>
      <c r="J33" s="91">
        <f t="shared" si="8"/>
        <v>0</v>
      </c>
      <c r="K33" s="91">
        <f t="shared" si="9"/>
        <v>13978.238880666666</v>
      </c>
      <c r="L33" s="91">
        <f t="shared" si="10"/>
        <v>-2935.4301649399999</v>
      </c>
      <c r="M33" s="91">
        <f t="shared" si="11"/>
        <v>733.8575412350001</v>
      </c>
      <c r="N33" s="132"/>
      <c r="O33" s="123"/>
      <c r="P33" s="133">
        <v>9</v>
      </c>
      <c r="Q33" s="134">
        <f t="shared" si="1"/>
        <v>31</v>
      </c>
      <c r="R33" s="135">
        <v>45108</v>
      </c>
      <c r="S33" s="136">
        <f>+'E3940'!M48</f>
        <v>3108.7649063683493</v>
      </c>
      <c r="T33" s="143">
        <f t="shared" si="2"/>
        <v>-30747.892748148344</v>
      </c>
      <c r="U33" s="138">
        <f>V33-SUM($Q$26:Q33)+1</f>
        <v>154</v>
      </c>
      <c r="V33" s="139">
        <f t="shared" si="5"/>
        <v>365</v>
      </c>
      <c r="W33" s="136">
        <f t="shared" si="3"/>
        <v>1311.6432755636322</v>
      </c>
      <c r="X33" s="140">
        <f t="shared" si="4"/>
        <v>-23273.517241398673</v>
      </c>
      <c r="Y33" s="89"/>
      <c r="Z33" s="89"/>
      <c r="AA33" s="89"/>
    </row>
    <row r="34" spans="1:35" ht="15" x14ac:dyDescent="0.25">
      <c r="A34" s="90">
        <v>44712</v>
      </c>
      <c r="B34" s="257">
        <v>0</v>
      </c>
      <c r="C34" s="91">
        <f t="shared" si="6"/>
        <v>0</v>
      </c>
      <c r="D34" s="91">
        <f t="shared" si="0"/>
        <v>0</v>
      </c>
      <c r="E34" s="91">
        <f t="shared" si="12"/>
        <v>3494.5597201666665</v>
      </c>
      <c r="F34" s="121">
        <f t="shared" si="13"/>
        <v>0</v>
      </c>
      <c r="G34" s="91">
        <f t="shared" si="7"/>
        <v>-17472.798600833332</v>
      </c>
      <c r="H34" s="121">
        <f t="shared" si="7"/>
        <v>0</v>
      </c>
      <c r="I34" s="91">
        <f t="shared" si="8"/>
        <v>-17472.798600833332</v>
      </c>
      <c r="J34" s="91">
        <f t="shared" si="8"/>
        <v>0</v>
      </c>
      <c r="K34" s="91">
        <f t="shared" si="9"/>
        <v>17472.798600833332</v>
      </c>
      <c r="L34" s="91">
        <f t="shared" si="10"/>
        <v>-3669.2877061749996</v>
      </c>
      <c r="M34" s="91">
        <f t="shared" si="11"/>
        <v>733.85754123499964</v>
      </c>
      <c r="N34" s="132"/>
      <c r="O34" s="123"/>
      <c r="P34" s="133">
        <v>10</v>
      </c>
      <c r="Q34" s="134">
        <f t="shared" si="1"/>
        <v>31</v>
      </c>
      <c r="R34" s="135">
        <v>45139</v>
      </c>
      <c r="S34" s="136">
        <f>+'E3940'!M49</f>
        <v>3032.9315730349881</v>
      </c>
      <c r="T34" s="143">
        <f t="shared" si="2"/>
        <v>-33780.824321183332</v>
      </c>
      <c r="U34" s="138">
        <f>V34-SUM($Q$26:Q34)+1</f>
        <v>123</v>
      </c>
      <c r="V34" s="139">
        <f t="shared" si="5"/>
        <v>365</v>
      </c>
      <c r="W34" s="136">
        <f t="shared" si="3"/>
        <v>1022.0563931049412</v>
      </c>
      <c r="X34" s="140">
        <f t="shared" si="4"/>
        <v>-24295.573634503613</v>
      </c>
      <c r="Y34" s="89"/>
      <c r="Z34" s="89"/>
      <c r="AA34" s="89"/>
    </row>
    <row r="35" spans="1:35" ht="15" x14ac:dyDescent="0.25">
      <c r="A35" s="90">
        <v>44742</v>
      </c>
      <c r="B35" s="257">
        <v>0</v>
      </c>
      <c r="C35" s="91">
        <f t="shared" si="6"/>
        <v>0</v>
      </c>
      <c r="D35" s="91">
        <f t="shared" si="0"/>
        <v>0</v>
      </c>
      <c r="E35" s="91">
        <f t="shared" si="12"/>
        <v>3494.5597201666665</v>
      </c>
      <c r="F35" s="121">
        <f t="shared" si="13"/>
        <v>0</v>
      </c>
      <c r="G35" s="91">
        <f t="shared" si="7"/>
        <v>-20967.358321</v>
      </c>
      <c r="H35" s="121">
        <f t="shared" si="7"/>
        <v>0</v>
      </c>
      <c r="I35" s="91">
        <f t="shared" si="8"/>
        <v>-20967.358321</v>
      </c>
      <c r="J35" s="91">
        <f t="shared" si="8"/>
        <v>0</v>
      </c>
      <c r="K35" s="91">
        <f t="shared" si="9"/>
        <v>20967.358321</v>
      </c>
      <c r="L35" s="91">
        <f t="shared" si="10"/>
        <v>-4403.1452474099997</v>
      </c>
      <c r="M35" s="91">
        <f t="shared" si="11"/>
        <v>733.8575412350001</v>
      </c>
      <c r="N35" s="132"/>
      <c r="O35" s="123"/>
      <c r="P35" s="133">
        <v>11</v>
      </c>
      <c r="Q35" s="134">
        <f t="shared" si="1"/>
        <v>30</v>
      </c>
      <c r="R35" s="135">
        <v>45170</v>
      </c>
      <c r="S35" s="136">
        <f>+'E3940'!M50</f>
        <v>2957.098239701656</v>
      </c>
      <c r="T35" s="143">
        <f t="shared" si="2"/>
        <v>-36737.922560884988</v>
      </c>
      <c r="U35" s="138">
        <f>V35-SUM($Q$26:Q35)+1</f>
        <v>93</v>
      </c>
      <c r="V35" s="139">
        <f t="shared" si="5"/>
        <v>365</v>
      </c>
      <c r="W35" s="136">
        <f t="shared" si="3"/>
        <v>753.45242819795624</v>
      </c>
      <c r="X35" s="140">
        <f t="shared" si="4"/>
        <v>-25049.02606270157</v>
      </c>
      <c r="Y35" s="89"/>
      <c r="Z35" s="89"/>
      <c r="AA35" s="89"/>
    </row>
    <row r="36" spans="1:35" ht="15" x14ac:dyDescent="0.25">
      <c r="A36" s="90">
        <v>44773</v>
      </c>
      <c r="B36" s="257">
        <v>293454.98</v>
      </c>
      <c r="C36" s="91">
        <f t="shared" si="6"/>
        <v>293454.98</v>
      </c>
      <c r="D36" s="91">
        <f t="shared" si="0"/>
        <v>293454.98</v>
      </c>
      <c r="E36" s="91">
        <f t="shared" si="12"/>
        <v>3494.5597201666665</v>
      </c>
      <c r="F36" s="121">
        <f t="shared" si="13"/>
        <v>611.3645416666667</v>
      </c>
      <c r="G36" s="91">
        <f t="shared" si="7"/>
        <v>-24461.918041166668</v>
      </c>
      <c r="H36" s="121">
        <f t="shared" si="7"/>
        <v>-611.3645416666667</v>
      </c>
      <c r="I36" s="91">
        <f t="shared" si="8"/>
        <v>268993.06195883331</v>
      </c>
      <c r="J36" s="91">
        <f t="shared" si="8"/>
        <v>292843.61545833334</v>
      </c>
      <c r="K36" s="91">
        <f t="shared" si="9"/>
        <v>23850.553499500034</v>
      </c>
      <c r="L36" s="91">
        <f t="shared" si="10"/>
        <v>-5008.6162348950074</v>
      </c>
      <c r="M36" s="91">
        <f t="shared" si="11"/>
        <v>605.47098748500775</v>
      </c>
      <c r="N36" s="132"/>
      <c r="O36" s="123"/>
      <c r="P36" s="133">
        <v>12</v>
      </c>
      <c r="Q36" s="134">
        <f t="shared" si="1"/>
        <v>31</v>
      </c>
      <c r="R36" s="135">
        <v>45200</v>
      </c>
      <c r="S36" s="136">
        <f>+'E3940'!M51</f>
        <v>2881.2649063683712</v>
      </c>
      <c r="T36" s="143">
        <f t="shared" si="2"/>
        <v>-39619.18746725336</v>
      </c>
      <c r="U36" s="138">
        <f>V36-SUM($Q$26:Q36)+1</f>
        <v>62</v>
      </c>
      <c r="V36" s="139">
        <f t="shared" si="5"/>
        <v>365</v>
      </c>
      <c r="W36" s="136">
        <f t="shared" si="3"/>
        <v>489.42034025983287</v>
      </c>
      <c r="X36" s="140">
        <f t="shared" si="4"/>
        <v>-25538.446402961403</v>
      </c>
      <c r="Y36" s="89"/>
      <c r="Z36" s="89"/>
      <c r="AA36" s="89"/>
    </row>
    <row r="37" spans="1:35" ht="15" x14ac:dyDescent="0.25">
      <c r="A37" s="90">
        <v>44804</v>
      </c>
      <c r="B37" s="257">
        <v>0</v>
      </c>
      <c r="C37" s="91">
        <f t="shared" si="6"/>
        <v>293454.98</v>
      </c>
      <c r="D37" s="91">
        <f t="shared" si="0"/>
        <v>293454.98</v>
      </c>
      <c r="E37" s="91">
        <f t="shared" si="12"/>
        <v>3494.5597201666665</v>
      </c>
      <c r="F37" s="121">
        <f t="shared" si="13"/>
        <v>1222.7290833333334</v>
      </c>
      <c r="G37" s="91">
        <f t="shared" si="7"/>
        <v>-27956.477761333335</v>
      </c>
      <c r="H37" s="121">
        <f t="shared" si="7"/>
        <v>-1834.093625</v>
      </c>
      <c r="I37" s="91">
        <f t="shared" si="8"/>
        <v>265498.50223866664</v>
      </c>
      <c r="J37" s="91">
        <f t="shared" si="8"/>
        <v>291620.886375</v>
      </c>
      <c r="K37" s="91">
        <f t="shared" si="9"/>
        <v>26122.384136333363</v>
      </c>
      <c r="L37" s="91">
        <f t="shared" si="10"/>
        <v>-5485.7006686300065</v>
      </c>
      <c r="M37" s="91">
        <f t="shared" si="11"/>
        <v>477.08443373499904</v>
      </c>
      <c r="N37" s="132"/>
      <c r="O37" s="123"/>
      <c r="P37" s="133">
        <v>13</v>
      </c>
      <c r="Q37" s="134">
        <f t="shared" si="1"/>
        <v>30</v>
      </c>
      <c r="R37" s="135">
        <v>45231</v>
      </c>
      <c r="S37" s="136">
        <f>+'E3940'!M52</f>
        <v>2805.4315730349772</v>
      </c>
      <c r="T37" s="143">
        <f t="shared" si="2"/>
        <v>-42424.619040288337</v>
      </c>
      <c r="U37" s="138">
        <f>V37-SUM($Q$26:Q37)+1</f>
        <v>32</v>
      </c>
      <c r="V37" s="139">
        <f t="shared" si="5"/>
        <v>365</v>
      </c>
      <c r="W37" s="136">
        <f t="shared" si="3"/>
        <v>245.95564475923089</v>
      </c>
      <c r="X37" s="140">
        <f t="shared" si="4"/>
        <v>-25784.402047720632</v>
      </c>
      <c r="Y37" s="89"/>
      <c r="Z37" s="89"/>
      <c r="AA37" s="89"/>
    </row>
    <row r="38" spans="1:35" ht="15" x14ac:dyDescent="0.25">
      <c r="A38" s="90">
        <v>44834</v>
      </c>
      <c r="B38" s="257">
        <v>0</v>
      </c>
      <c r="C38" s="91">
        <f t="shared" si="6"/>
        <v>293454.98</v>
      </c>
      <c r="D38" s="91">
        <f t="shared" si="0"/>
        <v>293454.98</v>
      </c>
      <c r="E38" s="91">
        <f t="shared" si="12"/>
        <v>3494.5597201666665</v>
      </c>
      <c r="F38" s="121">
        <f t="shared" si="13"/>
        <v>1222.7290833333334</v>
      </c>
      <c r="G38" s="91">
        <f t="shared" si="7"/>
        <v>-31451.037481500003</v>
      </c>
      <c r="H38" s="121">
        <f t="shared" si="7"/>
        <v>-3056.8227083333331</v>
      </c>
      <c r="I38" s="91">
        <f t="shared" si="8"/>
        <v>262003.94251849997</v>
      </c>
      <c r="J38" s="91">
        <f t="shared" si="8"/>
        <v>290398.15729166666</v>
      </c>
      <c r="K38" s="91">
        <f t="shared" si="9"/>
        <v>28394.214773166692</v>
      </c>
      <c r="L38" s="91">
        <f t="shared" si="10"/>
        <v>-5962.7851023650055</v>
      </c>
      <c r="M38" s="91">
        <f t="shared" si="11"/>
        <v>477.08443373499904</v>
      </c>
      <c r="N38" s="132"/>
      <c r="O38" s="151"/>
      <c r="P38" s="133">
        <v>14</v>
      </c>
      <c r="Q38" s="134">
        <f t="shared" si="1"/>
        <v>31</v>
      </c>
      <c r="R38" s="135">
        <v>45261</v>
      </c>
      <c r="S38" s="136">
        <f>+'E3940'!M53</f>
        <v>2729.5982397016487</v>
      </c>
      <c r="T38" s="143">
        <f t="shared" si="2"/>
        <v>-45154.217279989985</v>
      </c>
      <c r="U38" s="138">
        <f>V38-SUM($Q$26:Q38)+1</f>
        <v>1</v>
      </c>
      <c r="V38" s="139">
        <f t="shared" si="5"/>
        <v>365</v>
      </c>
      <c r="W38" s="136">
        <f t="shared" si="3"/>
        <v>7.4783513416483522</v>
      </c>
      <c r="X38" s="140">
        <f t="shared" si="4"/>
        <v>-25791.88039906228</v>
      </c>
      <c r="Y38" s="89"/>
      <c r="Z38" s="89"/>
      <c r="AA38" s="89"/>
    </row>
    <row r="39" spans="1:35" ht="15.75" thickBot="1" x14ac:dyDescent="0.3">
      <c r="A39" s="90">
        <v>44865</v>
      </c>
      <c r="B39" s="257">
        <v>0</v>
      </c>
      <c r="C39" s="91">
        <f t="shared" si="6"/>
        <v>293454.98</v>
      </c>
      <c r="D39" s="91">
        <f t="shared" si="0"/>
        <v>293454.98</v>
      </c>
      <c r="E39" s="91">
        <f t="shared" si="12"/>
        <v>3494.5597201666665</v>
      </c>
      <c r="F39" s="121">
        <f t="shared" si="13"/>
        <v>1222.7290833333334</v>
      </c>
      <c r="G39" s="91">
        <f t="shared" si="7"/>
        <v>-34945.597201666671</v>
      </c>
      <c r="H39" s="121">
        <f t="shared" si="7"/>
        <v>-4279.5517916666668</v>
      </c>
      <c r="I39" s="91">
        <f t="shared" si="8"/>
        <v>258509.3827983333</v>
      </c>
      <c r="J39" s="91">
        <f t="shared" si="8"/>
        <v>289175.42820833332</v>
      </c>
      <c r="K39" s="91">
        <f t="shared" si="9"/>
        <v>30666.045410000021</v>
      </c>
      <c r="L39" s="91">
        <f t="shared" si="10"/>
        <v>-6439.8695361000036</v>
      </c>
      <c r="M39" s="91">
        <f t="shared" si="11"/>
        <v>477.08443373499813</v>
      </c>
      <c r="N39" s="132"/>
      <c r="O39" s="123"/>
      <c r="P39" s="133">
        <v>15</v>
      </c>
      <c r="Q39" s="152">
        <f>SUM(Q27:Q38)</f>
        <v>365</v>
      </c>
      <c r="R39" s="103"/>
      <c r="S39" s="153">
        <f>SUM(S27:S38)</f>
        <v>37760.178876419988</v>
      </c>
      <c r="T39" s="154">
        <f>+'E3940'!L53-T38</f>
        <v>0</v>
      </c>
      <c r="U39" s="102"/>
      <c r="V39" s="155"/>
      <c r="W39" s="153">
        <f>SUM(W27:W38)</f>
        <v>18397.841995492279</v>
      </c>
      <c r="X39" s="107"/>
      <c r="Y39" s="89"/>
      <c r="Z39" s="89"/>
      <c r="AA39" s="89"/>
    </row>
    <row r="40" spans="1:35" ht="16.5" thickTop="1" thickBot="1" x14ac:dyDescent="0.3">
      <c r="A40" s="90">
        <v>44895</v>
      </c>
      <c r="B40" s="257">
        <v>0</v>
      </c>
      <c r="C40" s="91">
        <f t="shared" si="6"/>
        <v>293454.98</v>
      </c>
      <c r="D40" s="91">
        <f t="shared" si="0"/>
        <v>293454.98</v>
      </c>
      <c r="E40" s="91">
        <f t="shared" si="12"/>
        <v>3494.5597201666665</v>
      </c>
      <c r="F40" s="121">
        <f t="shared" si="13"/>
        <v>1222.7290833333334</v>
      </c>
      <c r="G40" s="91">
        <f t="shared" si="7"/>
        <v>-38440.156921833339</v>
      </c>
      <c r="H40" s="121">
        <f t="shared" si="7"/>
        <v>-5502.2808750000004</v>
      </c>
      <c r="I40" s="91">
        <f t="shared" si="8"/>
        <v>255014.82307816664</v>
      </c>
      <c r="J40" s="91">
        <f t="shared" si="8"/>
        <v>287952.69912499998</v>
      </c>
      <c r="K40" s="91">
        <f t="shared" si="9"/>
        <v>32937.876046833349</v>
      </c>
      <c r="L40" s="91">
        <f t="shared" si="10"/>
        <v>-6916.9539698350027</v>
      </c>
      <c r="M40" s="91">
        <f t="shared" si="11"/>
        <v>477.08443373499904</v>
      </c>
      <c r="N40" s="132"/>
      <c r="O40" s="144"/>
      <c r="P40" s="133">
        <v>16</v>
      </c>
      <c r="Q40" s="103"/>
      <c r="R40" s="156"/>
      <c r="S40" s="157"/>
      <c r="T40" s="137"/>
      <c r="U40" s="102"/>
      <c r="V40" s="103"/>
      <c r="W40" s="158"/>
      <c r="X40" s="107"/>
      <c r="Y40" s="89"/>
      <c r="Z40" s="89"/>
      <c r="AA40" s="89"/>
    </row>
    <row r="41" spans="1:35" ht="15.75" thickBot="1" x14ac:dyDescent="0.3">
      <c r="A41" s="90">
        <v>44926</v>
      </c>
      <c r="B41" s="257">
        <v>0</v>
      </c>
      <c r="C41" s="91">
        <f t="shared" si="6"/>
        <v>293454.98</v>
      </c>
      <c r="D41" s="258">
        <f t="shared" si="0"/>
        <v>293454.98</v>
      </c>
      <c r="E41" s="91">
        <f t="shared" si="12"/>
        <v>3494.5597201666665</v>
      </c>
      <c r="F41" s="121">
        <f t="shared" si="13"/>
        <v>1222.7290833333334</v>
      </c>
      <c r="G41" s="91">
        <f t="shared" si="7"/>
        <v>-41934.716642000007</v>
      </c>
      <c r="H41" s="121">
        <f t="shared" si="7"/>
        <v>-6725.009958333334</v>
      </c>
      <c r="I41" s="91">
        <f t="shared" si="8"/>
        <v>251520.26335799997</v>
      </c>
      <c r="J41" s="91">
        <f t="shared" si="8"/>
        <v>286729.97004166665</v>
      </c>
      <c r="K41" s="91">
        <f t="shared" si="9"/>
        <v>35209.706683666678</v>
      </c>
      <c r="L41" s="91">
        <f t="shared" si="10"/>
        <v>-7394.0384035700017</v>
      </c>
      <c r="M41" s="91">
        <f t="shared" si="11"/>
        <v>477.08443373499904</v>
      </c>
      <c r="N41" s="145"/>
      <c r="O41" s="146"/>
      <c r="P41" s="133">
        <v>17</v>
      </c>
      <c r="Q41" s="103" t="s">
        <v>102</v>
      </c>
      <c r="R41" s="103"/>
      <c r="S41" s="136"/>
      <c r="T41" s="159">
        <f>(T26+T38+SUM(T27:T37)*2)/24</f>
        <v>-27177.808397335564</v>
      </c>
      <c r="U41" s="102"/>
      <c r="V41" s="103"/>
      <c r="W41" s="160" t="s">
        <v>103</v>
      </c>
      <c r="X41" s="161">
        <f>X38</f>
        <v>-25791.88039906228</v>
      </c>
      <c r="Y41" s="89"/>
      <c r="Z41" s="89"/>
      <c r="AA41" s="89"/>
    </row>
    <row r="42" spans="1:35" ht="16.5" thickTop="1" thickBot="1" x14ac:dyDescent="0.3">
      <c r="A42" s="147">
        <v>44957</v>
      </c>
      <c r="B42" s="256">
        <v>86666.666666666672</v>
      </c>
      <c r="C42" s="148">
        <f t="shared" si="6"/>
        <v>380121.64666666667</v>
      </c>
      <c r="D42" s="91">
        <f t="shared" si="0"/>
        <v>380121.64666666667</v>
      </c>
      <c r="E42" s="148">
        <f>(($C$29*$E$9/12)+(($C$41-$C$29)*$D$9/12)+(($C$53-$C$41)*$C$9/12))</f>
        <v>18373.593716833333</v>
      </c>
      <c r="F42" s="149">
        <f>+(D41*$F$13/12)+(((D42-D41)*$F$13/12)*0.5)</f>
        <v>1403.284638888889</v>
      </c>
      <c r="G42" s="148">
        <f t="shared" si="7"/>
        <v>-60308.31035883334</v>
      </c>
      <c r="H42" s="149">
        <f t="shared" si="7"/>
        <v>-8128.2945972222233</v>
      </c>
      <c r="I42" s="148">
        <f t="shared" si="8"/>
        <v>319813.33630783332</v>
      </c>
      <c r="J42" s="148">
        <f t="shared" si="8"/>
        <v>371993.35206944443</v>
      </c>
      <c r="K42" s="148">
        <f t="shared" si="9"/>
        <v>52180.01576161111</v>
      </c>
      <c r="L42" s="148">
        <f t="shared" si="10"/>
        <v>-10957.803309938332</v>
      </c>
      <c r="M42" s="148">
        <f t="shared" si="11"/>
        <v>3563.7649063683302</v>
      </c>
      <c r="N42" s="132"/>
      <c r="O42" s="123"/>
      <c r="P42" s="162">
        <v>18</v>
      </c>
      <c r="Q42" s="163"/>
      <c r="R42" s="163"/>
      <c r="S42" s="164"/>
      <c r="T42" s="165"/>
      <c r="U42" s="166"/>
      <c r="V42" s="163"/>
      <c r="W42" s="163"/>
      <c r="X42" s="167"/>
      <c r="Y42" s="89"/>
      <c r="Z42" s="89"/>
      <c r="AA42" s="89"/>
    </row>
    <row r="43" spans="1:35" ht="15.75" thickBot="1" x14ac:dyDescent="0.3">
      <c r="A43" s="90">
        <v>44985</v>
      </c>
      <c r="B43" s="257">
        <v>86666.666666666672</v>
      </c>
      <c r="C43" s="91">
        <f t="shared" si="6"/>
        <v>466788.31333333335</v>
      </c>
      <c r="D43" s="91">
        <f t="shared" si="0"/>
        <v>466788.31333333335</v>
      </c>
      <c r="E43" s="91">
        <f t="shared" ref="E43:E53" si="14">(($C$29*$E$9/12)+(($C$41-$C$29)*$D$9/12)+(($C$53-$C$41)*$C$9/12))</f>
        <v>18373.593716833333</v>
      </c>
      <c r="F43" s="121">
        <f>+(D42*$F$13/12)+(((D43-D42)*$F$13/12)*0.5)</f>
        <v>1764.3957500000004</v>
      </c>
      <c r="G43" s="91">
        <f t="shared" si="7"/>
        <v>-78681.90407566668</v>
      </c>
      <c r="H43" s="121">
        <f t="shared" si="7"/>
        <v>-9892.6903472222239</v>
      </c>
      <c r="I43" s="91">
        <f t="shared" si="8"/>
        <v>388106.40925766667</v>
      </c>
      <c r="J43" s="91">
        <f t="shared" si="8"/>
        <v>456895.62298611115</v>
      </c>
      <c r="K43" s="91">
        <f t="shared" si="9"/>
        <v>68789.213728444476</v>
      </c>
      <c r="L43" s="91">
        <f t="shared" si="10"/>
        <v>-14445.73488297334</v>
      </c>
      <c r="M43" s="91">
        <f t="shared" si="11"/>
        <v>3487.9315730350081</v>
      </c>
      <c r="N43" s="132"/>
      <c r="O43" s="123"/>
      <c r="P43" s="168"/>
      <c r="Q43" s="168"/>
      <c r="R43" s="168"/>
      <c r="S43" s="168"/>
      <c r="T43" s="168"/>
      <c r="U43" s="168"/>
      <c r="V43" s="168"/>
      <c r="W43" s="168"/>
      <c r="X43" s="168"/>
      <c r="Y43" s="89"/>
      <c r="Z43" s="89"/>
      <c r="AA43" s="89"/>
      <c r="AB43" s="169"/>
      <c r="AC43" s="169"/>
      <c r="AD43" s="169"/>
      <c r="AE43" s="169"/>
      <c r="AF43" s="169"/>
      <c r="AG43" s="169"/>
      <c r="AH43" s="169"/>
      <c r="AI43" s="169"/>
    </row>
    <row r="44" spans="1:35" ht="15" x14ac:dyDescent="0.25">
      <c r="A44" s="90">
        <v>45016</v>
      </c>
      <c r="B44" s="257">
        <v>86666.666666666672</v>
      </c>
      <c r="C44" s="91">
        <f t="shared" si="6"/>
        <v>553454.98</v>
      </c>
      <c r="D44" s="91">
        <f t="shared" si="0"/>
        <v>553454.98</v>
      </c>
      <c r="E44" s="91">
        <f t="shared" si="14"/>
        <v>18373.593716833333</v>
      </c>
      <c r="F44" s="121">
        <f t="shared" ref="F44:F77" si="15">+(D43*$F$13/12)+(((D44-D43)*$F$13/12)*0.5)</f>
        <v>2125.506861111111</v>
      </c>
      <c r="G44" s="91">
        <f t="shared" si="7"/>
        <v>-97055.497792500013</v>
      </c>
      <c r="H44" s="121">
        <f t="shared" si="7"/>
        <v>-12018.197208333335</v>
      </c>
      <c r="I44" s="91">
        <f t="shared" si="8"/>
        <v>456399.48220749997</v>
      </c>
      <c r="J44" s="91">
        <f t="shared" si="8"/>
        <v>541436.78279166669</v>
      </c>
      <c r="K44" s="91">
        <f t="shared" si="9"/>
        <v>85037.300584166718</v>
      </c>
      <c r="L44" s="91">
        <f t="shared" si="10"/>
        <v>-17857.833122675009</v>
      </c>
      <c r="M44" s="91">
        <f t="shared" si="11"/>
        <v>3412.0982397016687</v>
      </c>
      <c r="N44" s="132"/>
      <c r="O44" s="123"/>
      <c r="P44" s="92"/>
      <c r="Q44" s="93" t="s">
        <v>104</v>
      </c>
      <c r="R44" s="94"/>
      <c r="S44" s="94"/>
      <c r="T44" s="94"/>
      <c r="U44" s="94"/>
      <c r="V44" s="94"/>
      <c r="W44" s="94"/>
      <c r="X44" s="95"/>
      <c r="Y44" s="89"/>
      <c r="Z44" s="89"/>
      <c r="AA44" s="89"/>
      <c r="AB44" s="169"/>
      <c r="AC44" s="169"/>
      <c r="AD44" s="169"/>
      <c r="AE44" s="169"/>
      <c r="AF44" s="169"/>
      <c r="AG44" s="169"/>
      <c r="AH44" s="169"/>
      <c r="AI44" s="169"/>
    </row>
    <row r="45" spans="1:35" ht="15" x14ac:dyDescent="0.25">
      <c r="A45" s="90">
        <v>45046</v>
      </c>
      <c r="B45" s="257">
        <v>86666.666666666672</v>
      </c>
      <c r="C45" s="91">
        <f t="shared" si="6"/>
        <v>640121.64666666661</v>
      </c>
      <c r="D45" s="91">
        <f t="shared" si="0"/>
        <v>640121.64666666661</v>
      </c>
      <c r="E45" s="91">
        <f t="shared" si="14"/>
        <v>18373.593716833333</v>
      </c>
      <c r="F45" s="121">
        <f t="shared" si="15"/>
        <v>2486.6179722222223</v>
      </c>
      <c r="G45" s="91">
        <f t="shared" si="7"/>
        <v>-115429.09150933335</v>
      </c>
      <c r="H45" s="121">
        <f t="shared" si="7"/>
        <v>-14504.815180555557</v>
      </c>
      <c r="I45" s="91">
        <f t="shared" si="8"/>
        <v>524692.55515733326</v>
      </c>
      <c r="J45" s="91">
        <f t="shared" si="8"/>
        <v>625616.83148611104</v>
      </c>
      <c r="K45" s="91">
        <f t="shared" si="9"/>
        <v>100924.27632877778</v>
      </c>
      <c r="L45" s="91">
        <f t="shared" si="10"/>
        <v>-21194.098029043333</v>
      </c>
      <c r="M45" s="91">
        <f t="shared" si="11"/>
        <v>3336.2649063683239</v>
      </c>
      <c r="N45" s="132"/>
      <c r="O45" s="91"/>
      <c r="P45" s="96"/>
      <c r="Q45" s="97"/>
      <c r="R45" s="98" t="s">
        <v>73</v>
      </c>
      <c r="S45" s="98"/>
      <c r="T45" s="99"/>
      <c r="U45" s="100" t="s">
        <v>74</v>
      </c>
      <c r="V45" s="98"/>
      <c r="W45" s="98"/>
      <c r="X45" s="101"/>
      <c r="Y45" s="89"/>
      <c r="Z45" s="89"/>
      <c r="AA45" s="89"/>
      <c r="AB45" s="169"/>
      <c r="AC45" s="169"/>
      <c r="AD45" s="169"/>
      <c r="AE45" s="169"/>
      <c r="AF45" s="169"/>
      <c r="AG45" s="169"/>
      <c r="AH45" s="169"/>
      <c r="AI45" s="169"/>
    </row>
    <row r="46" spans="1:35" ht="15" x14ac:dyDescent="0.25">
      <c r="A46" s="90">
        <v>45077</v>
      </c>
      <c r="B46" s="257">
        <v>86666.666666666672</v>
      </c>
      <c r="C46" s="91">
        <f t="shared" si="6"/>
        <v>726788.31333333324</v>
      </c>
      <c r="D46" s="91">
        <f t="shared" si="0"/>
        <v>726788.31333333324</v>
      </c>
      <c r="E46" s="91">
        <f t="shared" si="14"/>
        <v>18373.593716833333</v>
      </c>
      <c r="F46" s="121">
        <f t="shared" si="15"/>
        <v>2847.7290833333332</v>
      </c>
      <c r="G46" s="91">
        <f t="shared" ref="G46:H61" si="16">-E46+G45</f>
        <v>-133802.68522616668</v>
      </c>
      <c r="H46" s="121">
        <f t="shared" si="16"/>
        <v>-17352.544263888889</v>
      </c>
      <c r="I46" s="91">
        <f t="shared" ref="I46:J61" si="17">C46+G46</f>
        <v>592985.62810716662</v>
      </c>
      <c r="J46" s="91">
        <f t="shared" si="17"/>
        <v>709435.76906944439</v>
      </c>
      <c r="K46" s="91">
        <f t="shared" si="9"/>
        <v>116450.14096227777</v>
      </c>
      <c r="L46" s="91">
        <f t="shared" si="10"/>
        <v>-24454.529602078332</v>
      </c>
      <c r="M46" s="91">
        <f t="shared" si="11"/>
        <v>3260.431573034999</v>
      </c>
      <c r="N46" s="132"/>
      <c r="O46" s="121"/>
      <c r="P46" s="96"/>
      <c r="Q46" s="102"/>
      <c r="R46" s="103"/>
      <c r="S46" s="103"/>
      <c r="T46" s="104" t="s">
        <v>75</v>
      </c>
      <c r="U46" s="105"/>
      <c r="V46" s="106"/>
      <c r="W46" s="106"/>
      <c r="X46" s="107"/>
      <c r="Y46" s="89"/>
      <c r="Z46" s="89"/>
      <c r="AA46" s="89"/>
      <c r="AB46" s="169"/>
      <c r="AC46" s="169"/>
      <c r="AD46" s="169"/>
      <c r="AE46" s="169"/>
      <c r="AF46" s="169"/>
      <c r="AG46" s="169"/>
      <c r="AH46" s="169"/>
      <c r="AI46" s="169"/>
    </row>
    <row r="47" spans="1:35" ht="15" x14ac:dyDescent="0.25">
      <c r="A47" s="90">
        <v>45107</v>
      </c>
      <c r="B47" s="257">
        <v>86666.666666666672</v>
      </c>
      <c r="C47" s="91">
        <f t="shared" si="6"/>
        <v>813454.97999999986</v>
      </c>
      <c r="D47" s="91">
        <f t="shared" si="0"/>
        <v>813454.97999999986</v>
      </c>
      <c r="E47" s="91">
        <f t="shared" si="14"/>
        <v>18373.593716833333</v>
      </c>
      <c r="F47" s="121">
        <f t="shared" si="15"/>
        <v>3208.840194444444</v>
      </c>
      <c r="G47" s="91">
        <f t="shared" si="16"/>
        <v>-152176.27894300001</v>
      </c>
      <c r="H47" s="121">
        <f t="shared" si="16"/>
        <v>-20561.384458333334</v>
      </c>
      <c r="I47" s="91">
        <f t="shared" si="17"/>
        <v>661278.70105699985</v>
      </c>
      <c r="J47" s="91">
        <f t="shared" si="17"/>
        <v>792893.59554166649</v>
      </c>
      <c r="K47" s="91">
        <f t="shared" si="9"/>
        <v>131614.89448466664</v>
      </c>
      <c r="L47" s="91">
        <f t="shared" si="10"/>
        <v>-27639.127841779995</v>
      </c>
      <c r="M47" s="91">
        <f t="shared" si="11"/>
        <v>3184.5982397016633</v>
      </c>
      <c r="N47" s="132"/>
      <c r="O47" s="123"/>
      <c r="P47" s="96" t="s">
        <v>76</v>
      </c>
      <c r="Q47" s="108" t="s">
        <v>77</v>
      </c>
      <c r="R47" s="109" t="s">
        <v>78</v>
      </c>
      <c r="S47" s="109" t="s">
        <v>79</v>
      </c>
      <c r="T47" s="104" t="s">
        <v>80</v>
      </c>
      <c r="U47" s="108" t="s">
        <v>81</v>
      </c>
      <c r="V47" s="109" t="s">
        <v>82</v>
      </c>
      <c r="W47" s="109" t="s">
        <v>83</v>
      </c>
      <c r="X47" s="110" t="s">
        <v>84</v>
      </c>
      <c r="Y47" s="89"/>
      <c r="Z47" s="89"/>
      <c r="AA47" s="89"/>
      <c r="AB47" s="169"/>
      <c r="AC47" s="169"/>
      <c r="AD47" s="169"/>
      <c r="AE47" s="169"/>
      <c r="AF47" s="169"/>
      <c r="AG47" s="169"/>
      <c r="AH47" s="169"/>
      <c r="AI47" s="169"/>
    </row>
    <row r="48" spans="1:35" ht="15" x14ac:dyDescent="0.25">
      <c r="A48" s="90">
        <v>45138</v>
      </c>
      <c r="B48" s="257">
        <v>86666.666666666672</v>
      </c>
      <c r="C48" s="91">
        <f t="shared" si="6"/>
        <v>900121.64666666649</v>
      </c>
      <c r="D48" s="91">
        <f t="shared" si="0"/>
        <v>900121.64666666649</v>
      </c>
      <c r="E48" s="91">
        <f t="shared" si="14"/>
        <v>18373.593716833333</v>
      </c>
      <c r="F48" s="121">
        <f t="shared" si="15"/>
        <v>3569.9513055555553</v>
      </c>
      <c r="G48" s="91">
        <f t="shared" si="16"/>
        <v>-170549.87265983335</v>
      </c>
      <c r="H48" s="121">
        <f t="shared" si="16"/>
        <v>-24131.335763888888</v>
      </c>
      <c r="I48" s="91">
        <f t="shared" si="17"/>
        <v>729571.77400683309</v>
      </c>
      <c r="J48" s="91">
        <f t="shared" si="17"/>
        <v>875990.31090277759</v>
      </c>
      <c r="K48" s="91">
        <f t="shared" si="9"/>
        <v>146418.5368959445</v>
      </c>
      <c r="L48" s="91">
        <f t="shared" si="10"/>
        <v>-30747.892748148344</v>
      </c>
      <c r="M48" s="91">
        <f t="shared" si="11"/>
        <v>3108.7649063683493</v>
      </c>
      <c r="N48" s="132"/>
      <c r="O48" s="123"/>
      <c r="P48" s="96"/>
      <c r="Q48" s="111" t="s">
        <v>78</v>
      </c>
      <c r="R48" s="112" t="s">
        <v>85</v>
      </c>
      <c r="S48" s="112" t="s">
        <v>2</v>
      </c>
      <c r="T48" s="113" t="s">
        <v>86</v>
      </c>
      <c r="U48" s="111" t="s">
        <v>87</v>
      </c>
      <c r="V48" s="112" t="s">
        <v>88</v>
      </c>
      <c r="W48" s="112" t="s">
        <v>89</v>
      </c>
      <c r="X48" s="114" t="s">
        <v>90</v>
      </c>
      <c r="Y48" s="89"/>
      <c r="Z48" s="89"/>
      <c r="AA48" s="89"/>
      <c r="AB48" s="169"/>
      <c r="AC48" s="169"/>
      <c r="AD48" s="169"/>
      <c r="AE48" s="169"/>
      <c r="AF48" s="169"/>
      <c r="AG48" s="169"/>
      <c r="AH48" s="169"/>
      <c r="AI48" s="169"/>
    </row>
    <row r="49" spans="1:35" ht="15" x14ac:dyDescent="0.25">
      <c r="A49" s="90">
        <v>45169</v>
      </c>
      <c r="B49" s="257">
        <v>86666.666666666672</v>
      </c>
      <c r="C49" s="91">
        <f t="shared" si="6"/>
        <v>986788.31333333312</v>
      </c>
      <c r="D49" s="91">
        <f t="shared" si="0"/>
        <v>986788.31333333312</v>
      </c>
      <c r="E49" s="91">
        <f t="shared" si="14"/>
        <v>18373.593716833333</v>
      </c>
      <c r="F49" s="121">
        <f t="shared" si="15"/>
        <v>3931.0624166666662</v>
      </c>
      <c r="G49" s="91">
        <f t="shared" si="16"/>
        <v>-188923.46637666668</v>
      </c>
      <c r="H49" s="121">
        <f t="shared" si="16"/>
        <v>-28062.398180555556</v>
      </c>
      <c r="I49" s="91">
        <f t="shared" si="17"/>
        <v>797864.84695666644</v>
      </c>
      <c r="J49" s="91">
        <f t="shared" si="17"/>
        <v>958725.91515277757</v>
      </c>
      <c r="K49" s="91">
        <f t="shared" si="9"/>
        <v>160861.06819611113</v>
      </c>
      <c r="L49" s="91">
        <f t="shared" si="10"/>
        <v>-33780.824321183332</v>
      </c>
      <c r="M49" s="91">
        <f t="shared" si="11"/>
        <v>3032.9315730349881</v>
      </c>
      <c r="N49" s="132"/>
      <c r="O49" s="91"/>
      <c r="P49" s="96"/>
      <c r="Q49" s="115" t="s">
        <v>91</v>
      </c>
      <c r="R49" s="116" t="s">
        <v>92</v>
      </c>
      <c r="S49" s="117" t="s">
        <v>93</v>
      </c>
      <c r="T49" s="118" t="s">
        <v>94</v>
      </c>
      <c r="U49" s="115" t="s">
        <v>95</v>
      </c>
      <c r="V49" s="119" t="s">
        <v>96</v>
      </c>
      <c r="W49" s="109" t="s">
        <v>97</v>
      </c>
      <c r="X49" s="120" t="s">
        <v>98</v>
      </c>
      <c r="Y49" s="89"/>
      <c r="Z49" s="89"/>
      <c r="AA49" s="89"/>
      <c r="AB49" s="169"/>
      <c r="AC49" s="169"/>
      <c r="AD49" s="169"/>
      <c r="AE49" s="169"/>
      <c r="AF49" s="169"/>
      <c r="AG49" s="169"/>
      <c r="AH49" s="169"/>
      <c r="AI49" s="169"/>
    </row>
    <row r="50" spans="1:35" ht="15" x14ac:dyDescent="0.25">
      <c r="A50" s="90">
        <v>45199</v>
      </c>
      <c r="B50" s="257">
        <v>86666.666666666672</v>
      </c>
      <c r="C50" s="91">
        <f t="shared" si="6"/>
        <v>1073454.9799999997</v>
      </c>
      <c r="D50" s="91">
        <f t="shared" si="0"/>
        <v>1073454.9799999997</v>
      </c>
      <c r="E50" s="91">
        <f t="shared" si="14"/>
        <v>18373.593716833333</v>
      </c>
      <c r="F50" s="121">
        <f t="shared" si="15"/>
        <v>4292.1735277777771</v>
      </c>
      <c r="G50" s="91">
        <f t="shared" si="16"/>
        <v>-207297.06009350001</v>
      </c>
      <c r="H50" s="121">
        <f t="shared" si="16"/>
        <v>-32354.571708333333</v>
      </c>
      <c r="I50" s="91">
        <f t="shared" si="17"/>
        <v>866157.9199064998</v>
      </c>
      <c r="J50" s="91">
        <f t="shared" si="17"/>
        <v>1041100.4082916664</v>
      </c>
      <c r="K50" s="91">
        <f t="shared" si="9"/>
        <v>174942.48838516662</v>
      </c>
      <c r="L50" s="91">
        <f t="shared" si="10"/>
        <v>-36737.922560884988</v>
      </c>
      <c r="M50" s="91">
        <f t="shared" si="11"/>
        <v>2957.098239701656</v>
      </c>
      <c r="N50" s="132"/>
      <c r="O50" s="91"/>
      <c r="P50" s="124"/>
      <c r="Q50" s="125"/>
      <c r="R50" s="126"/>
      <c r="S50" s="127"/>
      <c r="T50" s="128" t="s">
        <v>99</v>
      </c>
      <c r="U50" s="125" t="s">
        <v>100</v>
      </c>
      <c r="V50" s="129"/>
      <c r="W50" s="130"/>
      <c r="X50" s="170" t="s">
        <v>101</v>
      </c>
      <c r="Y50" s="89"/>
      <c r="Z50" s="89"/>
      <c r="AA50" s="89"/>
      <c r="AB50" s="169"/>
      <c r="AC50" s="169"/>
      <c r="AD50" s="169"/>
      <c r="AE50" s="169"/>
      <c r="AF50" s="169"/>
      <c r="AG50" s="169"/>
      <c r="AH50" s="169"/>
      <c r="AI50" s="169"/>
    </row>
    <row r="51" spans="1:35" ht="15" x14ac:dyDescent="0.25">
      <c r="A51" s="90">
        <v>45230</v>
      </c>
      <c r="B51" s="257">
        <v>86666.666666666672</v>
      </c>
      <c r="C51" s="91">
        <f t="shared" si="6"/>
        <v>1160121.6466666665</v>
      </c>
      <c r="D51" s="91">
        <f t="shared" si="0"/>
        <v>1160121.6466666665</v>
      </c>
      <c r="E51" s="91">
        <f t="shared" si="14"/>
        <v>18373.593716833333</v>
      </c>
      <c r="F51" s="121">
        <f t="shared" si="15"/>
        <v>4653.2846388888884</v>
      </c>
      <c r="G51" s="91">
        <f t="shared" si="16"/>
        <v>-225670.65381033334</v>
      </c>
      <c r="H51" s="121">
        <f t="shared" si="16"/>
        <v>-37007.856347222223</v>
      </c>
      <c r="I51" s="91">
        <f t="shared" si="17"/>
        <v>934450.99285633315</v>
      </c>
      <c r="J51" s="91">
        <f t="shared" si="17"/>
        <v>1123113.7903194444</v>
      </c>
      <c r="K51" s="91">
        <f t="shared" si="9"/>
        <v>188662.79746311123</v>
      </c>
      <c r="L51" s="91">
        <f t="shared" si="10"/>
        <v>-39619.18746725336</v>
      </c>
      <c r="M51" s="91">
        <f t="shared" si="11"/>
        <v>2881.2649063683712</v>
      </c>
      <c r="N51" s="132"/>
      <c r="O51" s="91"/>
      <c r="P51" s="133">
        <v>1</v>
      </c>
      <c r="Q51" s="134"/>
      <c r="R51" s="135"/>
      <c r="S51" s="136"/>
      <c r="T51" s="137"/>
      <c r="U51" s="138"/>
      <c r="V51" s="139"/>
      <c r="W51" s="136"/>
      <c r="X51" s="171"/>
      <c r="Y51" s="89"/>
      <c r="Z51" s="89"/>
      <c r="AA51" s="89"/>
      <c r="AB51" s="169"/>
      <c r="AC51" s="169"/>
      <c r="AD51" s="169"/>
      <c r="AE51" s="169"/>
      <c r="AF51" s="169"/>
      <c r="AG51" s="169"/>
      <c r="AH51" s="169"/>
      <c r="AI51" s="169"/>
    </row>
    <row r="52" spans="1:35" ht="15" x14ac:dyDescent="0.25">
      <c r="A52" s="90">
        <v>45260</v>
      </c>
      <c r="B52" s="257">
        <v>86666.666666666672</v>
      </c>
      <c r="C52" s="91">
        <f t="shared" si="6"/>
        <v>1246788.3133333332</v>
      </c>
      <c r="D52" s="91">
        <f t="shared" si="0"/>
        <v>1246788.3133333332</v>
      </c>
      <c r="E52" s="91">
        <f t="shared" si="14"/>
        <v>18373.593716833333</v>
      </c>
      <c r="F52" s="121">
        <f t="shared" si="15"/>
        <v>5014.3957499999997</v>
      </c>
      <c r="G52" s="91">
        <f t="shared" si="16"/>
        <v>-244044.24752716668</v>
      </c>
      <c r="H52" s="121">
        <f t="shared" si="16"/>
        <v>-42022.252097222226</v>
      </c>
      <c r="I52" s="91">
        <f t="shared" si="17"/>
        <v>1002744.0658061665</v>
      </c>
      <c r="J52" s="91">
        <f t="shared" si="17"/>
        <v>1204766.061236111</v>
      </c>
      <c r="K52" s="91">
        <f t="shared" si="9"/>
        <v>202021.99542994448</v>
      </c>
      <c r="L52" s="91">
        <f t="shared" si="10"/>
        <v>-42424.619040288337</v>
      </c>
      <c r="M52" s="91">
        <f t="shared" si="11"/>
        <v>2805.4315730349772</v>
      </c>
      <c r="N52" s="132"/>
      <c r="O52" s="91"/>
      <c r="P52" s="133">
        <v>2</v>
      </c>
      <c r="Q52" s="134"/>
      <c r="R52" s="135">
        <v>45291</v>
      </c>
      <c r="S52" s="136">
        <f>+'E3940'!M53</f>
        <v>2729.5982397016487</v>
      </c>
      <c r="T52" s="141">
        <f>+'E3940'!L53</f>
        <v>-45154.217279989985</v>
      </c>
      <c r="U52" s="138"/>
      <c r="V52" s="139"/>
      <c r="W52" s="136"/>
      <c r="X52" s="142">
        <f>T52</f>
        <v>-45154.217279989985</v>
      </c>
      <c r="Y52" s="89"/>
      <c r="Z52" s="89"/>
      <c r="AA52" s="89"/>
      <c r="AB52" s="169"/>
      <c r="AC52" s="169"/>
      <c r="AD52" s="169"/>
      <c r="AE52" s="169"/>
      <c r="AF52" s="169"/>
      <c r="AG52" s="169"/>
      <c r="AH52" s="169"/>
      <c r="AI52" s="169"/>
    </row>
    <row r="53" spans="1:35" ht="15" x14ac:dyDescent="0.25">
      <c r="A53" s="90">
        <v>45291</v>
      </c>
      <c r="B53" s="257">
        <v>86666.666666666672</v>
      </c>
      <c r="C53" s="91">
        <f t="shared" si="6"/>
        <v>1333454.98</v>
      </c>
      <c r="D53" s="258">
        <f t="shared" si="0"/>
        <v>1333454.98</v>
      </c>
      <c r="E53" s="91">
        <f t="shared" si="14"/>
        <v>18373.593716833333</v>
      </c>
      <c r="F53" s="121">
        <f t="shared" si="15"/>
        <v>5375.506861111111</v>
      </c>
      <c r="G53" s="91">
        <f t="shared" si="16"/>
        <v>-262417.84124400001</v>
      </c>
      <c r="H53" s="121">
        <f t="shared" si="16"/>
        <v>-47397.758958333339</v>
      </c>
      <c r="I53" s="91">
        <f t="shared" si="17"/>
        <v>1071037.138756</v>
      </c>
      <c r="J53" s="91">
        <f t="shared" si="17"/>
        <v>1286057.2210416666</v>
      </c>
      <c r="K53" s="91">
        <f t="shared" si="9"/>
        <v>215020.08228566661</v>
      </c>
      <c r="L53" s="91">
        <f t="shared" si="10"/>
        <v>-45154.217279989985</v>
      </c>
      <c r="M53" s="91">
        <f t="shared" si="11"/>
        <v>2729.5982397016487</v>
      </c>
      <c r="N53" s="132"/>
      <c r="O53" s="91"/>
      <c r="P53" s="133">
        <v>3</v>
      </c>
      <c r="Q53" s="134">
        <f t="shared" ref="Q53:Q64" si="18">DAY(EOMONTH(R53,0))</f>
        <v>31</v>
      </c>
      <c r="R53" s="135">
        <v>45292</v>
      </c>
      <c r="S53" s="136">
        <f>+'E3940'!M54</f>
        <v>13869.043337631287</v>
      </c>
      <c r="T53" s="143">
        <f t="shared" ref="T53:T64" si="19">+T52-S53</f>
        <v>-59023.260617621272</v>
      </c>
      <c r="U53" s="138">
        <f>V53-SUM(Q$52:$Q53)+1</f>
        <v>336</v>
      </c>
      <c r="V53" s="139">
        <f>Q65</f>
        <v>366</v>
      </c>
      <c r="W53" s="136">
        <f t="shared" ref="W53:W64" si="20">+U53/V53*S53</f>
        <v>12732.236506677902</v>
      </c>
      <c r="X53" s="140">
        <f t="shared" ref="X53:X64" si="21">+X52-W53</f>
        <v>-57886.453786667887</v>
      </c>
      <c r="Y53" s="89"/>
      <c r="Z53" s="89"/>
      <c r="AA53" s="89"/>
      <c r="AB53" s="169"/>
      <c r="AC53" s="169"/>
      <c r="AD53" s="169"/>
      <c r="AE53" s="169"/>
      <c r="AF53" s="169"/>
      <c r="AG53" s="169"/>
      <c r="AH53" s="169"/>
      <c r="AI53" s="169"/>
    </row>
    <row r="54" spans="1:35" ht="15" x14ac:dyDescent="0.25">
      <c r="A54" s="147">
        <v>45322</v>
      </c>
      <c r="B54" s="256">
        <v>327357.22283604916</v>
      </c>
      <c r="C54" s="148">
        <f t="shared" si="6"/>
        <v>1660812.2028360493</v>
      </c>
      <c r="D54" s="91">
        <f t="shared" si="0"/>
        <v>1660812.2028360493</v>
      </c>
      <c r="E54" s="148">
        <f t="shared" ref="E54:E64" si="22">($C$29*$F$9+($C$41-$C$29)*$E$9+($C$53-$C$41)*$D$9+($C$65-$C$53)*$C$9)/12</f>
        <v>72281.120143438093</v>
      </c>
      <c r="F54" s="149">
        <f t="shared" si="15"/>
        <v>6238.0566309084361</v>
      </c>
      <c r="G54" s="148">
        <f t="shared" si="16"/>
        <v>-334698.96138743812</v>
      </c>
      <c r="H54" s="149">
        <f t="shared" si="16"/>
        <v>-53635.815589241778</v>
      </c>
      <c r="I54" s="148">
        <f t="shared" si="17"/>
        <v>1326113.241448611</v>
      </c>
      <c r="J54" s="148">
        <f t="shared" si="17"/>
        <v>1607176.3872468076</v>
      </c>
      <c r="K54" s="148">
        <f t="shared" si="9"/>
        <v>281063.14579819655</v>
      </c>
      <c r="L54" s="148">
        <f t="shared" si="10"/>
        <v>-59023.260617621272</v>
      </c>
      <c r="M54" s="148">
        <f t="shared" si="11"/>
        <v>13869.043337631287</v>
      </c>
      <c r="N54" s="132"/>
      <c r="O54" s="91"/>
      <c r="P54" s="133">
        <v>4</v>
      </c>
      <c r="Q54" s="134">
        <f t="shared" si="18"/>
        <v>29</v>
      </c>
      <c r="R54" s="135">
        <v>45323</v>
      </c>
      <c r="S54" s="136">
        <f>+'E3940'!M55</f>
        <v>13582.605767649657</v>
      </c>
      <c r="T54" s="143">
        <f t="shared" si="19"/>
        <v>-72605.866385270929</v>
      </c>
      <c r="U54" s="138">
        <f>V54-SUM(Q$52:$Q54)+1</f>
        <v>307</v>
      </c>
      <c r="V54" s="139">
        <f t="shared" ref="V54:V64" si="23">V53</f>
        <v>366</v>
      </c>
      <c r="W54" s="136">
        <f t="shared" si="20"/>
        <v>11393.060029148757</v>
      </c>
      <c r="X54" s="140">
        <f t="shared" si="21"/>
        <v>-69279.513815816637</v>
      </c>
      <c r="Y54" s="89"/>
      <c r="Z54" s="89"/>
      <c r="AA54" s="89"/>
      <c r="AB54" s="169"/>
      <c r="AC54" s="169"/>
      <c r="AD54" s="169"/>
      <c r="AE54" s="169"/>
      <c r="AF54" s="169"/>
      <c r="AG54" s="169"/>
      <c r="AH54" s="169"/>
      <c r="AI54" s="169"/>
    </row>
    <row r="55" spans="1:35" ht="15" x14ac:dyDescent="0.25">
      <c r="A55" s="90">
        <v>45351</v>
      </c>
      <c r="B55" s="257">
        <v>327357.22283604916</v>
      </c>
      <c r="C55" s="91">
        <f t="shared" si="6"/>
        <v>1988169.4256720985</v>
      </c>
      <c r="D55" s="91">
        <f t="shared" si="0"/>
        <v>1988169.4256720985</v>
      </c>
      <c r="E55" s="91">
        <f t="shared" si="22"/>
        <v>72281.120143438093</v>
      </c>
      <c r="F55" s="121">
        <f t="shared" si="15"/>
        <v>7602.045059391975</v>
      </c>
      <c r="G55" s="91">
        <f t="shared" si="16"/>
        <v>-406980.08153087622</v>
      </c>
      <c r="H55" s="121">
        <f t="shared" si="16"/>
        <v>-61237.860648633752</v>
      </c>
      <c r="I55" s="91">
        <f t="shared" si="17"/>
        <v>1581189.3441412223</v>
      </c>
      <c r="J55" s="91">
        <f t="shared" si="17"/>
        <v>1926931.5650234648</v>
      </c>
      <c r="K55" s="91">
        <f t="shared" si="9"/>
        <v>345742.22088224255</v>
      </c>
      <c r="L55" s="91">
        <f t="shared" si="10"/>
        <v>-72605.866385270929</v>
      </c>
      <c r="M55" s="91">
        <f t="shared" si="11"/>
        <v>13582.605767649657</v>
      </c>
      <c r="N55" s="132"/>
      <c r="O55" s="91"/>
      <c r="P55" s="133">
        <v>5</v>
      </c>
      <c r="Q55" s="134">
        <f t="shared" si="18"/>
        <v>31</v>
      </c>
      <c r="R55" s="135">
        <v>45352</v>
      </c>
      <c r="S55" s="136">
        <f>+'E3940'!M56</f>
        <v>13296.168197668085</v>
      </c>
      <c r="T55" s="143">
        <f t="shared" si="19"/>
        <v>-85902.034582939013</v>
      </c>
      <c r="U55" s="138">
        <f>V55-SUM(Q$52:$Q55)+1</f>
        <v>276</v>
      </c>
      <c r="V55" s="139">
        <f t="shared" si="23"/>
        <v>366</v>
      </c>
      <c r="W55" s="136">
        <f t="shared" si="20"/>
        <v>10026.618640864457</v>
      </c>
      <c r="X55" s="140">
        <f t="shared" si="21"/>
        <v>-79306.132456681094</v>
      </c>
      <c r="Y55" s="89"/>
      <c r="Z55" s="89"/>
      <c r="AA55" s="89"/>
      <c r="AB55" s="169"/>
      <c r="AC55" s="169"/>
      <c r="AD55" s="169"/>
      <c r="AE55" s="169"/>
      <c r="AF55" s="169"/>
      <c r="AG55" s="169"/>
      <c r="AH55" s="169"/>
      <c r="AI55" s="169"/>
    </row>
    <row r="56" spans="1:35" ht="15" x14ac:dyDescent="0.25">
      <c r="A56" s="90">
        <v>45382</v>
      </c>
      <c r="B56" s="257">
        <v>327357.22283604916</v>
      </c>
      <c r="C56" s="91">
        <f t="shared" si="6"/>
        <v>2315526.6485081478</v>
      </c>
      <c r="D56" s="91">
        <f t="shared" si="0"/>
        <v>2315526.6485081478</v>
      </c>
      <c r="E56" s="91">
        <f t="shared" si="22"/>
        <v>72281.120143438093</v>
      </c>
      <c r="F56" s="121">
        <f t="shared" si="15"/>
        <v>8966.0334878755129</v>
      </c>
      <c r="G56" s="91">
        <f t="shared" si="16"/>
        <v>-479261.20167431433</v>
      </c>
      <c r="H56" s="121">
        <f t="shared" si="16"/>
        <v>-70203.894136509261</v>
      </c>
      <c r="I56" s="91">
        <f t="shared" si="17"/>
        <v>1836265.4468338336</v>
      </c>
      <c r="J56" s="91">
        <f t="shared" si="17"/>
        <v>2245322.7543716384</v>
      </c>
      <c r="K56" s="91">
        <f t="shared" si="9"/>
        <v>409057.30753780482</v>
      </c>
      <c r="L56" s="91">
        <f t="shared" si="10"/>
        <v>-85902.034582939013</v>
      </c>
      <c r="M56" s="91">
        <f t="shared" si="11"/>
        <v>13296.168197668085</v>
      </c>
      <c r="N56" s="132"/>
      <c r="O56" s="91"/>
      <c r="P56" s="133">
        <v>6</v>
      </c>
      <c r="Q56" s="134">
        <f t="shared" si="18"/>
        <v>30</v>
      </c>
      <c r="R56" s="135">
        <v>45383</v>
      </c>
      <c r="S56" s="136">
        <f>+'E3940'!M57</f>
        <v>13009.730627686688</v>
      </c>
      <c r="T56" s="143">
        <f t="shared" si="19"/>
        <v>-98911.765210625701</v>
      </c>
      <c r="U56" s="138">
        <f>V56-SUM(Q$52:$Q56)+1</f>
        <v>246</v>
      </c>
      <c r="V56" s="139">
        <f t="shared" si="23"/>
        <v>366</v>
      </c>
      <c r="W56" s="136">
        <f t="shared" si="20"/>
        <v>8744.2451759861342</v>
      </c>
      <c r="X56" s="140">
        <f t="shared" si="21"/>
        <v>-88050.377632667223</v>
      </c>
      <c r="Y56" s="89"/>
      <c r="Z56" s="89"/>
      <c r="AA56" s="89"/>
      <c r="AB56" s="169"/>
      <c r="AC56" s="169"/>
      <c r="AD56" s="169"/>
      <c r="AE56" s="169"/>
      <c r="AF56" s="169"/>
      <c r="AG56" s="169"/>
      <c r="AH56" s="169"/>
      <c r="AI56" s="169"/>
    </row>
    <row r="57" spans="1:35" ht="15" x14ac:dyDescent="0.25">
      <c r="A57" s="90">
        <v>45412</v>
      </c>
      <c r="B57" s="257">
        <v>327357.22283604916</v>
      </c>
      <c r="C57" s="91">
        <f t="shared" si="6"/>
        <v>2642883.8713441971</v>
      </c>
      <c r="D57" s="91">
        <f t="shared" si="0"/>
        <v>2642883.8713441971</v>
      </c>
      <c r="E57" s="91">
        <f t="shared" si="22"/>
        <v>72281.120143438093</v>
      </c>
      <c r="F57" s="121">
        <f t="shared" si="15"/>
        <v>10330.021916359052</v>
      </c>
      <c r="G57" s="91">
        <f t="shared" si="16"/>
        <v>-551542.32181775244</v>
      </c>
      <c r="H57" s="121">
        <f t="shared" si="16"/>
        <v>-80533.916052868313</v>
      </c>
      <c r="I57" s="91">
        <f t="shared" si="17"/>
        <v>2091341.5495264446</v>
      </c>
      <c r="J57" s="91">
        <f t="shared" si="17"/>
        <v>2562349.955291329</v>
      </c>
      <c r="K57" s="91">
        <f t="shared" si="9"/>
        <v>471008.40576488432</v>
      </c>
      <c r="L57" s="91">
        <f t="shared" si="10"/>
        <v>-98911.765210625701</v>
      </c>
      <c r="M57" s="91">
        <f t="shared" si="11"/>
        <v>13009.730627686688</v>
      </c>
      <c r="N57" s="132"/>
      <c r="O57" s="91"/>
      <c r="P57" s="133">
        <v>7</v>
      </c>
      <c r="Q57" s="134">
        <f t="shared" si="18"/>
        <v>31</v>
      </c>
      <c r="R57" s="135">
        <v>45413</v>
      </c>
      <c r="S57" s="136">
        <f>+'E3940'!M58</f>
        <v>12723.293057705014</v>
      </c>
      <c r="T57" s="143">
        <f t="shared" si="19"/>
        <v>-111635.05826833071</v>
      </c>
      <c r="U57" s="138">
        <f>V57-SUM(Q$52:$Q57)+1</f>
        <v>215</v>
      </c>
      <c r="V57" s="139">
        <f t="shared" si="23"/>
        <v>366</v>
      </c>
      <c r="W57" s="136">
        <f t="shared" si="20"/>
        <v>7474.0655940070437</v>
      </c>
      <c r="X57" s="140">
        <f t="shared" si="21"/>
        <v>-95524.443226674266</v>
      </c>
      <c r="Y57" s="89"/>
      <c r="Z57" s="89"/>
      <c r="AA57" s="89"/>
      <c r="AB57" s="169"/>
      <c r="AC57" s="169"/>
      <c r="AD57" s="169"/>
      <c r="AE57" s="169"/>
      <c r="AF57" s="169"/>
      <c r="AG57" s="169"/>
      <c r="AH57" s="169"/>
      <c r="AI57" s="169"/>
    </row>
    <row r="58" spans="1:35" ht="15" x14ac:dyDescent="0.25">
      <c r="A58" s="90">
        <v>45443</v>
      </c>
      <c r="B58" s="257">
        <v>327357.22283604916</v>
      </c>
      <c r="C58" s="91">
        <f t="shared" si="6"/>
        <v>2970241.0941802463</v>
      </c>
      <c r="D58" s="91">
        <f t="shared" si="0"/>
        <v>2970241.0941802463</v>
      </c>
      <c r="E58" s="91">
        <f t="shared" si="22"/>
        <v>72281.120143438093</v>
      </c>
      <c r="F58" s="121">
        <f t="shared" si="15"/>
        <v>11694.010344842591</v>
      </c>
      <c r="G58" s="91">
        <f t="shared" si="16"/>
        <v>-623823.44196119055</v>
      </c>
      <c r="H58" s="121">
        <f t="shared" si="16"/>
        <v>-92227.926397710908</v>
      </c>
      <c r="I58" s="91">
        <f t="shared" si="17"/>
        <v>2346417.6522190557</v>
      </c>
      <c r="J58" s="91">
        <f t="shared" si="17"/>
        <v>2878013.1677825353</v>
      </c>
      <c r="K58" s="91">
        <f t="shared" si="9"/>
        <v>531595.51556347962</v>
      </c>
      <c r="L58" s="91">
        <f t="shared" si="10"/>
        <v>-111635.05826833071</v>
      </c>
      <c r="M58" s="91">
        <f t="shared" si="11"/>
        <v>12723.293057705014</v>
      </c>
      <c r="N58" s="132"/>
      <c r="O58" s="91"/>
      <c r="P58" s="133">
        <v>8</v>
      </c>
      <c r="Q58" s="134">
        <f t="shared" si="18"/>
        <v>30</v>
      </c>
      <c r="R58" s="135">
        <v>45444</v>
      </c>
      <c r="S58" s="136">
        <f>+'E3940'!M59</f>
        <v>12436.855487723529</v>
      </c>
      <c r="T58" s="143">
        <f t="shared" si="19"/>
        <v>-124071.91375605424</v>
      </c>
      <c r="U58" s="138">
        <f>V58-SUM(Q$52:$Q58)+1</f>
        <v>185</v>
      </c>
      <c r="V58" s="139">
        <f t="shared" si="23"/>
        <v>366</v>
      </c>
      <c r="W58" s="136">
        <f t="shared" si="20"/>
        <v>6286.3887028110739</v>
      </c>
      <c r="X58" s="140">
        <f t="shared" si="21"/>
        <v>-101810.83192948534</v>
      </c>
      <c r="Y58" s="89"/>
      <c r="Z58" s="89"/>
      <c r="AA58" s="89"/>
      <c r="AB58" s="169"/>
      <c r="AC58" s="169"/>
      <c r="AD58" s="169"/>
      <c r="AE58" s="169"/>
      <c r="AF58" s="169"/>
      <c r="AG58" s="169"/>
      <c r="AH58" s="169"/>
      <c r="AI58" s="169"/>
    </row>
    <row r="59" spans="1:35" ht="15" x14ac:dyDescent="0.25">
      <c r="A59" s="90">
        <v>45473</v>
      </c>
      <c r="B59" s="257">
        <v>327357.22283604916</v>
      </c>
      <c r="C59" s="91">
        <f t="shared" si="6"/>
        <v>3297598.3170162956</v>
      </c>
      <c r="D59" s="91">
        <f t="shared" si="0"/>
        <v>3297598.3170162956</v>
      </c>
      <c r="E59" s="91">
        <f t="shared" si="22"/>
        <v>72281.120143438093</v>
      </c>
      <c r="F59" s="121">
        <f t="shared" si="15"/>
        <v>13057.99877332613</v>
      </c>
      <c r="G59" s="91">
        <f t="shared" si="16"/>
        <v>-696104.56210462865</v>
      </c>
      <c r="H59" s="121">
        <f t="shared" si="16"/>
        <v>-105285.92517103703</v>
      </c>
      <c r="I59" s="91">
        <f t="shared" si="17"/>
        <v>2601493.7549116667</v>
      </c>
      <c r="J59" s="91">
        <f t="shared" si="17"/>
        <v>3192312.3918452584</v>
      </c>
      <c r="K59" s="91">
        <f t="shared" si="9"/>
        <v>590818.63693359168</v>
      </c>
      <c r="L59" s="91">
        <f t="shared" si="10"/>
        <v>-124071.91375605424</v>
      </c>
      <c r="M59" s="91">
        <f t="shared" si="11"/>
        <v>12436.855487723529</v>
      </c>
      <c r="N59" s="132"/>
      <c r="O59" s="91"/>
      <c r="P59" s="133">
        <v>9</v>
      </c>
      <c r="Q59" s="134">
        <f t="shared" si="18"/>
        <v>31</v>
      </c>
      <c r="R59" s="135">
        <v>45474</v>
      </c>
      <c r="S59" s="136">
        <f>+'E3940'!M60</f>
        <v>12150.417917741957</v>
      </c>
      <c r="T59" s="143">
        <f t="shared" si="19"/>
        <v>-136222.3316737962</v>
      </c>
      <c r="U59" s="138">
        <f>V59-SUM(Q$52:$Q59)+1</f>
        <v>154</v>
      </c>
      <c r="V59" s="139">
        <f t="shared" si="23"/>
        <v>366</v>
      </c>
      <c r="W59" s="136">
        <f t="shared" si="20"/>
        <v>5112.4709271373267</v>
      </c>
      <c r="X59" s="140">
        <f t="shared" si="21"/>
        <v>-106923.30285662267</v>
      </c>
      <c r="Y59" s="89"/>
      <c r="Z59" s="89"/>
      <c r="AA59" s="89"/>
      <c r="AB59" s="169"/>
      <c r="AC59" s="169"/>
      <c r="AD59" s="169"/>
      <c r="AE59" s="169"/>
      <c r="AF59" s="169"/>
      <c r="AG59" s="169"/>
      <c r="AH59" s="169"/>
      <c r="AI59" s="169"/>
    </row>
    <row r="60" spans="1:35" ht="15" x14ac:dyDescent="0.25">
      <c r="A60" s="90">
        <v>45504</v>
      </c>
      <c r="B60" s="257">
        <v>327357.22283604916</v>
      </c>
      <c r="C60" s="91">
        <f t="shared" si="6"/>
        <v>3624955.5398523449</v>
      </c>
      <c r="D60" s="91">
        <f t="shared" si="0"/>
        <v>3624955.5398523449</v>
      </c>
      <c r="E60" s="91">
        <f t="shared" si="22"/>
        <v>72281.120143438093</v>
      </c>
      <c r="F60" s="121">
        <f t="shared" si="15"/>
        <v>14421.987201809668</v>
      </c>
      <c r="G60" s="91">
        <f t="shared" si="16"/>
        <v>-768385.68224806676</v>
      </c>
      <c r="H60" s="121">
        <f t="shared" si="16"/>
        <v>-119707.91237284669</v>
      </c>
      <c r="I60" s="91">
        <f t="shared" si="17"/>
        <v>2856569.8576042783</v>
      </c>
      <c r="J60" s="91">
        <f t="shared" si="17"/>
        <v>3505247.6274794983</v>
      </c>
      <c r="K60" s="91">
        <f t="shared" si="9"/>
        <v>648677.76987522002</v>
      </c>
      <c r="L60" s="91">
        <f t="shared" si="10"/>
        <v>-136222.3316737962</v>
      </c>
      <c r="M60" s="91">
        <f t="shared" si="11"/>
        <v>12150.417917741957</v>
      </c>
      <c r="N60" s="132"/>
      <c r="O60" s="91"/>
      <c r="P60" s="133">
        <v>10</v>
      </c>
      <c r="Q60" s="134">
        <f t="shared" si="18"/>
        <v>31</v>
      </c>
      <c r="R60" s="135">
        <v>45505</v>
      </c>
      <c r="S60" s="136">
        <f>+'E3940'!M61</f>
        <v>11863.980347760458</v>
      </c>
      <c r="T60" s="143">
        <f t="shared" si="19"/>
        <v>-148086.31202155666</v>
      </c>
      <c r="U60" s="138">
        <f>V60-SUM(Q$52:$Q60)+1</f>
        <v>123</v>
      </c>
      <c r="V60" s="139">
        <f t="shared" si="23"/>
        <v>366</v>
      </c>
      <c r="W60" s="136">
        <f t="shared" si="20"/>
        <v>3987.0753627719573</v>
      </c>
      <c r="X60" s="140">
        <f t="shared" si="21"/>
        <v>-110910.37821939462</v>
      </c>
      <c r="Y60" s="89"/>
      <c r="Z60" s="89"/>
      <c r="AA60" s="89"/>
      <c r="AB60" s="169"/>
      <c r="AC60" s="169"/>
      <c r="AD60" s="169"/>
      <c r="AE60" s="169"/>
      <c r="AF60" s="169"/>
      <c r="AG60" s="169"/>
      <c r="AH60" s="169"/>
      <c r="AI60" s="169"/>
    </row>
    <row r="61" spans="1:35" ht="15" x14ac:dyDescent="0.25">
      <c r="A61" s="90">
        <v>45535</v>
      </c>
      <c r="B61" s="257">
        <v>327357.22283604916</v>
      </c>
      <c r="C61" s="91">
        <f t="shared" si="6"/>
        <v>3952312.7626883942</v>
      </c>
      <c r="D61" s="91">
        <f t="shared" si="0"/>
        <v>3952312.7626883942</v>
      </c>
      <c r="E61" s="91">
        <f t="shared" si="22"/>
        <v>72281.120143438093</v>
      </c>
      <c r="F61" s="121">
        <f t="shared" si="15"/>
        <v>15785.975630293207</v>
      </c>
      <c r="G61" s="91">
        <f t="shared" si="16"/>
        <v>-840666.80239150487</v>
      </c>
      <c r="H61" s="121">
        <f t="shared" si="16"/>
        <v>-135493.8880031399</v>
      </c>
      <c r="I61" s="91">
        <f t="shared" si="17"/>
        <v>3111645.9602968893</v>
      </c>
      <c r="J61" s="91">
        <f t="shared" si="17"/>
        <v>3816818.8746852544</v>
      </c>
      <c r="K61" s="91">
        <f t="shared" si="9"/>
        <v>705172.91438836511</v>
      </c>
      <c r="L61" s="91">
        <f t="shared" si="10"/>
        <v>-148086.31202155666</v>
      </c>
      <c r="M61" s="91">
        <f t="shared" si="11"/>
        <v>11863.980347760458</v>
      </c>
      <c r="N61" s="132"/>
      <c r="O61" s="91"/>
      <c r="P61" s="133">
        <v>11</v>
      </c>
      <c r="Q61" s="134">
        <f t="shared" si="18"/>
        <v>30</v>
      </c>
      <c r="R61" s="135">
        <v>45536</v>
      </c>
      <c r="S61" s="136">
        <f>+'E3940'!M62</f>
        <v>11577.542777778901</v>
      </c>
      <c r="T61" s="143">
        <f t="shared" si="19"/>
        <v>-159663.85479933556</v>
      </c>
      <c r="U61" s="138">
        <f>V61-SUM(Q$52:$Q61)+1</f>
        <v>93</v>
      </c>
      <c r="V61" s="139">
        <f t="shared" si="23"/>
        <v>366</v>
      </c>
      <c r="W61" s="136">
        <f t="shared" si="20"/>
        <v>2941.8346402552947</v>
      </c>
      <c r="X61" s="140">
        <f t="shared" si="21"/>
        <v>-113852.21285964992</v>
      </c>
      <c r="Y61" s="89"/>
      <c r="Z61" s="89"/>
      <c r="AA61" s="89"/>
      <c r="AB61" s="169"/>
      <c r="AC61" s="169"/>
      <c r="AD61" s="169"/>
      <c r="AE61" s="169"/>
      <c r="AF61" s="169"/>
      <c r="AG61" s="169"/>
      <c r="AH61" s="169"/>
      <c r="AI61" s="169"/>
    </row>
    <row r="62" spans="1:35" ht="15" x14ac:dyDescent="0.25">
      <c r="A62" s="90">
        <v>45565</v>
      </c>
      <c r="B62" s="257">
        <v>327357.22283604916</v>
      </c>
      <c r="C62" s="91">
        <f t="shared" si="6"/>
        <v>4279669.985524443</v>
      </c>
      <c r="D62" s="91">
        <f t="shared" si="0"/>
        <v>4279669.985524443</v>
      </c>
      <c r="E62" s="91">
        <f t="shared" si="22"/>
        <v>72281.120143438093</v>
      </c>
      <c r="F62" s="121">
        <f t="shared" si="15"/>
        <v>17149.964058776743</v>
      </c>
      <c r="G62" s="91">
        <f t="shared" ref="G62:H77" si="24">-E62+G61</f>
        <v>-912947.92253494298</v>
      </c>
      <c r="H62" s="121">
        <f t="shared" si="24"/>
        <v>-152643.85206191664</v>
      </c>
      <c r="I62" s="91">
        <f t="shared" ref="I62:J77" si="25">C62+G62</f>
        <v>3366722.0629894999</v>
      </c>
      <c r="J62" s="91">
        <f t="shared" si="25"/>
        <v>4127026.1334625264</v>
      </c>
      <c r="K62" s="91">
        <f t="shared" si="9"/>
        <v>760304.07047302648</v>
      </c>
      <c r="L62" s="91">
        <f t="shared" si="10"/>
        <v>-159663.85479933556</v>
      </c>
      <c r="M62" s="91">
        <f t="shared" si="11"/>
        <v>11577.542777778901</v>
      </c>
      <c r="N62" s="132"/>
      <c r="O62" s="91"/>
      <c r="P62" s="133">
        <v>12</v>
      </c>
      <c r="Q62" s="134">
        <f t="shared" si="18"/>
        <v>31</v>
      </c>
      <c r="R62" s="135">
        <v>45566</v>
      </c>
      <c r="S62" s="136">
        <f>+'E3940'!M63</f>
        <v>11291.105207797315</v>
      </c>
      <c r="T62" s="143">
        <f t="shared" si="19"/>
        <v>-170954.96000713288</v>
      </c>
      <c r="U62" s="138">
        <f>V62-SUM(Q$52:$Q62)+1</f>
        <v>62</v>
      </c>
      <c r="V62" s="139">
        <f t="shared" si="23"/>
        <v>366</v>
      </c>
      <c r="W62" s="136">
        <f t="shared" si="20"/>
        <v>1912.7008821951733</v>
      </c>
      <c r="X62" s="140">
        <f t="shared" si="21"/>
        <v>-115764.9137418451</v>
      </c>
      <c r="Y62" s="89"/>
      <c r="Z62" s="89"/>
      <c r="AA62" s="89"/>
      <c r="AB62" s="169"/>
      <c r="AC62" s="169"/>
      <c r="AD62" s="169"/>
      <c r="AE62" s="169"/>
      <c r="AF62" s="169"/>
      <c r="AG62" s="169"/>
      <c r="AH62" s="169"/>
      <c r="AI62" s="169"/>
    </row>
    <row r="63" spans="1:35" ht="15" x14ac:dyDescent="0.25">
      <c r="A63" s="90">
        <v>45596</v>
      </c>
      <c r="B63" s="257">
        <v>327357.22283604916</v>
      </c>
      <c r="C63" s="91">
        <f t="shared" si="6"/>
        <v>4607027.2083604923</v>
      </c>
      <c r="D63" s="91">
        <f t="shared" si="0"/>
        <v>4607027.2083604923</v>
      </c>
      <c r="E63" s="91">
        <f t="shared" si="22"/>
        <v>72281.120143438093</v>
      </c>
      <c r="F63" s="121">
        <f t="shared" si="15"/>
        <v>18513.952487260281</v>
      </c>
      <c r="G63" s="91">
        <f t="shared" si="24"/>
        <v>-985229.04267838108</v>
      </c>
      <c r="H63" s="121">
        <f t="shared" si="24"/>
        <v>-171157.80454917692</v>
      </c>
      <c r="I63" s="91">
        <f t="shared" si="25"/>
        <v>3621798.1656821109</v>
      </c>
      <c r="J63" s="91">
        <f t="shared" si="25"/>
        <v>4435869.4038113151</v>
      </c>
      <c r="K63" s="91">
        <f t="shared" si="9"/>
        <v>814071.23812920414</v>
      </c>
      <c r="L63" s="91">
        <f t="shared" si="10"/>
        <v>-170954.96000713288</v>
      </c>
      <c r="M63" s="91">
        <f t="shared" si="11"/>
        <v>11291.105207797315</v>
      </c>
      <c r="N63" s="132"/>
      <c r="O63" s="91"/>
      <c r="P63" s="133">
        <v>13</v>
      </c>
      <c r="Q63" s="134">
        <f t="shared" si="18"/>
        <v>30</v>
      </c>
      <c r="R63" s="135">
        <v>45597</v>
      </c>
      <c r="S63" s="136">
        <f>+'E3940'!M64</f>
        <v>11004.667637815728</v>
      </c>
      <c r="T63" s="143">
        <f t="shared" si="19"/>
        <v>-181959.6276449486</v>
      </c>
      <c r="U63" s="138">
        <f>V63-SUM(Q$52:$Q63)+1</f>
        <v>32</v>
      </c>
      <c r="V63" s="139">
        <f t="shared" si="23"/>
        <v>366</v>
      </c>
      <c r="W63" s="136">
        <f t="shared" si="20"/>
        <v>962.15673336093801</v>
      </c>
      <c r="X63" s="140">
        <f t="shared" si="21"/>
        <v>-116727.07047520604</v>
      </c>
      <c r="Y63" s="89"/>
      <c r="Z63" s="89"/>
      <c r="AA63" s="89"/>
      <c r="AB63" s="169"/>
      <c r="AC63" s="169"/>
      <c r="AD63" s="169"/>
      <c r="AE63" s="169"/>
      <c r="AF63" s="169"/>
      <c r="AG63" s="169"/>
      <c r="AH63" s="169"/>
      <c r="AI63" s="169"/>
    </row>
    <row r="64" spans="1:35" ht="15" x14ac:dyDescent="0.25">
      <c r="A64" s="90">
        <v>45626</v>
      </c>
      <c r="B64" s="257">
        <v>327357.22283604916</v>
      </c>
      <c r="C64" s="91">
        <f t="shared" si="6"/>
        <v>4934384.4311965415</v>
      </c>
      <c r="D64" s="91">
        <f t="shared" si="0"/>
        <v>4934384.4311965415</v>
      </c>
      <c r="E64" s="91">
        <f t="shared" si="22"/>
        <v>72281.120143438093</v>
      </c>
      <c r="F64" s="121">
        <f t="shared" si="15"/>
        <v>19877.94091574382</v>
      </c>
      <c r="G64" s="91">
        <f t="shared" si="24"/>
        <v>-1057510.1628218191</v>
      </c>
      <c r="H64" s="121">
        <f t="shared" si="24"/>
        <v>-191035.74546492074</v>
      </c>
      <c r="I64" s="91">
        <f t="shared" si="25"/>
        <v>3876874.2683747225</v>
      </c>
      <c r="J64" s="91">
        <f t="shared" si="25"/>
        <v>4743348.6857316205</v>
      </c>
      <c r="K64" s="91">
        <f t="shared" si="9"/>
        <v>866474.41735689808</v>
      </c>
      <c r="L64" s="91">
        <f t="shared" si="10"/>
        <v>-181959.6276449486</v>
      </c>
      <c r="M64" s="91">
        <f t="shared" si="11"/>
        <v>11004.667637815728</v>
      </c>
      <c r="N64" s="132"/>
      <c r="O64" s="91"/>
      <c r="P64" s="133">
        <v>14</v>
      </c>
      <c r="Q64" s="134">
        <f t="shared" si="18"/>
        <v>31</v>
      </c>
      <c r="R64" s="135">
        <v>45627</v>
      </c>
      <c r="S64" s="136">
        <f>+'E3940'!M65</f>
        <v>10718.230067834142</v>
      </c>
      <c r="T64" s="143">
        <f t="shared" si="19"/>
        <v>-192677.85771278274</v>
      </c>
      <c r="U64" s="138">
        <f>V64-SUM(Q$52:$Q64)+1</f>
        <v>1</v>
      </c>
      <c r="V64" s="139">
        <f t="shared" si="23"/>
        <v>366</v>
      </c>
      <c r="W64" s="136">
        <f t="shared" si="20"/>
        <v>29.284781606104211</v>
      </c>
      <c r="X64" s="140">
        <f t="shared" si="21"/>
        <v>-116756.35525681215</v>
      </c>
      <c r="Y64" s="89"/>
      <c r="Z64" s="89"/>
      <c r="AA64" s="89"/>
      <c r="AB64" s="169"/>
      <c r="AC64" s="169"/>
      <c r="AD64" s="169"/>
      <c r="AE64" s="169"/>
      <c r="AF64" s="169"/>
      <c r="AG64" s="169"/>
      <c r="AH64" s="169"/>
      <c r="AI64" s="169"/>
    </row>
    <row r="65" spans="1:35" ht="15.75" thickBot="1" x14ac:dyDescent="0.3">
      <c r="A65" s="90">
        <v>45657</v>
      </c>
      <c r="B65" s="257">
        <v>327357.22283604916</v>
      </c>
      <c r="C65" s="91">
        <f t="shared" si="6"/>
        <v>5261741.6540325908</v>
      </c>
      <c r="D65" s="258">
        <f t="shared" si="0"/>
        <v>5261741.6540325908</v>
      </c>
      <c r="E65" s="91">
        <f>($C$29*$F$9+($C$41-$C$29)*$E$9+($C$53-$C$41)*$D$9+($C$65-$C$53)*$C$9)/12</f>
        <v>72281.120143438093</v>
      </c>
      <c r="F65" s="121">
        <f t="shared" si="15"/>
        <v>21241.929344227359</v>
      </c>
      <c r="G65" s="91">
        <f t="shared" si="24"/>
        <v>-1129791.2829652571</v>
      </c>
      <c r="H65" s="121">
        <f t="shared" si="24"/>
        <v>-212277.6748091481</v>
      </c>
      <c r="I65" s="91">
        <f t="shared" si="25"/>
        <v>4131950.371067334</v>
      </c>
      <c r="J65" s="91">
        <f t="shared" si="25"/>
        <v>5049463.9792234423</v>
      </c>
      <c r="K65" s="91">
        <f t="shared" si="9"/>
        <v>917513.6081561083</v>
      </c>
      <c r="L65" s="91">
        <f t="shared" si="10"/>
        <v>-192677.85771278274</v>
      </c>
      <c r="M65" s="91">
        <f t="shared" si="11"/>
        <v>10718.230067834142</v>
      </c>
      <c r="N65" s="132"/>
      <c r="O65" s="91"/>
      <c r="P65" s="133">
        <v>15</v>
      </c>
      <c r="Q65" s="152">
        <f>SUM(Q53:Q64)</f>
        <v>366</v>
      </c>
      <c r="R65" s="103"/>
      <c r="S65" s="153">
        <f>SUM(S53:S64)</f>
        <v>147523.64043279277</v>
      </c>
      <c r="T65" s="154">
        <f>+'E3940'!L65-T64</f>
        <v>0</v>
      </c>
      <c r="U65" s="102"/>
      <c r="V65" s="155"/>
      <c r="W65" s="153">
        <f>SUM(W53:W64)</f>
        <v>71602.137976822181</v>
      </c>
      <c r="X65" s="107"/>
      <c r="Y65" s="89"/>
      <c r="Z65" s="89"/>
      <c r="AA65" s="89"/>
      <c r="AB65" s="169"/>
      <c r="AC65" s="169"/>
      <c r="AD65" s="169"/>
      <c r="AE65" s="169"/>
      <c r="AF65" s="169"/>
      <c r="AG65" s="169"/>
      <c r="AH65" s="169"/>
      <c r="AI65" s="169"/>
    </row>
    <row r="66" spans="1:35" ht="16.5" thickTop="1" thickBot="1" x14ac:dyDescent="0.3">
      <c r="A66" s="147">
        <v>45688</v>
      </c>
      <c r="B66" s="256">
        <v>846153.29539974034</v>
      </c>
      <c r="C66" s="148">
        <f t="shared" si="6"/>
        <v>6107894.9494323311</v>
      </c>
      <c r="D66" s="91">
        <f t="shared" si="0"/>
        <v>6107894.9494323311</v>
      </c>
      <c r="E66" s="148">
        <f t="shared" ref="E66:E76" si="26">($C$29*$G$9+($C$41-$C$29)*$F$9+($C$53-$C$41)*$E$9+($C$65-$C$53)*$D$9+($C$77-$C$65)*$C$9)/12</f>
        <v>219297.46703533802</v>
      </c>
      <c r="F66" s="149">
        <f t="shared" si="15"/>
        <v>23686.742923885256</v>
      </c>
      <c r="G66" s="148">
        <f t="shared" si="24"/>
        <v>-1349088.7500005951</v>
      </c>
      <c r="H66" s="149">
        <f t="shared" si="24"/>
        <v>-235964.41773303336</v>
      </c>
      <c r="I66" s="148">
        <f t="shared" si="25"/>
        <v>4758806.199431736</v>
      </c>
      <c r="J66" s="148">
        <f t="shared" si="25"/>
        <v>5871930.5316992979</v>
      </c>
      <c r="K66" s="148">
        <f t="shared" si="9"/>
        <v>1113124.3322675619</v>
      </c>
      <c r="L66" s="148">
        <f t="shared" si="10"/>
        <v>-233756.10977618801</v>
      </c>
      <c r="M66" s="148">
        <f t="shared" si="11"/>
        <v>41078.252063405263</v>
      </c>
      <c r="N66" s="132"/>
      <c r="O66" s="91"/>
      <c r="P66" s="133">
        <v>16</v>
      </c>
      <c r="Q66" s="103"/>
      <c r="R66" s="156"/>
      <c r="S66" s="157"/>
      <c r="T66" s="137"/>
      <c r="U66" s="102"/>
      <c r="V66" s="103"/>
      <c r="W66" s="158"/>
      <c r="X66" s="107"/>
      <c r="Y66" s="89"/>
      <c r="Z66" s="89"/>
      <c r="AA66" s="89"/>
      <c r="AB66" s="169"/>
      <c r="AC66" s="169"/>
      <c r="AD66" s="169"/>
      <c r="AE66" s="169"/>
      <c r="AF66" s="169"/>
      <c r="AG66" s="169"/>
      <c r="AH66" s="169"/>
      <c r="AI66" s="169"/>
    </row>
    <row r="67" spans="1:35" ht="15.75" thickBot="1" x14ac:dyDescent="0.3">
      <c r="A67" s="90">
        <v>45716</v>
      </c>
      <c r="B67" s="257">
        <v>846153.29539974034</v>
      </c>
      <c r="C67" s="91">
        <f t="shared" si="6"/>
        <v>6954048.2448320715</v>
      </c>
      <c r="D67" s="91">
        <f t="shared" si="0"/>
        <v>6954048.2448320715</v>
      </c>
      <c r="E67" s="91">
        <f t="shared" si="26"/>
        <v>219297.46703533802</v>
      </c>
      <c r="F67" s="121">
        <f t="shared" si="15"/>
        <v>27212.381654717505</v>
      </c>
      <c r="G67" s="91">
        <f t="shared" si="24"/>
        <v>-1568386.2170359332</v>
      </c>
      <c r="H67" s="121">
        <f t="shared" si="24"/>
        <v>-263176.79938775086</v>
      </c>
      <c r="I67" s="91">
        <f t="shared" si="25"/>
        <v>5385662.0277961381</v>
      </c>
      <c r="J67" s="91">
        <f t="shared" si="25"/>
        <v>6690871.4454443203</v>
      </c>
      <c r="K67" s="91">
        <f t="shared" si="9"/>
        <v>1305209.4176481823</v>
      </c>
      <c r="L67" s="91">
        <f t="shared" si="10"/>
        <v>-274093.97770611825</v>
      </c>
      <c r="M67" s="91">
        <f t="shared" si="11"/>
        <v>40337.867929930246</v>
      </c>
      <c r="N67" s="132"/>
      <c r="O67" s="91"/>
      <c r="P67" s="133">
        <v>17</v>
      </c>
      <c r="Q67" s="103" t="s">
        <v>102</v>
      </c>
      <c r="R67" s="103"/>
      <c r="S67" s="136"/>
      <c r="T67" s="159">
        <f>(T52+T64+SUM(T53:T63)*2)/24</f>
        <v>-122329.41853866652</v>
      </c>
      <c r="U67" s="102"/>
      <c r="V67" s="103"/>
      <c r="W67" s="160" t="s">
        <v>103</v>
      </c>
      <c r="X67" s="161">
        <f>X64</f>
        <v>-116756.35525681215</v>
      </c>
      <c r="Y67" s="89"/>
      <c r="Z67" s="89"/>
      <c r="AA67" s="89"/>
      <c r="AB67" s="169"/>
      <c r="AC67" s="169"/>
      <c r="AD67" s="169"/>
      <c r="AE67" s="169"/>
      <c r="AF67" s="169"/>
      <c r="AG67" s="169"/>
      <c r="AH67" s="169"/>
      <c r="AI67" s="169"/>
    </row>
    <row r="68" spans="1:35" ht="16.5" thickTop="1" thickBot="1" x14ac:dyDescent="0.3">
      <c r="A68" s="90">
        <v>45747</v>
      </c>
      <c r="B68" s="257">
        <v>846153.29539974034</v>
      </c>
      <c r="C68" s="91">
        <f t="shared" si="6"/>
        <v>7800201.5402318118</v>
      </c>
      <c r="D68" s="91">
        <f t="shared" si="0"/>
        <v>7800201.5402318118</v>
      </c>
      <c r="E68" s="91">
        <f t="shared" si="26"/>
        <v>219297.46703533802</v>
      </c>
      <c r="F68" s="121">
        <f t="shared" si="15"/>
        <v>30738.02038554976</v>
      </c>
      <c r="G68" s="91">
        <f t="shared" si="24"/>
        <v>-1787683.6840712712</v>
      </c>
      <c r="H68" s="121">
        <f t="shared" si="24"/>
        <v>-293914.81977330061</v>
      </c>
      <c r="I68" s="91">
        <f t="shared" si="25"/>
        <v>6012517.8561605401</v>
      </c>
      <c r="J68" s="91">
        <f t="shared" si="25"/>
        <v>7506286.7204585113</v>
      </c>
      <c r="K68" s="91">
        <f t="shared" si="9"/>
        <v>1493768.8642979711</v>
      </c>
      <c r="L68" s="91">
        <f t="shared" si="10"/>
        <v>-313691.46150257392</v>
      </c>
      <c r="M68" s="91">
        <f t="shared" si="11"/>
        <v>39597.483796455665</v>
      </c>
      <c r="N68" s="132"/>
      <c r="O68" s="91"/>
      <c r="P68" s="162">
        <v>18</v>
      </c>
      <c r="Q68" s="163"/>
      <c r="R68" s="163"/>
      <c r="S68" s="164"/>
      <c r="T68" s="165"/>
      <c r="U68" s="166"/>
      <c r="V68" s="163"/>
      <c r="W68" s="163"/>
      <c r="X68" s="167"/>
      <c r="Y68" s="89"/>
      <c r="Z68" s="89"/>
      <c r="AA68" s="89"/>
      <c r="AB68" s="169"/>
      <c r="AC68" s="169"/>
      <c r="AD68" s="169"/>
      <c r="AE68" s="169"/>
      <c r="AF68" s="169"/>
      <c r="AG68" s="169"/>
      <c r="AH68" s="169"/>
      <c r="AI68" s="169"/>
    </row>
    <row r="69" spans="1:35" ht="15.75" thickBot="1" x14ac:dyDescent="0.3">
      <c r="A69" s="90">
        <v>45777</v>
      </c>
      <c r="B69" s="257">
        <v>846153.29539974034</v>
      </c>
      <c r="C69" s="91">
        <f t="shared" si="6"/>
        <v>8646354.8356315531</v>
      </c>
      <c r="D69" s="91">
        <f t="shared" si="0"/>
        <v>8646354.8356315531</v>
      </c>
      <c r="E69" s="91">
        <f t="shared" si="26"/>
        <v>219297.46703533802</v>
      </c>
      <c r="F69" s="121">
        <f t="shared" si="15"/>
        <v>34263.659116382012</v>
      </c>
      <c r="G69" s="91">
        <f t="shared" si="24"/>
        <v>-2006981.1511066093</v>
      </c>
      <c r="H69" s="121">
        <f t="shared" si="24"/>
        <v>-328178.47888968262</v>
      </c>
      <c r="I69" s="91">
        <f t="shared" si="25"/>
        <v>6639373.6845249441</v>
      </c>
      <c r="J69" s="91">
        <f t="shared" si="25"/>
        <v>8318176.3567418708</v>
      </c>
      <c r="K69" s="91">
        <f t="shared" si="9"/>
        <v>1678802.6722169267</v>
      </c>
      <c r="L69" s="91">
        <f t="shared" si="10"/>
        <v>-352548.56116555457</v>
      </c>
      <c r="M69" s="91">
        <f t="shared" si="11"/>
        <v>38857.099662980647</v>
      </c>
      <c r="N69" s="132"/>
      <c r="O69" s="91"/>
      <c r="Y69" s="89"/>
      <c r="Z69" s="89"/>
      <c r="AA69" s="89"/>
    </row>
    <row r="70" spans="1:35" ht="15" x14ac:dyDescent="0.25">
      <c r="A70" s="90">
        <v>45808</v>
      </c>
      <c r="B70" s="257">
        <v>846153.29539974034</v>
      </c>
      <c r="C70" s="91">
        <f t="shared" si="6"/>
        <v>9492508.1310312934</v>
      </c>
      <c r="D70" s="91">
        <f t="shared" si="0"/>
        <v>9492508.1310312934</v>
      </c>
      <c r="E70" s="91">
        <f t="shared" si="26"/>
        <v>219297.46703533802</v>
      </c>
      <c r="F70" s="121">
        <f t="shared" si="15"/>
        <v>37789.297847214271</v>
      </c>
      <c r="G70" s="91">
        <f t="shared" si="24"/>
        <v>-2226278.6181419473</v>
      </c>
      <c r="H70" s="121">
        <f t="shared" si="24"/>
        <v>-365967.77673689689</v>
      </c>
      <c r="I70" s="91">
        <f t="shared" si="25"/>
        <v>7266229.5128893461</v>
      </c>
      <c r="J70" s="91">
        <f t="shared" si="25"/>
        <v>9126540.3542943969</v>
      </c>
      <c r="K70" s="91">
        <f t="shared" si="9"/>
        <v>1860310.8414050508</v>
      </c>
      <c r="L70" s="91">
        <f t="shared" si="10"/>
        <v>-390665.27669506066</v>
      </c>
      <c r="M70" s="91">
        <f t="shared" si="11"/>
        <v>38116.715529506095</v>
      </c>
      <c r="N70" s="132"/>
      <c r="O70" s="91"/>
      <c r="P70" s="92"/>
      <c r="Q70" s="93" t="s">
        <v>105</v>
      </c>
      <c r="R70" s="94"/>
      <c r="S70" s="94"/>
      <c r="T70" s="94"/>
      <c r="U70" s="94"/>
      <c r="V70" s="94"/>
      <c r="W70" s="94"/>
      <c r="X70" s="95"/>
      <c r="Y70" s="89"/>
      <c r="Z70" s="89"/>
      <c r="AA70" s="89"/>
    </row>
    <row r="71" spans="1:35" ht="15" x14ac:dyDescent="0.25">
      <c r="A71" s="90">
        <v>45838</v>
      </c>
      <c r="B71" s="257">
        <v>846153.29539974034</v>
      </c>
      <c r="C71" s="91">
        <f t="shared" si="6"/>
        <v>10338661.426431034</v>
      </c>
      <c r="D71" s="91">
        <f t="shared" si="0"/>
        <v>10338661.426431034</v>
      </c>
      <c r="E71" s="91">
        <f t="shared" si="26"/>
        <v>219297.46703533802</v>
      </c>
      <c r="F71" s="121">
        <f t="shared" si="15"/>
        <v>41314.936578046516</v>
      </c>
      <c r="G71" s="91">
        <f t="shared" si="24"/>
        <v>-2445576.0851772851</v>
      </c>
      <c r="H71" s="121">
        <f t="shared" si="24"/>
        <v>-407282.71331494342</v>
      </c>
      <c r="I71" s="91">
        <f t="shared" si="25"/>
        <v>7893085.3412537482</v>
      </c>
      <c r="J71" s="91">
        <f t="shared" si="25"/>
        <v>9931378.7131160907</v>
      </c>
      <c r="K71" s="91">
        <f t="shared" si="9"/>
        <v>2038293.3718623426</v>
      </c>
      <c r="L71" s="91">
        <f t="shared" si="10"/>
        <v>-428041.60809109191</v>
      </c>
      <c r="M71" s="91">
        <f t="shared" si="11"/>
        <v>37376.331396031252</v>
      </c>
      <c r="N71" s="132"/>
      <c r="O71" s="91"/>
      <c r="P71" s="96"/>
      <c r="Q71" s="97"/>
      <c r="R71" s="98" t="s">
        <v>73</v>
      </c>
      <c r="S71" s="98"/>
      <c r="T71" s="99"/>
      <c r="U71" s="100" t="s">
        <v>74</v>
      </c>
      <c r="V71" s="98"/>
      <c r="W71" s="98"/>
      <c r="X71" s="101"/>
      <c r="Y71" s="89"/>
      <c r="Z71" s="89"/>
      <c r="AA71" s="89"/>
    </row>
    <row r="72" spans="1:35" ht="15" x14ac:dyDescent="0.25">
      <c r="A72" s="90">
        <v>45869</v>
      </c>
      <c r="B72" s="257">
        <v>846153.29539974034</v>
      </c>
      <c r="C72" s="91">
        <f t="shared" si="6"/>
        <v>11184814.721830774</v>
      </c>
      <c r="D72" s="91">
        <f t="shared" si="0"/>
        <v>11184814.721830774</v>
      </c>
      <c r="E72" s="91">
        <f t="shared" si="26"/>
        <v>219297.46703533802</v>
      </c>
      <c r="F72" s="121">
        <f t="shared" si="15"/>
        <v>44840.575308878761</v>
      </c>
      <c r="G72" s="91">
        <f t="shared" si="24"/>
        <v>-2664873.5522126229</v>
      </c>
      <c r="H72" s="121">
        <f t="shared" si="24"/>
        <v>-452123.28862382215</v>
      </c>
      <c r="I72" s="91">
        <f t="shared" si="25"/>
        <v>8519941.1696181521</v>
      </c>
      <c r="J72" s="91">
        <f t="shared" si="25"/>
        <v>10732691.433206951</v>
      </c>
      <c r="K72" s="91">
        <f t="shared" si="9"/>
        <v>2212750.2635887992</v>
      </c>
      <c r="L72" s="91">
        <f t="shared" si="10"/>
        <v>-464677.5553536478</v>
      </c>
      <c r="M72" s="91">
        <f t="shared" si="11"/>
        <v>36635.947262555885</v>
      </c>
      <c r="N72" s="132"/>
      <c r="O72" s="91"/>
      <c r="P72" s="96"/>
      <c r="Q72" s="102"/>
      <c r="R72" s="103"/>
      <c r="S72" s="103"/>
      <c r="T72" s="104" t="s">
        <v>75</v>
      </c>
      <c r="U72" s="105"/>
      <c r="V72" s="106"/>
      <c r="W72" s="106"/>
      <c r="X72" s="107"/>
      <c r="Y72" s="89"/>
      <c r="Z72" s="89"/>
      <c r="AA72" s="89"/>
    </row>
    <row r="73" spans="1:35" ht="15" x14ac:dyDescent="0.25">
      <c r="A73" s="90">
        <v>45900</v>
      </c>
      <c r="B73" s="257">
        <v>846153.29539974034</v>
      </c>
      <c r="C73" s="91">
        <f t="shared" si="6"/>
        <v>12030968.017230514</v>
      </c>
      <c r="D73" s="91">
        <f t="shared" si="0"/>
        <v>12030968.017230514</v>
      </c>
      <c r="E73" s="91">
        <f t="shared" si="26"/>
        <v>219297.46703533802</v>
      </c>
      <c r="F73" s="121">
        <f t="shared" si="15"/>
        <v>48366.21403971102</v>
      </c>
      <c r="G73" s="91">
        <f t="shared" si="24"/>
        <v>-2884171.0192479608</v>
      </c>
      <c r="H73" s="121">
        <f t="shared" si="24"/>
        <v>-500489.5026635332</v>
      </c>
      <c r="I73" s="91">
        <f t="shared" si="25"/>
        <v>9146796.9979825541</v>
      </c>
      <c r="J73" s="91">
        <f t="shared" si="25"/>
        <v>11530478.51456698</v>
      </c>
      <c r="K73" s="91">
        <f>J73-I73</f>
        <v>2383681.5165844262</v>
      </c>
      <c r="L73" s="91">
        <f t="shared" si="10"/>
        <v>-500573.11848272948</v>
      </c>
      <c r="M73" s="91">
        <f t="shared" si="11"/>
        <v>35895.563129081682</v>
      </c>
      <c r="N73" s="132"/>
      <c r="O73" s="91"/>
      <c r="P73" s="96" t="s">
        <v>76</v>
      </c>
      <c r="Q73" s="108" t="s">
        <v>77</v>
      </c>
      <c r="R73" s="109" t="s">
        <v>78</v>
      </c>
      <c r="S73" s="109" t="s">
        <v>79</v>
      </c>
      <c r="T73" s="104" t="s">
        <v>80</v>
      </c>
      <c r="U73" s="108" t="s">
        <v>81</v>
      </c>
      <c r="V73" s="109" t="s">
        <v>82</v>
      </c>
      <c r="W73" s="109" t="s">
        <v>83</v>
      </c>
      <c r="X73" s="110" t="s">
        <v>84</v>
      </c>
      <c r="Y73" s="89"/>
      <c r="Z73" s="89"/>
      <c r="AA73" s="89"/>
    </row>
    <row r="74" spans="1:35" ht="15" customHeight="1" x14ac:dyDescent="0.25">
      <c r="A74" s="90">
        <v>45930</v>
      </c>
      <c r="B74" s="257">
        <v>846153.29539974034</v>
      </c>
      <c r="C74" s="91">
        <f t="shared" si="6"/>
        <v>12877121.312630255</v>
      </c>
      <c r="D74" s="91">
        <f t="shared" si="0"/>
        <v>12877121.312630255</v>
      </c>
      <c r="E74" s="91">
        <f t="shared" si="26"/>
        <v>219297.46703533802</v>
      </c>
      <c r="F74" s="121">
        <f t="shared" si="15"/>
        <v>51891.852770543279</v>
      </c>
      <c r="G74" s="91">
        <f t="shared" si="24"/>
        <v>-3103468.4862832986</v>
      </c>
      <c r="H74" s="121">
        <f t="shared" si="24"/>
        <v>-552381.35543407651</v>
      </c>
      <c r="I74" s="91">
        <f t="shared" si="25"/>
        <v>9773652.8263469562</v>
      </c>
      <c r="J74" s="91">
        <f t="shared" si="25"/>
        <v>12324739.957196178</v>
      </c>
      <c r="K74" s="91">
        <f>J74-I74</f>
        <v>2551087.1308492217</v>
      </c>
      <c r="L74" s="91">
        <f t="shared" si="10"/>
        <v>-535728.29747833649</v>
      </c>
      <c r="M74" s="91">
        <f t="shared" si="11"/>
        <v>35155.178995607013</v>
      </c>
      <c r="N74" s="132"/>
      <c r="O74" s="91"/>
      <c r="P74" s="96"/>
      <c r="Q74" s="111" t="s">
        <v>78</v>
      </c>
      <c r="R74" s="112" t="s">
        <v>85</v>
      </c>
      <c r="S74" s="112" t="s">
        <v>2</v>
      </c>
      <c r="T74" s="113" t="s">
        <v>86</v>
      </c>
      <c r="U74" s="111" t="s">
        <v>87</v>
      </c>
      <c r="V74" s="112" t="s">
        <v>88</v>
      </c>
      <c r="W74" s="112" t="s">
        <v>89</v>
      </c>
      <c r="X74" s="114" t="s">
        <v>90</v>
      </c>
      <c r="Y74" s="89"/>
      <c r="Z74" s="89"/>
      <c r="AA74" s="89"/>
    </row>
    <row r="75" spans="1:35" ht="15" customHeight="1" x14ac:dyDescent="0.25">
      <c r="A75" s="90">
        <v>45961</v>
      </c>
      <c r="B75" s="257">
        <v>846153.29539974034</v>
      </c>
      <c r="C75" s="91">
        <f t="shared" si="6"/>
        <v>13723274.608029995</v>
      </c>
      <c r="D75" s="91">
        <f t="shared" si="0"/>
        <v>13723274.608029995</v>
      </c>
      <c r="E75" s="91">
        <f t="shared" si="26"/>
        <v>219297.46703533802</v>
      </c>
      <c r="F75" s="121">
        <f t="shared" si="15"/>
        <v>55417.491501375524</v>
      </c>
      <c r="G75" s="91">
        <f t="shared" si="24"/>
        <v>-3322765.9533186364</v>
      </c>
      <c r="H75" s="121">
        <f t="shared" si="24"/>
        <v>-607798.84693545208</v>
      </c>
      <c r="I75" s="91">
        <f t="shared" si="25"/>
        <v>10400508.654711358</v>
      </c>
      <c r="J75" s="91">
        <f t="shared" si="25"/>
        <v>13115475.761094542</v>
      </c>
      <c r="K75" s="91">
        <f t="shared" ref="K75:K77" si="27">J75-I75</f>
        <v>2714967.106383184</v>
      </c>
      <c r="L75" s="91">
        <f t="shared" si="10"/>
        <v>-570143.09234046866</v>
      </c>
      <c r="M75" s="91">
        <f t="shared" si="11"/>
        <v>34414.79486213217</v>
      </c>
      <c r="N75" s="132"/>
      <c r="O75" s="91"/>
      <c r="P75" s="96"/>
      <c r="Q75" s="115" t="s">
        <v>91</v>
      </c>
      <c r="R75" s="116" t="s">
        <v>92</v>
      </c>
      <c r="S75" s="117" t="s">
        <v>93</v>
      </c>
      <c r="T75" s="118" t="s">
        <v>94</v>
      </c>
      <c r="U75" s="115" t="s">
        <v>95</v>
      </c>
      <c r="V75" s="119" t="s">
        <v>96</v>
      </c>
      <c r="W75" s="109" t="s">
        <v>97</v>
      </c>
      <c r="X75" s="120" t="s">
        <v>98</v>
      </c>
      <c r="Y75" s="89"/>
      <c r="Z75" s="89"/>
      <c r="AA75" s="89"/>
    </row>
    <row r="76" spans="1:35" ht="15" customHeight="1" x14ac:dyDescent="0.25">
      <c r="A76" s="90">
        <v>45991</v>
      </c>
      <c r="B76" s="257">
        <v>846153.29539974034</v>
      </c>
      <c r="C76" s="91">
        <f t="shared" si="6"/>
        <v>14569427.903429735</v>
      </c>
      <c r="D76" s="91">
        <f t="shared" si="0"/>
        <v>14569427.903429735</v>
      </c>
      <c r="E76" s="91">
        <f t="shared" si="26"/>
        <v>219297.46703533802</v>
      </c>
      <c r="F76" s="121">
        <f t="shared" si="15"/>
        <v>58943.130232207768</v>
      </c>
      <c r="G76" s="91">
        <f t="shared" si="24"/>
        <v>-3542063.4203539742</v>
      </c>
      <c r="H76" s="121">
        <f t="shared" si="24"/>
        <v>-666741.9771676599</v>
      </c>
      <c r="I76" s="91">
        <f t="shared" si="25"/>
        <v>11027364.48307576</v>
      </c>
      <c r="J76" s="91">
        <f t="shared" si="25"/>
        <v>13902685.926262075</v>
      </c>
      <c r="K76" s="91">
        <f t="shared" si="27"/>
        <v>2875321.4431863148</v>
      </c>
      <c r="L76" s="91">
        <f t="shared" si="10"/>
        <v>-603817.50306912605</v>
      </c>
      <c r="M76" s="91">
        <f t="shared" si="11"/>
        <v>33674.410728657385</v>
      </c>
      <c r="N76" s="132"/>
      <c r="O76" s="91"/>
      <c r="P76" s="124"/>
      <c r="Q76" s="125"/>
      <c r="R76" s="126"/>
      <c r="S76" s="127"/>
      <c r="T76" s="128" t="s">
        <v>99</v>
      </c>
      <c r="U76" s="125" t="s">
        <v>100</v>
      </c>
      <c r="V76" s="129"/>
      <c r="W76" s="130"/>
      <c r="X76" s="131" t="s">
        <v>101</v>
      </c>
      <c r="Y76" s="89"/>
      <c r="Z76" s="89"/>
      <c r="AA76" s="89"/>
    </row>
    <row r="77" spans="1:35" ht="15" x14ac:dyDescent="0.25">
      <c r="A77" s="90">
        <v>46022</v>
      </c>
      <c r="B77" s="257">
        <v>846153.29539974034</v>
      </c>
      <c r="C77" s="91">
        <f t="shared" si="6"/>
        <v>15415581.198829476</v>
      </c>
      <c r="D77" s="91">
        <f t="shared" si="0"/>
        <v>15415581.198829476</v>
      </c>
      <c r="E77" s="91">
        <f>($C$29*$G$9+($C$41-$C$29)*$F$9+($C$53-$C$41)*$E$9+($C$65-$C$53)*$D$9+($C$77-$C$65)*$C$9)/12</f>
        <v>219297.46703533802</v>
      </c>
      <c r="F77" s="121">
        <f t="shared" si="15"/>
        <v>62468.768963040027</v>
      </c>
      <c r="G77" s="91">
        <f t="shared" si="24"/>
        <v>-3761360.887389312</v>
      </c>
      <c r="H77" s="121">
        <f t="shared" si="24"/>
        <v>-729210.74613069999</v>
      </c>
      <c r="I77" s="91">
        <f t="shared" si="25"/>
        <v>11654220.311440164</v>
      </c>
      <c r="J77" s="91">
        <f t="shared" si="25"/>
        <v>14686370.452698776</v>
      </c>
      <c r="K77" s="91">
        <f t="shared" si="27"/>
        <v>3032150.1412586123</v>
      </c>
      <c r="L77" s="91">
        <f t="shared" si="10"/>
        <v>-636751.52966430853</v>
      </c>
      <c r="M77" s="91">
        <f t="shared" si="11"/>
        <v>32934.026595182484</v>
      </c>
      <c r="N77" s="132"/>
      <c r="O77" s="91"/>
      <c r="P77" s="133">
        <v>1</v>
      </c>
      <c r="Q77" s="134"/>
      <c r="R77" s="135"/>
      <c r="S77" s="136"/>
      <c r="T77" s="137"/>
      <c r="U77" s="138"/>
      <c r="V77" s="139"/>
      <c r="W77" s="136"/>
      <c r="X77" s="140"/>
      <c r="Y77" s="89"/>
      <c r="Z77" s="89"/>
      <c r="AA77" s="89"/>
    </row>
    <row r="78" spans="1:35" ht="15" x14ac:dyDescent="0.25">
      <c r="A78" s="172" t="s">
        <v>106</v>
      </c>
      <c r="B78" s="246"/>
      <c r="C78" s="173"/>
      <c r="D78" s="146">
        <f>D77-'Closings By Depr Grp'!AX8</f>
        <v>0</v>
      </c>
      <c r="E78" s="174">
        <f>G77+SUM(E18:E77)</f>
        <v>0</v>
      </c>
      <c r="F78" s="175">
        <f>H77+SUM(F24:F77)</f>
        <v>0</v>
      </c>
      <c r="G78" s="173"/>
      <c r="H78" s="176"/>
      <c r="I78" s="173"/>
      <c r="J78" s="173"/>
      <c r="K78" s="173"/>
      <c r="L78" s="173"/>
      <c r="M78" s="177"/>
      <c r="N78" s="132"/>
      <c r="O78" s="91"/>
      <c r="P78" s="133">
        <v>2</v>
      </c>
      <c r="Q78" s="134"/>
      <c r="R78" s="135">
        <v>45657</v>
      </c>
      <c r="S78" s="136">
        <f>+'E3940'!M65</f>
        <v>10718.230067834142</v>
      </c>
      <c r="T78" s="141">
        <f>+'E3940'!L65</f>
        <v>-192677.85771278274</v>
      </c>
      <c r="U78" s="138"/>
      <c r="V78" s="139"/>
      <c r="W78" s="136"/>
      <c r="X78" s="142">
        <f>T78</f>
        <v>-192677.85771278274</v>
      </c>
      <c r="Y78" s="89"/>
      <c r="Z78" s="89"/>
      <c r="AA78" s="89"/>
    </row>
    <row r="79" spans="1:35" ht="15" x14ac:dyDescent="0.25">
      <c r="A79" s="178" t="s">
        <v>107</v>
      </c>
      <c r="B79" s="247"/>
      <c r="C79" s="179"/>
      <c r="D79" s="180"/>
      <c r="E79" s="179"/>
      <c r="F79" s="179"/>
      <c r="G79" s="179"/>
      <c r="H79" s="181"/>
      <c r="I79" s="179"/>
      <c r="J79" s="179"/>
      <c r="K79" s="179"/>
      <c r="L79" s="179"/>
      <c r="M79" s="182"/>
      <c r="N79" s="51"/>
      <c r="O79" s="91"/>
      <c r="P79" s="133">
        <v>3</v>
      </c>
      <c r="Q79" s="134">
        <f t="shared" ref="Q79:Q90" si="28">DAY(EOMONTH(R79,0))</f>
        <v>31</v>
      </c>
      <c r="R79" s="135">
        <v>45658</v>
      </c>
      <c r="S79" s="136">
        <f>+'E3940'!M66</f>
        <v>41078.252063405263</v>
      </c>
      <c r="T79" s="143">
        <f t="shared" ref="T79:T90" si="29">+T78-S79</f>
        <v>-233756.10977618801</v>
      </c>
      <c r="U79" s="138">
        <f>V79-SUM($Q$78:Q79)+1</f>
        <v>335</v>
      </c>
      <c r="V79" s="139">
        <f>Q91</f>
        <v>365</v>
      </c>
      <c r="W79" s="136">
        <f t="shared" ref="W79:W90" si="30">+U79/V79*S79</f>
        <v>37701.957373262368</v>
      </c>
      <c r="X79" s="140">
        <f t="shared" ref="X79:X90" si="31">+X78-W79</f>
        <v>-230379.81508604513</v>
      </c>
      <c r="Y79" s="89"/>
      <c r="Z79" s="89"/>
      <c r="AA79" s="89"/>
    </row>
    <row r="80" spans="1:35" ht="15" x14ac:dyDescent="0.25">
      <c r="A80" s="183" t="s">
        <v>108</v>
      </c>
      <c r="B80" s="248"/>
      <c r="C80" s="173">
        <f>C29</f>
        <v>0</v>
      </c>
      <c r="D80" s="173">
        <f>D29</f>
        <v>0</v>
      </c>
      <c r="E80" s="173">
        <f>SUM(E24:E29)</f>
        <v>0</v>
      </c>
      <c r="F80" s="173">
        <f>SUM(F24:F29)</f>
        <v>0</v>
      </c>
      <c r="G80" s="173">
        <f t="shared" ref="G80:L80" si="32">G29</f>
        <v>0</v>
      </c>
      <c r="H80" s="173">
        <f t="shared" si="32"/>
        <v>0</v>
      </c>
      <c r="I80" s="173">
        <f t="shared" si="32"/>
        <v>0</v>
      </c>
      <c r="J80" s="173">
        <f t="shared" si="32"/>
        <v>0</v>
      </c>
      <c r="K80" s="173">
        <f t="shared" si="32"/>
        <v>0</v>
      </c>
      <c r="L80" s="173">
        <f t="shared" si="32"/>
        <v>0</v>
      </c>
      <c r="M80" s="184">
        <f>SUM(M24:M29)</f>
        <v>0</v>
      </c>
      <c r="N80" s="51"/>
      <c r="O80" s="91"/>
      <c r="P80" s="133">
        <v>4</v>
      </c>
      <c r="Q80" s="134">
        <f t="shared" si="28"/>
        <v>28</v>
      </c>
      <c r="R80" s="135">
        <v>45689</v>
      </c>
      <c r="S80" s="136">
        <f>+'E3940'!M67</f>
        <v>40337.867929930246</v>
      </c>
      <c r="T80" s="143">
        <f t="shared" si="29"/>
        <v>-274093.97770611825</v>
      </c>
      <c r="U80" s="138">
        <f>V80-SUM($Q$78:Q80)+1</f>
        <v>307</v>
      </c>
      <c r="V80" s="139">
        <f t="shared" ref="V80:V90" si="33">V79</f>
        <v>365</v>
      </c>
      <c r="W80" s="136">
        <f t="shared" si="30"/>
        <v>33928.014943804345</v>
      </c>
      <c r="X80" s="140">
        <f t="shared" si="31"/>
        <v>-264307.83002984949</v>
      </c>
      <c r="Y80" s="89"/>
      <c r="Z80" s="89"/>
      <c r="AA80" s="89"/>
    </row>
    <row r="81" spans="1:43" ht="15" x14ac:dyDescent="0.25">
      <c r="A81" s="185" t="s">
        <v>109</v>
      </c>
      <c r="B81" s="249"/>
      <c r="C81" s="186">
        <f>(0+C29+SUM(C18:C28)*2)/24</f>
        <v>0</v>
      </c>
      <c r="D81" s="186">
        <f>(0+D29+SUM(D18:D28)*2)/24</f>
        <v>0</v>
      </c>
      <c r="E81" s="186"/>
      <c r="F81" s="187"/>
      <c r="G81" s="186">
        <f t="shared" ref="G81:L81" si="34">(0+G29+SUM(G18:G28)*2)/24</f>
        <v>0</v>
      </c>
      <c r="H81" s="186">
        <f t="shared" si="34"/>
        <v>0</v>
      </c>
      <c r="I81" s="186">
        <f t="shared" si="34"/>
        <v>0</v>
      </c>
      <c r="J81" s="186">
        <f t="shared" si="34"/>
        <v>0</v>
      </c>
      <c r="K81" s="186">
        <f t="shared" si="34"/>
        <v>0</v>
      </c>
      <c r="L81" s="186">
        <f t="shared" si="34"/>
        <v>0</v>
      </c>
      <c r="M81" s="186"/>
      <c r="N81" s="51"/>
      <c r="O81" s="91"/>
      <c r="P81" s="133">
        <v>5</v>
      </c>
      <c r="Q81" s="134">
        <f t="shared" si="28"/>
        <v>31</v>
      </c>
      <c r="R81" s="135">
        <v>45717</v>
      </c>
      <c r="S81" s="136">
        <f>+'E3940'!M68</f>
        <v>39597.483796455665</v>
      </c>
      <c r="T81" s="143">
        <f t="shared" si="29"/>
        <v>-313691.46150257392</v>
      </c>
      <c r="U81" s="138">
        <f>V81-SUM($Q$78:Q81)+1</f>
        <v>276</v>
      </c>
      <c r="V81" s="139">
        <f t="shared" si="33"/>
        <v>365</v>
      </c>
      <c r="W81" s="136">
        <f t="shared" si="30"/>
        <v>29942.206925539078</v>
      </c>
      <c r="X81" s="140">
        <f t="shared" si="31"/>
        <v>-294250.03695538855</v>
      </c>
      <c r="Y81" s="89"/>
      <c r="Z81" s="89"/>
      <c r="AA81" s="89"/>
    </row>
    <row r="82" spans="1:43" ht="15" x14ac:dyDescent="0.25">
      <c r="A82" s="188" t="s">
        <v>110</v>
      </c>
      <c r="B82" s="250"/>
      <c r="C82" s="189"/>
      <c r="D82" s="190"/>
      <c r="E82" s="189"/>
      <c r="F82" s="189"/>
      <c r="G82" s="189"/>
      <c r="H82" s="191"/>
      <c r="I82" s="189"/>
      <c r="J82" s="189"/>
      <c r="K82" s="189"/>
      <c r="L82" s="189"/>
      <c r="M82" s="192"/>
      <c r="N82" s="51"/>
      <c r="O82" s="91"/>
      <c r="P82" s="133">
        <v>6</v>
      </c>
      <c r="Q82" s="134">
        <f t="shared" si="28"/>
        <v>30</v>
      </c>
      <c r="R82" s="135">
        <v>45748</v>
      </c>
      <c r="S82" s="136">
        <f>+'E3940'!M69</f>
        <v>38857.099662980647</v>
      </c>
      <c r="T82" s="143">
        <f t="shared" si="29"/>
        <v>-352548.56116555457</v>
      </c>
      <c r="U82" s="138">
        <f>V82-SUM($Q$78:Q82)+1</f>
        <v>246</v>
      </c>
      <c r="V82" s="139">
        <f t="shared" si="33"/>
        <v>365</v>
      </c>
      <c r="W82" s="136">
        <f t="shared" si="30"/>
        <v>26188.620594775999</v>
      </c>
      <c r="X82" s="140">
        <f t="shared" si="31"/>
        <v>-320438.65755016456</v>
      </c>
      <c r="Y82" s="89"/>
      <c r="Z82" s="89"/>
      <c r="AA82" s="89"/>
    </row>
    <row r="83" spans="1:43" ht="15" x14ac:dyDescent="0.25">
      <c r="A83" s="193" t="s">
        <v>111</v>
      </c>
      <c r="B83" s="251"/>
      <c r="C83" s="194">
        <f>C41</f>
        <v>293454.98</v>
      </c>
      <c r="D83" s="194">
        <f>D41</f>
        <v>293454.98</v>
      </c>
      <c r="E83" s="194">
        <f>SUM(E30:E41)</f>
        <v>41934.716642000007</v>
      </c>
      <c r="F83" s="194">
        <f>SUM(F30:F41)</f>
        <v>6725.009958333334</v>
      </c>
      <c r="G83" s="194">
        <f t="shared" ref="G83:J83" si="35">G41</f>
        <v>-41934.716642000007</v>
      </c>
      <c r="H83" s="194">
        <f t="shared" si="35"/>
        <v>-6725.009958333334</v>
      </c>
      <c r="I83" s="194">
        <f t="shared" si="35"/>
        <v>251520.26335799997</v>
      </c>
      <c r="J83" s="194">
        <f t="shared" si="35"/>
        <v>286729.97004166665</v>
      </c>
      <c r="K83" s="194">
        <f>K41</f>
        <v>35209.706683666678</v>
      </c>
      <c r="L83" s="194">
        <f>L41</f>
        <v>-7394.0384035700017</v>
      </c>
      <c r="M83" s="195">
        <f>SUM(M30:M41)</f>
        <v>7394.0384035700017</v>
      </c>
      <c r="N83" s="51"/>
      <c r="O83" s="91"/>
      <c r="P83" s="133">
        <v>7</v>
      </c>
      <c r="Q83" s="134">
        <f t="shared" si="28"/>
        <v>31</v>
      </c>
      <c r="R83" s="135">
        <v>45778</v>
      </c>
      <c r="S83" s="136">
        <f>+'E3940'!M70</f>
        <v>38116.715529506095</v>
      </c>
      <c r="T83" s="143">
        <f t="shared" si="29"/>
        <v>-390665.27669506066</v>
      </c>
      <c r="U83" s="138">
        <f>V83-SUM($Q$78:Q83)+1</f>
        <v>215</v>
      </c>
      <c r="V83" s="139">
        <f t="shared" si="33"/>
        <v>365</v>
      </c>
      <c r="W83" s="136">
        <f t="shared" si="30"/>
        <v>22452.311887243315</v>
      </c>
      <c r="X83" s="140">
        <f t="shared" si="31"/>
        <v>-342890.96943740785</v>
      </c>
      <c r="Y83" s="89"/>
      <c r="Z83" s="89"/>
      <c r="AA83" s="89"/>
    </row>
    <row r="84" spans="1:43" ht="15" x14ac:dyDescent="0.25">
      <c r="A84" s="196" t="s">
        <v>112</v>
      </c>
      <c r="B84" s="252"/>
      <c r="C84" s="197">
        <f>(C29+C41+SUM(C30:C40)*2)/24</f>
        <v>134500.19916666666</v>
      </c>
      <c r="D84" s="197">
        <f>(D29+D41+SUM(D30:D40)*2)/24</f>
        <v>134500.19916666666</v>
      </c>
      <c r="E84" s="197"/>
      <c r="F84" s="198"/>
      <c r="G84" s="197">
        <f t="shared" ref="G84:J84" si="36">(G29+G41+SUM(G30:G40)*2)/24</f>
        <v>-20967.358321000003</v>
      </c>
      <c r="H84" s="197">
        <f t="shared" si="36"/>
        <v>-1553.8848767361112</v>
      </c>
      <c r="I84" s="197">
        <f t="shared" si="36"/>
        <v>113532.84084566664</v>
      </c>
      <c r="J84" s="197">
        <f t="shared" si="36"/>
        <v>132946.31428993054</v>
      </c>
      <c r="K84" s="197">
        <f>(K29+K41+SUM(K30:K40)*2)/24</f>
        <v>19413.473444263898</v>
      </c>
      <c r="L84" s="197">
        <f>(L29+L41+SUM(L30:L40)*2)/24</f>
        <v>-4076.8294232954195</v>
      </c>
      <c r="M84" s="199"/>
      <c r="N84" s="51"/>
      <c r="O84" s="91"/>
      <c r="P84" s="133">
        <v>8</v>
      </c>
      <c r="Q84" s="134">
        <f t="shared" si="28"/>
        <v>30</v>
      </c>
      <c r="R84" s="135">
        <v>45809</v>
      </c>
      <c r="S84" s="136">
        <f>+'E3940'!M71</f>
        <v>37376.331396031252</v>
      </c>
      <c r="T84" s="143">
        <f t="shared" si="29"/>
        <v>-428041.60809109191</v>
      </c>
      <c r="U84" s="138">
        <f>V84-SUM($Q$78:Q84)+1</f>
        <v>185</v>
      </c>
      <c r="V84" s="139">
        <f t="shared" si="33"/>
        <v>365</v>
      </c>
      <c r="W84" s="136">
        <f t="shared" si="30"/>
        <v>18944.167967851456</v>
      </c>
      <c r="X84" s="140">
        <f t="shared" si="31"/>
        <v>-361835.1374052593</v>
      </c>
      <c r="Y84" s="89"/>
      <c r="Z84" s="89"/>
      <c r="AA84" s="89"/>
    </row>
    <row r="85" spans="1:43" ht="15" x14ac:dyDescent="0.25">
      <c r="A85" s="178" t="s">
        <v>113</v>
      </c>
      <c r="B85" s="247"/>
      <c r="C85" s="179"/>
      <c r="D85" s="180"/>
      <c r="E85" s="179"/>
      <c r="F85" s="179"/>
      <c r="G85" s="179"/>
      <c r="H85" s="181"/>
      <c r="I85" s="179"/>
      <c r="J85" s="179"/>
      <c r="K85" s="179"/>
      <c r="L85" s="179"/>
      <c r="M85" s="182"/>
      <c r="N85" s="51"/>
      <c r="O85" s="91"/>
      <c r="P85" s="133">
        <v>9</v>
      </c>
      <c r="Q85" s="134">
        <f t="shared" si="28"/>
        <v>31</v>
      </c>
      <c r="R85" s="135">
        <v>45839</v>
      </c>
      <c r="S85" s="136">
        <f>+'E3940'!M72</f>
        <v>36635.947262555885</v>
      </c>
      <c r="T85" s="143">
        <f t="shared" si="29"/>
        <v>-464677.5553536478</v>
      </c>
      <c r="U85" s="138">
        <f>V85-SUM($Q$78:Q85)+1</f>
        <v>154</v>
      </c>
      <c r="V85" s="139">
        <f t="shared" si="33"/>
        <v>365</v>
      </c>
      <c r="W85" s="136">
        <f t="shared" si="30"/>
        <v>15457.358571050976</v>
      </c>
      <c r="X85" s="140">
        <f t="shared" si="31"/>
        <v>-377292.49597631028</v>
      </c>
      <c r="Y85" s="89"/>
      <c r="Z85" s="89"/>
      <c r="AA85" s="89"/>
    </row>
    <row r="86" spans="1:43" ht="15" x14ac:dyDescent="0.25">
      <c r="A86" s="183" t="s">
        <v>114</v>
      </c>
      <c r="B86" s="248"/>
      <c r="C86" s="173">
        <f>C53</f>
        <v>1333454.98</v>
      </c>
      <c r="D86" s="173">
        <f>D53</f>
        <v>1333454.98</v>
      </c>
      <c r="E86" s="173">
        <f>SUM(E42:E53)</f>
        <v>220483.124602</v>
      </c>
      <c r="F86" s="173">
        <f>SUM(F42:F53)</f>
        <v>40672.749000000003</v>
      </c>
      <c r="G86" s="173">
        <f t="shared" ref="G86:L86" si="37">G53</f>
        <v>-262417.84124400001</v>
      </c>
      <c r="H86" s="173">
        <f t="shared" si="37"/>
        <v>-47397.758958333339</v>
      </c>
      <c r="I86" s="173">
        <f t="shared" si="37"/>
        <v>1071037.138756</v>
      </c>
      <c r="J86" s="173">
        <f t="shared" si="37"/>
        <v>1286057.2210416666</v>
      </c>
      <c r="K86" s="173">
        <f t="shared" si="37"/>
        <v>215020.08228566661</v>
      </c>
      <c r="L86" s="173">
        <f t="shared" si="37"/>
        <v>-45154.217279989985</v>
      </c>
      <c r="M86" s="177">
        <f>SUM(M42:M53)</f>
        <v>37760.178876419988</v>
      </c>
      <c r="N86" s="51"/>
      <c r="O86" s="123"/>
      <c r="P86" s="133">
        <v>10</v>
      </c>
      <c r="Q86" s="134">
        <f t="shared" si="28"/>
        <v>31</v>
      </c>
      <c r="R86" s="135">
        <v>45870</v>
      </c>
      <c r="S86" s="136">
        <f>+'E3940'!M73</f>
        <v>35895.563129081682</v>
      </c>
      <c r="T86" s="143">
        <f t="shared" si="29"/>
        <v>-500573.11848272948</v>
      </c>
      <c r="U86" s="138">
        <f>V86-SUM($Q$78:Q86)+1</f>
        <v>123</v>
      </c>
      <c r="V86" s="139">
        <f t="shared" si="33"/>
        <v>365</v>
      </c>
      <c r="W86" s="136">
        <f t="shared" si="30"/>
        <v>12096.313054457663</v>
      </c>
      <c r="X86" s="140">
        <f t="shared" si="31"/>
        <v>-389388.80903076794</v>
      </c>
      <c r="Y86" s="89"/>
      <c r="Z86" s="89"/>
      <c r="AA86" s="89"/>
    </row>
    <row r="87" spans="1:43" ht="15" x14ac:dyDescent="0.25">
      <c r="A87" s="185" t="s">
        <v>115</v>
      </c>
      <c r="B87" s="249"/>
      <c r="C87" s="186">
        <f>(C41+C53+SUM(C42:C52)*2)/24</f>
        <v>813454.97999999986</v>
      </c>
      <c r="D87" s="186">
        <f>(D41+D53+SUM(D42:D52)*2)/24</f>
        <v>813454.97999999986</v>
      </c>
      <c r="E87" s="186"/>
      <c r="F87" s="187"/>
      <c r="G87" s="186">
        <f t="shared" ref="G87:L87" si="38">(G41+G53+SUM(G42:G52)*2)/24</f>
        <v>-152176.27894300001</v>
      </c>
      <c r="H87" s="186">
        <f t="shared" si="38"/>
        <v>-22758.143717592593</v>
      </c>
      <c r="I87" s="186">
        <f t="shared" si="38"/>
        <v>661278.70105699997</v>
      </c>
      <c r="J87" s="186">
        <f t="shared" si="38"/>
        <v>790696.8362824074</v>
      </c>
      <c r="K87" s="186">
        <f t="shared" si="38"/>
        <v>129418.13522540743</v>
      </c>
      <c r="L87" s="186">
        <f t="shared" si="38"/>
        <v>-27177.808397335564</v>
      </c>
      <c r="M87" s="200"/>
      <c r="N87" s="51"/>
      <c r="O87" s="123"/>
      <c r="P87" s="133">
        <v>11</v>
      </c>
      <c r="Q87" s="134">
        <f t="shared" si="28"/>
        <v>30</v>
      </c>
      <c r="R87" s="135">
        <v>45901</v>
      </c>
      <c r="S87" s="136">
        <f>+'E3940'!M74</f>
        <v>35155.178995607013</v>
      </c>
      <c r="T87" s="143">
        <f t="shared" si="29"/>
        <v>-535728.29747833649</v>
      </c>
      <c r="U87" s="138">
        <f>V87-SUM($Q$78:Q87)+1</f>
        <v>93</v>
      </c>
      <c r="V87" s="139">
        <f t="shared" si="33"/>
        <v>365</v>
      </c>
      <c r="W87" s="136">
        <f t="shared" si="30"/>
        <v>8957.3469769628828</v>
      </c>
      <c r="X87" s="140">
        <f t="shared" si="31"/>
        <v>-398346.15600773081</v>
      </c>
      <c r="Y87" s="89"/>
      <c r="Z87" s="89"/>
      <c r="AA87" s="89"/>
    </row>
    <row r="88" spans="1:43" ht="15" x14ac:dyDescent="0.25">
      <c r="A88" s="188" t="s">
        <v>116</v>
      </c>
      <c r="B88" s="250"/>
      <c r="C88" s="189"/>
      <c r="D88" s="190"/>
      <c r="E88" s="189"/>
      <c r="F88" s="189"/>
      <c r="G88" s="189"/>
      <c r="H88" s="191"/>
      <c r="I88" s="189"/>
      <c r="J88" s="189"/>
      <c r="K88" s="189"/>
      <c r="L88" s="189"/>
      <c r="M88" s="192"/>
      <c r="N88" s="51"/>
      <c r="P88" s="133">
        <v>12</v>
      </c>
      <c r="Q88" s="134">
        <f t="shared" si="28"/>
        <v>31</v>
      </c>
      <c r="R88" s="135">
        <v>45931</v>
      </c>
      <c r="S88" s="136">
        <f>+'E3940'!M75</f>
        <v>34414.79486213217</v>
      </c>
      <c r="T88" s="143">
        <f t="shared" si="29"/>
        <v>-570143.09234046866</v>
      </c>
      <c r="U88" s="138">
        <f>V88-SUM($Q$78:Q88)+1</f>
        <v>62</v>
      </c>
      <c r="V88" s="139">
        <f t="shared" si="33"/>
        <v>365</v>
      </c>
      <c r="W88" s="136">
        <f t="shared" si="30"/>
        <v>5845.8007711019027</v>
      </c>
      <c r="X88" s="140">
        <f t="shared" si="31"/>
        <v>-404191.95677883271</v>
      </c>
      <c r="Y88" s="89"/>
      <c r="Z88" s="89"/>
      <c r="AA88" s="89"/>
    </row>
    <row r="89" spans="1:43" ht="15" x14ac:dyDescent="0.25">
      <c r="A89" s="193" t="s">
        <v>117</v>
      </c>
      <c r="B89" s="251"/>
      <c r="C89" s="194">
        <f>C65</f>
        <v>5261741.6540325908</v>
      </c>
      <c r="D89" s="194">
        <f>D65</f>
        <v>5261741.6540325908</v>
      </c>
      <c r="E89" s="194">
        <f>SUM(E54:E65)</f>
        <v>867373.44172125717</v>
      </c>
      <c r="F89" s="194">
        <f>SUM(F54:F65)</f>
        <v>164879.91585081478</v>
      </c>
      <c r="G89" s="194">
        <f t="shared" ref="G89:L89" si="39">G65</f>
        <v>-1129791.2829652571</v>
      </c>
      <c r="H89" s="194">
        <f t="shared" si="39"/>
        <v>-212277.6748091481</v>
      </c>
      <c r="I89" s="194">
        <f t="shared" si="39"/>
        <v>4131950.371067334</v>
      </c>
      <c r="J89" s="194">
        <f t="shared" si="39"/>
        <v>5049463.9792234423</v>
      </c>
      <c r="K89" s="194">
        <f t="shared" si="39"/>
        <v>917513.6081561083</v>
      </c>
      <c r="L89" s="194">
        <f t="shared" si="39"/>
        <v>-192677.85771278274</v>
      </c>
      <c r="M89" s="195">
        <f>SUM(M54:M65)</f>
        <v>147523.64043279277</v>
      </c>
      <c r="N89" s="51"/>
      <c r="O89" s="38"/>
      <c r="P89" s="133">
        <v>13</v>
      </c>
      <c r="Q89" s="134">
        <f t="shared" si="28"/>
        <v>30</v>
      </c>
      <c r="R89" s="135">
        <v>45962</v>
      </c>
      <c r="S89" s="136">
        <f>+'E3940'!M76</f>
        <v>33674.410728657385</v>
      </c>
      <c r="T89" s="143">
        <f t="shared" si="29"/>
        <v>-603817.50306912605</v>
      </c>
      <c r="U89" s="138">
        <f>V89-SUM($Q$78:Q89)+1</f>
        <v>32</v>
      </c>
      <c r="V89" s="139">
        <f t="shared" si="33"/>
        <v>365</v>
      </c>
      <c r="W89" s="136">
        <f t="shared" si="30"/>
        <v>2952.2771049781818</v>
      </c>
      <c r="X89" s="140">
        <f t="shared" si="31"/>
        <v>-407144.23388381087</v>
      </c>
      <c r="Y89" s="89"/>
      <c r="Z89" s="89"/>
      <c r="AA89" s="89"/>
    </row>
    <row r="90" spans="1:43" ht="15" x14ac:dyDescent="0.25">
      <c r="A90" s="196" t="s">
        <v>118</v>
      </c>
      <c r="B90" s="252"/>
      <c r="C90" s="197">
        <f t="shared" ref="C90:D90" si="40">(C53+C65+SUM(C54:C64)*2)/24</f>
        <v>3297598.3170162956</v>
      </c>
      <c r="D90" s="197">
        <f t="shared" si="40"/>
        <v>3297598.3170162956</v>
      </c>
      <c r="E90" s="197"/>
      <c r="F90" s="198"/>
      <c r="G90" s="197">
        <f t="shared" ref="G90:I90" si="41">(G53+G65+SUM(G54:G64)*2)/24</f>
        <v>-696104.56210462865</v>
      </c>
      <c r="H90" s="197">
        <f t="shared" si="41"/>
        <v>-113583.52144431187</v>
      </c>
      <c r="I90" s="197">
        <f t="shared" si="41"/>
        <v>2601493.7549116667</v>
      </c>
      <c r="J90" s="197">
        <f>(J53+J65+SUM(J54:J64)*2)/24</f>
        <v>3184014.7955719833</v>
      </c>
      <c r="K90" s="197">
        <f t="shared" ref="K90:L90" si="42">(K53+K65+SUM(K54:K64)*2)/24</f>
        <v>582521.04066031671</v>
      </c>
      <c r="L90" s="197">
        <f t="shared" si="42"/>
        <v>-122329.41853866652</v>
      </c>
      <c r="M90" s="199"/>
      <c r="P90" s="133">
        <v>14</v>
      </c>
      <c r="Q90" s="134">
        <f t="shared" si="28"/>
        <v>31</v>
      </c>
      <c r="R90" s="135">
        <v>45992</v>
      </c>
      <c r="S90" s="136">
        <f>+'E3940'!M77</f>
        <v>32934.026595182484</v>
      </c>
      <c r="T90" s="143">
        <f t="shared" si="29"/>
        <v>-636751.52966430853</v>
      </c>
      <c r="U90" s="138">
        <f>V90-SUM($Q$78:Q90)+1</f>
        <v>1</v>
      </c>
      <c r="V90" s="139">
        <f t="shared" si="33"/>
        <v>365</v>
      </c>
      <c r="W90" s="136">
        <f t="shared" si="30"/>
        <v>90.230209849815026</v>
      </c>
      <c r="X90" s="140">
        <f t="shared" si="31"/>
        <v>-407234.4640936607</v>
      </c>
      <c r="Y90" s="89"/>
      <c r="Z90" s="89"/>
      <c r="AA90" s="89"/>
    </row>
    <row r="91" spans="1:43" ht="15.75" thickBot="1" x14ac:dyDescent="0.3">
      <c r="A91" s="178" t="s">
        <v>119</v>
      </c>
      <c r="B91" s="247"/>
      <c r="C91" s="179"/>
      <c r="D91" s="180"/>
      <c r="E91" s="179"/>
      <c r="F91" s="179"/>
      <c r="G91" s="179"/>
      <c r="H91" s="181"/>
      <c r="I91" s="179"/>
      <c r="J91" s="179"/>
      <c r="K91" s="179"/>
      <c r="L91" s="179"/>
      <c r="M91" s="182"/>
      <c r="P91" s="133">
        <v>15</v>
      </c>
      <c r="Q91" s="152">
        <f>SUM(Q79:Q90)</f>
        <v>365</v>
      </c>
      <c r="R91" s="103"/>
      <c r="S91" s="153">
        <f>SUM(S79:S90)</f>
        <v>444073.67195152579</v>
      </c>
      <c r="T91" s="154">
        <f>+'E3940'!L77-T90</f>
        <v>0</v>
      </c>
      <c r="U91" s="102"/>
      <c r="V91" s="155"/>
      <c r="W91" s="153">
        <f>SUM(W79:W90)</f>
        <v>214556.60638087796</v>
      </c>
      <c r="X91" s="107"/>
      <c r="Y91" s="89"/>
      <c r="Z91" s="89"/>
      <c r="AA91" s="89"/>
    </row>
    <row r="92" spans="1:43" s="123" customFormat="1" ht="16.5" thickTop="1" thickBot="1" x14ac:dyDescent="0.3">
      <c r="A92" s="183" t="s">
        <v>120</v>
      </c>
      <c r="B92" s="248"/>
      <c r="C92" s="173">
        <f>C77</f>
        <v>15415581.198829476</v>
      </c>
      <c r="D92" s="173">
        <f>D77</f>
        <v>15415581.198829476</v>
      </c>
      <c r="E92" s="173">
        <f>SUM(E66:E77)</f>
        <v>2631569.6044240557</v>
      </c>
      <c r="F92" s="173">
        <f>SUM(F66:F77)</f>
        <v>516933.07132155163</v>
      </c>
      <c r="G92" s="173">
        <f t="shared" ref="G92:L92" si="43">G77</f>
        <v>-3761360.887389312</v>
      </c>
      <c r="H92" s="173">
        <f t="shared" si="43"/>
        <v>-729210.74613069999</v>
      </c>
      <c r="I92" s="173">
        <f t="shared" si="43"/>
        <v>11654220.311440164</v>
      </c>
      <c r="J92" s="173">
        <f t="shared" si="43"/>
        <v>14686370.452698776</v>
      </c>
      <c r="K92" s="173">
        <f t="shared" si="43"/>
        <v>3032150.1412586123</v>
      </c>
      <c r="L92" s="173">
        <f t="shared" si="43"/>
        <v>-636751.52966430853</v>
      </c>
      <c r="M92" s="177">
        <f>SUM(M66:M77)</f>
        <v>444073.67195152579</v>
      </c>
      <c r="O92" s="52"/>
      <c r="P92" s="133">
        <v>16</v>
      </c>
      <c r="Q92" s="103"/>
      <c r="R92" s="156"/>
      <c r="S92" s="157"/>
      <c r="T92" s="137"/>
      <c r="U92" s="102"/>
      <c r="V92" s="103"/>
      <c r="W92" s="158"/>
      <c r="X92" s="107"/>
      <c r="Y92" s="89"/>
      <c r="Z92" s="89"/>
      <c r="AA92" s="89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43" s="123" customFormat="1" ht="15.75" thickBot="1" x14ac:dyDescent="0.3">
      <c r="A93" s="185" t="s">
        <v>121</v>
      </c>
      <c r="B93" s="249"/>
      <c r="C93" s="186">
        <f>(C65+C77+SUM(C66:C76)*2)/24</f>
        <v>10338661.426431032</v>
      </c>
      <c r="D93" s="186">
        <f>(D65+D77+SUM(D66:D76)*2)/24</f>
        <v>10338661.426431032</v>
      </c>
      <c r="E93" s="186"/>
      <c r="F93" s="187"/>
      <c r="G93" s="186">
        <f t="shared" ref="G93:L93" si="44">(G65+G77+SUM(G66:G76)*2)/24</f>
        <v>-2445576.0851772851</v>
      </c>
      <c r="H93" s="186">
        <f t="shared" si="44"/>
        <v>-428730.34892750625</v>
      </c>
      <c r="I93" s="186">
        <f t="shared" si="44"/>
        <v>7893085.3412537491</v>
      </c>
      <c r="J93" s="186">
        <f t="shared" si="44"/>
        <v>9909931.0775035284</v>
      </c>
      <c r="K93" s="186">
        <f t="shared" si="44"/>
        <v>2016845.7362497782</v>
      </c>
      <c r="L93" s="186">
        <f t="shared" si="44"/>
        <v>-423537.60461245343</v>
      </c>
      <c r="M93" s="200"/>
      <c r="O93" s="52"/>
      <c r="P93" s="133">
        <v>17</v>
      </c>
      <c r="Q93" s="103" t="s">
        <v>102</v>
      </c>
      <c r="R93" s="103"/>
      <c r="S93" s="136"/>
      <c r="T93" s="159">
        <f>(T78+T90+SUM(T79:T89)*2)/24</f>
        <v>-423537.60461245343</v>
      </c>
      <c r="U93" s="102"/>
      <c r="V93" s="103"/>
      <c r="W93" s="160" t="s">
        <v>103</v>
      </c>
      <c r="X93" s="161">
        <f>X90</f>
        <v>-407234.4640936607</v>
      </c>
      <c r="Y93" s="89"/>
      <c r="Z93" s="89"/>
      <c r="AA93" s="89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43" s="123" customFormat="1" ht="16.5" thickTop="1" thickBo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O94" s="52"/>
      <c r="P94" s="162">
        <v>18</v>
      </c>
      <c r="Q94" s="163"/>
      <c r="R94" s="163"/>
      <c r="S94" s="164"/>
      <c r="T94" s="165"/>
      <c r="U94" s="166"/>
      <c r="V94" s="163"/>
      <c r="W94" s="163"/>
      <c r="X94" s="167"/>
      <c r="Y94" s="89"/>
      <c r="Z94" s="89"/>
      <c r="AA94" s="89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43" s="123" customFormat="1" ht="15" x14ac:dyDescent="0.25">
      <c r="A95" s="201" t="s">
        <v>106</v>
      </c>
      <c r="B95" s="253"/>
      <c r="C95" s="202">
        <f>C92-C77</f>
        <v>0</v>
      </c>
      <c r="D95" s="202">
        <f>D92-D77</f>
        <v>0</v>
      </c>
      <c r="E95" s="202">
        <f>E92+E89+E86+E83+E80+-SUM(E24:E77)</f>
        <v>0</v>
      </c>
      <c r="F95" s="202">
        <f>F92+F89+F86+F83+F80+-SUM(F24:F77)</f>
        <v>0</v>
      </c>
      <c r="G95" s="202">
        <f t="shared" ref="G95:L95" si="45">G77-G92</f>
        <v>0</v>
      </c>
      <c r="H95" s="202">
        <f t="shared" si="45"/>
        <v>0</v>
      </c>
      <c r="I95" s="202">
        <f t="shared" si="45"/>
        <v>0</v>
      </c>
      <c r="J95" s="202">
        <f t="shared" si="45"/>
        <v>0</v>
      </c>
      <c r="K95" s="202">
        <f t="shared" si="45"/>
        <v>0</v>
      </c>
      <c r="L95" s="202">
        <f t="shared" si="45"/>
        <v>0</v>
      </c>
      <c r="M95" s="202">
        <f>M92+M89+M86+M83+M80+-SUM(M24:M77)</f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89"/>
      <c r="Z95" s="89"/>
      <c r="AA95" s="89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1:43" s="123" customFormat="1" ht="15" x14ac:dyDescent="0.25">
      <c r="A96" s="203">
        <v>2023</v>
      </c>
      <c r="B96" s="254"/>
      <c r="C96" s="204">
        <f>D87+H87+X41</f>
        <v>764904.95588334498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89"/>
      <c r="Z96" s="89"/>
      <c r="AA96" s="89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:27" ht="15" x14ac:dyDescent="0.25">
      <c r="A97" s="203">
        <v>2024</v>
      </c>
      <c r="B97" s="254"/>
      <c r="C97" s="204">
        <f>D90+H90+X67</f>
        <v>3067258.4403151716</v>
      </c>
      <c r="D97" s="89"/>
      <c r="E97" s="89"/>
      <c r="F97" s="89"/>
      <c r="G97" s="89"/>
      <c r="H97" s="89"/>
      <c r="I97" s="89"/>
      <c r="J97" s="89"/>
      <c r="K97" s="89"/>
      <c r="L97" s="89"/>
      <c r="M97" s="89"/>
      <c r="Y97" s="89"/>
      <c r="Z97" s="89"/>
      <c r="AA97" s="89"/>
    </row>
    <row r="98" spans="1:27" ht="15" x14ac:dyDescent="0.25">
      <c r="A98" s="203">
        <v>2025</v>
      </c>
      <c r="B98" s="254"/>
      <c r="C98" s="204">
        <f>D93+H93+X93</f>
        <v>9502696.6134098638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Y98" s="89"/>
      <c r="Z98" s="89"/>
      <c r="AA98" s="89"/>
    </row>
    <row r="99" spans="1:27" ht="1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Y99" s="89"/>
      <c r="Z99" s="89"/>
      <c r="AA99" s="89"/>
    </row>
    <row r="100" spans="1:27" ht="1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Y100" s="89"/>
      <c r="Z100" s="89"/>
      <c r="AA100" s="89"/>
    </row>
    <row r="101" spans="1:27" ht="1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Y101" s="89"/>
      <c r="Z101" s="89"/>
      <c r="AA101" s="89"/>
    </row>
    <row r="102" spans="1:27" ht="1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Y102" s="89"/>
      <c r="Z102" s="89"/>
      <c r="AA102" s="89"/>
    </row>
    <row r="103" spans="1:27" ht="1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Y103" s="89"/>
      <c r="Z103" s="89"/>
      <c r="AA103" s="89"/>
    </row>
    <row r="104" spans="1:27" ht="1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Y104" s="89"/>
      <c r="Z104" s="89"/>
      <c r="AA104" s="89"/>
    </row>
    <row r="105" spans="1:27" ht="1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Y105" s="89"/>
      <c r="Z105" s="89"/>
      <c r="AA105" s="89"/>
    </row>
    <row r="106" spans="1:27" ht="1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Y106" s="89"/>
      <c r="Z106" s="89"/>
      <c r="AA106" s="89"/>
    </row>
    <row r="107" spans="1:27" ht="1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Y107" s="89"/>
      <c r="Z107" s="89"/>
      <c r="AA107" s="89"/>
    </row>
    <row r="108" spans="1:27" ht="1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Y108" s="89"/>
      <c r="Z108" s="89"/>
      <c r="AA108" s="89"/>
    </row>
    <row r="109" spans="1:27" ht="1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Y109" s="89"/>
      <c r="Z109" s="89"/>
      <c r="AA109" s="89"/>
    </row>
    <row r="110" spans="1:27" ht="1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Y110" s="89"/>
      <c r="Z110" s="89"/>
      <c r="AA110" s="89"/>
    </row>
    <row r="111" spans="1:27" ht="1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Y111" s="89"/>
      <c r="Z111" s="89"/>
      <c r="AA111" s="89"/>
    </row>
    <row r="112" spans="1:27" ht="1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Y112" s="89"/>
      <c r="Z112" s="89"/>
      <c r="AA112" s="89"/>
    </row>
    <row r="113" spans="1:27" ht="1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Y113" s="89"/>
      <c r="Z113" s="89"/>
      <c r="AA113" s="89"/>
    </row>
    <row r="114" spans="1:27" ht="1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Y114" s="89"/>
      <c r="Z114" s="89"/>
      <c r="AA114" s="89"/>
    </row>
    <row r="115" spans="1:27" ht="1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Y115" s="89"/>
      <c r="Z115" s="89"/>
      <c r="AA115" s="89"/>
    </row>
    <row r="116" spans="1:27" ht="1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Y116" s="89"/>
      <c r="Z116" s="89"/>
      <c r="AA116" s="89"/>
    </row>
    <row r="117" spans="1:27" ht="1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Y117" s="89"/>
      <c r="Z117" s="89"/>
      <c r="AA117" s="89"/>
    </row>
    <row r="118" spans="1:27" ht="1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Y118" s="89"/>
      <c r="Z118" s="89"/>
      <c r="AA118" s="89"/>
    </row>
    <row r="119" spans="1:27" ht="1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Y119" s="89"/>
      <c r="Z119" s="89"/>
      <c r="AA119" s="89"/>
    </row>
    <row r="120" spans="1:27" ht="1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Y120" s="89"/>
      <c r="Z120" s="89"/>
      <c r="AA120" s="89"/>
    </row>
    <row r="121" spans="1:27" ht="1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Y121" s="89"/>
      <c r="Z121" s="89"/>
      <c r="AA121" s="89"/>
    </row>
    <row r="122" spans="1:27" ht="1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Y122" s="89"/>
      <c r="Z122" s="89"/>
      <c r="AA122" s="89"/>
    </row>
    <row r="123" spans="1:27" ht="1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Y123" s="89"/>
      <c r="Z123" s="89"/>
      <c r="AA123" s="89"/>
    </row>
    <row r="124" spans="1:27" ht="1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Y124" s="89"/>
      <c r="Z124" s="89"/>
      <c r="AA124" s="89"/>
    </row>
    <row r="125" spans="1:27" ht="1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Y125" s="89"/>
      <c r="Z125" s="89"/>
      <c r="AA125" s="89"/>
    </row>
    <row r="126" spans="1:27" ht="15" x14ac:dyDescent="0.25">
      <c r="Y126" s="89"/>
      <c r="Z126" s="89"/>
      <c r="AA126" s="89"/>
    </row>
    <row r="127" spans="1:27" ht="15" x14ac:dyDescent="0.25">
      <c r="Y127" s="89"/>
      <c r="Z127" s="89"/>
      <c r="AA127" s="89"/>
    </row>
    <row r="128" spans="1:27" ht="15" x14ac:dyDescent="0.25">
      <c r="Y128" s="89"/>
      <c r="Z128" s="89"/>
      <c r="AA128" s="89"/>
    </row>
    <row r="129" spans="25:27" ht="15" x14ac:dyDescent="0.25">
      <c r="Y129" s="89"/>
      <c r="Z129" s="89"/>
      <c r="AA129" s="89"/>
    </row>
    <row r="130" spans="25:27" ht="15" x14ac:dyDescent="0.25">
      <c r="Y130" s="89"/>
      <c r="Z130" s="89"/>
      <c r="AA130" s="89"/>
    </row>
    <row r="131" spans="25:27" ht="15" x14ac:dyDescent="0.25">
      <c r="Y131" s="89"/>
      <c r="Z131" s="89"/>
      <c r="AA131" s="89"/>
    </row>
    <row r="132" spans="25:27" ht="15" x14ac:dyDescent="0.25">
      <c r="Y132" s="89"/>
      <c r="Z132" s="89"/>
      <c r="AA132" s="89"/>
    </row>
    <row r="133" spans="25:27" ht="15" x14ac:dyDescent="0.25">
      <c r="Y133" s="89"/>
      <c r="Z133" s="89"/>
      <c r="AA133" s="89"/>
    </row>
    <row r="134" spans="25:27" ht="15" x14ac:dyDescent="0.25">
      <c r="Y134" s="89"/>
      <c r="Z134" s="89"/>
      <c r="AA134" s="89"/>
    </row>
    <row r="135" spans="25:27" ht="15" x14ac:dyDescent="0.25">
      <c r="Y135" s="89"/>
      <c r="Z135" s="89"/>
      <c r="AA135" s="89"/>
    </row>
    <row r="136" spans="25:27" ht="15" x14ac:dyDescent="0.25">
      <c r="Y136" s="89"/>
      <c r="Z136" s="89"/>
      <c r="AA136" s="89"/>
    </row>
    <row r="137" spans="25:27" ht="15" x14ac:dyDescent="0.25">
      <c r="Y137" s="89"/>
      <c r="Z137" s="89"/>
      <c r="AA137" s="89"/>
    </row>
    <row r="138" spans="25:27" ht="15" x14ac:dyDescent="0.25">
      <c r="Y138" s="89"/>
      <c r="Z138" s="89"/>
      <c r="AA138" s="89"/>
    </row>
    <row r="139" spans="25:27" ht="15" x14ac:dyDescent="0.25">
      <c r="Y139" s="89"/>
      <c r="Z139" s="89"/>
      <c r="AA139" s="89"/>
    </row>
    <row r="140" spans="25:27" ht="15" x14ac:dyDescent="0.25">
      <c r="Y140" s="89"/>
      <c r="Z140" s="89"/>
      <c r="AA140" s="89"/>
    </row>
    <row r="141" spans="25:27" ht="15" x14ac:dyDescent="0.25">
      <c r="Y141" s="89"/>
      <c r="Z141" s="89"/>
      <c r="AA141" s="89"/>
    </row>
    <row r="142" spans="25:27" ht="15" x14ac:dyDescent="0.25">
      <c r="Y142" s="89"/>
      <c r="Z142" s="89"/>
      <c r="AA142" s="89"/>
    </row>
    <row r="143" spans="25:27" ht="15" x14ac:dyDescent="0.25">
      <c r="Y143" s="89"/>
      <c r="Z143" s="89"/>
      <c r="AA143" s="89"/>
    </row>
    <row r="144" spans="25:27" ht="15" x14ac:dyDescent="0.25">
      <c r="Y144" s="89"/>
      <c r="Z144" s="89"/>
      <c r="AA144" s="89"/>
    </row>
    <row r="145" spans="25:27" ht="15" x14ac:dyDescent="0.25">
      <c r="Y145" s="89"/>
      <c r="Z145" s="89"/>
      <c r="AA145" s="89"/>
    </row>
    <row r="146" spans="25:27" ht="15" x14ac:dyDescent="0.25">
      <c r="Y146" s="89"/>
      <c r="Z146" s="89"/>
      <c r="AA146" s="89"/>
    </row>
    <row r="147" spans="25:27" ht="15" x14ac:dyDescent="0.25">
      <c r="Y147" s="89"/>
      <c r="Z147" s="89"/>
      <c r="AA147" s="89"/>
    </row>
    <row r="148" spans="25:27" ht="15" x14ac:dyDescent="0.25">
      <c r="Y148" s="89"/>
      <c r="Z148" s="89"/>
      <c r="AA148" s="89"/>
    </row>
    <row r="149" spans="25:27" ht="15" x14ac:dyDescent="0.25">
      <c r="Y149" s="89"/>
      <c r="Z149" s="89"/>
      <c r="AA149" s="89"/>
    </row>
    <row r="150" spans="25:27" ht="15" x14ac:dyDescent="0.25">
      <c r="Y150" s="89"/>
      <c r="Z150" s="89"/>
      <c r="AA150" s="89"/>
    </row>
    <row r="151" spans="25:27" ht="15" x14ac:dyDescent="0.25">
      <c r="Y151" s="89"/>
      <c r="Z151" s="89"/>
      <c r="AA151" s="89"/>
    </row>
    <row r="152" spans="25:27" ht="15" x14ac:dyDescent="0.25">
      <c r="Y152" s="89"/>
      <c r="Z152" s="89"/>
      <c r="AA152" s="89"/>
    </row>
    <row r="153" spans="25:27" ht="15" x14ac:dyDescent="0.25">
      <c r="Y153" s="89"/>
      <c r="Z153" s="89"/>
      <c r="AA153" s="89"/>
    </row>
    <row r="154" spans="25:27" ht="15" x14ac:dyDescent="0.25">
      <c r="Y154" s="89"/>
      <c r="Z154" s="89"/>
      <c r="AA154" s="89"/>
    </row>
    <row r="155" spans="25:27" ht="15" x14ac:dyDescent="0.25">
      <c r="Y155" s="89"/>
      <c r="Z155" s="89"/>
      <c r="AA155" s="89"/>
    </row>
    <row r="156" spans="25:27" ht="15" x14ac:dyDescent="0.25">
      <c r="Y156" s="89"/>
      <c r="Z156" s="89"/>
      <c r="AA156" s="89"/>
    </row>
    <row r="157" spans="25:27" ht="15" x14ac:dyDescent="0.25">
      <c r="Y157" s="89"/>
      <c r="Z157" s="89"/>
      <c r="AA157" s="89"/>
    </row>
    <row r="158" spans="25:27" ht="15" x14ac:dyDescent="0.25">
      <c r="Y158" s="89"/>
      <c r="Z158" s="89"/>
      <c r="AA158" s="89"/>
    </row>
    <row r="159" spans="25:27" ht="15" x14ac:dyDescent="0.25">
      <c r="Y159" s="89"/>
      <c r="Z159" s="89"/>
      <c r="AA159" s="89"/>
    </row>
    <row r="160" spans="25:27" ht="15" x14ac:dyDescent="0.25">
      <c r="Y160" s="89"/>
      <c r="Z160" s="89"/>
      <c r="AA160" s="89"/>
    </row>
    <row r="161" spans="25:27" ht="15" x14ac:dyDescent="0.25">
      <c r="Y161" s="89"/>
      <c r="Z161" s="89"/>
      <c r="AA161" s="89"/>
    </row>
    <row r="162" spans="25:27" ht="15" x14ac:dyDescent="0.25">
      <c r="Y162" s="89"/>
      <c r="Z162" s="89"/>
      <c r="AA162" s="89"/>
    </row>
    <row r="163" spans="25:27" ht="15" x14ac:dyDescent="0.25">
      <c r="Y163" s="89"/>
      <c r="Z163" s="89"/>
      <c r="AA163" s="89"/>
    </row>
    <row r="164" spans="25:27" ht="15" x14ac:dyDescent="0.25">
      <c r="Y164" s="89"/>
      <c r="Z164" s="89"/>
      <c r="AA164" s="89"/>
    </row>
    <row r="165" spans="25:27" ht="15" x14ac:dyDescent="0.25">
      <c r="Y165" s="89"/>
      <c r="Z165" s="89"/>
      <c r="AA165" s="89"/>
    </row>
    <row r="166" spans="25:27" ht="15" x14ac:dyDescent="0.25">
      <c r="Y166" s="89"/>
      <c r="Z166" s="89"/>
      <c r="AA166" s="89"/>
    </row>
    <row r="167" spans="25:27" ht="15" x14ac:dyDescent="0.25">
      <c r="Y167" s="89"/>
      <c r="Z167" s="89"/>
      <c r="AA167" s="89"/>
    </row>
    <row r="168" spans="25:27" ht="15" x14ac:dyDescent="0.25">
      <c r="Y168" s="89"/>
      <c r="Z168" s="89"/>
      <c r="AA168" s="89"/>
    </row>
    <row r="169" spans="25:27" ht="15" x14ac:dyDescent="0.25">
      <c r="Y169" s="89"/>
      <c r="Z169" s="89"/>
      <c r="AA169" s="89"/>
    </row>
    <row r="170" spans="25:27" ht="15" x14ac:dyDescent="0.25">
      <c r="Y170" s="89"/>
      <c r="Z170" s="89"/>
      <c r="AA170" s="89"/>
    </row>
    <row r="171" spans="25:27" ht="15" x14ac:dyDescent="0.25">
      <c r="Y171" s="89"/>
      <c r="Z171" s="89"/>
      <c r="AA171" s="89"/>
    </row>
    <row r="172" spans="25:27" ht="15" x14ac:dyDescent="0.25">
      <c r="Y172" s="89"/>
      <c r="Z172" s="89"/>
      <c r="AA172" s="89"/>
    </row>
    <row r="173" spans="25:27" ht="15" x14ac:dyDescent="0.25">
      <c r="Y173" s="89"/>
      <c r="Z173" s="89"/>
      <c r="AA173" s="89"/>
    </row>
    <row r="174" spans="25:27" ht="15" x14ac:dyDescent="0.25">
      <c r="Y174" s="89"/>
      <c r="Z174" s="89"/>
      <c r="AA174" s="89"/>
    </row>
    <row r="175" spans="25:27" ht="15" x14ac:dyDescent="0.25">
      <c r="Y175" s="89"/>
      <c r="Z175" s="89"/>
      <c r="AA175" s="89"/>
    </row>
    <row r="176" spans="25:27" ht="15" x14ac:dyDescent="0.25">
      <c r="Y176" s="89"/>
      <c r="Z176" s="89"/>
      <c r="AA176" s="89"/>
    </row>
    <row r="177" spans="25:27" ht="15" x14ac:dyDescent="0.25">
      <c r="Y177" s="89"/>
      <c r="Z177" s="89"/>
      <c r="AA177" s="89"/>
    </row>
    <row r="178" spans="25:27" ht="15" x14ac:dyDescent="0.25">
      <c r="Y178" s="89"/>
      <c r="Z178" s="89"/>
      <c r="AA178" s="89"/>
    </row>
    <row r="179" spans="25:27" ht="15" x14ac:dyDescent="0.25">
      <c r="Y179" s="89"/>
      <c r="Z179" s="89"/>
      <c r="AA179" s="89"/>
    </row>
    <row r="180" spans="25:27" ht="15" x14ac:dyDescent="0.25">
      <c r="Y180" s="89"/>
      <c r="Z180" s="89"/>
      <c r="AA180" s="89"/>
    </row>
    <row r="181" spans="25:27" ht="15" x14ac:dyDescent="0.25">
      <c r="Y181" s="89"/>
      <c r="Z181" s="89"/>
      <c r="AA181" s="89"/>
    </row>
    <row r="182" spans="25:27" ht="15" x14ac:dyDescent="0.25">
      <c r="Y182" s="89"/>
      <c r="Z182" s="89"/>
      <c r="AA182" s="89"/>
    </row>
    <row r="183" spans="25:27" ht="15" x14ac:dyDescent="0.25">
      <c r="Y183" s="89"/>
      <c r="Z183" s="89"/>
      <c r="AA183" s="89"/>
    </row>
    <row r="184" spans="25:27" ht="15" x14ac:dyDescent="0.25">
      <c r="Y184" s="89"/>
      <c r="Z184" s="89"/>
      <c r="AA184" s="89"/>
    </row>
    <row r="185" spans="25:27" ht="15" x14ac:dyDescent="0.25">
      <c r="Y185" s="89"/>
      <c r="Z185" s="89"/>
      <c r="AA185" s="89"/>
    </row>
    <row r="186" spans="25:27" ht="15" x14ac:dyDescent="0.25">
      <c r="Y186" s="89"/>
      <c r="Z186" s="89"/>
      <c r="AA186" s="89"/>
    </row>
    <row r="187" spans="25:27" ht="15" x14ac:dyDescent="0.25">
      <c r="Y187" s="89"/>
      <c r="Z187" s="89"/>
      <c r="AA187" s="89"/>
    </row>
    <row r="188" spans="25:27" ht="15" x14ac:dyDescent="0.25">
      <c r="Y188" s="89"/>
      <c r="Z188" s="89"/>
      <c r="AA188" s="89"/>
    </row>
  </sheetData>
  <dataConsolidate/>
  <pageMargins left="0.25" right="0.25" top="0.25" bottom="0.25" header="0.3" footer="0.3"/>
  <pageSetup scale="65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33"/>
  </sheetPr>
  <dimension ref="A1:AQ188"/>
  <sheetViews>
    <sheetView zoomScaleNormal="100" workbookViewId="0">
      <pane xSplit="1" ySplit="16" topLeftCell="B17" activePane="bottomRight" state="frozen"/>
      <selection activeCell="K48" sqref="K48"/>
      <selection pane="topRight" activeCell="K48" sqref="K48"/>
      <selection pane="bottomLeft" activeCell="K48" sqref="K48"/>
      <selection pane="bottomRight"/>
    </sheetView>
  </sheetViews>
  <sheetFormatPr defaultColWidth="8.7109375" defaultRowHeight="12.75" x14ac:dyDescent="0.2"/>
  <cols>
    <col min="1" max="1" width="24.42578125" style="52" customWidth="1"/>
    <col min="2" max="2" width="14.28515625" style="52" customWidth="1"/>
    <col min="3" max="3" width="14.42578125" style="52" customWidth="1"/>
    <col min="4" max="4" width="14.42578125" style="52" bestFit="1" customWidth="1"/>
    <col min="5" max="5" width="11.7109375" style="52" bestFit="1" customWidth="1"/>
    <col min="6" max="6" width="13.42578125" style="52" bestFit="1" customWidth="1"/>
    <col min="7" max="7" width="12.28515625" style="52" bestFit="1" customWidth="1"/>
    <col min="8" max="8" width="11.7109375" style="52" bestFit="1" customWidth="1"/>
    <col min="9" max="10" width="12.42578125" style="52" bestFit="1" customWidth="1"/>
    <col min="11" max="11" width="11.42578125" style="52" bestFit="1" customWidth="1"/>
    <col min="12" max="12" width="11.28515625" style="52" bestFit="1" customWidth="1"/>
    <col min="13" max="13" width="11.5703125" style="52" bestFit="1" customWidth="1"/>
    <col min="14" max="14" width="9.5703125" style="123" bestFit="1" customWidth="1"/>
    <col min="15" max="15" width="7.5703125" style="52" bestFit="1" customWidth="1"/>
    <col min="16" max="18" width="7.42578125" style="52" bestFit="1" customWidth="1"/>
    <col min="19" max="19" width="11.7109375" style="52" bestFit="1" customWidth="1"/>
    <col min="20" max="20" width="13.28515625" style="52" bestFit="1" customWidth="1"/>
    <col min="21" max="21" width="11" style="52" bestFit="1" customWidth="1"/>
    <col min="22" max="22" width="14.5703125" style="52" bestFit="1" customWidth="1"/>
    <col min="23" max="23" width="12" style="52" bestFit="1" customWidth="1"/>
    <col min="24" max="24" width="13.28515625" style="52" bestFit="1" customWidth="1"/>
    <col min="25" max="29" width="10.28515625" style="52" customWidth="1"/>
    <col min="30" max="42" width="8.7109375" style="52"/>
    <col min="43" max="43" width="9.42578125" style="52" bestFit="1" customWidth="1"/>
    <col min="44" max="16384" width="8.7109375" style="52"/>
  </cols>
  <sheetData>
    <row r="1" spans="1:43" ht="15" x14ac:dyDescent="0.25">
      <c r="AQ1" s="280" t="s">
        <v>158</v>
      </c>
    </row>
    <row r="2" spans="1:43" ht="15" x14ac:dyDescent="0.25">
      <c r="AQ2" s="280" t="s">
        <v>159</v>
      </c>
    </row>
    <row r="3" spans="1:43" ht="15" x14ac:dyDescent="0.25">
      <c r="AQ3" s="280" t="s">
        <v>164</v>
      </c>
    </row>
    <row r="4" spans="1:43" s="38" customFormat="1" x14ac:dyDescent="0.2">
      <c r="A4" s="36" t="s">
        <v>9</v>
      </c>
      <c r="B4" s="36"/>
      <c r="C4" s="36"/>
      <c r="D4" s="37"/>
      <c r="E4" s="37"/>
      <c r="F4" s="37"/>
      <c r="K4" s="37"/>
      <c r="L4" s="37"/>
      <c r="M4" s="39"/>
      <c r="N4" s="40"/>
      <c r="O4" s="39"/>
    </row>
    <row r="5" spans="1:43" s="38" customFormat="1" x14ac:dyDescent="0.2">
      <c r="A5" s="36"/>
      <c r="B5" s="36"/>
      <c r="C5" s="41"/>
      <c r="D5" s="42"/>
      <c r="E5" s="41"/>
      <c r="G5" s="37"/>
      <c r="H5" s="43"/>
      <c r="I5" s="44"/>
      <c r="J5" s="37"/>
      <c r="K5" s="37"/>
      <c r="L5" s="37"/>
      <c r="M5" s="45"/>
      <c r="N5" s="40"/>
      <c r="O5" s="39"/>
    </row>
    <row r="6" spans="1:43" s="38" customFormat="1" x14ac:dyDescent="0.2">
      <c r="A6" s="46"/>
      <c r="B6" s="243"/>
      <c r="C6" s="47"/>
      <c r="D6" s="48"/>
      <c r="E6" s="47"/>
      <c r="F6" s="49"/>
      <c r="G6" s="37"/>
      <c r="H6" s="50"/>
      <c r="K6" s="51"/>
      <c r="L6" s="51"/>
      <c r="M6" s="45"/>
      <c r="N6" s="40"/>
      <c r="O6" s="43"/>
    </row>
    <row r="7" spans="1:43" s="38" customFormat="1" ht="6.6" customHeight="1" x14ac:dyDescent="0.2">
      <c r="A7" s="52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43" s="38" customFormat="1" x14ac:dyDescent="0.2">
      <c r="A8" s="54" t="s">
        <v>146</v>
      </c>
      <c r="B8" s="54"/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>
        <v>6</v>
      </c>
      <c r="I8" s="55">
        <v>7</v>
      </c>
      <c r="J8" s="55">
        <v>8</v>
      </c>
      <c r="K8" s="55">
        <v>9</v>
      </c>
      <c r="L8" s="55">
        <v>10</v>
      </c>
      <c r="M8" s="55">
        <v>11</v>
      </c>
      <c r="N8" s="55">
        <v>12</v>
      </c>
      <c r="O8" s="55">
        <v>13</v>
      </c>
      <c r="P8" s="55">
        <v>14</v>
      </c>
      <c r="Q8" s="55">
        <v>15</v>
      </c>
      <c r="R8" s="55">
        <v>16</v>
      </c>
      <c r="S8" s="55">
        <v>17</v>
      </c>
      <c r="T8" s="55">
        <v>18</v>
      </c>
      <c r="U8" s="55">
        <v>19</v>
      </c>
      <c r="V8" s="55">
        <v>20</v>
      </c>
      <c r="W8" s="55">
        <v>21</v>
      </c>
      <c r="X8" s="55">
        <v>22</v>
      </c>
      <c r="Y8" s="55">
        <v>23</v>
      </c>
      <c r="Z8" s="55">
        <v>24</v>
      </c>
      <c r="AA8" s="55">
        <v>25</v>
      </c>
      <c r="AB8" s="55">
        <v>26</v>
      </c>
      <c r="AC8" s="55">
        <v>27</v>
      </c>
      <c r="AD8" s="55">
        <v>28</v>
      </c>
      <c r="AE8" s="55">
        <v>29</v>
      </c>
      <c r="AF8" s="55">
        <v>30</v>
      </c>
      <c r="AG8" s="55">
        <v>31</v>
      </c>
      <c r="AH8" s="55">
        <v>32</v>
      </c>
      <c r="AI8" s="55">
        <v>33</v>
      </c>
      <c r="AJ8" s="55">
        <v>34</v>
      </c>
      <c r="AK8" s="55">
        <v>35</v>
      </c>
      <c r="AL8" s="55">
        <v>36</v>
      </c>
      <c r="AM8" s="55">
        <v>37</v>
      </c>
      <c r="AN8" s="55">
        <v>38</v>
      </c>
      <c r="AO8" s="55">
        <v>39</v>
      </c>
      <c r="AP8" s="55">
        <v>40</v>
      </c>
      <c r="AQ8" s="55" t="s">
        <v>1</v>
      </c>
    </row>
    <row r="9" spans="1:43" s="38" customFormat="1" x14ac:dyDescent="0.2">
      <c r="A9" s="56" t="s">
        <v>38</v>
      </c>
      <c r="B9" s="56"/>
      <c r="C9" s="57">
        <v>0.1429</v>
      </c>
      <c r="D9" s="57">
        <v>0.24490000000000001</v>
      </c>
      <c r="E9" s="57">
        <v>0.1749</v>
      </c>
      <c r="F9" s="57">
        <v>0.1249</v>
      </c>
      <c r="G9" s="57">
        <v>8.9300000000000004E-2</v>
      </c>
      <c r="H9" s="57">
        <v>8.9200000000000002E-2</v>
      </c>
      <c r="I9" s="57">
        <v>8.9300000000000004E-2</v>
      </c>
      <c r="J9" s="57">
        <v>4.4600000000000001E-2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>
        <f>SUM(C9:AP9)</f>
        <v>1.0000000000000002</v>
      </c>
    </row>
    <row r="10" spans="1:43" s="38" customFormat="1" ht="7.35" customHeight="1" x14ac:dyDescent="0.2">
      <c r="A10" s="58"/>
      <c r="B10" s="58"/>
      <c r="C10" s="53"/>
      <c r="D10" s="53"/>
      <c r="E10" s="53"/>
      <c r="F10" s="53"/>
      <c r="G10" s="53"/>
      <c r="H10" s="53"/>
      <c r="I10" s="59"/>
      <c r="J10" s="59"/>
      <c r="K10" s="59"/>
    </row>
    <row r="11" spans="1:43" ht="13.5" thickBot="1" x14ac:dyDescent="0.25">
      <c r="A11" s="60" t="s">
        <v>39</v>
      </c>
      <c r="B11" s="244" t="s">
        <v>142</v>
      </c>
      <c r="C11" s="61" t="s">
        <v>40</v>
      </c>
      <c r="D11" s="62"/>
      <c r="E11" s="61" t="s">
        <v>41</v>
      </c>
      <c r="F11" s="63"/>
      <c r="G11" s="61" t="s">
        <v>42</v>
      </c>
      <c r="H11" s="62"/>
      <c r="I11" s="61" t="s">
        <v>43</v>
      </c>
      <c r="J11" s="62"/>
      <c r="K11" s="64" t="s">
        <v>44</v>
      </c>
      <c r="L11" s="64" t="s">
        <v>45</v>
      </c>
      <c r="M11" s="65" t="s">
        <v>46</v>
      </c>
      <c r="N11" s="52"/>
    </row>
    <row r="12" spans="1:43" ht="13.5" thickBot="1" x14ac:dyDescent="0.25">
      <c r="A12" s="66"/>
      <c r="B12" s="85" t="s">
        <v>143</v>
      </c>
      <c r="C12" s="67"/>
      <c r="D12" s="68"/>
      <c r="E12" s="67" t="s">
        <v>47</v>
      </c>
      <c r="F12" s="69">
        <f>'Closings By Depr Grp'!AZ9</f>
        <v>0.05</v>
      </c>
      <c r="G12" s="70"/>
      <c r="H12" s="68"/>
      <c r="I12" s="71"/>
      <c r="J12" s="72"/>
      <c r="K12" s="73"/>
      <c r="L12" s="73"/>
      <c r="M12" s="74" t="s">
        <v>48</v>
      </c>
      <c r="N12" s="52"/>
    </row>
    <row r="13" spans="1:43" ht="13.5" thickBot="1" x14ac:dyDescent="0.25">
      <c r="A13" s="66"/>
      <c r="B13" s="85" t="s">
        <v>144</v>
      </c>
      <c r="C13" s="67"/>
      <c r="D13" s="68"/>
      <c r="E13" s="67" t="s">
        <v>15</v>
      </c>
      <c r="F13" s="69">
        <f>'Closings By Depr Grp'!BA9</f>
        <v>4.4900000000000002E-2</v>
      </c>
      <c r="G13" s="70"/>
      <c r="H13" s="68"/>
      <c r="I13" s="71"/>
      <c r="J13" s="72"/>
      <c r="K13" s="73"/>
      <c r="L13" s="75" t="s">
        <v>49</v>
      </c>
      <c r="M13" s="74"/>
      <c r="N13" s="52"/>
    </row>
    <row r="14" spans="1:43" x14ac:dyDescent="0.2">
      <c r="A14" s="76"/>
      <c r="B14" s="123"/>
      <c r="C14" s="71" t="s">
        <v>50</v>
      </c>
      <c r="D14" s="72" t="s">
        <v>51</v>
      </c>
      <c r="E14" s="71" t="s">
        <v>52</v>
      </c>
      <c r="F14" s="72" t="s">
        <v>53</v>
      </c>
      <c r="G14" s="71" t="s">
        <v>50</v>
      </c>
      <c r="H14" s="72" t="s">
        <v>51</v>
      </c>
      <c r="I14" s="71" t="s">
        <v>50</v>
      </c>
      <c r="J14" s="72" t="s">
        <v>54</v>
      </c>
      <c r="K14" s="73" t="s">
        <v>55</v>
      </c>
      <c r="L14" s="75">
        <v>0.21</v>
      </c>
      <c r="M14" s="74" t="s">
        <v>56</v>
      </c>
      <c r="N14" s="52"/>
    </row>
    <row r="15" spans="1:43" x14ac:dyDescent="0.2">
      <c r="A15" s="76"/>
      <c r="B15" s="123"/>
      <c r="C15" s="71"/>
      <c r="D15" s="72"/>
      <c r="E15" s="71" t="s">
        <v>57</v>
      </c>
      <c r="F15" s="72" t="s">
        <v>58</v>
      </c>
      <c r="G15" s="71" t="s">
        <v>59</v>
      </c>
      <c r="H15" s="72" t="s">
        <v>60</v>
      </c>
      <c r="I15" s="71"/>
      <c r="J15" s="72"/>
      <c r="K15" s="73"/>
      <c r="L15" s="75" t="s">
        <v>61</v>
      </c>
      <c r="M15" s="74" t="s">
        <v>62</v>
      </c>
      <c r="N15" s="52"/>
    </row>
    <row r="16" spans="1:43" ht="15" x14ac:dyDescent="0.25">
      <c r="A16" s="77"/>
      <c r="B16" s="245"/>
      <c r="C16" s="78" t="s">
        <v>63</v>
      </c>
      <c r="D16" s="79" t="s">
        <v>64</v>
      </c>
      <c r="E16" s="78"/>
      <c r="F16" s="79" t="s">
        <v>65</v>
      </c>
      <c r="G16" s="78" t="s">
        <v>66</v>
      </c>
      <c r="H16" s="79" t="s">
        <v>67</v>
      </c>
      <c r="I16" s="78" t="s">
        <v>68</v>
      </c>
      <c r="J16" s="79" t="s">
        <v>69</v>
      </c>
      <c r="K16" s="80" t="s">
        <v>70</v>
      </c>
      <c r="L16" s="81">
        <v>0.21</v>
      </c>
      <c r="M16" s="82" t="s">
        <v>71</v>
      </c>
      <c r="N16" s="83"/>
    </row>
    <row r="17" spans="1:27" ht="15.75" thickBot="1" x14ac:dyDescent="0.3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6"/>
      <c r="L17" s="87"/>
      <c r="M17" s="88"/>
      <c r="N17" s="83"/>
      <c r="Y17" s="89"/>
      <c r="Z17" s="89"/>
      <c r="AA17" s="89"/>
    </row>
    <row r="18" spans="1:27" ht="15" x14ac:dyDescent="0.25">
      <c r="A18" s="90">
        <v>44227</v>
      </c>
      <c r="B18" s="255"/>
      <c r="C18" s="91"/>
      <c r="D18" s="91">
        <f>B18</f>
        <v>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P18" s="92"/>
      <c r="Q18" s="93" t="s">
        <v>72</v>
      </c>
      <c r="R18" s="94"/>
      <c r="S18" s="94"/>
      <c r="T18" s="94"/>
      <c r="U18" s="94"/>
      <c r="V18" s="94"/>
      <c r="W18" s="94"/>
      <c r="X18" s="95"/>
      <c r="Y18" s="89"/>
      <c r="Z18" s="89"/>
      <c r="AA18" s="89"/>
    </row>
    <row r="19" spans="1:27" ht="15" x14ac:dyDescent="0.25">
      <c r="A19" s="90">
        <v>44255</v>
      </c>
      <c r="B19" s="255"/>
      <c r="C19" s="91"/>
      <c r="D19" s="91">
        <f>D18+B19</f>
        <v>0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P19" s="96"/>
      <c r="Q19" s="97"/>
      <c r="R19" s="98" t="s">
        <v>73</v>
      </c>
      <c r="S19" s="98"/>
      <c r="T19" s="99"/>
      <c r="U19" s="100" t="s">
        <v>74</v>
      </c>
      <c r="V19" s="98"/>
      <c r="W19" s="98"/>
      <c r="X19" s="101"/>
      <c r="Y19" s="89"/>
      <c r="Z19" s="89"/>
      <c r="AA19" s="89"/>
    </row>
    <row r="20" spans="1:27" ht="15" x14ac:dyDescent="0.25">
      <c r="A20" s="90">
        <v>44286</v>
      </c>
      <c r="B20" s="255"/>
      <c r="C20" s="91"/>
      <c r="D20" s="91">
        <f t="shared" ref="D20:D77" si="0">D19+B20</f>
        <v>0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P20" s="96"/>
      <c r="Q20" s="102"/>
      <c r="R20" s="103"/>
      <c r="S20" s="103"/>
      <c r="T20" s="104" t="s">
        <v>75</v>
      </c>
      <c r="U20" s="105"/>
      <c r="V20" s="106"/>
      <c r="W20" s="106"/>
      <c r="X20" s="107"/>
      <c r="Y20" s="89"/>
      <c r="Z20" s="89"/>
      <c r="AA20" s="89"/>
    </row>
    <row r="21" spans="1:27" ht="15" x14ac:dyDescent="0.25">
      <c r="A21" s="90">
        <v>44316</v>
      </c>
      <c r="B21" s="255"/>
      <c r="C21" s="91"/>
      <c r="D21" s="91">
        <f t="shared" si="0"/>
        <v>0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P21" s="96" t="s">
        <v>76</v>
      </c>
      <c r="Q21" s="108" t="s">
        <v>77</v>
      </c>
      <c r="R21" s="109" t="s">
        <v>78</v>
      </c>
      <c r="S21" s="109" t="s">
        <v>79</v>
      </c>
      <c r="T21" s="104" t="s">
        <v>80</v>
      </c>
      <c r="U21" s="108" t="s">
        <v>81</v>
      </c>
      <c r="V21" s="109" t="s">
        <v>82</v>
      </c>
      <c r="W21" s="109" t="s">
        <v>83</v>
      </c>
      <c r="X21" s="110" t="s">
        <v>84</v>
      </c>
      <c r="Y21" s="89"/>
      <c r="Z21" s="89"/>
      <c r="AA21" s="89"/>
    </row>
    <row r="22" spans="1:27" ht="15" x14ac:dyDescent="0.25">
      <c r="A22" s="90">
        <v>44347</v>
      </c>
      <c r="B22" s="255"/>
      <c r="C22" s="91"/>
      <c r="D22" s="91">
        <f t="shared" si="0"/>
        <v>0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P22" s="96"/>
      <c r="Q22" s="111" t="s">
        <v>78</v>
      </c>
      <c r="R22" s="112" t="s">
        <v>85</v>
      </c>
      <c r="S22" s="112" t="s">
        <v>2</v>
      </c>
      <c r="T22" s="113" t="s">
        <v>86</v>
      </c>
      <c r="U22" s="111" t="s">
        <v>87</v>
      </c>
      <c r="V22" s="112" t="s">
        <v>88</v>
      </c>
      <c r="W22" s="112" t="s">
        <v>89</v>
      </c>
      <c r="X22" s="114" t="s">
        <v>90</v>
      </c>
      <c r="Y22" s="89"/>
      <c r="Z22" s="89"/>
      <c r="AA22" s="89"/>
    </row>
    <row r="23" spans="1:27" ht="15" x14ac:dyDescent="0.25">
      <c r="A23" s="90">
        <v>44377</v>
      </c>
      <c r="B23" s="255"/>
      <c r="C23" s="91"/>
      <c r="D23" s="91">
        <f t="shared" si="0"/>
        <v>0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96"/>
      <c r="Q23" s="115" t="s">
        <v>91</v>
      </c>
      <c r="R23" s="116" t="s">
        <v>92</v>
      </c>
      <c r="S23" s="117" t="s">
        <v>93</v>
      </c>
      <c r="T23" s="118" t="s">
        <v>94</v>
      </c>
      <c r="U23" s="115" t="s">
        <v>95</v>
      </c>
      <c r="V23" s="119" t="s">
        <v>96</v>
      </c>
      <c r="W23" s="109" t="s">
        <v>97</v>
      </c>
      <c r="X23" s="120" t="s">
        <v>98</v>
      </c>
      <c r="Y23" s="89"/>
      <c r="Z23" s="89"/>
      <c r="AA23" s="89"/>
    </row>
    <row r="24" spans="1:27" ht="15" x14ac:dyDescent="0.25">
      <c r="A24" s="90">
        <v>44408</v>
      </c>
      <c r="B24" s="255"/>
      <c r="C24" s="91"/>
      <c r="D24" s="91">
        <f t="shared" si="0"/>
        <v>0</v>
      </c>
      <c r="E24" s="91"/>
      <c r="F24" s="121"/>
      <c r="G24" s="122"/>
      <c r="H24" s="91"/>
      <c r="I24" s="122"/>
      <c r="J24" s="91"/>
      <c r="K24" s="122"/>
      <c r="L24" s="122"/>
      <c r="M24" s="91"/>
      <c r="N24" s="91"/>
      <c r="O24" s="123"/>
      <c r="P24" s="124"/>
      <c r="Q24" s="125"/>
      <c r="R24" s="126"/>
      <c r="S24" s="127"/>
      <c r="T24" s="128" t="s">
        <v>99</v>
      </c>
      <c r="U24" s="125" t="s">
        <v>100</v>
      </c>
      <c r="V24" s="129"/>
      <c r="W24" s="130"/>
      <c r="X24" s="131" t="s">
        <v>101</v>
      </c>
      <c r="Y24" s="89"/>
      <c r="Z24" s="89"/>
      <c r="AA24" s="89"/>
    </row>
    <row r="25" spans="1:27" ht="15" x14ac:dyDescent="0.25">
      <c r="A25" s="90">
        <v>44439</v>
      </c>
      <c r="B25" s="255"/>
      <c r="C25" s="91"/>
      <c r="D25" s="91">
        <f t="shared" si="0"/>
        <v>0</v>
      </c>
      <c r="E25" s="91"/>
      <c r="F25" s="91"/>
      <c r="G25" s="122"/>
      <c r="H25" s="121"/>
      <c r="I25" s="122"/>
      <c r="J25" s="91"/>
      <c r="K25" s="122"/>
      <c r="L25" s="122"/>
      <c r="M25" s="91"/>
      <c r="N25" s="132"/>
      <c r="O25" s="123"/>
      <c r="P25" s="133">
        <v>1</v>
      </c>
      <c r="Q25" s="134"/>
      <c r="R25" s="135"/>
      <c r="S25" s="136"/>
      <c r="T25" s="137"/>
      <c r="U25" s="138"/>
      <c r="V25" s="139"/>
      <c r="W25" s="136"/>
      <c r="X25" s="140"/>
      <c r="Y25" s="89"/>
      <c r="Z25" s="89"/>
      <c r="AA25" s="89"/>
    </row>
    <row r="26" spans="1:27" ht="15" x14ac:dyDescent="0.25">
      <c r="A26" s="90">
        <v>44469</v>
      </c>
      <c r="B26" s="255"/>
      <c r="C26" s="91"/>
      <c r="D26" s="91">
        <f t="shared" si="0"/>
        <v>0</v>
      </c>
      <c r="E26" s="91"/>
      <c r="F26" s="91"/>
      <c r="G26" s="91"/>
      <c r="H26" s="91"/>
      <c r="I26" s="91"/>
      <c r="J26" s="91"/>
      <c r="K26" s="91"/>
      <c r="L26" s="91"/>
      <c r="M26" s="91"/>
      <c r="N26" s="132"/>
      <c r="O26" s="123"/>
      <c r="P26" s="133">
        <v>2</v>
      </c>
      <c r="Q26" s="134"/>
      <c r="R26" s="135">
        <v>44926</v>
      </c>
      <c r="S26" s="136">
        <f>+'E3950'!M41</f>
        <v>0</v>
      </c>
      <c r="T26" s="141">
        <f>+'E3950'!L41</f>
        <v>0</v>
      </c>
      <c r="U26" s="138"/>
      <c r="V26" s="139"/>
      <c r="W26" s="136"/>
      <c r="X26" s="142">
        <f>T26</f>
        <v>0</v>
      </c>
      <c r="Y26" s="89"/>
      <c r="Z26" s="89"/>
      <c r="AA26" s="89"/>
    </row>
    <row r="27" spans="1:27" ht="15" x14ac:dyDescent="0.25">
      <c r="A27" s="90">
        <v>44500</v>
      </c>
      <c r="B27" s="255"/>
      <c r="C27" s="91"/>
      <c r="D27" s="91">
        <f t="shared" si="0"/>
        <v>0</v>
      </c>
      <c r="E27" s="91"/>
      <c r="F27" s="91"/>
      <c r="G27" s="91"/>
      <c r="H27" s="91"/>
      <c r="I27" s="91"/>
      <c r="J27" s="91"/>
      <c r="K27" s="91"/>
      <c r="L27" s="91"/>
      <c r="M27" s="91"/>
      <c r="N27" s="132"/>
      <c r="O27" s="123"/>
      <c r="P27" s="133">
        <v>3</v>
      </c>
      <c r="Q27" s="134">
        <f t="shared" ref="Q27:Q38" si="1">DAY(EOMONTH(R27,0))</f>
        <v>31</v>
      </c>
      <c r="R27" s="135">
        <v>44927</v>
      </c>
      <c r="S27" s="136">
        <f>+'E3950'!M42</f>
        <v>0</v>
      </c>
      <c r="T27" s="143">
        <f t="shared" ref="T27:T38" si="2">+T26-S27</f>
        <v>0</v>
      </c>
      <c r="U27" s="138">
        <f>V27-SUM($Q$26:Q27)+1</f>
        <v>335</v>
      </c>
      <c r="V27" s="139">
        <f>Q39</f>
        <v>365</v>
      </c>
      <c r="W27" s="136">
        <f t="shared" ref="W27:W38" si="3">+U27/V27*S27</f>
        <v>0</v>
      </c>
      <c r="X27" s="140">
        <f t="shared" ref="X27:X38" si="4">+X26-W27</f>
        <v>0</v>
      </c>
      <c r="Y27" s="89"/>
      <c r="Z27" s="89"/>
      <c r="AA27" s="89"/>
    </row>
    <row r="28" spans="1:27" ht="15" x14ac:dyDescent="0.25">
      <c r="A28" s="90">
        <v>44530</v>
      </c>
      <c r="B28" s="255"/>
      <c r="C28" s="91"/>
      <c r="D28" s="91">
        <f t="shared" si="0"/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132"/>
      <c r="O28" s="144"/>
      <c r="P28" s="133">
        <v>4</v>
      </c>
      <c r="Q28" s="134">
        <f t="shared" si="1"/>
        <v>28</v>
      </c>
      <c r="R28" s="135">
        <v>44958</v>
      </c>
      <c r="S28" s="136">
        <f>+'E3950'!M43</f>
        <v>0</v>
      </c>
      <c r="T28" s="143">
        <f t="shared" si="2"/>
        <v>0</v>
      </c>
      <c r="U28" s="138">
        <f>V28-SUM($Q$26:Q28)+1</f>
        <v>307</v>
      </c>
      <c r="V28" s="139">
        <f t="shared" ref="V28:V38" si="5">V27</f>
        <v>365</v>
      </c>
      <c r="W28" s="136">
        <f t="shared" si="3"/>
        <v>0</v>
      </c>
      <c r="X28" s="140">
        <f t="shared" si="4"/>
        <v>0</v>
      </c>
      <c r="Y28" s="89"/>
      <c r="Z28" s="89"/>
      <c r="AA28" s="89"/>
    </row>
    <row r="29" spans="1:27" ht="15" x14ac:dyDescent="0.25">
      <c r="A29" s="90">
        <v>44561</v>
      </c>
      <c r="B29" s="255"/>
      <c r="C29" s="122"/>
      <c r="D29" s="258">
        <f t="shared" si="0"/>
        <v>0</v>
      </c>
      <c r="E29" s="91"/>
      <c r="F29" s="122"/>
      <c r="G29" s="121"/>
      <c r="H29" s="122"/>
      <c r="I29" s="121"/>
      <c r="J29" s="122"/>
      <c r="K29" s="121"/>
      <c r="L29" s="91"/>
      <c r="M29" s="91"/>
      <c r="N29" s="145"/>
      <c r="O29" s="146"/>
      <c r="P29" s="133">
        <v>5</v>
      </c>
      <c r="Q29" s="134">
        <f t="shared" si="1"/>
        <v>31</v>
      </c>
      <c r="R29" s="135">
        <v>44986</v>
      </c>
      <c r="S29" s="136">
        <f>+'E3950'!M44</f>
        <v>0</v>
      </c>
      <c r="T29" s="143">
        <f t="shared" si="2"/>
        <v>0</v>
      </c>
      <c r="U29" s="138">
        <f>V29-SUM($Q$26:Q29)+1</f>
        <v>276</v>
      </c>
      <c r="V29" s="139">
        <f t="shared" si="5"/>
        <v>365</v>
      </c>
      <c r="W29" s="136">
        <f t="shared" si="3"/>
        <v>0</v>
      </c>
      <c r="X29" s="140">
        <f t="shared" si="4"/>
        <v>0</v>
      </c>
      <c r="Y29" s="89"/>
      <c r="Z29" s="89"/>
      <c r="AA29" s="89"/>
    </row>
    <row r="30" spans="1:27" ht="15" x14ac:dyDescent="0.25">
      <c r="A30" s="147">
        <v>44592</v>
      </c>
      <c r="B30" s="256">
        <f t="array" ref="B30:B77">TRANSPOSE('Closings By Depr Grp'!B9:AW9)</f>
        <v>0</v>
      </c>
      <c r="C30" s="148">
        <f t="shared" ref="C30:C77" si="6">D30</f>
        <v>0</v>
      </c>
      <c r="D30" s="91">
        <f t="shared" si="0"/>
        <v>0</v>
      </c>
      <c r="E30" s="148">
        <f>(($C$29*$D$9/12)+(($C$41-$C$29)*$C$9/12))</f>
        <v>0</v>
      </c>
      <c r="F30" s="149">
        <f>+(D29*$F$12/12)+(((D30-D29)*$F$12/12)*0.5)</f>
        <v>0</v>
      </c>
      <c r="G30" s="148">
        <f t="shared" ref="G30:H45" si="7">-E30+G29</f>
        <v>0</v>
      </c>
      <c r="H30" s="149">
        <f t="shared" si="7"/>
        <v>0</v>
      </c>
      <c r="I30" s="148">
        <f t="shared" ref="I30:J45" si="8">C30+G30</f>
        <v>0</v>
      </c>
      <c r="J30" s="149">
        <f t="shared" si="8"/>
        <v>0</v>
      </c>
      <c r="K30" s="148">
        <f t="shared" ref="K30:K72" si="9">J30-I30</f>
        <v>0</v>
      </c>
      <c r="L30" s="148">
        <f t="shared" ref="L30:L77" si="10">-K30*$L$14</f>
        <v>0</v>
      </c>
      <c r="M30" s="148">
        <f t="shared" ref="M30:M77" si="11">-L30+L29</f>
        <v>0</v>
      </c>
      <c r="N30" s="132"/>
      <c r="O30" s="123"/>
      <c r="P30" s="133">
        <v>6</v>
      </c>
      <c r="Q30" s="134">
        <f t="shared" si="1"/>
        <v>30</v>
      </c>
      <c r="R30" s="135">
        <v>45017</v>
      </c>
      <c r="S30" s="136">
        <f>+'E3950'!M45</f>
        <v>0</v>
      </c>
      <c r="T30" s="143">
        <f t="shared" si="2"/>
        <v>0</v>
      </c>
      <c r="U30" s="138">
        <f>V30-SUM($Q$26:Q30)+1</f>
        <v>246</v>
      </c>
      <c r="V30" s="139">
        <f t="shared" si="5"/>
        <v>365</v>
      </c>
      <c r="W30" s="136">
        <f t="shared" si="3"/>
        <v>0</v>
      </c>
      <c r="X30" s="140">
        <f t="shared" si="4"/>
        <v>0</v>
      </c>
      <c r="Y30" s="89"/>
      <c r="Z30" s="89"/>
      <c r="AA30" s="89"/>
    </row>
    <row r="31" spans="1:27" ht="15" x14ac:dyDescent="0.25">
      <c r="A31" s="90">
        <v>44620</v>
      </c>
      <c r="B31" s="257">
        <v>0</v>
      </c>
      <c r="C31" s="91">
        <f t="shared" si="6"/>
        <v>0</v>
      </c>
      <c r="D31" s="91">
        <f t="shared" si="0"/>
        <v>0</v>
      </c>
      <c r="E31" s="91">
        <f t="shared" ref="E31:E41" si="12">(($C$29*$D$9/12)+(($C$41-$C$29)*$C$9/12))</f>
        <v>0</v>
      </c>
      <c r="F31" s="121">
        <f>+(D30*$F$12/12)+(((D31-D30)*$F$12/12)*0.5)</f>
        <v>0</v>
      </c>
      <c r="G31" s="91">
        <f t="shared" si="7"/>
        <v>0</v>
      </c>
      <c r="H31" s="121">
        <f t="shared" si="7"/>
        <v>0</v>
      </c>
      <c r="I31" s="91">
        <f t="shared" si="8"/>
        <v>0</v>
      </c>
      <c r="J31" s="91">
        <f t="shared" si="8"/>
        <v>0</v>
      </c>
      <c r="K31" s="91">
        <f t="shared" si="9"/>
        <v>0</v>
      </c>
      <c r="L31" s="91">
        <f t="shared" si="10"/>
        <v>0</v>
      </c>
      <c r="M31" s="91">
        <f t="shared" si="11"/>
        <v>0</v>
      </c>
      <c r="N31" s="132"/>
      <c r="O31" s="150"/>
      <c r="P31" s="133">
        <v>7</v>
      </c>
      <c r="Q31" s="134">
        <f t="shared" si="1"/>
        <v>31</v>
      </c>
      <c r="R31" s="135">
        <v>45047</v>
      </c>
      <c r="S31" s="136">
        <f>+'E3950'!M46</f>
        <v>0</v>
      </c>
      <c r="T31" s="143">
        <f t="shared" si="2"/>
        <v>0</v>
      </c>
      <c r="U31" s="138">
        <f>V31-SUM($Q$26:Q31)+1</f>
        <v>215</v>
      </c>
      <c r="V31" s="139">
        <f t="shared" si="5"/>
        <v>365</v>
      </c>
      <c r="W31" s="136">
        <f t="shared" si="3"/>
        <v>0</v>
      </c>
      <c r="X31" s="140">
        <f t="shared" si="4"/>
        <v>0</v>
      </c>
      <c r="Y31" s="89"/>
      <c r="Z31" s="89"/>
      <c r="AA31" s="89"/>
    </row>
    <row r="32" spans="1:27" ht="15" x14ac:dyDescent="0.25">
      <c r="A32" s="90">
        <v>44651</v>
      </c>
      <c r="B32" s="257">
        <v>0</v>
      </c>
      <c r="C32" s="91">
        <f t="shared" si="6"/>
        <v>0</v>
      </c>
      <c r="D32" s="91">
        <f t="shared" si="0"/>
        <v>0</v>
      </c>
      <c r="E32" s="91">
        <f t="shared" si="12"/>
        <v>0</v>
      </c>
      <c r="F32" s="121">
        <f>+(D31*$F$12/12)+(((D32-D31)*$F$12/12)*0.5)</f>
        <v>0</v>
      </c>
      <c r="G32" s="91">
        <f t="shared" si="7"/>
        <v>0</v>
      </c>
      <c r="H32" s="121">
        <f t="shared" si="7"/>
        <v>0</v>
      </c>
      <c r="I32" s="91">
        <f t="shared" si="8"/>
        <v>0</v>
      </c>
      <c r="J32" s="91">
        <f t="shared" si="8"/>
        <v>0</v>
      </c>
      <c r="K32" s="91">
        <f t="shared" si="9"/>
        <v>0</v>
      </c>
      <c r="L32" s="91">
        <f t="shared" si="10"/>
        <v>0</v>
      </c>
      <c r="M32" s="91">
        <f t="shared" si="11"/>
        <v>0</v>
      </c>
      <c r="N32" s="132"/>
      <c r="O32" s="123"/>
      <c r="P32" s="133">
        <v>8</v>
      </c>
      <c r="Q32" s="134">
        <f t="shared" si="1"/>
        <v>30</v>
      </c>
      <c r="R32" s="135">
        <v>45078</v>
      </c>
      <c r="S32" s="136">
        <f>+'E3950'!M47</f>
        <v>0</v>
      </c>
      <c r="T32" s="143">
        <f t="shared" si="2"/>
        <v>0</v>
      </c>
      <c r="U32" s="138">
        <f>V32-SUM($Q$26:Q32)+1</f>
        <v>185</v>
      </c>
      <c r="V32" s="139">
        <f t="shared" si="5"/>
        <v>365</v>
      </c>
      <c r="W32" s="136">
        <f t="shared" si="3"/>
        <v>0</v>
      </c>
      <c r="X32" s="140">
        <f t="shared" si="4"/>
        <v>0</v>
      </c>
      <c r="Y32" s="89"/>
      <c r="Z32" s="89"/>
      <c r="AA32" s="89"/>
    </row>
    <row r="33" spans="1:35" ht="15" x14ac:dyDescent="0.25">
      <c r="A33" s="90">
        <v>44681</v>
      </c>
      <c r="B33" s="257">
        <v>0</v>
      </c>
      <c r="C33" s="91">
        <f t="shared" si="6"/>
        <v>0</v>
      </c>
      <c r="D33" s="91">
        <f t="shared" si="0"/>
        <v>0</v>
      </c>
      <c r="E33" s="91">
        <f t="shared" si="12"/>
        <v>0</v>
      </c>
      <c r="F33" s="121">
        <f t="shared" ref="F33:F41" si="13">+(D32*$F$12/12)+(((D33-D32)*$F$12/12)*0.5)</f>
        <v>0</v>
      </c>
      <c r="G33" s="91">
        <f t="shared" si="7"/>
        <v>0</v>
      </c>
      <c r="H33" s="121">
        <f t="shared" si="7"/>
        <v>0</v>
      </c>
      <c r="I33" s="91">
        <f t="shared" si="8"/>
        <v>0</v>
      </c>
      <c r="J33" s="91">
        <f t="shared" si="8"/>
        <v>0</v>
      </c>
      <c r="K33" s="91">
        <f t="shared" si="9"/>
        <v>0</v>
      </c>
      <c r="L33" s="91">
        <f t="shared" si="10"/>
        <v>0</v>
      </c>
      <c r="M33" s="91">
        <f t="shared" si="11"/>
        <v>0</v>
      </c>
      <c r="N33" s="132"/>
      <c r="O33" s="123"/>
      <c r="P33" s="133">
        <v>9</v>
      </c>
      <c r="Q33" s="134">
        <f t="shared" si="1"/>
        <v>31</v>
      </c>
      <c r="R33" s="135">
        <v>45108</v>
      </c>
      <c r="S33" s="136">
        <f>+'E3950'!M48</f>
        <v>0</v>
      </c>
      <c r="T33" s="143">
        <f t="shared" si="2"/>
        <v>0</v>
      </c>
      <c r="U33" s="138">
        <f>V33-SUM($Q$26:Q33)+1</f>
        <v>154</v>
      </c>
      <c r="V33" s="139">
        <f t="shared" si="5"/>
        <v>365</v>
      </c>
      <c r="W33" s="136">
        <f t="shared" si="3"/>
        <v>0</v>
      </c>
      <c r="X33" s="140">
        <f t="shared" si="4"/>
        <v>0</v>
      </c>
      <c r="Y33" s="89"/>
      <c r="Z33" s="89"/>
      <c r="AA33" s="89"/>
    </row>
    <row r="34" spans="1:35" ht="15" x14ac:dyDescent="0.25">
      <c r="A34" s="90">
        <v>44712</v>
      </c>
      <c r="B34" s="257">
        <v>0</v>
      </c>
      <c r="C34" s="91">
        <f t="shared" si="6"/>
        <v>0</v>
      </c>
      <c r="D34" s="91">
        <f t="shared" si="0"/>
        <v>0</v>
      </c>
      <c r="E34" s="91">
        <f t="shared" si="12"/>
        <v>0</v>
      </c>
      <c r="F34" s="121">
        <f t="shared" si="13"/>
        <v>0</v>
      </c>
      <c r="G34" s="91">
        <f t="shared" si="7"/>
        <v>0</v>
      </c>
      <c r="H34" s="121">
        <f t="shared" si="7"/>
        <v>0</v>
      </c>
      <c r="I34" s="91">
        <f t="shared" si="8"/>
        <v>0</v>
      </c>
      <c r="J34" s="91">
        <f t="shared" si="8"/>
        <v>0</v>
      </c>
      <c r="K34" s="91">
        <f t="shared" si="9"/>
        <v>0</v>
      </c>
      <c r="L34" s="91">
        <f t="shared" si="10"/>
        <v>0</v>
      </c>
      <c r="M34" s="91">
        <f t="shared" si="11"/>
        <v>0</v>
      </c>
      <c r="N34" s="132"/>
      <c r="O34" s="123"/>
      <c r="P34" s="133">
        <v>10</v>
      </c>
      <c r="Q34" s="134">
        <f t="shared" si="1"/>
        <v>31</v>
      </c>
      <c r="R34" s="135">
        <v>45139</v>
      </c>
      <c r="S34" s="136">
        <f>+'E3950'!M49</f>
        <v>0</v>
      </c>
      <c r="T34" s="143">
        <f t="shared" si="2"/>
        <v>0</v>
      </c>
      <c r="U34" s="138">
        <f>V34-SUM($Q$26:Q34)+1</f>
        <v>123</v>
      </c>
      <c r="V34" s="139">
        <f t="shared" si="5"/>
        <v>365</v>
      </c>
      <c r="W34" s="136">
        <f t="shared" si="3"/>
        <v>0</v>
      </c>
      <c r="X34" s="140">
        <f t="shared" si="4"/>
        <v>0</v>
      </c>
      <c r="Y34" s="89"/>
      <c r="Z34" s="89"/>
      <c r="AA34" s="89"/>
    </row>
    <row r="35" spans="1:35" ht="15" x14ac:dyDescent="0.25">
      <c r="A35" s="90">
        <v>44742</v>
      </c>
      <c r="B35" s="257">
        <v>0</v>
      </c>
      <c r="C35" s="91">
        <f t="shared" si="6"/>
        <v>0</v>
      </c>
      <c r="D35" s="91">
        <f t="shared" si="0"/>
        <v>0</v>
      </c>
      <c r="E35" s="91">
        <f t="shared" si="12"/>
        <v>0</v>
      </c>
      <c r="F35" s="121">
        <f t="shared" si="13"/>
        <v>0</v>
      </c>
      <c r="G35" s="91">
        <f t="shared" si="7"/>
        <v>0</v>
      </c>
      <c r="H35" s="121">
        <f t="shared" si="7"/>
        <v>0</v>
      </c>
      <c r="I35" s="91">
        <f t="shared" si="8"/>
        <v>0</v>
      </c>
      <c r="J35" s="91">
        <f t="shared" si="8"/>
        <v>0</v>
      </c>
      <c r="K35" s="91">
        <f t="shared" si="9"/>
        <v>0</v>
      </c>
      <c r="L35" s="91">
        <f t="shared" si="10"/>
        <v>0</v>
      </c>
      <c r="M35" s="91">
        <f t="shared" si="11"/>
        <v>0</v>
      </c>
      <c r="N35" s="132"/>
      <c r="O35" s="123"/>
      <c r="P35" s="133">
        <v>11</v>
      </c>
      <c r="Q35" s="134">
        <f t="shared" si="1"/>
        <v>30</v>
      </c>
      <c r="R35" s="135">
        <v>45170</v>
      </c>
      <c r="S35" s="136">
        <f>+'E3950'!M50</f>
        <v>0</v>
      </c>
      <c r="T35" s="143">
        <f t="shared" si="2"/>
        <v>0</v>
      </c>
      <c r="U35" s="138">
        <f>V35-SUM($Q$26:Q35)+1</f>
        <v>93</v>
      </c>
      <c r="V35" s="139">
        <f t="shared" si="5"/>
        <v>365</v>
      </c>
      <c r="W35" s="136">
        <f t="shared" si="3"/>
        <v>0</v>
      </c>
      <c r="X35" s="140">
        <f t="shared" si="4"/>
        <v>0</v>
      </c>
      <c r="Y35" s="89"/>
      <c r="Z35" s="89"/>
      <c r="AA35" s="89"/>
    </row>
    <row r="36" spans="1:35" ht="15" x14ac:dyDescent="0.25">
      <c r="A36" s="90">
        <v>44773</v>
      </c>
      <c r="B36" s="257">
        <v>0</v>
      </c>
      <c r="C36" s="91">
        <f t="shared" si="6"/>
        <v>0</v>
      </c>
      <c r="D36" s="91">
        <f t="shared" si="0"/>
        <v>0</v>
      </c>
      <c r="E36" s="91">
        <f t="shared" si="12"/>
        <v>0</v>
      </c>
      <c r="F36" s="121">
        <f t="shared" si="13"/>
        <v>0</v>
      </c>
      <c r="G36" s="91">
        <f t="shared" si="7"/>
        <v>0</v>
      </c>
      <c r="H36" s="121">
        <f t="shared" si="7"/>
        <v>0</v>
      </c>
      <c r="I36" s="91">
        <f t="shared" si="8"/>
        <v>0</v>
      </c>
      <c r="J36" s="91">
        <f t="shared" si="8"/>
        <v>0</v>
      </c>
      <c r="K36" s="91">
        <f t="shared" si="9"/>
        <v>0</v>
      </c>
      <c r="L36" s="91">
        <f t="shared" si="10"/>
        <v>0</v>
      </c>
      <c r="M36" s="91">
        <f t="shared" si="11"/>
        <v>0</v>
      </c>
      <c r="N36" s="132"/>
      <c r="O36" s="123"/>
      <c r="P36" s="133">
        <v>12</v>
      </c>
      <c r="Q36" s="134">
        <f t="shared" si="1"/>
        <v>31</v>
      </c>
      <c r="R36" s="135">
        <v>45200</v>
      </c>
      <c r="S36" s="136">
        <f>+'E3950'!M51</f>
        <v>0</v>
      </c>
      <c r="T36" s="143">
        <f t="shared" si="2"/>
        <v>0</v>
      </c>
      <c r="U36" s="138">
        <f>V36-SUM($Q$26:Q36)+1</f>
        <v>62</v>
      </c>
      <c r="V36" s="139">
        <f t="shared" si="5"/>
        <v>365</v>
      </c>
      <c r="W36" s="136">
        <f t="shared" si="3"/>
        <v>0</v>
      </c>
      <c r="X36" s="140">
        <f t="shared" si="4"/>
        <v>0</v>
      </c>
      <c r="Y36" s="89"/>
      <c r="Z36" s="89"/>
      <c r="AA36" s="89"/>
    </row>
    <row r="37" spans="1:35" ht="15" x14ac:dyDescent="0.25">
      <c r="A37" s="90">
        <v>44804</v>
      </c>
      <c r="B37" s="257">
        <v>0</v>
      </c>
      <c r="C37" s="91">
        <f t="shared" si="6"/>
        <v>0</v>
      </c>
      <c r="D37" s="91">
        <f t="shared" si="0"/>
        <v>0</v>
      </c>
      <c r="E37" s="91">
        <f t="shared" si="12"/>
        <v>0</v>
      </c>
      <c r="F37" s="121">
        <f t="shared" si="13"/>
        <v>0</v>
      </c>
      <c r="G37" s="91">
        <f t="shared" si="7"/>
        <v>0</v>
      </c>
      <c r="H37" s="121">
        <f t="shared" si="7"/>
        <v>0</v>
      </c>
      <c r="I37" s="91">
        <f t="shared" si="8"/>
        <v>0</v>
      </c>
      <c r="J37" s="91">
        <f t="shared" si="8"/>
        <v>0</v>
      </c>
      <c r="K37" s="91">
        <f t="shared" si="9"/>
        <v>0</v>
      </c>
      <c r="L37" s="91">
        <f t="shared" si="10"/>
        <v>0</v>
      </c>
      <c r="M37" s="91">
        <f t="shared" si="11"/>
        <v>0</v>
      </c>
      <c r="N37" s="132"/>
      <c r="O37" s="123"/>
      <c r="P37" s="133">
        <v>13</v>
      </c>
      <c r="Q37" s="134">
        <f t="shared" si="1"/>
        <v>30</v>
      </c>
      <c r="R37" s="135">
        <v>45231</v>
      </c>
      <c r="S37" s="136">
        <f>+'E3950'!M52</f>
        <v>0</v>
      </c>
      <c r="T37" s="143">
        <f t="shared" si="2"/>
        <v>0</v>
      </c>
      <c r="U37" s="138">
        <f>V37-SUM($Q$26:Q37)+1</f>
        <v>32</v>
      </c>
      <c r="V37" s="139">
        <f t="shared" si="5"/>
        <v>365</v>
      </c>
      <c r="W37" s="136">
        <f t="shared" si="3"/>
        <v>0</v>
      </c>
      <c r="X37" s="140">
        <f t="shared" si="4"/>
        <v>0</v>
      </c>
      <c r="Y37" s="89"/>
      <c r="Z37" s="89"/>
      <c r="AA37" s="89"/>
    </row>
    <row r="38" spans="1:35" ht="15" x14ac:dyDescent="0.25">
      <c r="A38" s="90">
        <v>44834</v>
      </c>
      <c r="B38" s="257">
        <v>0</v>
      </c>
      <c r="C38" s="91">
        <f t="shared" si="6"/>
        <v>0</v>
      </c>
      <c r="D38" s="91">
        <f t="shared" si="0"/>
        <v>0</v>
      </c>
      <c r="E38" s="91">
        <f t="shared" si="12"/>
        <v>0</v>
      </c>
      <c r="F38" s="121">
        <f t="shared" si="13"/>
        <v>0</v>
      </c>
      <c r="G38" s="91">
        <f t="shared" si="7"/>
        <v>0</v>
      </c>
      <c r="H38" s="121">
        <f t="shared" si="7"/>
        <v>0</v>
      </c>
      <c r="I38" s="91">
        <f t="shared" si="8"/>
        <v>0</v>
      </c>
      <c r="J38" s="91">
        <f t="shared" si="8"/>
        <v>0</v>
      </c>
      <c r="K38" s="91">
        <f t="shared" si="9"/>
        <v>0</v>
      </c>
      <c r="L38" s="91">
        <f t="shared" si="10"/>
        <v>0</v>
      </c>
      <c r="M38" s="91">
        <f t="shared" si="11"/>
        <v>0</v>
      </c>
      <c r="N38" s="132"/>
      <c r="O38" s="151"/>
      <c r="P38" s="133">
        <v>14</v>
      </c>
      <c r="Q38" s="134">
        <f t="shared" si="1"/>
        <v>31</v>
      </c>
      <c r="R38" s="135">
        <v>45261</v>
      </c>
      <c r="S38" s="136">
        <f>+'E3950'!M53</f>
        <v>0</v>
      </c>
      <c r="T38" s="143">
        <f t="shared" si="2"/>
        <v>0</v>
      </c>
      <c r="U38" s="138">
        <f>V38-SUM($Q$26:Q38)+1</f>
        <v>1</v>
      </c>
      <c r="V38" s="139">
        <f t="shared" si="5"/>
        <v>365</v>
      </c>
      <c r="W38" s="136">
        <f t="shared" si="3"/>
        <v>0</v>
      </c>
      <c r="X38" s="140">
        <f t="shared" si="4"/>
        <v>0</v>
      </c>
      <c r="Y38" s="89"/>
      <c r="Z38" s="89"/>
      <c r="AA38" s="89"/>
    </row>
    <row r="39" spans="1:35" ht="15.75" thickBot="1" x14ac:dyDescent="0.3">
      <c r="A39" s="90">
        <v>44865</v>
      </c>
      <c r="B39" s="257">
        <v>0</v>
      </c>
      <c r="C39" s="91">
        <f t="shared" si="6"/>
        <v>0</v>
      </c>
      <c r="D39" s="91">
        <f t="shared" si="0"/>
        <v>0</v>
      </c>
      <c r="E39" s="91">
        <f t="shared" si="12"/>
        <v>0</v>
      </c>
      <c r="F39" s="121">
        <f t="shared" si="13"/>
        <v>0</v>
      </c>
      <c r="G39" s="91">
        <f t="shared" si="7"/>
        <v>0</v>
      </c>
      <c r="H39" s="121">
        <f t="shared" si="7"/>
        <v>0</v>
      </c>
      <c r="I39" s="91">
        <f t="shared" si="8"/>
        <v>0</v>
      </c>
      <c r="J39" s="91">
        <f t="shared" si="8"/>
        <v>0</v>
      </c>
      <c r="K39" s="91">
        <f t="shared" si="9"/>
        <v>0</v>
      </c>
      <c r="L39" s="91">
        <f t="shared" si="10"/>
        <v>0</v>
      </c>
      <c r="M39" s="91">
        <f t="shared" si="11"/>
        <v>0</v>
      </c>
      <c r="N39" s="132"/>
      <c r="O39" s="123"/>
      <c r="P39" s="133">
        <v>15</v>
      </c>
      <c r="Q39" s="152">
        <f>SUM(Q27:Q38)</f>
        <v>365</v>
      </c>
      <c r="R39" s="103"/>
      <c r="S39" s="153">
        <f>SUM(S27:S38)</f>
        <v>0</v>
      </c>
      <c r="T39" s="154">
        <f>+'E3950'!L53-T38</f>
        <v>0</v>
      </c>
      <c r="U39" s="102"/>
      <c r="V39" s="155"/>
      <c r="W39" s="153">
        <f>SUM(W27:W38)</f>
        <v>0</v>
      </c>
      <c r="X39" s="107"/>
      <c r="Y39" s="89"/>
      <c r="Z39" s="89"/>
      <c r="AA39" s="89"/>
    </row>
    <row r="40" spans="1:35" ht="16.5" thickTop="1" thickBot="1" x14ac:dyDescent="0.3">
      <c r="A40" s="90">
        <v>44895</v>
      </c>
      <c r="B40" s="257">
        <v>0</v>
      </c>
      <c r="C40" s="91">
        <f t="shared" si="6"/>
        <v>0</v>
      </c>
      <c r="D40" s="91">
        <f t="shared" si="0"/>
        <v>0</v>
      </c>
      <c r="E40" s="91">
        <f t="shared" si="12"/>
        <v>0</v>
      </c>
      <c r="F40" s="121">
        <f t="shared" si="13"/>
        <v>0</v>
      </c>
      <c r="G40" s="91">
        <f t="shared" si="7"/>
        <v>0</v>
      </c>
      <c r="H40" s="121">
        <f t="shared" si="7"/>
        <v>0</v>
      </c>
      <c r="I40" s="91">
        <f t="shared" si="8"/>
        <v>0</v>
      </c>
      <c r="J40" s="91">
        <f t="shared" si="8"/>
        <v>0</v>
      </c>
      <c r="K40" s="91">
        <f t="shared" si="9"/>
        <v>0</v>
      </c>
      <c r="L40" s="91">
        <f t="shared" si="10"/>
        <v>0</v>
      </c>
      <c r="M40" s="91">
        <f t="shared" si="11"/>
        <v>0</v>
      </c>
      <c r="N40" s="132"/>
      <c r="O40" s="144"/>
      <c r="P40" s="133">
        <v>16</v>
      </c>
      <c r="Q40" s="103"/>
      <c r="R40" s="156"/>
      <c r="S40" s="157"/>
      <c r="T40" s="137"/>
      <c r="U40" s="102"/>
      <c r="V40" s="103"/>
      <c r="W40" s="158"/>
      <c r="X40" s="107"/>
      <c r="Y40" s="89"/>
      <c r="Z40" s="89"/>
      <c r="AA40" s="89"/>
    </row>
    <row r="41" spans="1:35" ht="15.75" thickBot="1" x14ac:dyDescent="0.3">
      <c r="A41" s="90">
        <v>44926</v>
      </c>
      <c r="B41" s="257">
        <v>0</v>
      </c>
      <c r="C41" s="91">
        <f t="shared" si="6"/>
        <v>0</v>
      </c>
      <c r="D41" s="258">
        <f t="shared" si="0"/>
        <v>0</v>
      </c>
      <c r="E41" s="91">
        <f t="shared" si="12"/>
        <v>0</v>
      </c>
      <c r="F41" s="121">
        <f t="shared" si="13"/>
        <v>0</v>
      </c>
      <c r="G41" s="91">
        <f t="shared" si="7"/>
        <v>0</v>
      </c>
      <c r="H41" s="121">
        <f t="shared" si="7"/>
        <v>0</v>
      </c>
      <c r="I41" s="91">
        <f t="shared" si="8"/>
        <v>0</v>
      </c>
      <c r="J41" s="91">
        <f t="shared" si="8"/>
        <v>0</v>
      </c>
      <c r="K41" s="91">
        <f t="shared" si="9"/>
        <v>0</v>
      </c>
      <c r="L41" s="91">
        <f t="shared" si="10"/>
        <v>0</v>
      </c>
      <c r="M41" s="91">
        <f t="shared" si="11"/>
        <v>0</v>
      </c>
      <c r="N41" s="145"/>
      <c r="O41" s="146"/>
      <c r="P41" s="133">
        <v>17</v>
      </c>
      <c r="Q41" s="103" t="s">
        <v>102</v>
      </c>
      <c r="R41" s="103"/>
      <c r="S41" s="136"/>
      <c r="T41" s="159">
        <f>(T26+T38+SUM(T27:T37)*2)/24</f>
        <v>0</v>
      </c>
      <c r="U41" s="102"/>
      <c r="V41" s="103"/>
      <c r="W41" s="160" t="s">
        <v>103</v>
      </c>
      <c r="X41" s="161">
        <f>X38</f>
        <v>0</v>
      </c>
      <c r="Y41" s="89"/>
      <c r="Z41" s="89"/>
      <c r="AA41" s="89"/>
    </row>
    <row r="42" spans="1:35" ht="16.5" thickTop="1" thickBot="1" x14ac:dyDescent="0.3">
      <c r="A42" s="147">
        <v>44957</v>
      </c>
      <c r="B42" s="256">
        <v>0</v>
      </c>
      <c r="C42" s="148">
        <f t="shared" si="6"/>
        <v>0</v>
      </c>
      <c r="D42" s="91">
        <f t="shared" si="0"/>
        <v>0</v>
      </c>
      <c r="E42" s="148">
        <f>(($C$29*$E$9/12)+(($C$41-$C$29)*$D$9/12)+(($C$53-$C$41)*$C$9/12))</f>
        <v>0</v>
      </c>
      <c r="F42" s="149">
        <f>+(D41*$F$13/12)+(((D42-D41)*$F$13/12)*0.5)</f>
        <v>0</v>
      </c>
      <c r="G42" s="148">
        <f t="shared" si="7"/>
        <v>0</v>
      </c>
      <c r="H42" s="149">
        <f t="shared" si="7"/>
        <v>0</v>
      </c>
      <c r="I42" s="148">
        <f t="shared" si="8"/>
        <v>0</v>
      </c>
      <c r="J42" s="148">
        <f t="shared" si="8"/>
        <v>0</v>
      </c>
      <c r="K42" s="148">
        <f t="shared" si="9"/>
        <v>0</v>
      </c>
      <c r="L42" s="148">
        <f t="shared" si="10"/>
        <v>0</v>
      </c>
      <c r="M42" s="148">
        <f t="shared" si="11"/>
        <v>0</v>
      </c>
      <c r="N42" s="132"/>
      <c r="O42" s="123"/>
      <c r="P42" s="162">
        <v>18</v>
      </c>
      <c r="Q42" s="163"/>
      <c r="R42" s="163"/>
      <c r="S42" s="164"/>
      <c r="T42" s="165"/>
      <c r="U42" s="166"/>
      <c r="V42" s="163"/>
      <c r="W42" s="163"/>
      <c r="X42" s="167"/>
      <c r="Y42" s="89"/>
      <c r="Z42" s="89"/>
      <c r="AA42" s="89"/>
    </row>
    <row r="43" spans="1:35" ht="15.75" thickBot="1" x14ac:dyDescent="0.3">
      <c r="A43" s="90">
        <v>44985</v>
      </c>
      <c r="B43" s="257">
        <v>0</v>
      </c>
      <c r="C43" s="91">
        <f t="shared" si="6"/>
        <v>0</v>
      </c>
      <c r="D43" s="91">
        <f t="shared" si="0"/>
        <v>0</v>
      </c>
      <c r="E43" s="91">
        <f t="shared" ref="E43:E53" si="14">(($C$29*$E$9/12)+(($C$41-$C$29)*$D$9/12)+(($C$53-$C$41)*$C$9/12))</f>
        <v>0</v>
      </c>
      <c r="F43" s="121">
        <f>+(D42*$F$13/12)+(((D43-D42)*$F$13/12)*0.5)</f>
        <v>0</v>
      </c>
      <c r="G43" s="91">
        <f t="shared" si="7"/>
        <v>0</v>
      </c>
      <c r="H43" s="121">
        <f t="shared" si="7"/>
        <v>0</v>
      </c>
      <c r="I43" s="91">
        <f t="shared" si="8"/>
        <v>0</v>
      </c>
      <c r="J43" s="91">
        <f t="shared" si="8"/>
        <v>0</v>
      </c>
      <c r="K43" s="91">
        <f t="shared" si="9"/>
        <v>0</v>
      </c>
      <c r="L43" s="91">
        <f t="shared" si="10"/>
        <v>0</v>
      </c>
      <c r="M43" s="91">
        <f t="shared" si="11"/>
        <v>0</v>
      </c>
      <c r="N43" s="132"/>
      <c r="O43" s="123"/>
      <c r="P43" s="168"/>
      <c r="Q43" s="168"/>
      <c r="R43" s="168"/>
      <c r="S43" s="168"/>
      <c r="T43" s="168"/>
      <c r="U43" s="168"/>
      <c r="V43" s="168"/>
      <c r="W43" s="168"/>
      <c r="X43" s="168"/>
      <c r="Y43" s="89"/>
      <c r="Z43" s="89"/>
      <c r="AA43" s="89"/>
      <c r="AB43" s="169"/>
      <c r="AC43" s="169"/>
      <c r="AD43" s="169"/>
      <c r="AE43" s="169"/>
      <c r="AF43" s="169"/>
      <c r="AG43" s="169"/>
      <c r="AH43" s="169"/>
      <c r="AI43" s="169"/>
    </row>
    <row r="44" spans="1:35" ht="15" x14ac:dyDescent="0.25">
      <c r="A44" s="90">
        <v>45016</v>
      </c>
      <c r="B44" s="257">
        <v>0</v>
      </c>
      <c r="C44" s="91">
        <f t="shared" si="6"/>
        <v>0</v>
      </c>
      <c r="D44" s="91">
        <f t="shared" si="0"/>
        <v>0</v>
      </c>
      <c r="E44" s="91">
        <f t="shared" si="14"/>
        <v>0</v>
      </c>
      <c r="F44" s="121">
        <f t="shared" ref="F44:F77" si="15">+(D43*$F$13/12)+(((D44-D43)*$F$13/12)*0.5)</f>
        <v>0</v>
      </c>
      <c r="G44" s="91">
        <f t="shared" si="7"/>
        <v>0</v>
      </c>
      <c r="H44" s="121">
        <f t="shared" si="7"/>
        <v>0</v>
      </c>
      <c r="I44" s="91">
        <f t="shared" si="8"/>
        <v>0</v>
      </c>
      <c r="J44" s="91">
        <f t="shared" si="8"/>
        <v>0</v>
      </c>
      <c r="K44" s="91">
        <f t="shared" si="9"/>
        <v>0</v>
      </c>
      <c r="L44" s="91">
        <f t="shared" si="10"/>
        <v>0</v>
      </c>
      <c r="M44" s="91">
        <f t="shared" si="11"/>
        <v>0</v>
      </c>
      <c r="N44" s="132"/>
      <c r="O44" s="123"/>
      <c r="P44" s="92"/>
      <c r="Q44" s="93" t="s">
        <v>104</v>
      </c>
      <c r="R44" s="94"/>
      <c r="S44" s="94"/>
      <c r="T44" s="94"/>
      <c r="U44" s="94"/>
      <c r="V44" s="94"/>
      <c r="W44" s="94"/>
      <c r="X44" s="95"/>
      <c r="Y44" s="89"/>
      <c r="Z44" s="89"/>
      <c r="AA44" s="89"/>
      <c r="AB44" s="169"/>
      <c r="AC44" s="169"/>
      <c r="AD44" s="169"/>
      <c r="AE44" s="169"/>
      <c r="AF44" s="169"/>
      <c r="AG44" s="169"/>
      <c r="AH44" s="169"/>
      <c r="AI44" s="169"/>
    </row>
    <row r="45" spans="1:35" ht="15" x14ac:dyDescent="0.25">
      <c r="A45" s="90">
        <v>45046</v>
      </c>
      <c r="B45" s="257">
        <v>0</v>
      </c>
      <c r="C45" s="91">
        <f t="shared" si="6"/>
        <v>0</v>
      </c>
      <c r="D45" s="91">
        <f t="shared" si="0"/>
        <v>0</v>
      </c>
      <c r="E45" s="91">
        <f t="shared" si="14"/>
        <v>0</v>
      </c>
      <c r="F45" s="121">
        <f t="shared" si="15"/>
        <v>0</v>
      </c>
      <c r="G45" s="91">
        <f t="shared" si="7"/>
        <v>0</v>
      </c>
      <c r="H45" s="121">
        <f t="shared" si="7"/>
        <v>0</v>
      </c>
      <c r="I45" s="91">
        <f t="shared" si="8"/>
        <v>0</v>
      </c>
      <c r="J45" s="91">
        <f t="shared" si="8"/>
        <v>0</v>
      </c>
      <c r="K45" s="91">
        <f t="shared" si="9"/>
        <v>0</v>
      </c>
      <c r="L45" s="91">
        <f t="shared" si="10"/>
        <v>0</v>
      </c>
      <c r="M45" s="91">
        <f t="shared" si="11"/>
        <v>0</v>
      </c>
      <c r="N45" s="132"/>
      <c r="O45" s="91"/>
      <c r="P45" s="96"/>
      <c r="Q45" s="97"/>
      <c r="R45" s="98" t="s">
        <v>73</v>
      </c>
      <c r="S45" s="98"/>
      <c r="T45" s="99"/>
      <c r="U45" s="100" t="s">
        <v>74</v>
      </c>
      <c r="V45" s="98"/>
      <c r="W45" s="98"/>
      <c r="X45" s="101"/>
      <c r="Y45" s="89"/>
      <c r="Z45" s="89"/>
      <c r="AA45" s="89"/>
      <c r="AB45" s="169"/>
      <c r="AC45" s="169"/>
      <c r="AD45" s="169"/>
      <c r="AE45" s="169"/>
      <c r="AF45" s="169"/>
      <c r="AG45" s="169"/>
      <c r="AH45" s="169"/>
      <c r="AI45" s="169"/>
    </row>
    <row r="46" spans="1:35" ht="15" x14ac:dyDescent="0.25">
      <c r="A46" s="90">
        <v>45077</v>
      </c>
      <c r="B46" s="257">
        <v>0</v>
      </c>
      <c r="C46" s="91">
        <f t="shared" si="6"/>
        <v>0</v>
      </c>
      <c r="D46" s="91">
        <f t="shared" si="0"/>
        <v>0</v>
      </c>
      <c r="E46" s="91">
        <f t="shared" si="14"/>
        <v>0</v>
      </c>
      <c r="F46" s="121">
        <f t="shared" si="15"/>
        <v>0</v>
      </c>
      <c r="G46" s="91">
        <f t="shared" ref="G46:H61" si="16">-E46+G45</f>
        <v>0</v>
      </c>
      <c r="H46" s="121">
        <f t="shared" si="16"/>
        <v>0</v>
      </c>
      <c r="I46" s="91">
        <f t="shared" ref="I46:J61" si="17">C46+G46</f>
        <v>0</v>
      </c>
      <c r="J46" s="91">
        <f t="shared" si="17"/>
        <v>0</v>
      </c>
      <c r="K46" s="91">
        <f t="shared" si="9"/>
        <v>0</v>
      </c>
      <c r="L46" s="91">
        <f t="shared" si="10"/>
        <v>0</v>
      </c>
      <c r="M46" s="91">
        <f t="shared" si="11"/>
        <v>0</v>
      </c>
      <c r="N46" s="132"/>
      <c r="O46" s="121"/>
      <c r="P46" s="96"/>
      <c r="Q46" s="102"/>
      <c r="R46" s="103"/>
      <c r="S46" s="103"/>
      <c r="T46" s="104" t="s">
        <v>75</v>
      </c>
      <c r="U46" s="105"/>
      <c r="V46" s="106"/>
      <c r="W46" s="106"/>
      <c r="X46" s="107"/>
      <c r="Y46" s="89"/>
      <c r="Z46" s="89"/>
      <c r="AA46" s="89"/>
      <c r="AB46" s="169"/>
      <c r="AC46" s="169"/>
      <c r="AD46" s="169"/>
      <c r="AE46" s="169"/>
      <c r="AF46" s="169"/>
      <c r="AG46" s="169"/>
      <c r="AH46" s="169"/>
      <c r="AI46" s="169"/>
    </row>
    <row r="47" spans="1:35" ht="15" x14ac:dyDescent="0.25">
      <c r="A47" s="90">
        <v>45107</v>
      </c>
      <c r="B47" s="257">
        <v>0</v>
      </c>
      <c r="C47" s="91">
        <f t="shared" si="6"/>
        <v>0</v>
      </c>
      <c r="D47" s="91">
        <f t="shared" si="0"/>
        <v>0</v>
      </c>
      <c r="E47" s="91">
        <f t="shared" si="14"/>
        <v>0</v>
      </c>
      <c r="F47" s="121">
        <f t="shared" si="15"/>
        <v>0</v>
      </c>
      <c r="G47" s="91">
        <f t="shared" si="16"/>
        <v>0</v>
      </c>
      <c r="H47" s="121">
        <f t="shared" si="16"/>
        <v>0</v>
      </c>
      <c r="I47" s="91">
        <f t="shared" si="17"/>
        <v>0</v>
      </c>
      <c r="J47" s="91">
        <f t="shared" si="17"/>
        <v>0</v>
      </c>
      <c r="K47" s="91">
        <f t="shared" si="9"/>
        <v>0</v>
      </c>
      <c r="L47" s="91">
        <f t="shared" si="10"/>
        <v>0</v>
      </c>
      <c r="M47" s="91">
        <f t="shared" si="11"/>
        <v>0</v>
      </c>
      <c r="N47" s="132"/>
      <c r="O47" s="123"/>
      <c r="P47" s="96" t="s">
        <v>76</v>
      </c>
      <c r="Q47" s="108" t="s">
        <v>77</v>
      </c>
      <c r="R47" s="109" t="s">
        <v>78</v>
      </c>
      <c r="S47" s="109" t="s">
        <v>79</v>
      </c>
      <c r="T47" s="104" t="s">
        <v>80</v>
      </c>
      <c r="U47" s="108" t="s">
        <v>81</v>
      </c>
      <c r="V47" s="109" t="s">
        <v>82</v>
      </c>
      <c r="W47" s="109" t="s">
        <v>83</v>
      </c>
      <c r="X47" s="110" t="s">
        <v>84</v>
      </c>
      <c r="Y47" s="89"/>
      <c r="Z47" s="89"/>
      <c r="AA47" s="89"/>
      <c r="AB47" s="169"/>
      <c r="AC47" s="169"/>
      <c r="AD47" s="169"/>
      <c r="AE47" s="169"/>
      <c r="AF47" s="169"/>
      <c r="AG47" s="169"/>
      <c r="AH47" s="169"/>
      <c r="AI47" s="169"/>
    </row>
    <row r="48" spans="1:35" ht="15" x14ac:dyDescent="0.25">
      <c r="A48" s="90">
        <v>45138</v>
      </c>
      <c r="B48" s="257">
        <v>0</v>
      </c>
      <c r="C48" s="91">
        <f t="shared" si="6"/>
        <v>0</v>
      </c>
      <c r="D48" s="91">
        <f t="shared" si="0"/>
        <v>0</v>
      </c>
      <c r="E48" s="91">
        <f t="shared" si="14"/>
        <v>0</v>
      </c>
      <c r="F48" s="121">
        <f t="shared" si="15"/>
        <v>0</v>
      </c>
      <c r="G48" s="91">
        <f t="shared" si="16"/>
        <v>0</v>
      </c>
      <c r="H48" s="121">
        <f t="shared" si="16"/>
        <v>0</v>
      </c>
      <c r="I48" s="91">
        <f t="shared" si="17"/>
        <v>0</v>
      </c>
      <c r="J48" s="91">
        <f t="shared" si="17"/>
        <v>0</v>
      </c>
      <c r="K48" s="91">
        <f t="shared" si="9"/>
        <v>0</v>
      </c>
      <c r="L48" s="91">
        <f t="shared" si="10"/>
        <v>0</v>
      </c>
      <c r="M48" s="91">
        <f t="shared" si="11"/>
        <v>0</v>
      </c>
      <c r="N48" s="132"/>
      <c r="O48" s="123"/>
      <c r="P48" s="96"/>
      <c r="Q48" s="111" t="s">
        <v>78</v>
      </c>
      <c r="R48" s="112" t="s">
        <v>85</v>
      </c>
      <c r="S48" s="112" t="s">
        <v>2</v>
      </c>
      <c r="T48" s="113" t="s">
        <v>86</v>
      </c>
      <c r="U48" s="111" t="s">
        <v>87</v>
      </c>
      <c r="V48" s="112" t="s">
        <v>88</v>
      </c>
      <c r="W48" s="112" t="s">
        <v>89</v>
      </c>
      <c r="X48" s="114" t="s">
        <v>90</v>
      </c>
      <c r="Y48" s="89"/>
      <c r="Z48" s="89"/>
      <c r="AA48" s="89"/>
      <c r="AB48" s="169"/>
      <c r="AC48" s="169"/>
      <c r="AD48" s="169"/>
      <c r="AE48" s="169"/>
      <c r="AF48" s="169"/>
      <c r="AG48" s="169"/>
      <c r="AH48" s="169"/>
      <c r="AI48" s="169"/>
    </row>
    <row r="49" spans="1:35" ht="15" x14ac:dyDescent="0.25">
      <c r="A49" s="90">
        <v>45169</v>
      </c>
      <c r="B49" s="257">
        <v>0</v>
      </c>
      <c r="C49" s="91">
        <f t="shared" si="6"/>
        <v>0</v>
      </c>
      <c r="D49" s="91">
        <f t="shared" si="0"/>
        <v>0</v>
      </c>
      <c r="E49" s="91">
        <f t="shared" si="14"/>
        <v>0</v>
      </c>
      <c r="F49" s="121">
        <f t="shared" si="15"/>
        <v>0</v>
      </c>
      <c r="G49" s="91">
        <f t="shared" si="16"/>
        <v>0</v>
      </c>
      <c r="H49" s="121">
        <f t="shared" si="16"/>
        <v>0</v>
      </c>
      <c r="I49" s="91">
        <f t="shared" si="17"/>
        <v>0</v>
      </c>
      <c r="J49" s="91">
        <f t="shared" si="17"/>
        <v>0</v>
      </c>
      <c r="K49" s="91">
        <f t="shared" si="9"/>
        <v>0</v>
      </c>
      <c r="L49" s="91">
        <f t="shared" si="10"/>
        <v>0</v>
      </c>
      <c r="M49" s="91">
        <f t="shared" si="11"/>
        <v>0</v>
      </c>
      <c r="N49" s="132"/>
      <c r="O49" s="91"/>
      <c r="P49" s="96"/>
      <c r="Q49" s="115" t="s">
        <v>91</v>
      </c>
      <c r="R49" s="116" t="s">
        <v>92</v>
      </c>
      <c r="S49" s="117" t="s">
        <v>93</v>
      </c>
      <c r="T49" s="118" t="s">
        <v>94</v>
      </c>
      <c r="U49" s="115" t="s">
        <v>95</v>
      </c>
      <c r="V49" s="119" t="s">
        <v>96</v>
      </c>
      <c r="W49" s="109" t="s">
        <v>97</v>
      </c>
      <c r="X49" s="120" t="s">
        <v>98</v>
      </c>
      <c r="Y49" s="89"/>
      <c r="Z49" s="89"/>
      <c r="AA49" s="89"/>
      <c r="AB49" s="169"/>
      <c r="AC49" s="169"/>
      <c r="AD49" s="169"/>
      <c r="AE49" s="169"/>
      <c r="AF49" s="169"/>
      <c r="AG49" s="169"/>
      <c r="AH49" s="169"/>
      <c r="AI49" s="169"/>
    </row>
    <row r="50" spans="1:35" ht="15" x14ac:dyDescent="0.25">
      <c r="A50" s="90">
        <v>45199</v>
      </c>
      <c r="B50" s="257">
        <v>0</v>
      </c>
      <c r="C50" s="91">
        <f t="shared" si="6"/>
        <v>0</v>
      </c>
      <c r="D50" s="91">
        <f t="shared" si="0"/>
        <v>0</v>
      </c>
      <c r="E50" s="91">
        <f t="shared" si="14"/>
        <v>0</v>
      </c>
      <c r="F50" s="121">
        <f t="shared" si="15"/>
        <v>0</v>
      </c>
      <c r="G50" s="91">
        <f t="shared" si="16"/>
        <v>0</v>
      </c>
      <c r="H50" s="121">
        <f t="shared" si="16"/>
        <v>0</v>
      </c>
      <c r="I50" s="91">
        <f t="shared" si="17"/>
        <v>0</v>
      </c>
      <c r="J50" s="91">
        <f t="shared" si="17"/>
        <v>0</v>
      </c>
      <c r="K50" s="91">
        <f t="shared" si="9"/>
        <v>0</v>
      </c>
      <c r="L50" s="91">
        <f t="shared" si="10"/>
        <v>0</v>
      </c>
      <c r="M50" s="91">
        <f t="shared" si="11"/>
        <v>0</v>
      </c>
      <c r="N50" s="132"/>
      <c r="O50" s="91"/>
      <c r="P50" s="124"/>
      <c r="Q50" s="125"/>
      <c r="R50" s="126"/>
      <c r="S50" s="127"/>
      <c r="T50" s="128" t="s">
        <v>99</v>
      </c>
      <c r="U50" s="125" t="s">
        <v>100</v>
      </c>
      <c r="V50" s="129"/>
      <c r="W50" s="130"/>
      <c r="X50" s="170" t="s">
        <v>101</v>
      </c>
      <c r="Y50" s="89"/>
      <c r="Z50" s="89"/>
      <c r="AA50" s="89"/>
      <c r="AB50" s="169"/>
      <c r="AC50" s="169"/>
      <c r="AD50" s="169"/>
      <c r="AE50" s="169"/>
      <c r="AF50" s="169"/>
      <c r="AG50" s="169"/>
      <c r="AH50" s="169"/>
      <c r="AI50" s="169"/>
    </row>
    <row r="51" spans="1:35" ht="15" x14ac:dyDescent="0.25">
      <c r="A51" s="90">
        <v>45230</v>
      </c>
      <c r="B51" s="257">
        <v>0</v>
      </c>
      <c r="C51" s="91">
        <f t="shared" si="6"/>
        <v>0</v>
      </c>
      <c r="D51" s="91">
        <f t="shared" si="0"/>
        <v>0</v>
      </c>
      <c r="E51" s="91">
        <f t="shared" si="14"/>
        <v>0</v>
      </c>
      <c r="F51" s="121">
        <f t="shared" si="15"/>
        <v>0</v>
      </c>
      <c r="G51" s="91">
        <f t="shared" si="16"/>
        <v>0</v>
      </c>
      <c r="H51" s="121">
        <f t="shared" si="16"/>
        <v>0</v>
      </c>
      <c r="I51" s="91">
        <f t="shared" si="17"/>
        <v>0</v>
      </c>
      <c r="J51" s="91">
        <f t="shared" si="17"/>
        <v>0</v>
      </c>
      <c r="K51" s="91">
        <f t="shared" si="9"/>
        <v>0</v>
      </c>
      <c r="L51" s="91">
        <f t="shared" si="10"/>
        <v>0</v>
      </c>
      <c r="M51" s="91">
        <f t="shared" si="11"/>
        <v>0</v>
      </c>
      <c r="N51" s="132"/>
      <c r="O51" s="91"/>
      <c r="P51" s="133">
        <v>1</v>
      </c>
      <c r="Q51" s="134"/>
      <c r="R51" s="135"/>
      <c r="S51" s="136"/>
      <c r="T51" s="137"/>
      <c r="U51" s="138"/>
      <c r="V51" s="139"/>
      <c r="W51" s="136"/>
      <c r="X51" s="171"/>
      <c r="Y51" s="89"/>
      <c r="Z51" s="89"/>
      <c r="AA51" s="89"/>
      <c r="AB51" s="169"/>
      <c r="AC51" s="169"/>
      <c r="AD51" s="169"/>
      <c r="AE51" s="169"/>
      <c r="AF51" s="169"/>
      <c r="AG51" s="169"/>
      <c r="AH51" s="169"/>
      <c r="AI51" s="169"/>
    </row>
    <row r="52" spans="1:35" ht="15" x14ac:dyDescent="0.25">
      <c r="A52" s="90">
        <v>45260</v>
      </c>
      <c r="B52" s="257">
        <v>0</v>
      </c>
      <c r="C52" s="91">
        <f t="shared" si="6"/>
        <v>0</v>
      </c>
      <c r="D52" s="91">
        <f t="shared" si="0"/>
        <v>0</v>
      </c>
      <c r="E52" s="91">
        <f t="shared" si="14"/>
        <v>0</v>
      </c>
      <c r="F52" s="121">
        <f t="shared" si="15"/>
        <v>0</v>
      </c>
      <c r="G52" s="91">
        <f t="shared" si="16"/>
        <v>0</v>
      </c>
      <c r="H52" s="121">
        <f t="shared" si="16"/>
        <v>0</v>
      </c>
      <c r="I52" s="91">
        <f t="shared" si="17"/>
        <v>0</v>
      </c>
      <c r="J52" s="91">
        <f t="shared" si="17"/>
        <v>0</v>
      </c>
      <c r="K52" s="91">
        <f t="shared" si="9"/>
        <v>0</v>
      </c>
      <c r="L52" s="91">
        <f t="shared" si="10"/>
        <v>0</v>
      </c>
      <c r="M52" s="91">
        <f t="shared" si="11"/>
        <v>0</v>
      </c>
      <c r="N52" s="132"/>
      <c r="O52" s="91"/>
      <c r="P52" s="133">
        <v>2</v>
      </c>
      <c r="Q52" s="134"/>
      <c r="R52" s="135">
        <v>45291</v>
      </c>
      <c r="S52" s="136">
        <f>+'E3950'!M53</f>
        <v>0</v>
      </c>
      <c r="T52" s="141">
        <f>+'E3950'!L53</f>
        <v>0</v>
      </c>
      <c r="U52" s="138"/>
      <c r="V52" s="139"/>
      <c r="W52" s="136"/>
      <c r="X52" s="142">
        <f>T52</f>
        <v>0</v>
      </c>
      <c r="Y52" s="89"/>
      <c r="Z52" s="89"/>
      <c r="AA52" s="89"/>
      <c r="AB52" s="169"/>
      <c r="AC52" s="169"/>
      <c r="AD52" s="169"/>
      <c r="AE52" s="169"/>
      <c r="AF52" s="169"/>
      <c r="AG52" s="169"/>
      <c r="AH52" s="169"/>
      <c r="AI52" s="169"/>
    </row>
    <row r="53" spans="1:35" ht="15" x14ac:dyDescent="0.25">
      <c r="A53" s="90">
        <v>45291</v>
      </c>
      <c r="B53" s="257">
        <v>0</v>
      </c>
      <c r="C53" s="91">
        <f t="shared" si="6"/>
        <v>0</v>
      </c>
      <c r="D53" s="258">
        <f t="shared" si="0"/>
        <v>0</v>
      </c>
      <c r="E53" s="91">
        <f t="shared" si="14"/>
        <v>0</v>
      </c>
      <c r="F53" s="121">
        <f t="shared" si="15"/>
        <v>0</v>
      </c>
      <c r="G53" s="91">
        <f t="shared" si="16"/>
        <v>0</v>
      </c>
      <c r="H53" s="121">
        <f t="shared" si="16"/>
        <v>0</v>
      </c>
      <c r="I53" s="91">
        <f t="shared" si="17"/>
        <v>0</v>
      </c>
      <c r="J53" s="91">
        <f t="shared" si="17"/>
        <v>0</v>
      </c>
      <c r="K53" s="91">
        <f t="shared" si="9"/>
        <v>0</v>
      </c>
      <c r="L53" s="91">
        <f t="shared" si="10"/>
        <v>0</v>
      </c>
      <c r="M53" s="91">
        <f t="shared" si="11"/>
        <v>0</v>
      </c>
      <c r="N53" s="132"/>
      <c r="O53" s="91"/>
      <c r="P53" s="133">
        <v>3</v>
      </c>
      <c r="Q53" s="134">
        <f t="shared" ref="Q53:Q64" si="18">DAY(EOMONTH(R53,0))</f>
        <v>31</v>
      </c>
      <c r="R53" s="135">
        <v>45292</v>
      </c>
      <c r="S53" s="136">
        <f>+'E3950'!M54</f>
        <v>1521.3908746697186</v>
      </c>
      <c r="T53" s="143">
        <f t="shared" ref="T53:T64" si="19">+T52-S53</f>
        <v>-1521.3908746697186</v>
      </c>
      <c r="U53" s="138">
        <f>V53-SUM(Q$52:$Q53)+1</f>
        <v>336</v>
      </c>
      <c r="V53" s="139">
        <f>Q65</f>
        <v>366</v>
      </c>
      <c r="W53" s="136">
        <f t="shared" ref="W53:W64" si="20">+U53/V53*S53</f>
        <v>1396.6867046148236</v>
      </c>
      <c r="X53" s="140">
        <f t="shared" ref="X53:X64" si="21">+X52-W53</f>
        <v>-1396.6867046148236</v>
      </c>
      <c r="Y53" s="89"/>
      <c r="Z53" s="89"/>
      <c r="AA53" s="89"/>
      <c r="AB53" s="169"/>
      <c r="AC53" s="169"/>
      <c r="AD53" s="169"/>
      <c r="AE53" s="169"/>
      <c r="AF53" s="169"/>
      <c r="AG53" s="169"/>
      <c r="AH53" s="169"/>
      <c r="AI53" s="169"/>
    </row>
    <row r="54" spans="1:35" ht="15" x14ac:dyDescent="0.25">
      <c r="A54" s="147">
        <v>45322</v>
      </c>
      <c r="B54" s="256">
        <v>51370.355665020936</v>
      </c>
      <c r="C54" s="148">
        <f t="shared" si="6"/>
        <v>51370.355665020936</v>
      </c>
      <c r="D54" s="91">
        <f t="shared" si="0"/>
        <v>51370.355665020936</v>
      </c>
      <c r="E54" s="148">
        <f t="shared" ref="E54:E64" si="22">($C$29*$F$9+($C$41-$C$29)*$E$9+($C$53-$C$41)*$D$9+($C$65-$C$53)*$C$9)/12</f>
        <v>7340.8238245314924</v>
      </c>
      <c r="F54" s="149">
        <f t="shared" si="15"/>
        <v>96.105373723309995</v>
      </c>
      <c r="G54" s="148">
        <f t="shared" si="16"/>
        <v>-7340.8238245314924</v>
      </c>
      <c r="H54" s="149">
        <f t="shared" si="16"/>
        <v>-96.105373723309995</v>
      </c>
      <c r="I54" s="148">
        <f t="shared" si="17"/>
        <v>44029.531840489442</v>
      </c>
      <c r="J54" s="148">
        <f t="shared" si="17"/>
        <v>51274.250291297627</v>
      </c>
      <c r="K54" s="148">
        <f t="shared" si="9"/>
        <v>7244.7184508081846</v>
      </c>
      <c r="L54" s="148">
        <f t="shared" si="10"/>
        <v>-1521.3908746697186</v>
      </c>
      <c r="M54" s="148">
        <f t="shared" si="11"/>
        <v>1521.3908746697186</v>
      </c>
      <c r="N54" s="132"/>
      <c r="O54" s="91"/>
      <c r="P54" s="133">
        <v>4</v>
      </c>
      <c r="Q54" s="134">
        <f t="shared" si="18"/>
        <v>29</v>
      </c>
      <c r="R54" s="135">
        <v>45323</v>
      </c>
      <c r="S54" s="136">
        <f>+'E3950'!M55</f>
        <v>1481.0266177059291</v>
      </c>
      <c r="T54" s="143">
        <f t="shared" si="19"/>
        <v>-3002.4174923756477</v>
      </c>
      <c r="U54" s="138">
        <f>V54-SUM(Q$52:$Q54)+1</f>
        <v>307</v>
      </c>
      <c r="V54" s="139">
        <f t="shared" ref="V54:V64" si="23">V53</f>
        <v>366</v>
      </c>
      <c r="W54" s="136">
        <f t="shared" si="20"/>
        <v>1242.2818897150826</v>
      </c>
      <c r="X54" s="140">
        <f t="shared" si="21"/>
        <v>-2638.9685943299064</v>
      </c>
      <c r="Y54" s="89"/>
      <c r="Z54" s="89"/>
      <c r="AA54" s="89"/>
      <c r="AB54" s="169"/>
      <c r="AC54" s="169"/>
      <c r="AD54" s="169"/>
      <c r="AE54" s="169"/>
      <c r="AF54" s="169"/>
      <c r="AG54" s="169"/>
      <c r="AH54" s="169"/>
      <c r="AI54" s="169"/>
    </row>
    <row r="55" spans="1:35" ht="15" x14ac:dyDescent="0.25">
      <c r="A55" s="90">
        <v>45351</v>
      </c>
      <c r="B55" s="257">
        <v>51370.355665020936</v>
      </c>
      <c r="C55" s="91">
        <f t="shared" si="6"/>
        <v>102740.71133004187</v>
      </c>
      <c r="D55" s="91">
        <f t="shared" si="0"/>
        <v>102740.71133004187</v>
      </c>
      <c r="E55" s="91">
        <f t="shared" si="22"/>
        <v>7340.8238245314924</v>
      </c>
      <c r="F55" s="121">
        <f t="shared" si="15"/>
        <v>288.31612116993</v>
      </c>
      <c r="G55" s="91">
        <f t="shared" si="16"/>
        <v>-14681.647649062985</v>
      </c>
      <c r="H55" s="121">
        <f t="shared" si="16"/>
        <v>-384.42149489323998</v>
      </c>
      <c r="I55" s="91">
        <f t="shared" si="17"/>
        <v>88059.063680978885</v>
      </c>
      <c r="J55" s="91">
        <f t="shared" si="17"/>
        <v>102356.28983514864</v>
      </c>
      <c r="K55" s="91">
        <f t="shared" si="9"/>
        <v>14297.226154169752</v>
      </c>
      <c r="L55" s="91">
        <f t="shared" si="10"/>
        <v>-3002.4174923756477</v>
      </c>
      <c r="M55" s="91">
        <f t="shared" si="11"/>
        <v>1481.0266177059291</v>
      </c>
      <c r="N55" s="132"/>
      <c r="O55" s="91"/>
      <c r="P55" s="133">
        <v>5</v>
      </c>
      <c r="Q55" s="134">
        <f t="shared" si="18"/>
        <v>31</v>
      </c>
      <c r="R55" s="135">
        <v>45352</v>
      </c>
      <c r="S55" s="136">
        <f>+'E3950'!M56</f>
        <v>1440.6623607421393</v>
      </c>
      <c r="T55" s="143">
        <f t="shared" si="19"/>
        <v>-4443.079853117787</v>
      </c>
      <c r="U55" s="138">
        <f>V55-SUM(Q$52:$Q55)+1</f>
        <v>276</v>
      </c>
      <c r="V55" s="139">
        <f t="shared" si="23"/>
        <v>366</v>
      </c>
      <c r="W55" s="136">
        <f t="shared" si="20"/>
        <v>1086.4011244940723</v>
      </c>
      <c r="X55" s="140">
        <f t="shared" si="21"/>
        <v>-3725.3697188239785</v>
      </c>
      <c r="Y55" s="89"/>
      <c r="Z55" s="89"/>
      <c r="AA55" s="89"/>
      <c r="AB55" s="169"/>
      <c r="AC55" s="169"/>
      <c r="AD55" s="169"/>
      <c r="AE55" s="169"/>
      <c r="AF55" s="169"/>
      <c r="AG55" s="169"/>
      <c r="AH55" s="169"/>
      <c r="AI55" s="169"/>
    </row>
    <row r="56" spans="1:35" ht="15" x14ac:dyDescent="0.25">
      <c r="A56" s="90">
        <v>45382</v>
      </c>
      <c r="B56" s="257">
        <v>51370.355665020936</v>
      </c>
      <c r="C56" s="91">
        <f t="shared" si="6"/>
        <v>154111.06699506281</v>
      </c>
      <c r="D56" s="91">
        <f t="shared" si="0"/>
        <v>154111.06699506281</v>
      </c>
      <c r="E56" s="91">
        <f t="shared" si="22"/>
        <v>7340.8238245314924</v>
      </c>
      <c r="F56" s="121">
        <f t="shared" si="15"/>
        <v>480.52686861654996</v>
      </c>
      <c r="G56" s="91">
        <f t="shared" si="16"/>
        <v>-22022.471473594476</v>
      </c>
      <c r="H56" s="121">
        <f t="shared" si="16"/>
        <v>-864.94836350978994</v>
      </c>
      <c r="I56" s="91">
        <f t="shared" si="17"/>
        <v>132088.59552146832</v>
      </c>
      <c r="J56" s="91">
        <f t="shared" si="17"/>
        <v>153246.11863155302</v>
      </c>
      <c r="K56" s="91">
        <f t="shared" si="9"/>
        <v>21157.523110084701</v>
      </c>
      <c r="L56" s="91">
        <f t="shared" si="10"/>
        <v>-4443.079853117787</v>
      </c>
      <c r="M56" s="91">
        <f t="shared" si="11"/>
        <v>1440.6623607421393</v>
      </c>
      <c r="N56" s="132"/>
      <c r="O56" s="91"/>
      <c r="P56" s="133">
        <v>6</v>
      </c>
      <c r="Q56" s="134">
        <f t="shared" si="18"/>
        <v>30</v>
      </c>
      <c r="R56" s="135">
        <v>45383</v>
      </c>
      <c r="S56" s="136">
        <f>+'E3950'!M57</f>
        <v>1400.2981037783438</v>
      </c>
      <c r="T56" s="143">
        <f t="shared" si="19"/>
        <v>-5843.3779568961309</v>
      </c>
      <c r="U56" s="138">
        <f>V56-SUM(Q$52:$Q56)+1</f>
        <v>246</v>
      </c>
      <c r="V56" s="139">
        <f t="shared" si="23"/>
        <v>366</v>
      </c>
      <c r="W56" s="136">
        <f t="shared" si="20"/>
        <v>941.18397139200158</v>
      </c>
      <c r="X56" s="140">
        <f t="shared" si="21"/>
        <v>-4666.5536902159802</v>
      </c>
      <c r="Y56" s="89"/>
      <c r="Z56" s="89"/>
      <c r="AA56" s="89"/>
      <c r="AB56" s="169"/>
      <c r="AC56" s="169"/>
      <c r="AD56" s="169"/>
      <c r="AE56" s="169"/>
      <c r="AF56" s="169"/>
      <c r="AG56" s="169"/>
      <c r="AH56" s="169"/>
      <c r="AI56" s="169"/>
    </row>
    <row r="57" spans="1:35" ht="15" x14ac:dyDescent="0.25">
      <c r="A57" s="90">
        <v>45412</v>
      </c>
      <c r="B57" s="257">
        <v>51370.355665020936</v>
      </c>
      <c r="C57" s="91">
        <f t="shared" si="6"/>
        <v>205481.42266008374</v>
      </c>
      <c r="D57" s="91">
        <f t="shared" si="0"/>
        <v>205481.42266008374</v>
      </c>
      <c r="E57" s="91">
        <f t="shared" si="22"/>
        <v>7340.8238245314924</v>
      </c>
      <c r="F57" s="121">
        <f t="shared" si="15"/>
        <v>672.73761606316998</v>
      </c>
      <c r="G57" s="91">
        <f t="shared" si="16"/>
        <v>-29363.29529812597</v>
      </c>
      <c r="H57" s="121">
        <f t="shared" si="16"/>
        <v>-1537.6859795729599</v>
      </c>
      <c r="I57" s="91">
        <f t="shared" si="17"/>
        <v>176118.12736195777</v>
      </c>
      <c r="J57" s="91">
        <f t="shared" si="17"/>
        <v>203943.73668051077</v>
      </c>
      <c r="K57" s="91">
        <f t="shared" si="9"/>
        <v>27825.609318553004</v>
      </c>
      <c r="L57" s="91">
        <f t="shared" si="10"/>
        <v>-5843.3779568961309</v>
      </c>
      <c r="M57" s="91">
        <f t="shared" si="11"/>
        <v>1400.2981037783438</v>
      </c>
      <c r="N57" s="132"/>
      <c r="O57" s="91"/>
      <c r="P57" s="133">
        <v>7</v>
      </c>
      <c r="Q57" s="134">
        <f t="shared" si="18"/>
        <v>31</v>
      </c>
      <c r="R57" s="135">
        <v>45413</v>
      </c>
      <c r="S57" s="136">
        <f>+'E3950'!M58</f>
        <v>1359.933846814557</v>
      </c>
      <c r="T57" s="143">
        <f t="shared" si="19"/>
        <v>-7203.3118037106879</v>
      </c>
      <c r="U57" s="138">
        <f>V57-SUM(Q$52:$Q57)+1</f>
        <v>215</v>
      </c>
      <c r="V57" s="139">
        <f t="shared" si="23"/>
        <v>366</v>
      </c>
      <c r="W57" s="136">
        <f t="shared" si="20"/>
        <v>798.86824334734899</v>
      </c>
      <c r="X57" s="140">
        <f t="shared" si="21"/>
        <v>-5465.4219335633288</v>
      </c>
      <c r="Y57" s="89"/>
      <c r="Z57" s="89"/>
      <c r="AA57" s="89"/>
      <c r="AB57" s="169"/>
      <c r="AC57" s="169"/>
      <c r="AD57" s="169"/>
      <c r="AE57" s="169"/>
      <c r="AF57" s="169"/>
      <c r="AG57" s="169"/>
      <c r="AH57" s="169"/>
      <c r="AI57" s="169"/>
    </row>
    <row r="58" spans="1:35" ht="15" x14ac:dyDescent="0.25">
      <c r="A58" s="90">
        <v>45443</v>
      </c>
      <c r="B58" s="257">
        <v>51370.355665020936</v>
      </c>
      <c r="C58" s="91">
        <f t="shared" si="6"/>
        <v>256851.77832510468</v>
      </c>
      <c r="D58" s="91">
        <f t="shared" si="0"/>
        <v>256851.77832510468</v>
      </c>
      <c r="E58" s="91">
        <f t="shared" si="22"/>
        <v>7340.8238245314924</v>
      </c>
      <c r="F58" s="121">
        <f t="shared" si="15"/>
        <v>864.94836350978994</v>
      </c>
      <c r="G58" s="91">
        <f t="shared" si="16"/>
        <v>-36704.119122657459</v>
      </c>
      <c r="H58" s="121">
        <f t="shared" si="16"/>
        <v>-2402.6343430827501</v>
      </c>
      <c r="I58" s="91">
        <f t="shared" si="17"/>
        <v>220147.65920244722</v>
      </c>
      <c r="J58" s="91">
        <f t="shared" si="17"/>
        <v>254449.14398202192</v>
      </c>
      <c r="K58" s="91">
        <f t="shared" si="9"/>
        <v>34301.484779574705</v>
      </c>
      <c r="L58" s="91">
        <f t="shared" si="10"/>
        <v>-7203.3118037106879</v>
      </c>
      <c r="M58" s="91">
        <f t="shared" si="11"/>
        <v>1359.933846814557</v>
      </c>
      <c r="N58" s="132"/>
      <c r="O58" s="91"/>
      <c r="P58" s="133">
        <v>8</v>
      </c>
      <c r="Q58" s="134">
        <f t="shared" si="18"/>
        <v>30</v>
      </c>
      <c r="R58" s="135">
        <v>45444</v>
      </c>
      <c r="S58" s="136">
        <f>+'E3950'!M59</f>
        <v>1319.5695898507756</v>
      </c>
      <c r="T58" s="143">
        <f t="shared" si="19"/>
        <v>-8522.8813935614635</v>
      </c>
      <c r="U58" s="138">
        <f>V58-SUM(Q$52:$Q58)+1</f>
        <v>185</v>
      </c>
      <c r="V58" s="139">
        <f t="shared" si="23"/>
        <v>366</v>
      </c>
      <c r="W58" s="136">
        <f t="shared" si="20"/>
        <v>666.99555771145765</v>
      </c>
      <c r="X58" s="140">
        <f t="shared" si="21"/>
        <v>-6132.4174912747867</v>
      </c>
      <c r="Y58" s="89"/>
      <c r="Z58" s="89"/>
      <c r="AA58" s="89"/>
      <c r="AB58" s="169"/>
      <c r="AC58" s="169"/>
      <c r="AD58" s="169"/>
      <c r="AE58" s="169"/>
      <c r="AF58" s="169"/>
      <c r="AG58" s="169"/>
      <c r="AH58" s="169"/>
      <c r="AI58" s="169"/>
    </row>
    <row r="59" spans="1:35" ht="15" x14ac:dyDescent="0.25">
      <c r="A59" s="90">
        <v>45473</v>
      </c>
      <c r="B59" s="257">
        <v>51370.355665020936</v>
      </c>
      <c r="C59" s="91">
        <f t="shared" si="6"/>
        <v>308222.13399012561</v>
      </c>
      <c r="D59" s="91">
        <f t="shared" si="0"/>
        <v>308222.13399012561</v>
      </c>
      <c r="E59" s="91">
        <f t="shared" si="22"/>
        <v>7340.8238245314924</v>
      </c>
      <c r="F59" s="121">
        <f t="shared" si="15"/>
        <v>1057.1591109564101</v>
      </c>
      <c r="G59" s="91">
        <f t="shared" si="16"/>
        <v>-44044.942947188953</v>
      </c>
      <c r="H59" s="121">
        <f t="shared" si="16"/>
        <v>-3459.7934540391602</v>
      </c>
      <c r="I59" s="91">
        <f t="shared" si="17"/>
        <v>264177.19104293664</v>
      </c>
      <c r="J59" s="91">
        <f t="shared" si="17"/>
        <v>304762.34053608647</v>
      </c>
      <c r="K59" s="91">
        <f t="shared" si="9"/>
        <v>40585.149493149831</v>
      </c>
      <c r="L59" s="91">
        <f t="shared" si="10"/>
        <v>-8522.8813935614635</v>
      </c>
      <c r="M59" s="91">
        <f t="shared" si="11"/>
        <v>1319.5695898507756</v>
      </c>
      <c r="N59" s="132"/>
      <c r="O59" s="91"/>
      <c r="P59" s="133">
        <v>9</v>
      </c>
      <c r="Q59" s="134">
        <f t="shared" si="18"/>
        <v>31</v>
      </c>
      <c r="R59" s="135">
        <v>45474</v>
      </c>
      <c r="S59" s="136">
        <f>+'E3950'!M60</f>
        <v>1279.2053328869661</v>
      </c>
      <c r="T59" s="143">
        <f t="shared" si="19"/>
        <v>-9802.0867264484295</v>
      </c>
      <c r="U59" s="138">
        <f>V59-SUM(Q$52:$Q59)+1</f>
        <v>154</v>
      </c>
      <c r="V59" s="139">
        <f t="shared" si="23"/>
        <v>366</v>
      </c>
      <c r="W59" s="136">
        <f t="shared" si="20"/>
        <v>538.24486684314968</v>
      </c>
      <c r="X59" s="140">
        <f t="shared" si="21"/>
        <v>-6670.6623581179365</v>
      </c>
      <c r="Y59" s="89"/>
      <c r="Z59" s="89"/>
      <c r="AA59" s="89"/>
      <c r="AB59" s="169"/>
      <c r="AC59" s="169"/>
      <c r="AD59" s="169"/>
      <c r="AE59" s="169"/>
      <c r="AF59" s="169"/>
      <c r="AG59" s="169"/>
      <c r="AH59" s="169"/>
      <c r="AI59" s="169"/>
    </row>
    <row r="60" spans="1:35" ht="15" x14ac:dyDescent="0.25">
      <c r="A60" s="90">
        <v>45504</v>
      </c>
      <c r="B60" s="257">
        <v>51370.355665020936</v>
      </c>
      <c r="C60" s="91">
        <f t="shared" si="6"/>
        <v>359592.48965514655</v>
      </c>
      <c r="D60" s="91">
        <f t="shared" si="0"/>
        <v>359592.48965514655</v>
      </c>
      <c r="E60" s="91">
        <f t="shared" si="22"/>
        <v>7340.8238245314924</v>
      </c>
      <c r="F60" s="121">
        <f t="shared" si="15"/>
        <v>1249.3698584030301</v>
      </c>
      <c r="G60" s="91">
        <f t="shared" si="16"/>
        <v>-51385.766771720446</v>
      </c>
      <c r="H60" s="121">
        <f t="shared" si="16"/>
        <v>-4709.1633124421905</v>
      </c>
      <c r="I60" s="91">
        <f t="shared" si="17"/>
        <v>308206.72288342612</v>
      </c>
      <c r="J60" s="91">
        <f t="shared" si="17"/>
        <v>354883.32634270436</v>
      </c>
      <c r="K60" s="91">
        <f t="shared" si="9"/>
        <v>46676.603459278238</v>
      </c>
      <c r="L60" s="91">
        <f t="shared" si="10"/>
        <v>-9802.0867264484295</v>
      </c>
      <c r="M60" s="91">
        <f t="shared" si="11"/>
        <v>1279.2053328869661</v>
      </c>
      <c r="N60" s="132"/>
      <c r="O60" s="91"/>
      <c r="P60" s="133">
        <v>10</v>
      </c>
      <c r="Q60" s="134">
        <f t="shared" si="18"/>
        <v>31</v>
      </c>
      <c r="R60" s="135">
        <v>45505</v>
      </c>
      <c r="S60" s="136">
        <f>+'E3950'!M61</f>
        <v>1238.8410759231974</v>
      </c>
      <c r="T60" s="143">
        <f t="shared" si="19"/>
        <v>-11040.927802371627</v>
      </c>
      <c r="U60" s="138">
        <f>V60-SUM(Q$52:$Q60)+1</f>
        <v>123</v>
      </c>
      <c r="V60" s="139">
        <f t="shared" si="23"/>
        <v>366</v>
      </c>
      <c r="W60" s="136">
        <f t="shared" si="20"/>
        <v>416.3318369905827</v>
      </c>
      <c r="X60" s="140">
        <f t="shared" si="21"/>
        <v>-7086.9941951085193</v>
      </c>
      <c r="Y60" s="89"/>
      <c r="Z60" s="89"/>
      <c r="AA60" s="89"/>
      <c r="AB60" s="169"/>
      <c r="AC60" s="169"/>
      <c r="AD60" s="169"/>
      <c r="AE60" s="169"/>
      <c r="AF60" s="169"/>
      <c r="AG60" s="169"/>
      <c r="AH60" s="169"/>
      <c r="AI60" s="169"/>
    </row>
    <row r="61" spans="1:35" ht="15" x14ac:dyDescent="0.25">
      <c r="A61" s="90">
        <v>45535</v>
      </c>
      <c r="B61" s="257">
        <v>51370.355665020936</v>
      </c>
      <c r="C61" s="91">
        <f t="shared" si="6"/>
        <v>410962.84532016749</v>
      </c>
      <c r="D61" s="91">
        <f t="shared" si="0"/>
        <v>410962.84532016749</v>
      </c>
      <c r="E61" s="91">
        <f t="shared" si="22"/>
        <v>7340.8238245314924</v>
      </c>
      <c r="F61" s="121">
        <f t="shared" si="15"/>
        <v>1441.5806058496503</v>
      </c>
      <c r="G61" s="91">
        <f t="shared" si="16"/>
        <v>-58726.590596251939</v>
      </c>
      <c r="H61" s="121">
        <f t="shared" si="16"/>
        <v>-6150.7439182918406</v>
      </c>
      <c r="I61" s="91">
        <f t="shared" si="17"/>
        <v>352236.25472391554</v>
      </c>
      <c r="J61" s="91">
        <f t="shared" si="17"/>
        <v>404812.10140187567</v>
      </c>
      <c r="K61" s="91">
        <f t="shared" si="9"/>
        <v>52575.846677960129</v>
      </c>
      <c r="L61" s="91">
        <f t="shared" si="10"/>
        <v>-11040.927802371627</v>
      </c>
      <c r="M61" s="91">
        <f t="shared" si="11"/>
        <v>1238.8410759231974</v>
      </c>
      <c r="N61" s="132"/>
      <c r="O61" s="91"/>
      <c r="P61" s="133">
        <v>11</v>
      </c>
      <c r="Q61" s="134">
        <f t="shared" si="18"/>
        <v>30</v>
      </c>
      <c r="R61" s="135">
        <v>45536</v>
      </c>
      <c r="S61" s="136">
        <f>+'E3950'!M62</f>
        <v>1198.4768189593924</v>
      </c>
      <c r="T61" s="143">
        <f t="shared" si="19"/>
        <v>-12239.404621331019</v>
      </c>
      <c r="U61" s="138">
        <f>V61-SUM(Q$52:$Q61)+1</f>
        <v>93</v>
      </c>
      <c r="V61" s="139">
        <f t="shared" si="23"/>
        <v>366</v>
      </c>
      <c r="W61" s="136">
        <f t="shared" si="20"/>
        <v>304.53099498148498</v>
      </c>
      <c r="X61" s="140">
        <f t="shared" si="21"/>
        <v>-7391.5251900900039</v>
      </c>
      <c r="Y61" s="89"/>
      <c r="Z61" s="89"/>
      <c r="AA61" s="89"/>
      <c r="AB61" s="169"/>
      <c r="AC61" s="169"/>
      <c r="AD61" s="169"/>
      <c r="AE61" s="169"/>
      <c r="AF61" s="169"/>
      <c r="AG61" s="169"/>
      <c r="AH61" s="169"/>
      <c r="AI61" s="169"/>
    </row>
    <row r="62" spans="1:35" ht="15" x14ac:dyDescent="0.25">
      <c r="A62" s="90">
        <v>45565</v>
      </c>
      <c r="B62" s="257">
        <v>51370.355665020936</v>
      </c>
      <c r="C62" s="91">
        <f t="shared" si="6"/>
        <v>462333.20098518842</v>
      </c>
      <c r="D62" s="91">
        <f t="shared" si="0"/>
        <v>462333.20098518842</v>
      </c>
      <c r="E62" s="91">
        <f t="shared" si="22"/>
        <v>7340.8238245314924</v>
      </c>
      <c r="F62" s="121">
        <f t="shared" si="15"/>
        <v>1633.79135329627</v>
      </c>
      <c r="G62" s="91">
        <f t="shared" ref="G62:H77" si="24">-E62+G61</f>
        <v>-66067.414420783432</v>
      </c>
      <c r="H62" s="121">
        <f t="shared" si="24"/>
        <v>-7784.5352715881108</v>
      </c>
      <c r="I62" s="91">
        <f t="shared" ref="I62:J77" si="25">C62+G62</f>
        <v>396265.78656440496</v>
      </c>
      <c r="J62" s="91">
        <f t="shared" si="25"/>
        <v>454548.66571360029</v>
      </c>
      <c r="K62" s="91">
        <f t="shared" si="9"/>
        <v>58282.879149195331</v>
      </c>
      <c r="L62" s="91">
        <f t="shared" si="10"/>
        <v>-12239.404621331019</v>
      </c>
      <c r="M62" s="91">
        <f t="shared" si="11"/>
        <v>1198.4768189593924</v>
      </c>
      <c r="N62" s="132"/>
      <c r="O62" s="91"/>
      <c r="P62" s="133">
        <v>12</v>
      </c>
      <c r="Q62" s="134">
        <f t="shared" si="18"/>
        <v>31</v>
      </c>
      <c r="R62" s="135">
        <v>45566</v>
      </c>
      <c r="S62" s="136">
        <f>+'E3950'!M63</f>
        <v>1158.1125619955983</v>
      </c>
      <c r="T62" s="143">
        <f t="shared" si="19"/>
        <v>-13397.517183326618</v>
      </c>
      <c r="U62" s="138">
        <f>V62-SUM(Q$52:$Q62)+1</f>
        <v>62</v>
      </c>
      <c r="V62" s="139">
        <f t="shared" si="23"/>
        <v>366</v>
      </c>
      <c r="W62" s="136">
        <f t="shared" si="20"/>
        <v>196.18300230526529</v>
      </c>
      <c r="X62" s="140">
        <f t="shared" si="21"/>
        <v>-7587.7081923952692</v>
      </c>
      <c r="Y62" s="89"/>
      <c r="Z62" s="89"/>
      <c r="AA62" s="89"/>
      <c r="AB62" s="169"/>
      <c r="AC62" s="169"/>
      <c r="AD62" s="169"/>
      <c r="AE62" s="169"/>
      <c r="AF62" s="169"/>
      <c r="AG62" s="169"/>
      <c r="AH62" s="169"/>
      <c r="AI62" s="169"/>
    </row>
    <row r="63" spans="1:35" ht="15" x14ac:dyDescent="0.25">
      <c r="A63" s="90">
        <v>45596</v>
      </c>
      <c r="B63" s="257">
        <v>51370.355665020936</v>
      </c>
      <c r="C63" s="91">
        <f t="shared" si="6"/>
        <v>513703.55665020936</v>
      </c>
      <c r="D63" s="91">
        <f t="shared" si="0"/>
        <v>513703.55665020936</v>
      </c>
      <c r="E63" s="91">
        <f t="shared" si="22"/>
        <v>7340.8238245314924</v>
      </c>
      <c r="F63" s="121">
        <f t="shared" si="15"/>
        <v>1826.0021007428902</v>
      </c>
      <c r="G63" s="91">
        <f t="shared" si="24"/>
        <v>-73408.238245314918</v>
      </c>
      <c r="H63" s="121">
        <f t="shared" si="24"/>
        <v>-9610.5373723310004</v>
      </c>
      <c r="I63" s="91">
        <f t="shared" si="25"/>
        <v>440295.31840489444</v>
      </c>
      <c r="J63" s="91">
        <f t="shared" si="25"/>
        <v>504093.01927787834</v>
      </c>
      <c r="K63" s="91">
        <f t="shared" si="9"/>
        <v>63797.7008729839</v>
      </c>
      <c r="L63" s="91">
        <f t="shared" si="10"/>
        <v>-13397.517183326618</v>
      </c>
      <c r="M63" s="91">
        <f t="shared" si="11"/>
        <v>1158.1125619955983</v>
      </c>
      <c r="N63" s="132"/>
      <c r="O63" s="91"/>
      <c r="P63" s="133">
        <v>13</v>
      </c>
      <c r="Q63" s="134">
        <f t="shared" si="18"/>
        <v>30</v>
      </c>
      <c r="R63" s="135">
        <v>45597</v>
      </c>
      <c r="S63" s="136">
        <f>+'E3950'!M64</f>
        <v>1117.7483050318206</v>
      </c>
      <c r="T63" s="143">
        <f t="shared" si="19"/>
        <v>-14515.265488358438</v>
      </c>
      <c r="U63" s="138">
        <f>V63-SUM(Q$52:$Q63)+1</f>
        <v>32</v>
      </c>
      <c r="V63" s="139">
        <f t="shared" si="23"/>
        <v>366</v>
      </c>
      <c r="W63" s="136">
        <f t="shared" si="20"/>
        <v>97.726627762344961</v>
      </c>
      <c r="X63" s="140">
        <f t="shared" si="21"/>
        <v>-7685.434820157614</v>
      </c>
      <c r="Y63" s="89"/>
      <c r="Z63" s="89"/>
      <c r="AA63" s="89"/>
      <c r="AB63" s="169"/>
      <c r="AC63" s="169"/>
      <c r="AD63" s="169"/>
      <c r="AE63" s="169"/>
      <c r="AF63" s="169"/>
      <c r="AG63" s="169"/>
      <c r="AH63" s="169"/>
      <c r="AI63" s="169"/>
    </row>
    <row r="64" spans="1:35" ht="15" x14ac:dyDescent="0.25">
      <c r="A64" s="90">
        <v>45626</v>
      </c>
      <c r="B64" s="257">
        <v>51370.355665020936</v>
      </c>
      <c r="C64" s="91">
        <f t="shared" si="6"/>
        <v>565073.91231523035</v>
      </c>
      <c r="D64" s="91">
        <f t="shared" si="0"/>
        <v>565073.91231523035</v>
      </c>
      <c r="E64" s="91">
        <f t="shared" si="22"/>
        <v>7340.8238245314924</v>
      </c>
      <c r="F64" s="121">
        <f t="shared" si="15"/>
        <v>2018.2128481895102</v>
      </c>
      <c r="G64" s="91">
        <f t="shared" si="24"/>
        <v>-80749.062069846404</v>
      </c>
      <c r="H64" s="121">
        <f t="shared" si="24"/>
        <v>-11628.750220520511</v>
      </c>
      <c r="I64" s="91">
        <f t="shared" si="25"/>
        <v>484324.85024538392</v>
      </c>
      <c r="J64" s="91">
        <f t="shared" si="25"/>
        <v>553445.16209470981</v>
      </c>
      <c r="K64" s="91">
        <f t="shared" si="9"/>
        <v>69120.311849325895</v>
      </c>
      <c r="L64" s="91">
        <f t="shared" si="10"/>
        <v>-14515.265488358438</v>
      </c>
      <c r="M64" s="91">
        <f t="shared" si="11"/>
        <v>1117.7483050318206</v>
      </c>
      <c r="N64" s="132"/>
      <c r="O64" s="91"/>
      <c r="P64" s="133">
        <v>14</v>
      </c>
      <c r="Q64" s="134">
        <f t="shared" si="18"/>
        <v>31</v>
      </c>
      <c r="R64" s="135">
        <v>45627</v>
      </c>
      <c r="S64" s="136">
        <f>+'E3950'!M65</f>
        <v>1077.3840480680246</v>
      </c>
      <c r="T64" s="143">
        <f t="shared" si="19"/>
        <v>-15592.649536426463</v>
      </c>
      <c r="U64" s="138">
        <f>V64-SUM(Q$52:$Q64)+1</f>
        <v>1</v>
      </c>
      <c r="V64" s="139">
        <f t="shared" si="23"/>
        <v>366</v>
      </c>
      <c r="W64" s="136">
        <f t="shared" si="20"/>
        <v>2.9436722624809417</v>
      </c>
      <c r="X64" s="140">
        <f t="shared" si="21"/>
        <v>-7688.3784924200945</v>
      </c>
      <c r="Y64" s="89"/>
      <c r="Z64" s="89"/>
      <c r="AA64" s="89"/>
      <c r="AB64" s="169"/>
      <c r="AC64" s="169"/>
      <c r="AD64" s="169"/>
      <c r="AE64" s="169"/>
      <c r="AF64" s="169"/>
      <c r="AG64" s="169"/>
      <c r="AH64" s="169"/>
      <c r="AI64" s="169"/>
    </row>
    <row r="65" spans="1:35" ht="15.75" thickBot="1" x14ac:dyDescent="0.3">
      <c r="A65" s="90">
        <v>45657</v>
      </c>
      <c r="B65" s="257">
        <v>51370.355665020936</v>
      </c>
      <c r="C65" s="91">
        <f t="shared" si="6"/>
        <v>616444.26798025123</v>
      </c>
      <c r="D65" s="258">
        <f t="shared" si="0"/>
        <v>616444.26798025123</v>
      </c>
      <c r="E65" s="91">
        <f>($C$29*$F$9+($C$41-$C$29)*$E$9+($C$53-$C$41)*$D$9+($C$65-$C$53)*$C$9)/12</f>
        <v>7340.8238245314924</v>
      </c>
      <c r="F65" s="121">
        <f t="shared" si="15"/>
        <v>2210.4235956361304</v>
      </c>
      <c r="G65" s="91">
        <f t="shared" si="24"/>
        <v>-88089.885894377891</v>
      </c>
      <c r="H65" s="121">
        <f t="shared" si="24"/>
        <v>-13839.173816156641</v>
      </c>
      <c r="I65" s="91">
        <f t="shared" si="25"/>
        <v>528354.38208587328</v>
      </c>
      <c r="J65" s="91">
        <f t="shared" si="25"/>
        <v>602605.09416409454</v>
      </c>
      <c r="K65" s="91">
        <f t="shared" si="9"/>
        <v>74250.712078221259</v>
      </c>
      <c r="L65" s="91">
        <f t="shared" si="10"/>
        <v>-15592.649536426463</v>
      </c>
      <c r="M65" s="91">
        <f t="shared" si="11"/>
        <v>1077.3840480680246</v>
      </c>
      <c r="N65" s="132"/>
      <c r="O65" s="91"/>
      <c r="P65" s="133">
        <v>15</v>
      </c>
      <c r="Q65" s="152">
        <f>SUM(Q53:Q64)</f>
        <v>366</v>
      </c>
      <c r="R65" s="103"/>
      <c r="S65" s="153">
        <f>SUM(S53:S64)</f>
        <v>15592.649536426463</v>
      </c>
      <c r="T65" s="154">
        <f>+'E3950'!L65-T64</f>
        <v>0</v>
      </c>
      <c r="U65" s="102"/>
      <c r="V65" s="155"/>
      <c r="W65" s="153">
        <f>SUM(W53:W64)</f>
        <v>7688.3784924200945</v>
      </c>
      <c r="X65" s="107"/>
      <c r="Y65" s="89"/>
      <c r="Z65" s="89"/>
      <c r="AA65" s="89"/>
      <c r="AB65" s="169"/>
      <c r="AC65" s="169"/>
      <c r="AD65" s="169"/>
      <c r="AE65" s="169"/>
      <c r="AF65" s="169"/>
      <c r="AG65" s="169"/>
      <c r="AH65" s="169"/>
      <c r="AI65" s="169"/>
    </row>
    <row r="66" spans="1:35" ht="16.5" thickTop="1" thickBot="1" x14ac:dyDescent="0.3">
      <c r="A66" s="147">
        <v>45688</v>
      </c>
      <c r="B66" s="256">
        <v>126034.94447512503</v>
      </c>
      <c r="C66" s="148">
        <f t="shared" si="6"/>
        <v>742479.21245537628</v>
      </c>
      <c r="D66" s="91">
        <f t="shared" si="0"/>
        <v>742479.21245537628</v>
      </c>
      <c r="E66" s="148">
        <f t="shared" ref="E66:E76" si="26">($C$29*$G$9+($C$41-$C$29)*$F$9+($C$53-$C$41)*$E$9+($C$65-$C$53)*$D$9+($C$77-$C$65)*$C$9)/12</f>
        <v>30590.993667858991</v>
      </c>
      <c r="F66" s="149">
        <f t="shared" si="15"/>
        <v>2542.3193446483197</v>
      </c>
      <c r="G66" s="148">
        <f t="shared" si="24"/>
        <v>-118680.87956223688</v>
      </c>
      <c r="H66" s="149">
        <f t="shared" si="24"/>
        <v>-16381.493160804961</v>
      </c>
      <c r="I66" s="148">
        <f t="shared" si="25"/>
        <v>623798.33289313945</v>
      </c>
      <c r="J66" s="148">
        <f t="shared" si="25"/>
        <v>726097.71929457132</v>
      </c>
      <c r="K66" s="148">
        <f t="shared" si="9"/>
        <v>102299.38640143187</v>
      </c>
      <c r="L66" s="148">
        <f t="shared" si="10"/>
        <v>-21482.871144300691</v>
      </c>
      <c r="M66" s="148">
        <f t="shared" si="11"/>
        <v>5890.2216078742276</v>
      </c>
      <c r="N66" s="132"/>
      <c r="O66" s="91"/>
      <c r="P66" s="133">
        <v>16</v>
      </c>
      <c r="Q66" s="103"/>
      <c r="R66" s="156"/>
      <c r="S66" s="157"/>
      <c r="T66" s="137"/>
      <c r="U66" s="102"/>
      <c r="V66" s="103"/>
      <c r="W66" s="158"/>
      <c r="X66" s="107"/>
      <c r="Y66" s="89"/>
      <c r="Z66" s="89"/>
      <c r="AA66" s="89"/>
      <c r="AB66" s="169"/>
      <c r="AC66" s="169"/>
      <c r="AD66" s="169"/>
      <c r="AE66" s="169"/>
      <c r="AF66" s="169"/>
      <c r="AG66" s="169"/>
      <c r="AH66" s="169"/>
      <c r="AI66" s="169"/>
    </row>
    <row r="67" spans="1:35" ht="15.75" thickBot="1" x14ac:dyDescent="0.3">
      <c r="A67" s="90">
        <v>45716</v>
      </c>
      <c r="B67" s="257">
        <v>126034.94447512503</v>
      </c>
      <c r="C67" s="91">
        <f t="shared" si="6"/>
        <v>868514.15693050134</v>
      </c>
      <c r="D67" s="91">
        <f t="shared" si="0"/>
        <v>868514.15693050134</v>
      </c>
      <c r="E67" s="91">
        <f t="shared" si="26"/>
        <v>30590.993667858991</v>
      </c>
      <c r="F67" s="121">
        <f t="shared" si="15"/>
        <v>3013.9000952260794</v>
      </c>
      <c r="G67" s="91">
        <f t="shared" si="24"/>
        <v>-149271.87323009587</v>
      </c>
      <c r="H67" s="121">
        <f t="shared" si="24"/>
        <v>-19395.393256031042</v>
      </c>
      <c r="I67" s="91">
        <f t="shared" si="25"/>
        <v>719242.2837004055</v>
      </c>
      <c r="J67" s="91">
        <f t="shared" si="25"/>
        <v>849118.76367447025</v>
      </c>
      <c r="K67" s="91">
        <f t="shared" si="9"/>
        <v>129876.47997406474</v>
      </c>
      <c r="L67" s="91">
        <f t="shared" si="10"/>
        <v>-27274.060794553596</v>
      </c>
      <c r="M67" s="91">
        <f t="shared" si="11"/>
        <v>5791.1896502529053</v>
      </c>
      <c r="N67" s="132"/>
      <c r="O67" s="91"/>
      <c r="P67" s="133">
        <v>17</v>
      </c>
      <c r="Q67" s="103" t="s">
        <v>102</v>
      </c>
      <c r="R67" s="103"/>
      <c r="S67" s="136"/>
      <c r="T67" s="159">
        <f>(T52+T64+SUM(T53:T63)*2)/24</f>
        <v>-8277.3321636984001</v>
      </c>
      <c r="U67" s="102"/>
      <c r="V67" s="103"/>
      <c r="W67" s="160" t="s">
        <v>103</v>
      </c>
      <c r="X67" s="161">
        <f>X64</f>
        <v>-7688.3784924200945</v>
      </c>
      <c r="Y67" s="89"/>
      <c r="Z67" s="89"/>
      <c r="AA67" s="89"/>
      <c r="AB67" s="169"/>
      <c r="AC67" s="169"/>
      <c r="AD67" s="169"/>
      <c r="AE67" s="169"/>
      <c r="AF67" s="169"/>
      <c r="AG67" s="169"/>
      <c r="AH67" s="169"/>
      <c r="AI67" s="169"/>
    </row>
    <row r="68" spans="1:35" ht="16.5" thickTop="1" thickBot="1" x14ac:dyDescent="0.3">
      <c r="A68" s="90">
        <v>45747</v>
      </c>
      <c r="B68" s="257">
        <v>126034.94447512503</v>
      </c>
      <c r="C68" s="91">
        <f t="shared" si="6"/>
        <v>994549.1014056264</v>
      </c>
      <c r="D68" s="91">
        <f t="shared" si="0"/>
        <v>994549.1014056264</v>
      </c>
      <c r="E68" s="91">
        <f t="shared" si="26"/>
        <v>30590.993667858991</v>
      </c>
      <c r="F68" s="121">
        <f t="shared" si="15"/>
        <v>3485.4808458038387</v>
      </c>
      <c r="G68" s="91">
        <f t="shared" si="24"/>
        <v>-179862.86689795487</v>
      </c>
      <c r="H68" s="121">
        <f t="shared" si="24"/>
        <v>-22880.874101834881</v>
      </c>
      <c r="I68" s="91">
        <f t="shared" si="25"/>
        <v>814686.23450767156</v>
      </c>
      <c r="J68" s="91">
        <f t="shared" si="25"/>
        <v>971668.22730379156</v>
      </c>
      <c r="K68" s="91">
        <f t="shared" si="9"/>
        <v>156981.99279612</v>
      </c>
      <c r="L68" s="91">
        <f t="shared" si="10"/>
        <v>-32966.218487185201</v>
      </c>
      <c r="M68" s="91">
        <f t="shared" si="11"/>
        <v>5692.1576926316047</v>
      </c>
      <c r="N68" s="132"/>
      <c r="O68" s="91"/>
      <c r="P68" s="162">
        <v>18</v>
      </c>
      <c r="Q68" s="163"/>
      <c r="R68" s="163"/>
      <c r="S68" s="164"/>
      <c r="T68" s="165"/>
      <c r="U68" s="166"/>
      <c r="V68" s="163"/>
      <c r="W68" s="163"/>
      <c r="X68" s="167"/>
      <c r="Y68" s="89"/>
      <c r="Z68" s="89"/>
      <c r="AA68" s="89"/>
      <c r="AB68" s="169"/>
      <c r="AC68" s="169"/>
      <c r="AD68" s="169"/>
      <c r="AE68" s="169"/>
      <c r="AF68" s="169"/>
      <c r="AG68" s="169"/>
      <c r="AH68" s="169"/>
      <c r="AI68" s="169"/>
    </row>
    <row r="69" spans="1:35" ht="15.75" thickBot="1" x14ac:dyDescent="0.3">
      <c r="A69" s="90">
        <v>45777</v>
      </c>
      <c r="B69" s="257">
        <v>126034.94447512503</v>
      </c>
      <c r="C69" s="91">
        <f t="shared" si="6"/>
        <v>1120584.0458807515</v>
      </c>
      <c r="D69" s="91">
        <f t="shared" si="0"/>
        <v>1120584.0458807515</v>
      </c>
      <c r="E69" s="91">
        <f t="shared" si="26"/>
        <v>30590.993667858991</v>
      </c>
      <c r="F69" s="121">
        <f t="shared" si="15"/>
        <v>3957.0615963815985</v>
      </c>
      <c r="G69" s="91">
        <f t="shared" si="24"/>
        <v>-210453.86056581387</v>
      </c>
      <c r="H69" s="121">
        <f t="shared" si="24"/>
        <v>-26837.935698216479</v>
      </c>
      <c r="I69" s="91">
        <f t="shared" si="25"/>
        <v>910130.18531493761</v>
      </c>
      <c r="J69" s="91">
        <f t="shared" si="25"/>
        <v>1093746.1101825349</v>
      </c>
      <c r="K69" s="91">
        <f t="shared" si="9"/>
        <v>183615.92486759729</v>
      </c>
      <c r="L69" s="91">
        <f t="shared" si="10"/>
        <v>-38559.344222195432</v>
      </c>
      <c r="M69" s="91">
        <f t="shared" si="11"/>
        <v>5593.1257350102314</v>
      </c>
      <c r="N69" s="132"/>
      <c r="O69" s="91"/>
      <c r="Y69" s="89"/>
      <c r="Z69" s="89"/>
      <c r="AA69" s="89"/>
    </row>
    <row r="70" spans="1:35" ht="15" x14ac:dyDescent="0.25">
      <c r="A70" s="90">
        <v>45808</v>
      </c>
      <c r="B70" s="257">
        <v>126034.94447512503</v>
      </c>
      <c r="C70" s="91">
        <f t="shared" si="6"/>
        <v>1246618.9903558765</v>
      </c>
      <c r="D70" s="91">
        <f t="shared" si="0"/>
        <v>1246618.9903558765</v>
      </c>
      <c r="E70" s="91">
        <f t="shared" si="26"/>
        <v>30590.993667858991</v>
      </c>
      <c r="F70" s="121">
        <f t="shared" si="15"/>
        <v>4428.6423469593583</v>
      </c>
      <c r="G70" s="91">
        <f t="shared" si="24"/>
        <v>-241044.85423367287</v>
      </c>
      <c r="H70" s="121">
        <f t="shared" si="24"/>
        <v>-31266.578045175836</v>
      </c>
      <c r="I70" s="91">
        <f t="shared" si="25"/>
        <v>1005574.1361222037</v>
      </c>
      <c r="J70" s="91">
        <f t="shared" si="25"/>
        <v>1215352.4123107006</v>
      </c>
      <c r="K70" s="91">
        <f t="shared" si="9"/>
        <v>209778.27618849697</v>
      </c>
      <c r="L70" s="91">
        <f t="shared" si="10"/>
        <v>-44053.437999584363</v>
      </c>
      <c r="M70" s="91">
        <f t="shared" si="11"/>
        <v>5494.0937773889309</v>
      </c>
      <c r="N70" s="132"/>
      <c r="O70" s="91"/>
      <c r="P70" s="92"/>
      <c r="Q70" s="93" t="s">
        <v>105</v>
      </c>
      <c r="R70" s="94"/>
      <c r="S70" s="94"/>
      <c r="T70" s="94"/>
      <c r="U70" s="94"/>
      <c r="V70" s="94"/>
      <c r="W70" s="94"/>
      <c r="X70" s="95"/>
      <c r="Y70" s="89"/>
      <c r="Z70" s="89"/>
      <c r="AA70" s="89"/>
    </row>
    <row r="71" spans="1:35" ht="15" x14ac:dyDescent="0.25">
      <c r="A71" s="90">
        <v>45838</v>
      </c>
      <c r="B71" s="257">
        <v>126034.94447512503</v>
      </c>
      <c r="C71" s="91">
        <f t="shared" si="6"/>
        <v>1372653.9348310016</v>
      </c>
      <c r="D71" s="91">
        <f t="shared" si="0"/>
        <v>1372653.9348310016</v>
      </c>
      <c r="E71" s="91">
        <f t="shared" si="26"/>
        <v>30590.993667858991</v>
      </c>
      <c r="F71" s="121">
        <f t="shared" si="15"/>
        <v>4900.2230975371176</v>
      </c>
      <c r="G71" s="91">
        <f t="shared" si="24"/>
        <v>-271635.84790153184</v>
      </c>
      <c r="H71" s="121">
        <f t="shared" si="24"/>
        <v>-36166.801142712953</v>
      </c>
      <c r="I71" s="91">
        <f t="shared" si="25"/>
        <v>1101018.0869294698</v>
      </c>
      <c r="J71" s="91">
        <f t="shared" si="25"/>
        <v>1336487.1336882885</v>
      </c>
      <c r="K71" s="91">
        <f t="shared" si="9"/>
        <v>235469.04675881867</v>
      </c>
      <c r="L71" s="91">
        <f t="shared" si="10"/>
        <v>-49448.49981935192</v>
      </c>
      <c r="M71" s="91">
        <f t="shared" si="11"/>
        <v>5395.0618197675576</v>
      </c>
      <c r="N71" s="132"/>
      <c r="O71" s="91"/>
      <c r="P71" s="96"/>
      <c r="Q71" s="97"/>
      <c r="R71" s="98" t="s">
        <v>73</v>
      </c>
      <c r="S71" s="98"/>
      <c r="T71" s="99"/>
      <c r="U71" s="100" t="s">
        <v>74</v>
      </c>
      <c r="V71" s="98"/>
      <c r="W71" s="98"/>
      <c r="X71" s="101"/>
      <c r="Y71" s="89"/>
      <c r="Z71" s="89"/>
      <c r="AA71" s="89"/>
    </row>
    <row r="72" spans="1:35" ht="15" x14ac:dyDescent="0.25">
      <c r="A72" s="90">
        <v>45869</v>
      </c>
      <c r="B72" s="257">
        <v>126034.94447512503</v>
      </c>
      <c r="C72" s="91">
        <f t="shared" si="6"/>
        <v>1498688.8793061266</v>
      </c>
      <c r="D72" s="91">
        <f t="shared" si="0"/>
        <v>1498688.8793061266</v>
      </c>
      <c r="E72" s="91">
        <f t="shared" si="26"/>
        <v>30590.993667858991</v>
      </c>
      <c r="F72" s="121">
        <f t="shared" si="15"/>
        <v>5371.8038481148769</v>
      </c>
      <c r="G72" s="91">
        <f t="shared" si="24"/>
        <v>-302226.84156939085</v>
      </c>
      <c r="H72" s="121">
        <f t="shared" si="24"/>
        <v>-41538.604990827829</v>
      </c>
      <c r="I72" s="91">
        <f t="shared" si="25"/>
        <v>1196462.0377367358</v>
      </c>
      <c r="J72" s="91">
        <f t="shared" si="25"/>
        <v>1457150.2743152988</v>
      </c>
      <c r="K72" s="91">
        <f t="shared" si="9"/>
        <v>260688.236578563</v>
      </c>
      <c r="L72" s="91">
        <f t="shared" si="10"/>
        <v>-54744.529681498228</v>
      </c>
      <c r="M72" s="91">
        <f t="shared" si="11"/>
        <v>5296.029862146308</v>
      </c>
      <c r="N72" s="132"/>
      <c r="O72" s="91"/>
      <c r="P72" s="96"/>
      <c r="Q72" s="102"/>
      <c r="R72" s="103"/>
      <c r="S72" s="103"/>
      <c r="T72" s="104" t="s">
        <v>75</v>
      </c>
      <c r="U72" s="105"/>
      <c r="V72" s="106"/>
      <c r="W72" s="106"/>
      <c r="X72" s="107"/>
      <c r="Y72" s="89"/>
      <c r="Z72" s="89"/>
      <c r="AA72" s="89"/>
    </row>
    <row r="73" spans="1:35" ht="15" x14ac:dyDescent="0.25">
      <c r="A73" s="90">
        <v>45900</v>
      </c>
      <c r="B73" s="257">
        <v>126034.94447512503</v>
      </c>
      <c r="C73" s="91">
        <f t="shared" si="6"/>
        <v>1624723.8237812517</v>
      </c>
      <c r="D73" s="91">
        <f t="shared" si="0"/>
        <v>1624723.8237812517</v>
      </c>
      <c r="E73" s="91">
        <f t="shared" si="26"/>
        <v>30590.993667858991</v>
      </c>
      <c r="F73" s="121">
        <f t="shared" si="15"/>
        <v>5843.3845986926372</v>
      </c>
      <c r="G73" s="91">
        <f t="shared" si="24"/>
        <v>-332817.83523724985</v>
      </c>
      <c r="H73" s="121">
        <f t="shared" si="24"/>
        <v>-47381.989589520468</v>
      </c>
      <c r="I73" s="91">
        <f t="shared" si="25"/>
        <v>1291905.9885440017</v>
      </c>
      <c r="J73" s="91">
        <f t="shared" si="25"/>
        <v>1577341.8341917312</v>
      </c>
      <c r="K73" s="91">
        <f>J73-I73</f>
        <v>285435.84564772947</v>
      </c>
      <c r="L73" s="91">
        <f t="shared" si="10"/>
        <v>-59941.527586023185</v>
      </c>
      <c r="M73" s="91">
        <f t="shared" si="11"/>
        <v>5196.9979045249565</v>
      </c>
      <c r="N73" s="132"/>
      <c r="O73" s="91"/>
      <c r="P73" s="96" t="s">
        <v>76</v>
      </c>
      <c r="Q73" s="108" t="s">
        <v>77</v>
      </c>
      <c r="R73" s="109" t="s">
        <v>78</v>
      </c>
      <c r="S73" s="109" t="s">
        <v>79</v>
      </c>
      <c r="T73" s="104" t="s">
        <v>80</v>
      </c>
      <c r="U73" s="108" t="s">
        <v>81</v>
      </c>
      <c r="V73" s="109" t="s">
        <v>82</v>
      </c>
      <c r="W73" s="109" t="s">
        <v>83</v>
      </c>
      <c r="X73" s="110" t="s">
        <v>84</v>
      </c>
      <c r="Y73" s="89"/>
      <c r="Z73" s="89"/>
      <c r="AA73" s="89"/>
    </row>
    <row r="74" spans="1:35" ht="15" customHeight="1" x14ac:dyDescent="0.25">
      <c r="A74" s="90">
        <v>45930</v>
      </c>
      <c r="B74" s="257">
        <v>126034.94447512503</v>
      </c>
      <c r="C74" s="91">
        <f t="shared" si="6"/>
        <v>1750758.7682563767</v>
      </c>
      <c r="D74" s="91">
        <f t="shared" si="0"/>
        <v>1750758.7682563767</v>
      </c>
      <c r="E74" s="91">
        <f t="shared" si="26"/>
        <v>30590.993667858991</v>
      </c>
      <c r="F74" s="121">
        <f t="shared" si="15"/>
        <v>6314.9653492703965</v>
      </c>
      <c r="G74" s="91">
        <f t="shared" si="24"/>
        <v>-363408.82890510885</v>
      </c>
      <c r="H74" s="121">
        <f t="shared" si="24"/>
        <v>-53696.954938790863</v>
      </c>
      <c r="I74" s="91">
        <f t="shared" si="25"/>
        <v>1387349.9393512679</v>
      </c>
      <c r="J74" s="91">
        <f t="shared" si="25"/>
        <v>1697061.813317586</v>
      </c>
      <c r="K74" s="91">
        <f>J74-I74</f>
        <v>309711.87396631809</v>
      </c>
      <c r="L74" s="91">
        <f t="shared" si="10"/>
        <v>-65039.493532926797</v>
      </c>
      <c r="M74" s="91">
        <f t="shared" si="11"/>
        <v>5097.9659469036123</v>
      </c>
      <c r="N74" s="132"/>
      <c r="O74" s="91"/>
      <c r="P74" s="96"/>
      <c r="Q74" s="111" t="s">
        <v>78</v>
      </c>
      <c r="R74" s="112" t="s">
        <v>85</v>
      </c>
      <c r="S74" s="112" t="s">
        <v>2</v>
      </c>
      <c r="T74" s="113" t="s">
        <v>86</v>
      </c>
      <c r="U74" s="111" t="s">
        <v>87</v>
      </c>
      <c r="V74" s="112" t="s">
        <v>88</v>
      </c>
      <c r="W74" s="112" t="s">
        <v>89</v>
      </c>
      <c r="X74" s="114" t="s">
        <v>90</v>
      </c>
      <c r="Y74" s="89"/>
      <c r="Z74" s="89"/>
      <c r="AA74" s="89"/>
    </row>
    <row r="75" spans="1:35" ht="15" customHeight="1" x14ac:dyDescent="0.25">
      <c r="A75" s="90">
        <v>45961</v>
      </c>
      <c r="B75" s="257">
        <v>126034.94447512503</v>
      </c>
      <c r="C75" s="91">
        <f t="shared" si="6"/>
        <v>1876793.7127315018</v>
      </c>
      <c r="D75" s="91">
        <f t="shared" si="0"/>
        <v>1876793.7127315018</v>
      </c>
      <c r="E75" s="91">
        <f t="shared" si="26"/>
        <v>30590.993667858991</v>
      </c>
      <c r="F75" s="121">
        <f t="shared" si="15"/>
        <v>6786.5460998481558</v>
      </c>
      <c r="G75" s="91">
        <f t="shared" si="24"/>
        <v>-393999.82257296785</v>
      </c>
      <c r="H75" s="121">
        <f t="shared" si="24"/>
        <v>-60483.50103863902</v>
      </c>
      <c r="I75" s="91">
        <f t="shared" si="25"/>
        <v>1482793.890158534</v>
      </c>
      <c r="J75" s="91">
        <f t="shared" si="25"/>
        <v>1816310.2116928627</v>
      </c>
      <c r="K75" s="91">
        <f t="shared" ref="K75:K77" si="27">J75-I75</f>
        <v>333516.32153432863</v>
      </c>
      <c r="L75" s="91">
        <f t="shared" si="10"/>
        <v>-70038.427522209007</v>
      </c>
      <c r="M75" s="91">
        <f t="shared" si="11"/>
        <v>4998.93398928221</v>
      </c>
      <c r="N75" s="132"/>
      <c r="O75" s="91"/>
      <c r="P75" s="96"/>
      <c r="Q75" s="115" t="s">
        <v>91</v>
      </c>
      <c r="R75" s="116" t="s">
        <v>92</v>
      </c>
      <c r="S75" s="117" t="s">
        <v>93</v>
      </c>
      <c r="T75" s="118" t="s">
        <v>94</v>
      </c>
      <c r="U75" s="115" t="s">
        <v>95</v>
      </c>
      <c r="V75" s="119" t="s">
        <v>96</v>
      </c>
      <c r="W75" s="109" t="s">
        <v>97</v>
      </c>
      <c r="X75" s="120" t="s">
        <v>98</v>
      </c>
      <c r="Y75" s="89"/>
      <c r="Z75" s="89"/>
      <c r="AA75" s="89"/>
    </row>
    <row r="76" spans="1:35" ht="15" customHeight="1" x14ac:dyDescent="0.25">
      <c r="A76" s="90">
        <v>45991</v>
      </c>
      <c r="B76" s="257">
        <v>126034.94447512503</v>
      </c>
      <c r="C76" s="91">
        <f t="shared" si="6"/>
        <v>2002828.6572066268</v>
      </c>
      <c r="D76" s="91">
        <f t="shared" si="0"/>
        <v>2002828.6572066268</v>
      </c>
      <c r="E76" s="91">
        <f t="shared" si="26"/>
        <v>30590.993667858991</v>
      </c>
      <c r="F76" s="121">
        <f t="shared" si="15"/>
        <v>7258.126850425916</v>
      </c>
      <c r="G76" s="91">
        <f t="shared" si="24"/>
        <v>-424590.81624082685</v>
      </c>
      <c r="H76" s="121">
        <f t="shared" si="24"/>
        <v>-67741.627889064941</v>
      </c>
      <c r="I76" s="91">
        <f t="shared" si="25"/>
        <v>1578237.8409658</v>
      </c>
      <c r="J76" s="91">
        <f t="shared" si="25"/>
        <v>1935087.029317562</v>
      </c>
      <c r="K76" s="91">
        <f t="shared" si="27"/>
        <v>356849.18835176202</v>
      </c>
      <c r="L76" s="91">
        <f t="shared" si="10"/>
        <v>-74938.329553870019</v>
      </c>
      <c r="M76" s="91">
        <f t="shared" si="11"/>
        <v>4899.9020316610113</v>
      </c>
      <c r="N76" s="132"/>
      <c r="O76" s="91"/>
      <c r="P76" s="124"/>
      <c r="Q76" s="125"/>
      <c r="R76" s="126"/>
      <c r="S76" s="127"/>
      <c r="T76" s="128" t="s">
        <v>99</v>
      </c>
      <c r="U76" s="125" t="s">
        <v>100</v>
      </c>
      <c r="V76" s="129"/>
      <c r="W76" s="130"/>
      <c r="X76" s="131" t="s">
        <v>101</v>
      </c>
      <c r="Y76" s="89"/>
      <c r="Z76" s="89"/>
      <c r="AA76" s="89"/>
    </row>
    <row r="77" spans="1:35" ht="15" x14ac:dyDescent="0.25">
      <c r="A77" s="90">
        <v>46022</v>
      </c>
      <c r="B77" s="257">
        <v>126034.94447512503</v>
      </c>
      <c r="C77" s="91">
        <f t="shared" si="6"/>
        <v>2128863.6016817517</v>
      </c>
      <c r="D77" s="91">
        <f t="shared" si="0"/>
        <v>2128863.6016817517</v>
      </c>
      <c r="E77" s="91">
        <f>($C$29*$G$9+($C$41-$C$29)*$F$9+($C$53-$C$41)*$E$9+($C$65-$C$53)*$D$9+($C$77-$C$65)*$C$9)/12</f>
        <v>30590.993667858991</v>
      </c>
      <c r="F77" s="121">
        <f t="shared" si="15"/>
        <v>7729.7076010036753</v>
      </c>
      <c r="G77" s="91">
        <f t="shared" si="24"/>
        <v>-455181.80990868586</v>
      </c>
      <c r="H77" s="121">
        <f t="shared" si="24"/>
        <v>-75471.33549006861</v>
      </c>
      <c r="I77" s="91">
        <f t="shared" si="25"/>
        <v>1673681.7917730659</v>
      </c>
      <c r="J77" s="91">
        <f t="shared" si="25"/>
        <v>2053392.266191683</v>
      </c>
      <c r="K77" s="91">
        <f t="shared" si="27"/>
        <v>379710.47441861709</v>
      </c>
      <c r="L77" s="91">
        <f t="shared" si="10"/>
        <v>-79739.199627909591</v>
      </c>
      <c r="M77" s="91">
        <f t="shared" si="11"/>
        <v>4800.8700740395725</v>
      </c>
      <c r="N77" s="132"/>
      <c r="O77" s="91"/>
      <c r="P77" s="133">
        <v>1</v>
      </c>
      <c r="Q77" s="134"/>
      <c r="R77" s="135"/>
      <c r="S77" s="136"/>
      <c r="T77" s="137"/>
      <c r="U77" s="138"/>
      <c r="V77" s="139"/>
      <c r="W77" s="136"/>
      <c r="X77" s="140"/>
      <c r="Y77" s="89"/>
      <c r="Z77" s="89"/>
      <c r="AA77" s="89"/>
    </row>
    <row r="78" spans="1:35" ht="15" x14ac:dyDescent="0.25">
      <c r="A78" s="172" t="s">
        <v>106</v>
      </c>
      <c r="B78" s="246"/>
      <c r="C78" s="173"/>
      <c r="D78" s="146">
        <f>D77-'Closings By Depr Grp'!AX9</f>
        <v>0</v>
      </c>
      <c r="E78" s="174">
        <f>G77+SUM(E18:E77)</f>
        <v>0</v>
      </c>
      <c r="F78" s="175">
        <f>H77+SUM(F24:F77)</f>
        <v>0</v>
      </c>
      <c r="G78" s="173"/>
      <c r="H78" s="176"/>
      <c r="I78" s="173"/>
      <c r="J78" s="173"/>
      <c r="K78" s="173"/>
      <c r="L78" s="173"/>
      <c r="M78" s="177"/>
      <c r="N78" s="132"/>
      <c r="O78" s="91"/>
      <c r="P78" s="133">
        <v>2</v>
      </c>
      <c r="Q78" s="134"/>
      <c r="R78" s="135">
        <v>45657</v>
      </c>
      <c r="S78" s="136">
        <f>+'E3950'!M65</f>
        <v>1077.3840480680246</v>
      </c>
      <c r="T78" s="141">
        <f>+'E3950'!L65</f>
        <v>-15592.649536426463</v>
      </c>
      <c r="U78" s="138"/>
      <c r="V78" s="139"/>
      <c r="W78" s="136"/>
      <c r="X78" s="142">
        <f>T78</f>
        <v>-15592.649536426463</v>
      </c>
      <c r="Y78" s="89"/>
      <c r="Z78" s="89"/>
      <c r="AA78" s="89"/>
    </row>
    <row r="79" spans="1:35" ht="15" x14ac:dyDescent="0.25">
      <c r="A79" s="178" t="s">
        <v>107</v>
      </c>
      <c r="B79" s="247"/>
      <c r="C79" s="179"/>
      <c r="D79" s="180"/>
      <c r="E79" s="179"/>
      <c r="F79" s="179"/>
      <c r="G79" s="179"/>
      <c r="H79" s="181"/>
      <c r="I79" s="179"/>
      <c r="J79" s="179"/>
      <c r="K79" s="179"/>
      <c r="L79" s="179"/>
      <c r="M79" s="182"/>
      <c r="N79" s="51"/>
      <c r="O79" s="91"/>
      <c r="P79" s="133">
        <v>3</v>
      </c>
      <c r="Q79" s="134">
        <f t="shared" ref="Q79:Q90" si="28">DAY(EOMONTH(R79,0))</f>
        <v>31</v>
      </c>
      <c r="R79" s="135">
        <v>45658</v>
      </c>
      <c r="S79" s="136">
        <f>+'E3950'!M66</f>
        <v>5890.2216078742276</v>
      </c>
      <c r="T79" s="143">
        <f t="shared" ref="T79:T90" si="29">+T78-S79</f>
        <v>-21482.871144300691</v>
      </c>
      <c r="U79" s="138">
        <f>V79-SUM($Q$78:Q79)+1</f>
        <v>335</v>
      </c>
      <c r="V79" s="139">
        <f>Q91</f>
        <v>365</v>
      </c>
      <c r="W79" s="136">
        <f t="shared" ref="W79:W90" si="30">+U79/V79*S79</f>
        <v>5406.0938044873046</v>
      </c>
      <c r="X79" s="140">
        <f t="shared" ref="X79:X90" si="31">+X78-W79</f>
        <v>-20998.743340913767</v>
      </c>
      <c r="Y79" s="89"/>
      <c r="Z79" s="89"/>
      <c r="AA79" s="89"/>
    </row>
    <row r="80" spans="1:35" ht="15" x14ac:dyDescent="0.25">
      <c r="A80" s="183" t="s">
        <v>108</v>
      </c>
      <c r="B80" s="248"/>
      <c r="C80" s="173">
        <f>C29</f>
        <v>0</v>
      </c>
      <c r="D80" s="173">
        <f>D29</f>
        <v>0</v>
      </c>
      <c r="E80" s="173">
        <f>SUM(E24:E29)</f>
        <v>0</v>
      </c>
      <c r="F80" s="173">
        <f>SUM(F24:F29)</f>
        <v>0</v>
      </c>
      <c r="G80" s="173">
        <f t="shared" ref="G80:L80" si="32">G29</f>
        <v>0</v>
      </c>
      <c r="H80" s="173">
        <f t="shared" si="32"/>
        <v>0</v>
      </c>
      <c r="I80" s="173">
        <f t="shared" si="32"/>
        <v>0</v>
      </c>
      <c r="J80" s="173">
        <f t="shared" si="32"/>
        <v>0</v>
      </c>
      <c r="K80" s="173">
        <f t="shared" si="32"/>
        <v>0</v>
      </c>
      <c r="L80" s="173">
        <f t="shared" si="32"/>
        <v>0</v>
      </c>
      <c r="M80" s="184">
        <f>SUM(M24:M29)</f>
        <v>0</v>
      </c>
      <c r="N80" s="51"/>
      <c r="O80" s="91"/>
      <c r="P80" s="133">
        <v>4</v>
      </c>
      <c r="Q80" s="134">
        <f t="shared" si="28"/>
        <v>28</v>
      </c>
      <c r="R80" s="135">
        <v>45689</v>
      </c>
      <c r="S80" s="136">
        <f>+'E3950'!M67</f>
        <v>5791.1896502529053</v>
      </c>
      <c r="T80" s="143">
        <f t="shared" si="29"/>
        <v>-27274.060794553596</v>
      </c>
      <c r="U80" s="138">
        <f>V80-SUM($Q$78:Q80)+1</f>
        <v>307</v>
      </c>
      <c r="V80" s="139">
        <f t="shared" ref="V80:V90" si="33">V79</f>
        <v>365</v>
      </c>
      <c r="W80" s="136">
        <f t="shared" si="30"/>
        <v>4870.9458154181966</v>
      </c>
      <c r="X80" s="140">
        <f t="shared" si="31"/>
        <v>-25869.689156331962</v>
      </c>
      <c r="Y80" s="89"/>
      <c r="Z80" s="89"/>
      <c r="AA80" s="89"/>
    </row>
    <row r="81" spans="1:43" ht="15" x14ac:dyDescent="0.25">
      <c r="A81" s="185" t="s">
        <v>109</v>
      </c>
      <c r="B81" s="249"/>
      <c r="C81" s="186">
        <f>(0+C29+SUM(C18:C28)*2)/24</f>
        <v>0</v>
      </c>
      <c r="D81" s="186">
        <f>(0+D29+SUM(D18:D28)*2)/24</f>
        <v>0</v>
      </c>
      <c r="E81" s="186"/>
      <c r="F81" s="187"/>
      <c r="G81" s="186">
        <f t="shared" ref="G81:L81" si="34">(0+G29+SUM(G18:G28)*2)/24</f>
        <v>0</v>
      </c>
      <c r="H81" s="186">
        <f t="shared" si="34"/>
        <v>0</v>
      </c>
      <c r="I81" s="186">
        <f t="shared" si="34"/>
        <v>0</v>
      </c>
      <c r="J81" s="186">
        <f t="shared" si="34"/>
        <v>0</v>
      </c>
      <c r="K81" s="186">
        <f t="shared" si="34"/>
        <v>0</v>
      </c>
      <c r="L81" s="186">
        <f t="shared" si="34"/>
        <v>0</v>
      </c>
      <c r="M81" s="186"/>
      <c r="N81" s="51"/>
      <c r="O81" s="91"/>
      <c r="P81" s="133">
        <v>5</v>
      </c>
      <c r="Q81" s="134">
        <f t="shared" si="28"/>
        <v>31</v>
      </c>
      <c r="R81" s="135">
        <v>45717</v>
      </c>
      <c r="S81" s="136">
        <f>+'E3950'!M68</f>
        <v>5692.1576926316047</v>
      </c>
      <c r="T81" s="143">
        <f t="shared" si="29"/>
        <v>-32966.218487185201</v>
      </c>
      <c r="U81" s="138">
        <f>V81-SUM($Q$78:Q81)+1</f>
        <v>276</v>
      </c>
      <c r="V81" s="139">
        <f t="shared" si="33"/>
        <v>365</v>
      </c>
      <c r="W81" s="136">
        <f t="shared" si="30"/>
        <v>4304.2069127844461</v>
      </c>
      <c r="X81" s="140">
        <f t="shared" si="31"/>
        <v>-30173.89606911641</v>
      </c>
      <c r="Y81" s="89"/>
      <c r="Z81" s="89"/>
      <c r="AA81" s="89"/>
    </row>
    <row r="82" spans="1:43" ht="15" x14ac:dyDescent="0.25">
      <c r="A82" s="188" t="s">
        <v>110</v>
      </c>
      <c r="B82" s="250"/>
      <c r="C82" s="189"/>
      <c r="D82" s="190"/>
      <c r="E82" s="189"/>
      <c r="F82" s="189"/>
      <c r="G82" s="189"/>
      <c r="H82" s="191"/>
      <c r="I82" s="189"/>
      <c r="J82" s="189"/>
      <c r="K82" s="189"/>
      <c r="L82" s="189"/>
      <c r="M82" s="192"/>
      <c r="N82" s="51"/>
      <c r="O82" s="91"/>
      <c r="P82" s="133">
        <v>6</v>
      </c>
      <c r="Q82" s="134">
        <f t="shared" si="28"/>
        <v>30</v>
      </c>
      <c r="R82" s="135">
        <v>45748</v>
      </c>
      <c r="S82" s="136">
        <f>+'E3950'!M69</f>
        <v>5593.1257350102314</v>
      </c>
      <c r="T82" s="143">
        <f t="shared" si="29"/>
        <v>-38559.344222195432</v>
      </c>
      <c r="U82" s="138">
        <f>V82-SUM($Q$78:Q82)+1</f>
        <v>246</v>
      </c>
      <c r="V82" s="139">
        <f t="shared" si="33"/>
        <v>365</v>
      </c>
      <c r="W82" s="136">
        <f t="shared" si="30"/>
        <v>3769.6135090753887</v>
      </c>
      <c r="X82" s="140">
        <f t="shared" si="31"/>
        <v>-33943.509578191799</v>
      </c>
      <c r="Y82" s="89"/>
      <c r="Z82" s="89"/>
      <c r="AA82" s="89"/>
    </row>
    <row r="83" spans="1:43" ht="15" x14ac:dyDescent="0.25">
      <c r="A83" s="193" t="s">
        <v>111</v>
      </c>
      <c r="B83" s="251"/>
      <c r="C83" s="194">
        <f>C41</f>
        <v>0</v>
      </c>
      <c r="D83" s="194">
        <f>D41</f>
        <v>0</v>
      </c>
      <c r="E83" s="194">
        <f>SUM(E30:E41)</f>
        <v>0</v>
      </c>
      <c r="F83" s="194">
        <f>SUM(F30:F41)</f>
        <v>0</v>
      </c>
      <c r="G83" s="194">
        <f t="shared" ref="G83:J83" si="35">G41</f>
        <v>0</v>
      </c>
      <c r="H83" s="194">
        <f t="shared" si="35"/>
        <v>0</v>
      </c>
      <c r="I83" s="194">
        <f t="shared" si="35"/>
        <v>0</v>
      </c>
      <c r="J83" s="194">
        <f t="shared" si="35"/>
        <v>0</v>
      </c>
      <c r="K83" s="194">
        <f>K41</f>
        <v>0</v>
      </c>
      <c r="L83" s="194">
        <f>L41</f>
        <v>0</v>
      </c>
      <c r="M83" s="195">
        <f>SUM(M30:M41)</f>
        <v>0</v>
      </c>
      <c r="N83" s="51"/>
      <c r="O83" s="91"/>
      <c r="P83" s="133">
        <v>7</v>
      </c>
      <c r="Q83" s="134">
        <f t="shared" si="28"/>
        <v>31</v>
      </c>
      <c r="R83" s="135">
        <v>45778</v>
      </c>
      <c r="S83" s="136">
        <f>+'E3950'!M70</f>
        <v>5494.0937773889309</v>
      </c>
      <c r="T83" s="143">
        <f t="shared" si="29"/>
        <v>-44053.437999584363</v>
      </c>
      <c r="U83" s="138">
        <f>V83-SUM($Q$78:Q83)+1</f>
        <v>215</v>
      </c>
      <c r="V83" s="139">
        <f t="shared" si="33"/>
        <v>365</v>
      </c>
      <c r="W83" s="136">
        <f t="shared" si="30"/>
        <v>3236.2470195578635</v>
      </c>
      <c r="X83" s="140">
        <f t="shared" si="31"/>
        <v>-37179.756597749663</v>
      </c>
      <c r="Y83" s="89"/>
      <c r="Z83" s="89"/>
      <c r="AA83" s="89"/>
    </row>
    <row r="84" spans="1:43" ht="15" x14ac:dyDescent="0.25">
      <c r="A84" s="196" t="s">
        <v>112</v>
      </c>
      <c r="B84" s="252"/>
      <c r="C84" s="197">
        <f>(C29+C41+SUM(C30:C40)*2)/24</f>
        <v>0</v>
      </c>
      <c r="D84" s="197">
        <f>(D29+D41+SUM(D30:D40)*2)/24</f>
        <v>0</v>
      </c>
      <c r="E84" s="197"/>
      <c r="F84" s="198"/>
      <c r="G84" s="197">
        <f t="shared" ref="G84:J84" si="36">(G29+G41+SUM(G30:G40)*2)/24</f>
        <v>0</v>
      </c>
      <c r="H84" s="197">
        <f t="shared" si="36"/>
        <v>0</v>
      </c>
      <c r="I84" s="197">
        <f t="shared" si="36"/>
        <v>0</v>
      </c>
      <c r="J84" s="197">
        <f t="shared" si="36"/>
        <v>0</v>
      </c>
      <c r="K84" s="197">
        <f>(K29+K41+SUM(K30:K40)*2)/24</f>
        <v>0</v>
      </c>
      <c r="L84" s="197">
        <f>(L29+L41+SUM(L30:L40)*2)/24</f>
        <v>0</v>
      </c>
      <c r="M84" s="199"/>
      <c r="N84" s="51"/>
      <c r="O84" s="91"/>
      <c r="P84" s="133">
        <v>8</v>
      </c>
      <c r="Q84" s="134">
        <f t="shared" si="28"/>
        <v>30</v>
      </c>
      <c r="R84" s="135">
        <v>45809</v>
      </c>
      <c r="S84" s="136">
        <f>+'E3950'!M71</f>
        <v>5395.0618197675576</v>
      </c>
      <c r="T84" s="143">
        <f t="shared" si="29"/>
        <v>-49448.49981935192</v>
      </c>
      <c r="U84" s="138">
        <f>V84-SUM($Q$78:Q84)+1</f>
        <v>185</v>
      </c>
      <c r="V84" s="139">
        <f t="shared" si="33"/>
        <v>365</v>
      </c>
      <c r="W84" s="136">
        <f t="shared" si="30"/>
        <v>2734.4833881013651</v>
      </c>
      <c r="X84" s="140">
        <f t="shared" si="31"/>
        <v>-39914.239985851025</v>
      </c>
      <c r="Y84" s="89"/>
      <c r="Z84" s="89"/>
      <c r="AA84" s="89"/>
    </row>
    <row r="85" spans="1:43" ht="15" x14ac:dyDescent="0.25">
      <c r="A85" s="178" t="s">
        <v>113</v>
      </c>
      <c r="B85" s="247"/>
      <c r="C85" s="179"/>
      <c r="D85" s="180"/>
      <c r="E85" s="179"/>
      <c r="F85" s="179"/>
      <c r="G85" s="179"/>
      <c r="H85" s="181"/>
      <c r="I85" s="179"/>
      <c r="J85" s="179"/>
      <c r="K85" s="179"/>
      <c r="L85" s="179"/>
      <c r="M85" s="182"/>
      <c r="N85" s="51"/>
      <c r="O85" s="91"/>
      <c r="P85" s="133">
        <v>9</v>
      </c>
      <c r="Q85" s="134">
        <f t="shared" si="28"/>
        <v>31</v>
      </c>
      <c r="R85" s="135">
        <v>45839</v>
      </c>
      <c r="S85" s="136">
        <f>+'E3950'!M72</f>
        <v>5296.029862146308</v>
      </c>
      <c r="T85" s="143">
        <f t="shared" si="29"/>
        <v>-54744.529681498228</v>
      </c>
      <c r="U85" s="138">
        <f>V85-SUM($Q$78:Q85)+1</f>
        <v>154</v>
      </c>
      <c r="V85" s="139">
        <f t="shared" si="33"/>
        <v>365</v>
      </c>
      <c r="W85" s="136">
        <f t="shared" si="30"/>
        <v>2234.4893117000861</v>
      </c>
      <c r="X85" s="140">
        <f t="shared" si="31"/>
        <v>-42148.729297551108</v>
      </c>
      <c r="Y85" s="89"/>
      <c r="Z85" s="89"/>
      <c r="AA85" s="89"/>
    </row>
    <row r="86" spans="1:43" ht="15" x14ac:dyDescent="0.25">
      <c r="A86" s="183" t="s">
        <v>114</v>
      </c>
      <c r="B86" s="248"/>
      <c r="C86" s="173">
        <f>C53</f>
        <v>0</v>
      </c>
      <c r="D86" s="173">
        <f>D53</f>
        <v>0</v>
      </c>
      <c r="E86" s="173">
        <f>SUM(E42:E53)</f>
        <v>0</v>
      </c>
      <c r="F86" s="173">
        <f>SUM(F42:F53)</f>
        <v>0</v>
      </c>
      <c r="G86" s="173">
        <f t="shared" ref="G86:L86" si="37">G53</f>
        <v>0</v>
      </c>
      <c r="H86" s="173">
        <f t="shared" si="37"/>
        <v>0</v>
      </c>
      <c r="I86" s="173">
        <f t="shared" si="37"/>
        <v>0</v>
      </c>
      <c r="J86" s="173">
        <f t="shared" si="37"/>
        <v>0</v>
      </c>
      <c r="K86" s="173">
        <f t="shared" si="37"/>
        <v>0</v>
      </c>
      <c r="L86" s="173">
        <f t="shared" si="37"/>
        <v>0</v>
      </c>
      <c r="M86" s="177">
        <f>SUM(M42:M53)</f>
        <v>0</v>
      </c>
      <c r="N86" s="51"/>
      <c r="O86" s="123"/>
      <c r="P86" s="133">
        <v>10</v>
      </c>
      <c r="Q86" s="134">
        <f t="shared" si="28"/>
        <v>31</v>
      </c>
      <c r="R86" s="135">
        <v>45870</v>
      </c>
      <c r="S86" s="136">
        <f>+'E3950'!M73</f>
        <v>5196.9979045249565</v>
      </c>
      <c r="T86" s="143">
        <f t="shared" si="29"/>
        <v>-59941.527586023185</v>
      </c>
      <c r="U86" s="138">
        <f>V86-SUM($Q$78:Q86)+1</f>
        <v>123</v>
      </c>
      <c r="V86" s="139">
        <f t="shared" si="33"/>
        <v>365</v>
      </c>
      <c r="W86" s="136">
        <f t="shared" si="30"/>
        <v>1751.3171020727937</v>
      </c>
      <c r="X86" s="140">
        <f t="shared" si="31"/>
        <v>-43900.046399623905</v>
      </c>
      <c r="Y86" s="89"/>
      <c r="Z86" s="89"/>
      <c r="AA86" s="89"/>
    </row>
    <row r="87" spans="1:43" ht="15" x14ac:dyDescent="0.25">
      <c r="A87" s="185" t="s">
        <v>115</v>
      </c>
      <c r="B87" s="249"/>
      <c r="C87" s="186">
        <f>(C41+C53+SUM(C42:C52)*2)/24</f>
        <v>0</v>
      </c>
      <c r="D87" s="186">
        <f>(D41+D53+SUM(D42:D52)*2)/24</f>
        <v>0</v>
      </c>
      <c r="E87" s="186"/>
      <c r="F87" s="187"/>
      <c r="G87" s="186">
        <f t="shared" ref="G87:L87" si="38">(G41+G53+SUM(G42:G52)*2)/24</f>
        <v>0</v>
      </c>
      <c r="H87" s="186">
        <f t="shared" si="38"/>
        <v>0</v>
      </c>
      <c r="I87" s="186">
        <f t="shared" si="38"/>
        <v>0</v>
      </c>
      <c r="J87" s="186">
        <f t="shared" si="38"/>
        <v>0</v>
      </c>
      <c r="K87" s="186">
        <f t="shared" si="38"/>
        <v>0</v>
      </c>
      <c r="L87" s="186">
        <f t="shared" si="38"/>
        <v>0</v>
      </c>
      <c r="M87" s="200"/>
      <c r="N87" s="51"/>
      <c r="O87" s="123"/>
      <c r="P87" s="133">
        <v>11</v>
      </c>
      <c r="Q87" s="134">
        <f t="shared" si="28"/>
        <v>30</v>
      </c>
      <c r="R87" s="135">
        <v>45901</v>
      </c>
      <c r="S87" s="136">
        <f>+'E3950'!M74</f>
        <v>5097.9659469036123</v>
      </c>
      <c r="T87" s="143">
        <f t="shared" si="29"/>
        <v>-65039.493532926797</v>
      </c>
      <c r="U87" s="138">
        <f>V87-SUM($Q$78:Q87)+1</f>
        <v>93</v>
      </c>
      <c r="V87" s="139">
        <f t="shared" si="33"/>
        <v>365</v>
      </c>
      <c r="W87" s="136">
        <f t="shared" si="30"/>
        <v>1298.9337892110575</v>
      </c>
      <c r="X87" s="140">
        <f t="shared" si="31"/>
        <v>-45198.980188834961</v>
      </c>
      <c r="Y87" s="89"/>
      <c r="Z87" s="89"/>
      <c r="AA87" s="89"/>
    </row>
    <row r="88" spans="1:43" ht="15" x14ac:dyDescent="0.25">
      <c r="A88" s="188" t="s">
        <v>116</v>
      </c>
      <c r="B88" s="250"/>
      <c r="C88" s="189"/>
      <c r="D88" s="190"/>
      <c r="E88" s="189"/>
      <c r="F88" s="189"/>
      <c r="G88" s="189"/>
      <c r="H88" s="191"/>
      <c r="I88" s="189"/>
      <c r="J88" s="189"/>
      <c r="K88" s="189"/>
      <c r="L88" s="189"/>
      <c r="M88" s="192"/>
      <c r="N88" s="51"/>
      <c r="P88" s="133">
        <v>12</v>
      </c>
      <c r="Q88" s="134">
        <f t="shared" si="28"/>
        <v>31</v>
      </c>
      <c r="R88" s="135">
        <v>45931</v>
      </c>
      <c r="S88" s="136">
        <f>+'E3950'!M75</f>
        <v>4998.93398928221</v>
      </c>
      <c r="T88" s="143">
        <f t="shared" si="29"/>
        <v>-70038.427522209007</v>
      </c>
      <c r="U88" s="138">
        <f>V88-SUM($Q$78:Q88)+1</f>
        <v>62</v>
      </c>
      <c r="V88" s="139">
        <f t="shared" si="33"/>
        <v>365</v>
      </c>
      <c r="W88" s="136">
        <f t="shared" si="30"/>
        <v>849.13399269999184</v>
      </c>
      <c r="X88" s="140">
        <f t="shared" si="31"/>
        <v>-46048.114181534955</v>
      </c>
      <c r="Y88" s="89"/>
      <c r="Z88" s="89"/>
      <c r="AA88" s="89"/>
    </row>
    <row r="89" spans="1:43" ht="15" x14ac:dyDescent="0.25">
      <c r="A89" s="193" t="s">
        <v>117</v>
      </c>
      <c r="B89" s="251"/>
      <c r="C89" s="194">
        <f>C65</f>
        <v>616444.26798025123</v>
      </c>
      <c r="D89" s="194">
        <f>D65</f>
        <v>616444.26798025123</v>
      </c>
      <c r="E89" s="194">
        <f>SUM(E54:E65)</f>
        <v>88089.885894377891</v>
      </c>
      <c r="F89" s="194">
        <f>SUM(F54:F65)</f>
        <v>13839.173816156641</v>
      </c>
      <c r="G89" s="194">
        <f t="shared" ref="G89:L89" si="39">G65</f>
        <v>-88089.885894377891</v>
      </c>
      <c r="H89" s="194">
        <f t="shared" si="39"/>
        <v>-13839.173816156641</v>
      </c>
      <c r="I89" s="194">
        <f t="shared" si="39"/>
        <v>528354.38208587328</v>
      </c>
      <c r="J89" s="194">
        <f t="shared" si="39"/>
        <v>602605.09416409454</v>
      </c>
      <c r="K89" s="194">
        <f t="shared" si="39"/>
        <v>74250.712078221259</v>
      </c>
      <c r="L89" s="194">
        <f t="shared" si="39"/>
        <v>-15592.649536426463</v>
      </c>
      <c r="M89" s="195">
        <f>SUM(M54:M65)</f>
        <v>15592.649536426463</v>
      </c>
      <c r="N89" s="51"/>
      <c r="O89" s="38"/>
      <c r="P89" s="133">
        <v>13</v>
      </c>
      <c r="Q89" s="134">
        <f t="shared" si="28"/>
        <v>30</v>
      </c>
      <c r="R89" s="135">
        <v>45962</v>
      </c>
      <c r="S89" s="136">
        <f>+'E3950'!M76</f>
        <v>4899.9020316610113</v>
      </c>
      <c r="T89" s="143">
        <f t="shared" si="29"/>
        <v>-74938.329553870019</v>
      </c>
      <c r="U89" s="138">
        <f>V89-SUM($Q$78:Q89)+1</f>
        <v>32</v>
      </c>
      <c r="V89" s="139">
        <f t="shared" si="33"/>
        <v>365</v>
      </c>
      <c r="W89" s="136">
        <f t="shared" si="30"/>
        <v>429.58045209082837</v>
      </c>
      <c r="X89" s="140">
        <f t="shared" si="31"/>
        <v>-46477.694633625782</v>
      </c>
      <c r="Y89" s="89"/>
      <c r="Z89" s="89"/>
      <c r="AA89" s="89"/>
    </row>
    <row r="90" spans="1:43" ht="15" x14ac:dyDescent="0.25">
      <c r="A90" s="196" t="s">
        <v>118</v>
      </c>
      <c r="B90" s="252"/>
      <c r="C90" s="197">
        <f t="shared" ref="C90:D90" si="40">(C53+C65+SUM(C54:C64)*2)/24</f>
        <v>308222.13399012561</v>
      </c>
      <c r="D90" s="197">
        <f t="shared" si="40"/>
        <v>308222.13399012561</v>
      </c>
      <c r="E90" s="197"/>
      <c r="F90" s="198"/>
      <c r="G90" s="197">
        <f t="shared" ref="G90:I90" si="41">(G53+G65+SUM(G54:G64)*2)/24</f>
        <v>-44044.942947188953</v>
      </c>
      <c r="H90" s="197">
        <f t="shared" si="41"/>
        <v>-4629.0755010060984</v>
      </c>
      <c r="I90" s="197">
        <f t="shared" si="41"/>
        <v>264177.19104293664</v>
      </c>
      <c r="J90" s="197">
        <f>(J53+J65+SUM(J54:J64)*2)/24</f>
        <v>303593.05848911958</v>
      </c>
      <c r="K90" s="197">
        <f t="shared" ref="K90:L90" si="42">(K53+K65+SUM(K54:K64)*2)/24</f>
        <v>39415.867446182856</v>
      </c>
      <c r="L90" s="197">
        <f t="shared" si="42"/>
        <v>-8277.3321636984001</v>
      </c>
      <c r="M90" s="199"/>
      <c r="P90" s="133">
        <v>14</v>
      </c>
      <c r="Q90" s="134">
        <f t="shared" si="28"/>
        <v>31</v>
      </c>
      <c r="R90" s="135">
        <v>45992</v>
      </c>
      <c r="S90" s="136">
        <f>+'E3950'!M77</f>
        <v>4800.8700740395725</v>
      </c>
      <c r="T90" s="143">
        <f t="shared" si="29"/>
        <v>-79739.199627909591</v>
      </c>
      <c r="U90" s="138">
        <f>V90-SUM($Q$78:Q90)+1</f>
        <v>1</v>
      </c>
      <c r="V90" s="139">
        <f t="shared" si="33"/>
        <v>365</v>
      </c>
      <c r="W90" s="136">
        <f t="shared" si="30"/>
        <v>13.153068695998829</v>
      </c>
      <c r="X90" s="140">
        <f t="shared" si="31"/>
        <v>-46490.847702321778</v>
      </c>
      <c r="Y90" s="89"/>
      <c r="Z90" s="89"/>
      <c r="AA90" s="89"/>
    </row>
    <row r="91" spans="1:43" ht="15.75" thickBot="1" x14ac:dyDescent="0.3">
      <c r="A91" s="178" t="s">
        <v>119</v>
      </c>
      <c r="B91" s="247"/>
      <c r="C91" s="179"/>
      <c r="D91" s="180"/>
      <c r="E91" s="179"/>
      <c r="F91" s="179"/>
      <c r="G91" s="179"/>
      <c r="H91" s="181"/>
      <c r="I91" s="179"/>
      <c r="J91" s="179"/>
      <c r="K91" s="179"/>
      <c r="L91" s="179"/>
      <c r="M91" s="182"/>
      <c r="P91" s="133">
        <v>15</v>
      </c>
      <c r="Q91" s="152">
        <f>SUM(Q79:Q90)</f>
        <v>365</v>
      </c>
      <c r="R91" s="103"/>
      <c r="S91" s="153">
        <f>SUM(S79:S90)</f>
        <v>64146.550091483128</v>
      </c>
      <c r="T91" s="154">
        <f>+'E3950'!L77-T90</f>
        <v>0</v>
      </c>
      <c r="U91" s="102"/>
      <c r="V91" s="155"/>
      <c r="W91" s="153">
        <f>SUM(W79:W90)</f>
        <v>30898.198165895323</v>
      </c>
      <c r="X91" s="107"/>
      <c r="Y91" s="89"/>
      <c r="Z91" s="89"/>
      <c r="AA91" s="89"/>
    </row>
    <row r="92" spans="1:43" s="123" customFormat="1" ht="16.5" thickTop="1" thickBot="1" x14ac:dyDescent="0.3">
      <c r="A92" s="183" t="s">
        <v>120</v>
      </c>
      <c r="B92" s="248"/>
      <c r="C92" s="173">
        <f>C77</f>
        <v>2128863.6016817517</v>
      </c>
      <c r="D92" s="173">
        <f>D77</f>
        <v>2128863.6016817517</v>
      </c>
      <c r="E92" s="173">
        <f>SUM(E66:E77)</f>
        <v>367091.92401430797</v>
      </c>
      <c r="F92" s="173">
        <f>SUM(F66:F77)</f>
        <v>61632.161673911964</v>
      </c>
      <c r="G92" s="173">
        <f t="shared" ref="G92:L92" si="43">G77</f>
        <v>-455181.80990868586</v>
      </c>
      <c r="H92" s="173">
        <f t="shared" si="43"/>
        <v>-75471.33549006861</v>
      </c>
      <c r="I92" s="173">
        <f t="shared" si="43"/>
        <v>1673681.7917730659</v>
      </c>
      <c r="J92" s="173">
        <f t="shared" si="43"/>
        <v>2053392.266191683</v>
      </c>
      <c r="K92" s="173">
        <f t="shared" si="43"/>
        <v>379710.47441861709</v>
      </c>
      <c r="L92" s="173">
        <f t="shared" si="43"/>
        <v>-79739.199627909591</v>
      </c>
      <c r="M92" s="177">
        <f>SUM(M66:M77)</f>
        <v>64146.550091483128</v>
      </c>
      <c r="O92" s="52"/>
      <c r="P92" s="133">
        <v>16</v>
      </c>
      <c r="Q92" s="103"/>
      <c r="R92" s="156"/>
      <c r="S92" s="157"/>
      <c r="T92" s="137"/>
      <c r="U92" s="102"/>
      <c r="V92" s="103"/>
      <c r="W92" s="158"/>
      <c r="X92" s="107"/>
      <c r="Y92" s="89"/>
      <c r="Z92" s="89"/>
      <c r="AA92" s="89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</row>
    <row r="93" spans="1:43" s="123" customFormat="1" ht="15.75" thickBot="1" x14ac:dyDescent="0.3">
      <c r="A93" s="185" t="s">
        <v>121</v>
      </c>
      <c r="B93" s="249"/>
      <c r="C93" s="186">
        <f>(C65+C77+SUM(C66:C76)*2)/24</f>
        <v>1372653.9348310016</v>
      </c>
      <c r="D93" s="186">
        <f>(D65+D77+SUM(D66:D76)*2)/24</f>
        <v>1372653.9348310016</v>
      </c>
      <c r="E93" s="186"/>
      <c r="F93" s="187"/>
      <c r="G93" s="186">
        <f t="shared" ref="G93:L93" si="44">(G65+G77+SUM(G66:G76)*2)/24</f>
        <v>-271635.84790153184</v>
      </c>
      <c r="H93" s="186">
        <f t="shared" si="44"/>
        <v>-39035.584042060997</v>
      </c>
      <c r="I93" s="186">
        <f t="shared" si="44"/>
        <v>1101018.0869294698</v>
      </c>
      <c r="J93" s="186">
        <f t="shared" si="44"/>
        <v>1333618.3507889404</v>
      </c>
      <c r="K93" s="186">
        <f t="shared" si="44"/>
        <v>232600.26385947081</v>
      </c>
      <c r="L93" s="186">
        <f t="shared" si="44"/>
        <v>-48846.055410488865</v>
      </c>
      <c r="M93" s="200"/>
      <c r="O93" s="52"/>
      <c r="P93" s="133">
        <v>17</v>
      </c>
      <c r="Q93" s="103" t="s">
        <v>102</v>
      </c>
      <c r="R93" s="103"/>
      <c r="S93" s="136"/>
      <c r="T93" s="159">
        <f>(T78+T90+SUM(T79:T89)*2)/24</f>
        <v>-48846.055410488865</v>
      </c>
      <c r="U93" s="102"/>
      <c r="V93" s="103"/>
      <c r="W93" s="160" t="s">
        <v>103</v>
      </c>
      <c r="X93" s="161">
        <f>X90</f>
        <v>-46490.847702321778</v>
      </c>
      <c r="Y93" s="89"/>
      <c r="Z93" s="89"/>
      <c r="AA93" s="89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</row>
    <row r="94" spans="1:43" s="123" customFormat="1" ht="16.5" thickTop="1" thickBo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O94" s="52"/>
      <c r="P94" s="162">
        <v>18</v>
      </c>
      <c r="Q94" s="163"/>
      <c r="R94" s="163"/>
      <c r="S94" s="164"/>
      <c r="T94" s="165"/>
      <c r="U94" s="166"/>
      <c r="V94" s="163"/>
      <c r="W94" s="163"/>
      <c r="X94" s="167"/>
      <c r="Y94" s="89"/>
      <c r="Z94" s="89"/>
      <c r="AA94" s="89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</row>
    <row r="95" spans="1:43" s="123" customFormat="1" ht="15" x14ac:dyDescent="0.25">
      <c r="A95" s="201" t="s">
        <v>106</v>
      </c>
      <c r="B95" s="253"/>
      <c r="C95" s="202">
        <f>C92-C77</f>
        <v>0</v>
      </c>
      <c r="D95" s="202">
        <f>D92-D77</f>
        <v>0</v>
      </c>
      <c r="E95" s="202">
        <f>E92+E89+E86+E83+E80+-SUM(E24:E77)</f>
        <v>0</v>
      </c>
      <c r="F95" s="202">
        <f>F92+F89+F86+F83+F80+-SUM(F24:F77)</f>
        <v>0</v>
      </c>
      <c r="G95" s="202">
        <f t="shared" ref="G95:L95" si="45">G77-G92</f>
        <v>0</v>
      </c>
      <c r="H95" s="202">
        <f t="shared" si="45"/>
        <v>0</v>
      </c>
      <c r="I95" s="202">
        <f t="shared" si="45"/>
        <v>0</v>
      </c>
      <c r="J95" s="202">
        <f t="shared" si="45"/>
        <v>0</v>
      </c>
      <c r="K95" s="202">
        <f t="shared" si="45"/>
        <v>0</v>
      </c>
      <c r="L95" s="202">
        <f t="shared" si="45"/>
        <v>0</v>
      </c>
      <c r="M95" s="202">
        <f>M92+M89+M86+M83+M80+-SUM(M24:M77)</f>
        <v>0</v>
      </c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89"/>
      <c r="Z95" s="89"/>
      <c r="AA95" s="89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</row>
    <row r="96" spans="1:43" s="123" customFormat="1" ht="15" x14ac:dyDescent="0.25">
      <c r="A96" s="203">
        <v>2023</v>
      </c>
      <c r="B96" s="254"/>
      <c r="C96" s="204">
        <f>D87+H87+X41</f>
        <v>0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89"/>
      <c r="Z96" s="89"/>
      <c r="AA96" s="89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</row>
    <row r="97" spans="1:27" ht="15" x14ac:dyDescent="0.25">
      <c r="A97" s="203">
        <v>2024</v>
      </c>
      <c r="B97" s="254"/>
      <c r="C97" s="204">
        <f>D90+H90+X67</f>
        <v>295904.67999669944</v>
      </c>
      <c r="D97" s="89"/>
      <c r="E97" s="89"/>
      <c r="F97" s="89"/>
      <c r="G97" s="89"/>
      <c r="H97" s="89"/>
      <c r="I97" s="89"/>
      <c r="J97" s="89"/>
      <c r="K97" s="89"/>
      <c r="L97" s="89"/>
      <c r="M97" s="89"/>
      <c r="Y97" s="89"/>
      <c r="Z97" s="89"/>
      <c r="AA97" s="89"/>
    </row>
    <row r="98" spans="1:27" ht="15" x14ac:dyDescent="0.25">
      <c r="A98" s="203">
        <v>2025</v>
      </c>
      <c r="B98" s="254"/>
      <c r="C98" s="204">
        <f>D93+H93+X93</f>
        <v>1287127.5030866188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Y98" s="89"/>
      <c r="Z98" s="89"/>
      <c r="AA98" s="89"/>
    </row>
    <row r="99" spans="1:27" ht="15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Y99" s="89"/>
      <c r="Z99" s="89"/>
      <c r="AA99" s="89"/>
    </row>
    <row r="100" spans="1:27" ht="15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Y100" s="89"/>
      <c r="Z100" s="89"/>
      <c r="AA100" s="89"/>
    </row>
    <row r="101" spans="1:27" ht="15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Y101" s="89"/>
      <c r="Z101" s="89"/>
      <c r="AA101" s="89"/>
    </row>
    <row r="102" spans="1:27" ht="15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Y102" s="89"/>
      <c r="Z102" s="89"/>
      <c r="AA102" s="89"/>
    </row>
    <row r="103" spans="1:27" ht="15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Y103" s="89"/>
      <c r="Z103" s="89"/>
      <c r="AA103" s="89"/>
    </row>
    <row r="104" spans="1:27" ht="15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Y104" s="89"/>
      <c r="Z104" s="89"/>
      <c r="AA104" s="89"/>
    </row>
    <row r="105" spans="1:27" ht="15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Y105" s="89"/>
      <c r="Z105" s="89"/>
      <c r="AA105" s="89"/>
    </row>
    <row r="106" spans="1:27" ht="15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Y106" s="89"/>
      <c r="Z106" s="89"/>
      <c r="AA106" s="89"/>
    </row>
    <row r="107" spans="1:27" ht="15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Y107" s="89"/>
      <c r="Z107" s="89"/>
      <c r="AA107" s="89"/>
    </row>
    <row r="108" spans="1:27" ht="15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Y108" s="89"/>
      <c r="Z108" s="89"/>
      <c r="AA108" s="89"/>
    </row>
    <row r="109" spans="1:27" ht="15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Y109" s="89"/>
      <c r="Z109" s="89"/>
      <c r="AA109" s="89"/>
    </row>
    <row r="110" spans="1:27" ht="15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Y110" s="89"/>
      <c r="Z110" s="89"/>
      <c r="AA110" s="89"/>
    </row>
    <row r="111" spans="1:27" ht="15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Y111" s="89"/>
      <c r="Z111" s="89"/>
      <c r="AA111" s="89"/>
    </row>
    <row r="112" spans="1:27" ht="15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Y112" s="89"/>
      <c r="Z112" s="89"/>
      <c r="AA112" s="89"/>
    </row>
    <row r="113" spans="1:27" ht="15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Y113" s="89"/>
      <c r="Z113" s="89"/>
      <c r="AA113" s="89"/>
    </row>
    <row r="114" spans="1:27" ht="15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Y114" s="89"/>
      <c r="Z114" s="89"/>
      <c r="AA114" s="89"/>
    </row>
    <row r="115" spans="1:27" ht="15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Y115" s="89"/>
      <c r="Z115" s="89"/>
      <c r="AA115" s="89"/>
    </row>
    <row r="116" spans="1:27" ht="15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Y116" s="89"/>
      <c r="Z116" s="89"/>
      <c r="AA116" s="89"/>
    </row>
    <row r="117" spans="1:27" ht="15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Y117" s="89"/>
      <c r="Z117" s="89"/>
      <c r="AA117" s="89"/>
    </row>
    <row r="118" spans="1:27" ht="15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Y118" s="89"/>
      <c r="Z118" s="89"/>
      <c r="AA118" s="89"/>
    </row>
    <row r="119" spans="1:27" ht="15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Y119" s="89"/>
      <c r="Z119" s="89"/>
      <c r="AA119" s="89"/>
    </row>
    <row r="120" spans="1:27" ht="15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Y120" s="89"/>
      <c r="Z120" s="89"/>
      <c r="AA120" s="89"/>
    </row>
    <row r="121" spans="1:27" ht="15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Y121" s="89"/>
      <c r="Z121" s="89"/>
      <c r="AA121" s="89"/>
    </row>
    <row r="122" spans="1:27" ht="15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Y122" s="89"/>
      <c r="Z122" s="89"/>
      <c r="AA122" s="89"/>
    </row>
    <row r="123" spans="1:27" ht="15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Y123" s="89"/>
      <c r="Z123" s="89"/>
      <c r="AA123" s="89"/>
    </row>
    <row r="124" spans="1:27" ht="15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Y124" s="89"/>
      <c r="Z124" s="89"/>
      <c r="AA124" s="89"/>
    </row>
    <row r="125" spans="1:27" ht="15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Y125" s="89"/>
      <c r="Z125" s="89"/>
      <c r="AA125" s="89"/>
    </row>
    <row r="126" spans="1:27" ht="15" x14ac:dyDescent="0.25">
      <c r="Y126" s="89"/>
      <c r="Z126" s="89"/>
      <c r="AA126" s="89"/>
    </row>
    <row r="127" spans="1:27" ht="15" x14ac:dyDescent="0.25">
      <c r="Y127" s="89"/>
      <c r="Z127" s="89"/>
      <c r="AA127" s="89"/>
    </row>
    <row r="128" spans="1:27" ht="15" x14ac:dyDescent="0.25">
      <c r="Y128" s="89"/>
      <c r="Z128" s="89"/>
      <c r="AA128" s="89"/>
    </row>
    <row r="129" spans="25:27" ht="15" x14ac:dyDescent="0.25">
      <c r="Y129" s="89"/>
      <c r="Z129" s="89"/>
      <c r="AA129" s="89"/>
    </row>
    <row r="130" spans="25:27" ht="15" x14ac:dyDescent="0.25">
      <c r="Y130" s="89"/>
      <c r="Z130" s="89"/>
      <c r="AA130" s="89"/>
    </row>
    <row r="131" spans="25:27" ht="15" x14ac:dyDescent="0.25">
      <c r="Y131" s="89"/>
      <c r="Z131" s="89"/>
      <c r="AA131" s="89"/>
    </row>
    <row r="132" spans="25:27" ht="15" x14ac:dyDescent="0.25">
      <c r="Y132" s="89"/>
      <c r="Z132" s="89"/>
      <c r="AA132" s="89"/>
    </row>
    <row r="133" spans="25:27" ht="15" x14ac:dyDescent="0.25">
      <c r="Y133" s="89"/>
      <c r="Z133" s="89"/>
      <c r="AA133" s="89"/>
    </row>
    <row r="134" spans="25:27" ht="15" x14ac:dyDescent="0.25">
      <c r="Y134" s="89"/>
      <c r="Z134" s="89"/>
      <c r="AA134" s="89"/>
    </row>
    <row r="135" spans="25:27" ht="15" x14ac:dyDescent="0.25">
      <c r="Y135" s="89"/>
      <c r="Z135" s="89"/>
      <c r="AA135" s="89"/>
    </row>
    <row r="136" spans="25:27" ht="15" x14ac:dyDescent="0.25">
      <c r="Y136" s="89"/>
      <c r="Z136" s="89"/>
      <c r="AA136" s="89"/>
    </row>
    <row r="137" spans="25:27" ht="15" x14ac:dyDescent="0.25">
      <c r="Y137" s="89"/>
      <c r="Z137" s="89"/>
      <c r="AA137" s="89"/>
    </row>
    <row r="138" spans="25:27" ht="15" x14ac:dyDescent="0.25">
      <c r="Y138" s="89"/>
      <c r="Z138" s="89"/>
      <c r="AA138" s="89"/>
    </row>
    <row r="139" spans="25:27" ht="15" x14ac:dyDescent="0.25">
      <c r="Y139" s="89"/>
      <c r="Z139" s="89"/>
      <c r="AA139" s="89"/>
    </row>
    <row r="140" spans="25:27" ht="15" x14ac:dyDescent="0.25">
      <c r="Y140" s="89"/>
      <c r="Z140" s="89"/>
      <c r="AA140" s="89"/>
    </row>
    <row r="141" spans="25:27" ht="15" x14ac:dyDescent="0.25">
      <c r="Y141" s="89"/>
      <c r="Z141" s="89"/>
      <c r="AA141" s="89"/>
    </row>
    <row r="142" spans="25:27" ht="15" x14ac:dyDescent="0.25">
      <c r="Y142" s="89"/>
      <c r="Z142" s="89"/>
      <c r="AA142" s="89"/>
    </row>
    <row r="143" spans="25:27" ht="15" x14ac:dyDescent="0.25">
      <c r="Y143" s="89"/>
      <c r="Z143" s="89"/>
      <c r="AA143" s="89"/>
    </row>
    <row r="144" spans="25:27" ht="15" x14ac:dyDescent="0.25">
      <c r="Y144" s="89"/>
      <c r="Z144" s="89"/>
      <c r="AA144" s="89"/>
    </row>
    <row r="145" spans="25:27" ht="15" x14ac:dyDescent="0.25">
      <c r="Y145" s="89"/>
      <c r="Z145" s="89"/>
      <c r="AA145" s="89"/>
    </row>
    <row r="146" spans="25:27" ht="15" x14ac:dyDescent="0.25">
      <c r="Y146" s="89"/>
      <c r="Z146" s="89"/>
      <c r="AA146" s="89"/>
    </row>
    <row r="147" spans="25:27" ht="15" x14ac:dyDescent="0.25">
      <c r="Y147" s="89"/>
      <c r="Z147" s="89"/>
      <c r="AA147" s="89"/>
    </row>
    <row r="148" spans="25:27" ht="15" x14ac:dyDescent="0.25">
      <c r="Y148" s="89"/>
      <c r="Z148" s="89"/>
      <c r="AA148" s="89"/>
    </row>
    <row r="149" spans="25:27" ht="15" x14ac:dyDescent="0.25">
      <c r="Y149" s="89"/>
      <c r="Z149" s="89"/>
      <c r="AA149" s="89"/>
    </row>
    <row r="150" spans="25:27" ht="15" x14ac:dyDescent="0.25">
      <c r="Y150" s="89"/>
      <c r="Z150" s="89"/>
      <c r="AA150" s="89"/>
    </row>
    <row r="151" spans="25:27" ht="15" x14ac:dyDescent="0.25">
      <c r="Y151" s="89"/>
      <c r="Z151" s="89"/>
      <c r="AA151" s="89"/>
    </row>
    <row r="152" spans="25:27" ht="15" x14ac:dyDescent="0.25">
      <c r="Y152" s="89"/>
      <c r="Z152" s="89"/>
      <c r="AA152" s="89"/>
    </row>
    <row r="153" spans="25:27" ht="15" x14ac:dyDescent="0.25">
      <c r="Y153" s="89"/>
      <c r="Z153" s="89"/>
      <c r="AA153" s="89"/>
    </row>
    <row r="154" spans="25:27" ht="15" x14ac:dyDescent="0.25">
      <c r="Y154" s="89"/>
      <c r="Z154" s="89"/>
      <c r="AA154" s="89"/>
    </row>
    <row r="155" spans="25:27" ht="15" x14ac:dyDescent="0.25">
      <c r="Y155" s="89"/>
      <c r="Z155" s="89"/>
      <c r="AA155" s="89"/>
    </row>
    <row r="156" spans="25:27" ht="15" x14ac:dyDescent="0.25">
      <c r="Y156" s="89"/>
      <c r="Z156" s="89"/>
      <c r="AA156" s="89"/>
    </row>
    <row r="157" spans="25:27" ht="15" x14ac:dyDescent="0.25">
      <c r="Y157" s="89"/>
      <c r="Z157" s="89"/>
      <c r="AA157" s="89"/>
    </row>
    <row r="158" spans="25:27" ht="15" x14ac:dyDescent="0.25">
      <c r="Y158" s="89"/>
      <c r="Z158" s="89"/>
      <c r="AA158" s="89"/>
    </row>
    <row r="159" spans="25:27" ht="15" x14ac:dyDescent="0.25">
      <c r="Y159" s="89"/>
      <c r="Z159" s="89"/>
      <c r="AA159" s="89"/>
    </row>
    <row r="160" spans="25:27" ht="15" x14ac:dyDescent="0.25">
      <c r="Y160" s="89"/>
      <c r="Z160" s="89"/>
      <c r="AA160" s="89"/>
    </row>
    <row r="161" spans="25:27" ht="15" x14ac:dyDescent="0.25">
      <c r="Y161" s="89"/>
      <c r="Z161" s="89"/>
      <c r="AA161" s="89"/>
    </row>
    <row r="162" spans="25:27" ht="15" x14ac:dyDescent="0.25">
      <c r="Y162" s="89"/>
      <c r="Z162" s="89"/>
      <c r="AA162" s="89"/>
    </row>
    <row r="163" spans="25:27" ht="15" x14ac:dyDescent="0.25">
      <c r="Y163" s="89"/>
      <c r="Z163" s="89"/>
      <c r="AA163" s="89"/>
    </row>
    <row r="164" spans="25:27" ht="15" x14ac:dyDescent="0.25">
      <c r="Y164" s="89"/>
      <c r="Z164" s="89"/>
      <c r="AA164" s="89"/>
    </row>
    <row r="165" spans="25:27" ht="15" x14ac:dyDescent="0.25">
      <c r="Y165" s="89"/>
      <c r="Z165" s="89"/>
      <c r="AA165" s="89"/>
    </row>
    <row r="166" spans="25:27" ht="15" x14ac:dyDescent="0.25">
      <c r="Y166" s="89"/>
      <c r="Z166" s="89"/>
      <c r="AA166" s="89"/>
    </row>
    <row r="167" spans="25:27" ht="15" x14ac:dyDescent="0.25">
      <c r="Y167" s="89"/>
      <c r="Z167" s="89"/>
      <c r="AA167" s="89"/>
    </row>
    <row r="168" spans="25:27" ht="15" x14ac:dyDescent="0.25">
      <c r="Y168" s="89"/>
      <c r="Z168" s="89"/>
      <c r="AA168" s="89"/>
    </row>
    <row r="169" spans="25:27" ht="15" x14ac:dyDescent="0.25">
      <c r="Y169" s="89"/>
      <c r="Z169" s="89"/>
      <c r="AA169" s="89"/>
    </row>
    <row r="170" spans="25:27" ht="15" x14ac:dyDescent="0.25">
      <c r="Y170" s="89"/>
      <c r="Z170" s="89"/>
      <c r="AA170" s="89"/>
    </row>
    <row r="171" spans="25:27" ht="15" x14ac:dyDescent="0.25">
      <c r="Y171" s="89"/>
      <c r="Z171" s="89"/>
      <c r="AA171" s="89"/>
    </row>
    <row r="172" spans="25:27" ht="15" x14ac:dyDescent="0.25">
      <c r="Y172" s="89"/>
      <c r="Z172" s="89"/>
      <c r="AA172" s="89"/>
    </row>
    <row r="173" spans="25:27" ht="15" x14ac:dyDescent="0.25">
      <c r="Y173" s="89"/>
      <c r="Z173" s="89"/>
      <c r="AA173" s="89"/>
    </row>
    <row r="174" spans="25:27" ht="15" x14ac:dyDescent="0.25">
      <c r="Y174" s="89"/>
      <c r="Z174" s="89"/>
      <c r="AA174" s="89"/>
    </row>
    <row r="175" spans="25:27" ht="15" x14ac:dyDescent="0.25">
      <c r="Y175" s="89"/>
      <c r="Z175" s="89"/>
      <c r="AA175" s="89"/>
    </row>
    <row r="176" spans="25:27" ht="15" x14ac:dyDescent="0.25">
      <c r="Y176" s="89"/>
      <c r="Z176" s="89"/>
      <c r="AA176" s="89"/>
    </row>
    <row r="177" spans="25:27" ht="15" x14ac:dyDescent="0.25">
      <c r="Y177" s="89"/>
      <c r="Z177" s="89"/>
      <c r="AA177" s="89"/>
    </row>
    <row r="178" spans="25:27" ht="15" x14ac:dyDescent="0.25">
      <c r="Y178" s="89"/>
      <c r="Z178" s="89"/>
      <c r="AA178" s="89"/>
    </row>
    <row r="179" spans="25:27" ht="15" x14ac:dyDescent="0.25">
      <c r="Y179" s="89"/>
      <c r="Z179" s="89"/>
      <c r="AA179" s="89"/>
    </row>
    <row r="180" spans="25:27" ht="15" x14ac:dyDescent="0.25">
      <c r="Y180" s="89"/>
      <c r="Z180" s="89"/>
      <c r="AA180" s="89"/>
    </row>
    <row r="181" spans="25:27" ht="15" x14ac:dyDescent="0.25">
      <c r="Y181" s="89"/>
      <c r="Z181" s="89"/>
      <c r="AA181" s="89"/>
    </row>
    <row r="182" spans="25:27" ht="15" x14ac:dyDescent="0.25">
      <c r="Y182" s="89"/>
      <c r="Z182" s="89"/>
      <c r="AA182" s="89"/>
    </row>
    <row r="183" spans="25:27" ht="15" x14ac:dyDescent="0.25">
      <c r="Y183" s="89"/>
      <c r="Z183" s="89"/>
      <c r="AA183" s="89"/>
    </row>
    <row r="184" spans="25:27" ht="15" x14ac:dyDescent="0.25">
      <c r="Y184" s="89"/>
      <c r="Z184" s="89"/>
      <c r="AA184" s="89"/>
    </row>
    <row r="185" spans="25:27" ht="15" x14ac:dyDescent="0.25">
      <c r="Y185" s="89"/>
      <c r="Z185" s="89"/>
      <c r="AA185" s="89"/>
    </row>
    <row r="186" spans="25:27" ht="15" x14ac:dyDescent="0.25">
      <c r="Y186" s="89"/>
      <c r="Z186" s="89"/>
      <c r="AA186" s="89"/>
    </row>
    <row r="187" spans="25:27" ht="15" x14ac:dyDescent="0.25">
      <c r="Y187" s="89"/>
      <c r="Z187" s="89"/>
      <c r="AA187" s="89"/>
    </row>
    <row r="188" spans="25:27" ht="15" x14ac:dyDescent="0.25">
      <c r="Y188" s="89"/>
      <c r="Z188" s="89"/>
      <c r="AA188" s="89"/>
    </row>
  </sheetData>
  <dataConsolidate/>
  <pageMargins left="0.25" right="0.25" top="0.25" bottom="0.25" header="0.3" footer="0.3"/>
  <pageSetup scale="65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5"/>
  <sheetViews>
    <sheetView zoomScaleNormal="100" workbookViewId="0">
      <pane xSplit="1" ySplit="6" topLeftCell="AG7" activePane="bottomRight" state="frozen"/>
      <selection pane="topRight" activeCell="B1" sqref="B1"/>
      <selection pane="bottomLeft" activeCell="A4" sqref="A4"/>
      <selection pane="bottomRight" activeCell="AW21" sqref="AW21"/>
    </sheetView>
  </sheetViews>
  <sheetFormatPr defaultRowHeight="15" x14ac:dyDescent="0.25"/>
  <cols>
    <col min="1" max="1" width="31.28515625" bestFit="1" customWidth="1"/>
    <col min="2" max="12" width="11.5703125" bestFit="1" customWidth="1"/>
    <col min="13" max="36" width="13.28515625" bestFit="1" customWidth="1"/>
    <col min="37" max="37" width="14.28515625" bestFit="1" customWidth="1"/>
    <col min="38" max="49" width="13.28515625" bestFit="1" customWidth="1"/>
    <col min="50" max="50" width="15.28515625" bestFit="1" customWidth="1"/>
    <col min="51" max="51" width="4.7109375" customWidth="1"/>
    <col min="52" max="54" width="9.28515625" customWidth="1"/>
  </cols>
  <sheetData>
    <row r="1" spans="1:54" x14ac:dyDescent="0.25">
      <c r="BB1" s="280" t="s">
        <v>158</v>
      </c>
    </row>
    <row r="2" spans="1:54" x14ac:dyDescent="0.25">
      <c r="BB2" s="280" t="s">
        <v>159</v>
      </c>
    </row>
    <row r="3" spans="1:54" x14ac:dyDescent="0.25">
      <c r="BB3" s="280" t="s">
        <v>165</v>
      </c>
    </row>
    <row r="4" spans="1:54" ht="15.75" thickBot="1" x14ac:dyDescent="0.3"/>
    <row r="5" spans="1:54" ht="15.75" thickBot="1" x14ac:dyDescent="0.3">
      <c r="B5" s="288" t="s">
        <v>141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7"/>
      <c r="AZ5" s="288" t="s">
        <v>13</v>
      </c>
      <c r="BA5" s="287"/>
      <c r="BB5" s="25" t="s">
        <v>16</v>
      </c>
    </row>
    <row r="6" spans="1:54" ht="15.75" thickBot="1" x14ac:dyDescent="0.3">
      <c r="A6" s="17" t="s">
        <v>12</v>
      </c>
      <c r="B6" s="238">
        <v>44562</v>
      </c>
      <c r="C6" s="239">
        <v>44593</v>
      </c>
      <c r="D6" s="239">
        <v>44621</v>
      </c>
      <c r="E6" s="239">
        <v>44652</v>
      </c>
      <c r="F6" s="240">
        <v>44682</v>
      </c>
      <c r="G6" s="238">
        <v>44713</v>
      </c>
      <c r="H6" s="239">
        <v>44743</v>
      </c>
      <c r="I6" s="239">
        <v>44774</v>
      </c>
      <c r="J6" s="239">
        <v>44805</v>
      </c>
      <c r="K6" s="240">
        <v>44835</v>
      </c>
      <c r="L6" s="238">
        <v>44866</v>
      </c>
      <c r="M6" s="239">
        <v>44896</v>
      </c>
      <c r="N6" s="239">
        <v>44927</v>
      </c>
      <c r="O6" s="239">
        <v>44958</v>
      </c>
      <c r="P6" s="240">
        <v>44986</v>
      </c>
      <c r="Q6" s="238">
        <v>45017</v>
      </c>
      <c r="R6" s="239">
        <v>45047</v>
      </c>
      <c r="S6" s="239">
        <v>45078</v>
      </c>
      <c r="T6" s="239">
        <v>45108</v>
      </c>
      <c r="U6" s="240">
        <v>45139</v>
      </c>
      <c r="V6" s="238">
        <v>45170</v>
      </c>
      <c r="W6" s="239">
        <v>45200</v>
      </c>
      <c r="X6" s="239">
        <v>45231</v>
      </c>
      <c r="Y6" s="239">
        <v>45261</v>
      </c>
      <c r="Z6" s="240">
        <v>45292</v>
      </c>
      <c r="AA6" s="238">
        <v>45323</v>
      </c>
      <c r="AB6" s="239">
        <v>45352</v>
      </c>
      <c r="AC6" s="239">
        <v>45383</v>
      </c>
      <c r="AD6" s="239">
        <v>45413</v>
      </c>
      <c r="AE6" s="240">
        <v>45444</v>
      </c>
      <c r="AF6" s="238">
        <v>45474</v>
      </c>
      <c r="AG6" s="239">
        <v>45505</v>
      </c>
      <c r="AH6" s="239">
        <v>45536</v>
      </c>
      <c r="AI6" s="239">
        <v>45566</v>
      </c>
      <c r="AJ6" s="240">
        <v>45597</v>
      </c>
      <c r="AK6" s="238">
        <v>45627</v>
      </c>
      <c r="AL6" s="239">
        <v>45658</v>
      </c>
      <c r="AM6" s="239">
        <v>45689</v>
      </c>
      <c r="AN6" s="239">
        <v>45717</v>
      </c>
      <c r="AO6" s="240">
        <v>45748</v>
      </c>
      <c r="AP6" s="238">
        <v>45778</v>
      </c>
      <c r="AQ6" s="239">
        <v>45809</v>
      </c>
      <c r="AR6" s="239">
        <v>45839</v>
      </c>
      <c r="AS6" s="239">
        <v>45870</v>
      </c>
      <c r="AT6" s="240">
        <v>45901</v>
      </c>
      <c r="AU6" s="238">
        <v>45931</v>
      </c>
      <c r="AV6" s="239">
        <v>45962</v>
      </c>
      <c r="AW6" s="239">
        <v>45992</v>
      </c>
      <c r="AX6" s="241" t="s">
        <v>1</v>
      </c>
      <c r="AZ6" s="17" t="s">
        <v>14</v>
      </c>
      <c r="BA6" s="19" t="s">
        <v>15</v>
      </c>
      <c r="BB6" s="25" t="s">
        <v>17</v>
      </c>
    </row>
    <row r="7" spans="1:54" x14ac:dyDescent="0.25">
      <c r="A7" s="20" t="s">
        <v>8</v>
      </c>
      <c r="B7" s="22">
        <f>SUMIFS('CWIP Closings'!L$8:L$13,'CWIP Closings'!$B$8:$B$13,'Closings By Depr Grp'!$A7)</f>
        <v>0</v>
      </c>
      <c r="C7" s="22">
        <f>SUMIFS('CWIP Closings'!M$8:M$13,'CWIP Closings'!$B$8:$B$13,'Closings By Depr Grp'!$A7)</f>
        <v>0</v>
      </c>
      <c r="D7" s="22">
        <f>SUMIFS('CWIP Closings'!N$8:N$13,'CWIP Closings'!$B$8:$B$13,'Closings By Depr Grp'!$A7)</f>
        <v>0</v>
      </c>
      <c r="E7" s="22">
        <f>SUMIFS('CWIP Closings'!O$8:O$13,'CWIP Closings'!$B$8:$B$13,'Closings By Depr Grp'!$A7)</f>
        <v>0</v>
      </c>
      <c r="F7" s="22">
        <f>SUMIFS('CWIP Closings'!P$8:P$13,'CWIP Closings'!$B$8:$B$13,'Closings By Depr Grp'!$A7)</f>
        <v>0</v>
      </c>
      <c r="G7" s="22">
        <f>SUMIFS('CWIP Closings'!Q$8:Q$13,'CWIP Closings'!$B$8:$B$13,'Closings By Depr Grp'!$A7)</f>
        <v>0</v>
      </c>
      <c r="H7" s="22">
        <f>SUMIFS('CWIP Closings'!R$8:R$13,'CWIP Closings'!$B$8:$B$13,'Closings By Depr Grp'!$A7)</f>
        <v>0</v>
      </c>
      <c r="I7" s="22">
        <f>SUMIFS('CWIP Closings'!S$8:S$13,'CWIP Closings'!$B$8:$B$13,'Closings By Depr Grp'!$A7)</f>
        <v>0</v>
      </c>
      <c r="J7" s="22">
        <f>SUMIFS('CWIP Closings'!T$8:T$13,'CWIP Closings'!$B$8:$B$13,'Closings By Depr Grp'!$A7)</f>
        <v>0</v>
      </c>
      <c r="K7" s="22">
        <f>SUMIFS('CWIP Closings'!U$8:U$13,'CWIP Closings'!$B$8:$B$13,'Closings By Depr Grp'!$A7)</f>
        <v>0</v>
      </c>
      <c r="L7" s="22">
        <f>SUMIFS('CWIP Closings'!V$8:V$13,'CWIP Closings'!$B$8:$B$13,'Closings By Depr Grp'!$A7)</f>
        <v>0</v>
      </c>
      <c r="M7" s="22">
        <f>SUMIFS('CWIP Closings'!W$8:W$13,'CWIP Closings'!$B$8:$B$13,'Closings By Depr Grp'!$A7)</f>
        <v>0</v>
      </c>
      <c r="N7" s="22">
        <f>SUMIFS('CWIP Closings'!X$8:X$13,'CWIP Closings'!$B$8:$B$13,'Closings By Depr Grp'!$A7)</f>
        <v>0</v>
      </c>
      <c r="O7" s="22">
        <f>SUMIFS('CWIP Closings'!Y$8:Y$13,'CWIP Closings'!$B$8:$B$13,'Closings By Depr Grp'!$A7)</f>
        <v>0</v>
      </c>
      <c r="P7" s="22">
        <f>SUMIFS('CWIP Closings'!Z$8:Z$13,'CWIP Closings'!$B$8:$B$13,'Closings By Depr Grp'!$A7)</f>
        <v>0</v>
      </c>
      <c r="Q7" s="22">
        <f>SUMIFS('CWIP Closings'!AA$8:AA$13,'CWIP Closings'!$B$8:$B$13,'Closings By Depr Grp'!$A7)</f>
        <v>0</v>
      </c>
      <c r="R7" s="22">
        <f>SUMIFS('CWIP Closings'!AB$8:AB$13,'CWIP Closings'!$B$8:$B$13,'Closings By Depr Grp'!$A7)</f>
        <v>0</v>
      </c>
      <c r="S7" s="22">
        <f>SUMIFS('CWIP Closings'!AC$8:AC$13,'CWIP Closings'!$B$8:$B$13,'Closings By Depr Grp'!$A7)</f>
        <v>0</v>
      </c>
      <c r="T7" s="22">
        <f>SUMIFS('CWIP Closings'!AD$8:AD$13,'CWIP Closings'!$B$8:$B$13,'Closings By Depr Grp'!$A7)</f>
        <v>0</v>
      </c>
      <c r="U7" s="22">
        <f>SUMIFS('CWIP Closings'!AE$8:AE$13,'CWIP Closings'!$B$8:$B$13,'Closings By Depr Grp'!$A7)</f>
        <v>0</v>
      </c>
      <c r="V7" s="22">
        <f>SUMIFS('CWIP Closings'!AF$8:AF$13,'CWIP Closings'!$B$8:$B$13,'Closings By Depr Grp'!$A7)</f>
        <v>0</v>
      </c>
      <c r="W7" s="22">
        <f>SUMIFS('CWIP Closings'!AG$8:AG$13,'CWIP Closings'!$B$8:$B$13,'Closings By Depr Grp'!$A7)</f>
        <v>0</v>
      </c>
      <c r="X7" s="22">
        <f>SUMIFS('CWIP Closings'!AH$8:AH$13,'CWIP Closings'!$B$8:$B$13,'Closings By Depr Grp'!$A7)</f>
        <v>0</v>
      </c>
      <c r="Y7" s="22">
        <f>SUMIFS('CWIP Closings'!AI$8:AI$13,'CWIP Closings'!$B$8:$B$13,'Closings By Depr Grp'!$A7)</f>
        <v>0</v>
      </c>
      <c r="Z7" s="22">
        <f>SUMIFS('CWIP Closings'!AJ$8:AJ$13,'CWIP Closings'!$B$8:$B$13,'Closings By Depr Grp'!$A7)</f>
        <v>7000.426498929909</v>
      </c>
      <c r="AA7" s="22">
        <f>SUMIFS('CWIP Closings'!AK$8:AK$13,'CWIP Closings'!$B$8:$B$13,'Closings By Depr Grp'!$A7)</f>
        <v>7000.426498929909</v>
      </c>
      <c r="AB7" s="22">
        <f>SUMIFS('CWIP Closings'!AL$8:AL$13,'CWIP Closings'!$B$8:$B$13,'Closings By Depr Grp'!$A7)</f>
        <v>7000.426498929909</v>
      </c>
      <c r="AC7" s="22">
        <f>SUMIFS('CWIP Closings'!AM$8:AM$13,'CWIP Closings'!$B$8:$B$13,'Closings By Depr Grp'!$A7)</f>
        <v>7000.426498929909</v>
      </c>
      <c r="AD7" s="22">
        <f>SUMIFS('CWIP Closings'!AN$8:AN$13,'CWIP Closings'!$B$8:$B$13,'Closings By Depr Grp'!$A7)</f>
        <v>7000.426498929909</v>
      </c>
      <c r="AE7" s="22">
        <f>SUMIFS('CWIP Closings'!AO$8:AO$13,'CWIP Closings'!$B$8:$B$13,'Closings By Depr Grp'!$A7)</f>
        <v>7000.426498929909</v>
      </c>
      <c r="AF7" s="22">
        <f>SUMIFS('CWIP Closings'!AP$8:AP$13,'CWIP Closings'!$B$8:$B$13,'Closings By Depr Grp'!$A7)</f>
        <v>7000.426498929909</v>
      </c>
      <c r="AG7" s="22">
        <f>SUMIFS('CWIP Closings'!AQ$8:AQ$13,'CWIP Closings'!$B$8:$B$13,'Closings By Depr Grp'!$A7)</f>
        <v>7000.426498929909</v>
      </c>
      <c r="AH7" s="22">
        <f>SUMIFS('CWIP Closings'!AR$8:AR$13,'CWIP Closings'!$B$8:$B$13,'Closings By Depr Grp'!$A7)</f>
        <v>7000.426498929909</v>
      </c>
      <c r="AI7" s="22">
        <f>SUMIFS('CWIP Closings'!AS$8:AS$13,'CWIP Closings'!$B$8:$B$13,'Closings By Depr Grp'!$A7)</f>
        <v>7000.426498929909</v>
      </c>
      <c r="AJ7" s="22">
        <f>SUMIFS('CWIP Closings'!AT$8:AT$13,'CWIP Closings'!$B$8:$B$13,'Closings By Depr Grp'!$A7)</f>
        <v>7000.426498929909</v>
      </c>
      <c r="AK7" s="22">
        <f>SUMIFS('CWIP Closings'!AU$8:AU$13,'CWIP Closings'!$B$8:$B$13,'Closings By Depr Grp'!$A7)</f>
        <v>7000.426498929909</v>
      </c>
      <c r="AL7" s="22">
        <f>SUMIFS('CWIP Closings'!AV$8:AV$13,'CWIP Closings'!$B$8:$B$13,'Closings By Depr Grp'!$A7)</f>
        <v>17175.24345846799</v>
      </c>
      <c r="AM7" s="22">
        <f>SUMIFS('CWIP Closings'!AW$8:AW$13,'CWIP Closings'!$B$8:$B$13,'Closings By Depr Grp'!$A7)</f>
        <v>17175.24345846799</v>
      </c>
      <c r="AN7" s="22">
        <f>SUMIFS('CWIP Closings'!AX$8:AX$13,'CWIP Closings'!$B$8:$B$13,'Closings By Depr Grp'!$A7)</f>
        <v>17175.24345846799</v>
      </c>
      <c r="AO7" s="22">
        <f>SUMIFS('CWIP Closings'!AY$8:AY$13,'CWIP Closings'!$B$8:$B$13,'Closings By Depr Grp'!$A7)</f>
        <v>17175.24345846799</v>
      </c>
      <c r="AP7" s="22">
        <f>SUMIFS('CWIP Closings'!AZ$8:AZ$13,'CWIP Closings'!$B$8:$B$13,'Closings By Depr Grp'!$A7)</f>
        <v>17175.24345846799</v>
      </c>
      <c r="AQ7" s="22">
        <f>SUMIFS('CWIP Closings'!BA$8:BA$13,'CWIP Closings'!$B$8:$B$13,'Closings By Depr Grp'!$A7)</f>
        <v>17175.24345846799</v>
      </c>
      <c r="AR7" s="22">
        <f>SUMIFS('CWIP Closings'!BB$8:BB$13,'CWIP Closings'!$B$8:$B$13,'Closings By Depr Grp'!$A7)</f>
        <v>17175.24345846799</v>
      </c>
      <c r="AS7" s="22">
        <f>SUMIFS('CWIP Closings'!BC$8:BC$13,'CWIP Closings'!$B$8:$B$13,'Closings By Depr Grp'!$A7)</f>
        <v>17175.24345846799</v>
      </c>
      <c r="AT7" s="22">
        <f>SUMIFS('CWIP Closings'!BD$8:BD$13,'CWIP Closings'!$B$8:$B$13,'Closings By Depr Grp'!$A7)</f>
        <v>17175.24345846799</v>
      </c>
      <c r="AU7" s="22">
        <f>SUMIFS('CWIP Closings'!BE$8:BE$13,'CWIP Closings'!$B$8:$B$13,'Closings By Depr Grp'!$A7)</f>
        <v>17175.24345846799</v>
      </c>
      <c r="AV7" s="22">
        <f>SUMIFS('CWIP Closings'!BF$8:BF$13,'CWIP Closings'!$B$8:$B$13,'Closings By Depr Grp'!$A7)</f>
        <v>17175.24345846799</v>
      </c>
      <c r="AW7" s="22">
        <f>SUMIFS('CWIP Closings'!BG$8:BG$13,'CWIP Closings'!$B$8:$B$13,'Closings By Depr Grp'!$A7)</f>
        <v>17175.24345846799</v>
      </c>
      <c r="AX7" s="23">
        <f>SUM(B7:AW7)</f>
        <v>290108.0394887749</v>
      </c>
      <c r="AZ7" s="11">
        <v>0.1</v>
      </c>
      <c r="BA7" s="11">
        <v>5.1400000000000001E-2</v>
      </c>
      <c r="BB7">
        <v>5</v>
      </c>
    </row>
    <row r="8" spans="1:54" x14ac:dyDescent="0.25">
      <c r="A8" s="21" t="s">
        <v>6</v>
      </c>
      <c r="B8" s="22">
        <f>SUMIFS('CWIP Closings'!L$8:L$13,'CWIP Closings'!$B$8:$B$13,'Closings By Depr Grp'!$A8)</f>
        <v>0</v>
      </c>
      <c r="C8" s="22">
        <f>SUMIFS('CWIP Closings'!M$8:M$13,'CWIP Closings'!$B$8:$B$13,'Closings By Depr Grp'!$A8)</f>
        <v>0</v>
      </c>
      <c r="D8" s="22">
        <f>SUMIFS('CWIP Closings'!N$8:N$13,'CWIP Closings'!$B$8:$B$13,'Closings By Depr Grp'!$A8)</f>
        <v>0</v>
      </c>
      <c r="E8" s="22">
        <f>SUMIFS('CWIP Closings'!O$8:O$13,'CWIP Closings'!$B$8:$B$13,'Closings By Depr Grp'!$A8)</f>
        <v>0</v>
      </c>
      <c r="F8" s="22">
        <f>SUMIFS('CWIP Closings'!P$8:P$13,'CWIP Closings'!$B$8:$B$13,'Closings By Depr Grp'!$A8)</f>
        <v>0</v>
      </c>
      <c r="G8" s="22">
        <f>SUMIFS('CWIP Closings'!Q$8:Q$13,'CWIP Closings'!$B$8:$B$13,'Closings By Depr Grp'!$A8)</f>
        <v>0</v>
      </c>
      <c r="H8" s="22">
        <f>SUMIFS('CWIP Closings'!R$8:R$13,'CWIP Closings'!$B$8:$B$13,'Closings By Depr Grp'!$A8)</f>
        <v>293454.98</v>
      </c>
      <c r="I8" s="22">
        <f>SUMIFS('CWIP Closings'!S$8:S$13,'CWIP Closings'!$B$8:$B$13,'Closings By Depr Grp'!$A8)</f>
        <v>0</v>
      </c>
      <c r="J8" s="22">
        <f>SUMIFS('CWIP Closings'!T$8:T$13,'CWIP Closings'!$B$8:$B$13,'Closings By Depr Grp'!$A8)</f>
        <v>0</v>
      </c>
      <c r="K8" s="22">
        <f>SUMIFS('CWIP Closings'!U$8:U$13,'CWIP Closings'!$B$8:$B$13,'Closings By Depr Grp'!$A8)</f>
        <v>0</v>
      </c>
      <c r="L8" s="22">
        <f>SUMIFS('CWIP Closings'!V$8:V$13,'CWIP Closings'!$B$8:$B$13,'Closings By Depr Grp'!$A8)</f>
        <v>0</v>
      </c>
      <c r="M8" s="22">
        <f>SUMIFS('CWIP Closings'!W$8:W$13,'CWIP Closings'!$B$8:$B$13,'Closings By Depr Grp'!$A8)</f>
        <v>0</v>
      </c>
      <c r="N8" s="22">
        <f>SUMIFS('CWIP Closings'!X$8:X$13,'CWIP Closings'!$B$8:$B$13,'Closings By Depr Grp'!$A8)</f>
        <v>86666.666666666672</v>
      </c>
      <c r="O8" s="22">
        <f>SUMIFS('CWIP Closings'!Y$8:Y$13,'CWIP Closings'!$B$8:$B$13,'Closings By Depr Grp'!$A8)</f>
        <v>86666.666666666672</v>
      </c>
      <c r="P8" s="22">
        <f>SUMIFS('CWIP Closings'!Z$8:Z$13,'CWIP Closings'!$B$8:$B$13,'Closings By Depr Grp'!$A8)</f>
        <v>86666.666666666672</v>
      </c>
      <c r="Q8" s="22">
        <f>SUMIFS('CWIP Closings'!AA$8:AA$13,'CWIP Closings'!$B$8:$B$13,'Closings By Depr Grp'!$A8)</f>
        <v>86666.666666666672</v>
      </c>
      <c r="R8" s="22">
        <f>SUMIFS('CWIP Closings'!AB$8:AB$13,'CWIP Closings'!$B$8:$B$13,'Closings By Depr Grp'!$A8)</f>
        <v>86666.666666666672</v>
      </c>
      <c r="S8" s="22">
        <f>SUMIFS('CWIP Closings'!AC$8:AC$13,'CWIP Closings'!$B$8:$B$13,'Closings By Depr Grp'!$A8)</f>
        <v>86666.666666666672</v>
      </c>
      <c r="T8" s="22">
        <f>SUMIFS('CWIP Closings'!AD$8:AD$13,'CWIP Closings'!$B$8:$B$13,'Closings By Depr Grp'!$A8)</f>
        <v>86666.666666666672</v>
      </c>
      <c r="U8" s="22">
        <f>SUMIFS('CWIP Closings'!AE$8:AE$13,'CWIP Closings'!$B$8:$B$13,'Closings By Depr Grp'!$A8)</f>
        <v>86666.666666666672</v>
      </c>
      <c r="V8" s="22">
        <f>SUMIFS('CWIP Closings'!AF$8:AF$13,'CWIP Closings'!$B$8:$B$13,'Closings By Depr Grp'!$A8)</f>
        <v>86666.666666666672</v>
      </c>
      <c r="W8" s="22">
        <f>SUMIFS('CWIP Closings'!AG$8:AG$13,'CWIP Closings'!$B$8:$B$13,'Closings By Depr Grp'!$A8)</f>
        <v>86666.666666666672</v>
      </c>
      <c r="X8" s="22">
        <f>SUMIFS('CWIP Closings'!AH$8:AH$13,'CWIP Closings'!$B$8:$B$13,'Closings By Depr Grp'!$A8)</f>
        <v>86666.666666666672</v>
      </c>
      <c r="Y8" s="22">
        <f>SUMIFS('CWIP Closings'!AI$8:AI$13,'CWIP Closings'!$B$8:$B$13,'Closings By Depr Grp'!$A8)</f>
        <v>86666.666666666672</v>
      </c>
      <c r="Z8" s="22">
        <f>SUMIFS('CWIP Closings'!AJ$8:AJ$13,'CWIP Closings'!$B$8:$B$13,'Closings By Depr Grp'!$A8)</f>
        <v>327357.22283604916</v>
      </c>
      <c r="AA8" s="22">
        <f>SUMIFS('CWIP Closings'!AK$8:AK$13,'CWIP Closings'!$B$8:$B$13,'Closings By Depr Grp'!$A8)</f>
        <v>327357.22283604916</v>
      </c>
      <c r="AB8" s="22">
        <f>SUMIFS('CWIP Closings'!AL$8:AL$13,'CWIP Closings'!$B$8:$B$13,'Closings By Depr Grp'!$A8)</f>
        <v>327357.22283604916</v>
      </c>
      <c r="AC8" s="22">
        <f>SUMIFS('CWIP Closings'!AM$8:AM$13,'CWIP Closings'!$B$8:$B$13,'Closings By Depr Grp'!$A8)</f>
        <v>327357.22283604916</v>
      </c>
      <c r="AD8" s="22">
        <f>SUMIFS('CWIP Closings'!AN$8:AN$13,'CWIP Closings'!$B$8:$B$13,'Closings By Depr Grp'!$A8)</f>
        <v>327357.22283604916</v>
      </c>
      <c r="AE8" s="22">
        <f>SUMIFS('CWIP Closings'!AO$8:AO$13,'CWIP Closings'!$B$8:$B$13,'Closings By Depr Grp'!$A8)</f>
        <v>327357.22283604916</v>
      </c>
      <c r="AF8" s="22">
        <f>SUMIFS('CWIP Closings'!AP$8:AP$13,'CWIP Closings'!$B$8:$B$13,'Closings By Depr Grp'!$A8)</f>
        <v>327357.22283604916</v>
      </c>
      <c r="AG8" s="22">
        <f>SUMIFS('CWIP Closings'!AQ$8:AQ$13,'CWIP Closings'!$B$8:$B$13,'Closings By Depr Grp'!$A8)</f>
        <v>327357.22283604916</v>
      </c>
      <c r="AH8" s="22">
        <f>SUMIFS('CWIP Closings'!AR$8:AR$13,'CWIP Closings'!$B$8:$B$13,'Closings By Depr Grp'!$A8)</f>
        <v>327357.22283604916</v>
      </c>
      <c r="AI8" s="22">
        <f>SUMIFS('CWIP Closings'!AS$8:AS$13,'CWIP Closings'!$B$8:$B$13,'Closings By Depr Grp'!$A8)</f>
        <v>327357.22283604916</v>
      </c>
      <c r="AJ8" s="22">
        <f>SUMIFS('CWIP Closings'!AT$8:AT$13,'CWIP Closings'!$B$8:$B$13,'Closings By Depr Grp'!$A8)</f>
        <v>327357.22283604916</v>
      </c>
      <c r="AK8" s="22">
        <f>SUMIFS('CWIP Closings'!AU$8:AU$13,'CWIP Closings'!$B$8:$B$13,'Closings By Depr Grp'!$A8)</f>
        <v>327357.22283604916</v>
      </c>
      <c r="AL8" s="22">
        <f>SUMIFS('CWIP Closings'!AV$8:AV$13,'CWIP Closings'!$B$8:$B$13,'Closings By Depr Grp'!$A8)</f>
        <v>846153.29539974034</v>
      </c>
      <c r="AM8" s="22">
        <f>SUMIFS('CWIP Closings'!AW$8:AW$13,'CWIP Closings'!$B$8:$B$13,'Closings By Depr Grp'!$A8)</f>
        <v>846153.29539974034</v>
      </c>
      <c r="AN8" s="22">
        <f>SUMIFS('CWIP Closings'!AX$8:AX$13,'CWIP Closings'!$B$8:$B$13,'Closings By Depr Grp'!$A8)</f>
        <v>846153.29539974034</v>
      </c>
      <c r="AO8" s="22">
        <f>SUMIFS('CWIP Closings'!AY$8:AY$13,'CWIP Closings'!$B$8:$B$13,'Closings By Depr Grp'!$A8)</f>
        <v>846153.29539974034</v>
      </c>
      <c r="AP8" s="22">
        <f>SUMIFS('CWIP Closings'!AZ$8:AZ$13,'CWIP Closings'!$B$8:$B$13,'Closings By Depr Grp'!$A8)</f>
        <v>846153.29539974034</v>
      </c>
      <c r="AQ8" s="22">
        <f>SUMIFS('CWIP Closings'!BA$8:BA$13,'CWIP Closings'!$B$8:$B$13,'Closings By Depr Grp'!$A8)</f>
        <v>846153.29539974034</v>
      </c>
      <c r="AR8" s="22">
        <f>SUMIFS('CWIP Closings'!BB$8:BB$13,'CWIP Closings'!$B$8:$B$13,'Closings By Depr Grp'!$A8)</f>
        <v>846153.29539974034</v>
      </c>
      <c r="AS8" s="22">
        <f>SUMIFS('CWIP Closings'!BC$8:BC$13,'CWIP Closings'!$B$8:$B$13,'Closings By Depr Grp'!$A8)</f>
        <v>846153.29539974034</v>
      </c>
      <c r="AT8" s="22">
        <f>SUMIFS('CWIP Closings'!BD$8:BD$13,'CWIP Closings'!$B$8:$B$13,'Closings By Depr Grp'!$A8)</f>
        <v>846153.29539974034</v>
      </c>
      <c r="AU8" s="22">
        <f>SUMIFS('CWIP Closings'!BE$8:BE$13,'CWIP Closings'!$B$8:$B$13,'Closings By Depr Grp'!$A8)</f>
        <v>846153.29539974034</v>
      </c>
      <c r="AV8" s="22">
        <f>SUMIFS('CWIP Closings'!BF$8:BF$13,'CWIP Closings'!$B$8:$B$13,'Closings By Depr Grp'!$A8)</f>
        <v>846153.29539974034</v>
      </c>
      <c r="AW8" s="22">
        <f>SUMIFS('CWIP Closings'!BG$8:BG$13,'CWIP Closings'!$B$8:$B$13,'Closings By Depr Grp'!$A8)</f>
        <v>846153.29539974034</v>
      </c>
      <c r="AX8" s="23">
        <f t="shared" ref="AX8:AX9" si="0">SUM(B8:AW8)</f>
        <v>15415581.198829476</v>
      </c>
      <c r="AZ8" s="11">
        <v>0.05</v>
      </c>
      <c r="BA8" s="11">
        <v>0.05</v>
      </c>
      <c r="BB8">
        <v>7</v>
      </c>
    </row>
    <row r="9" spans="1:54" x14ac:dyDescent="0.25">
      <c r="A9" s="20" t="s">
        <v>9</v>
      </c>
      <c r="B9" s="22">
        <f>SUMIFS('CWIP Closings'!L$8:L$13,'CWIP Closings'!$B$8:$B$13,'Closings By Depr Grp'!$A9)</f>
        <v>0</v>
      </c>
      <c r="C9" s="22">
        <f>SUMIFS('CWIP Closings'!M$8:M$13,'CWIP Closings'!$B$8:$B$13,'Closings By Depr Grp'!$A9)</f>
        <v>0</v>
      </c>
      <c r="D9" s="22">
        <f>SUMIFS('CWIP Closings'!N$8:N$13,'CWIP Closings'!$B$8:$B$13,'Closings By Depr Grp'!$A9)</f>
        <v>0</v>
      </c>
      <c r="E9" s="22">
        <f>SUMIFS('CWIP Closings'!O$8:O$13,'CWIP Closings'!$B$8:$B$13,'Closings By Depr Grp'!$A9)</f>
        <v>0</v>
      </c>
      <c r="F9" s="22">
        <f>SUMIFS('CWIP Closings'!P$8:P$13,'CWIP Closings'!$B$8:$B$13,'Closings By Depr Grp'!$A9)</f>
        <v>0</v>
      </c>
      <c r="G9" s="22">
        <f>SUMIFS('CWIP Closings'!Q$8:Q$13,'CWIP Closings'!$B$8:$B$13,'Closings By Depr Grp'!$A9)</f>
        <v>0</v>
      </c>
      <c r="H9" s="22">
        <f>SUMIFS('CWIP Closings'!R$8:R$13,'CWIP Closings'!$B$8:$B$13,'Closings By Depr Grp'!$A9)</f>
        <v>0</v>
      </c>
      <c r="I9" s="22">
        <f>SUMIFS('CWIP Closings'!S$8:S$13,'CWIP Closings'!$B$8:$B$13,'Closings By Depr Grp'!$A9)</f>
        <v>0</v>
      </c>
      <c r="J9" s="22">
        <f>SUMIFS('CWIP Closings'!T$8:T$13,'CWIP Closings'!$B$8:$B$13,'Closings By Depr Grp'!$A9)</f>
        <v>0</v>
      </c>
      <c r="K9" s="22">
        <f>SUMIFS('CWIP Closings'!U$8:U$13,'CWIP Closings'!$B$8:$B$13,'Closings By Depr Grp'!$A9)</f>
        <v>0</v>
      </c>
      <c r="L9" s="22">
        <f>SUMIFS('CWIP Closings'!V$8:V$13,'CWIP Closings'!$B$8:$B$13,'Closings By Depr Grp'!$A9)</f>
        <v>0</v>
      </c>
      <c r="M9" s="22">
        <f>SUMIFS('CWIP Closings'!W$8:W$13,'CWIP Closings'!$B$8:$B$13,'Closings By Depr Grp'!$A9)</f>
        <v>0</v>
      </c>
      <c r="N9" s="22">
        <f>SUMIFS('CWIP Closings'!X$8:X$13,'CWIP Closings'!$B$8:$B$13,'Closings By Depr Grp'!$A9)</f>
        <v>0</v>
      </c>
      <c r="O9" s="22">
        <f>SUMIFS('CWIP Closings'!Y$8:Y$13,'CWIP Closings'!$B$8:$B$13,'Closings By Depr Grp'!$A9)</f>
        <v>0</v>
      </c>
      <c r="P9" s="22">
        <f>SUMIFS('CWIP Closings'!Z$8:Z$13,'CWIP Closings'!$B$8:$B$13,'Closings By Depr Grp'!$A9)</f>
        <v>0</v>
      </c>
      <c r="Q9" s="22">
        <f>SUMIFS('CWIP Closings'!AA$8:AA$13,'CWIP Closings'!$B$8:$B$13,'Closings By Depr Grp'!$A9)</f>
        <v>0</v>
      </c>
      <c r="R9" s="22">
        <f>SUMIFS('CWIP Closings'!AB$8:AB$13,'CWIP Closings'!$B$8:$B$13,'Closings By Depr Grp'!$A9)</f>
        <v>0</v>
      </c>
      <c r="S9" s="22">
        <f>SUMIFS('CWIP Closings'!AC$8:AC$13,'CWIP Closings'!$B$8:$B$13,'Closings By Depr Grp'!$A9)</f>
        <v>0</v>
      </c>
      <c r="T9" s="22">
        <f>SUMIFS('CWIP Closings'!AD$8:AD$13,'CWIP Closings'!$B$8:$B$13,'Closings By Depr Grp'!$A9)</f>
        <v>0</v>
      </c>
      <c r="U9" s="22">
        <f>SUMIFS('CWIP Closings'!AE$8:AE$13,'CWIP Closings'!$B$8:$B$13,'Closings By Depr Grp'!$A9)</f>
        <v>0</v>
      </c>
      <c r="V9" s="22">
        <f>SUMIFS('CWIP Closings'!AF$8:AF$13,'CWIP Closings'!$B$8:$B$13,'Closings By Depr Grp'!$A9)</f>
        <v>0</v>
      </c>
      <c r="W9" s="22">
        <f>SUMIFS('CWIP Closings'!AG$8:AG$13,'CWIP Closings'!$B$8:$B$13,'Closings By Depr Grp'!$A9)</f>
        <v>0</v>
      </c>
      <c r="X9" s="22">
        <f>SUMIFS('CWIP Closings'!AH$8:AH$13,'CWIP Closings'!$B$8:$B$13,'Closings By Depr Grp'!$A9)</f>
        <v>0</v>
      </c>
      <c r="Y9" s="22">
        <f>SUMIFS('CWIP Closings'!AI$8:AI$13,'CWIP Closings'!$B$8:$B$13,'Closings By Depr Grp'!$A9)</f>
        <v>0</v>
      </c>
      <c r="Z9" s="22">
        <f>SUMIFS('CWIP Closings'!AJ$8:AJ$13,'CWIP Closings'!$B$8:$B$13,'Closings By Depr Grp'!$A9)</f>
        <v>51370.355665020936</v>
      </c>
      <c r="AA9" s="22">
        <f>SUMIFS('CWIP Closings'!AK$8:AK$13,'CWIP Closings'!$B$8:$B$13,'Closings By Depr Grp'!$A9)</f>
        <v>51370.355665020936</v>
      </c>
      <c r="AB9" s="22">
        <f>SUMIFS('CWIP Closings'!AL$8:AL$13,'CWIP Closings'!$B$8:$B$13,'Closings By Depr Grp'!$A9)</f>
        <v>51370.355665020936</v>
      </c>
      <c r="AC9" s="22">
        <f>SUMIFS('CWIP Closings'!AM$8:AM$13,'CWIP Closings'!$B$8:$B$13,'Closings By Depr Grp'!$A9)</f>
        <v>51370.355665020936</v>
      </c>
      <c r="AD9" s="22">
        <f>SUMIFS('CWIP Closings'!AN$8:AN$13,'CWIP Closings'!$B$8:$B$13,'Closings By Depr Grp'!$A9)</f>
        <v>51370.355665020936</v>
      </c>
      <c r="AE9" s="22">
        <f>SUMIFS('CWIP Closings'!AO$8:AO$13,'CWIP Closings'!$B$8:$B$13,'Closings By Depr Grp'!$A9)</f>
        <v>51370.355665020936</v>
      </c>
      <c r="AF9" s="22">
        <f>SUMIFS('CWIP Closings'!AP$8:AP$13,'CWIP Closings'!$B$8:$B$13,'Closings By Depr Grp'!$A9)</f>
        <v>51370.355665020936</v>
      </c>
      <c r="AG9" s="22">
        <f>SUMIFS('CWIP Closings'!AQ$8:AQ$13,'CWIP Closings'!$B$8:$B$13,'Closings By Depr Grp'!$A9)</f>
        <v>51370.355665020936</v>
      </c>
      <c r="AH9" s="22">
        <f>SUMIFS('CWIP Closings'!AR$8:AR$13,'CWIP Closings'!$B$8:$B$13,'Closings By Depr Grp'!$A9)</f>
        <v>51370.355665020936</v>
      </c>
      <c r="AI9" s="22">
        <f>SUMIFS('CWIP Closings'!AS$8:AS$13,'CWIP Closings'!$B$8:$B$13,'Closings By Depr Grp'!$A9)</f>
        <v>51370.355665020936</v>
      </c>
      <c r="AJ9" s="22">
        <f>SUMIFS('CWIP Closings'!AT$8:AT$13,'CWIP Closings'!$B$8:$B$13,'Closings By Depr Grp'!$A9)</f>
        <v>51370.355665020936</v>
      </c>
      <c r="AK9" s="22">
        <f>SUMIFS('CWIP Closings'!AU$8:AU$13,'CWIP Closings'!$B$8:$B$13,'Closings By Depr Grp'!$A9)</f>
        <v>51370.355665020936</v>
      </c>
      <c r="AL9" s="22">
        <f>SUMIFS('CWIP Closings'!AV$8:AV$13,'CWIP Closings'!$B$8:$B$13,'Closings By Depr Grp'!$A9)</f>
        <v>126034.94447512503</v>
      </c>
      <c r="AM9" s="22">
        <f>SUMIFS('CWIP Closings'!AW$8:AW$13,'CWIP Closings'!$B$8:$B$13,'Closings By Depr Grp'!$A9)</f>
        <v>126034.94447512503</v>
      </c>
      <c r="AN9" s="22">
        <f>SUMIFS('CWIP Closings'!AX$8:AX$13,'CWIP Closings'!$B$8:$B$13,'Closings By Depr Grp'!$A9)</f>
        <v>126034.94447512503</v>
      </c>
      <c r="AO9" s="22">
        <f>SUMIFS('CWIP Closings'!AY$8:AY$13,'CWIP Closings'!$B$8:$B$13,'Closings By Depr Grp'!$A9)</f>
        <v>126034.94447512503</v>
      </c>
      <c r="AP9" s="22">
        <f>SUMIFS('CWIP Closings'!AZ$8:AZ$13,'CWIP Closings'!$B$8:$B$13,'Closings By Depr Grp'!$A9)</f>
        <v>126034.94447512503</v>
      </c>
      <c r="AQ9" s="22">
        <f>SUMIFS('CWIP Closings'!BA$8:BA$13,'CWIP Closings'!$B$8:$B$13,'Closings By Depr Grp'!$A9)</f>
        <v>126034.94447512503</v>
      </c>
      <c r="AR9" s="22">
        <f>SUMIFS('CWIP Closings'!BB$8:BB$13,'CWIP Closings'!$B$8:$B$13,'Closings By Depr Grp'!$A9)</f>
        <v>126034.94447512503</v>
      </c>
      <c r="AS9" s="22">
        <f>SUMIFS('CWIP Closings'!BC$8:BC$13,'CWIP Closings'!$B$8:$B$13,'Closings By Depr Grp'!$A9)</f>
        <v>126034.94447512503</v>
      </c>
      <c r="AT9" s="22">
        <f>SUMIFS('CWIP Closings'!BD$8:BD$13,'CWIP Closings'!$B$8:$B$13,'Closings By Depr Grp'!$A9)</f>
        <v>126034.94447512503</v>
      </c>
      <c r="AU9" s="22">
        <f>SUMIFS('CWIP Closings'!BE$8:BE$13,'CWIP Closings'!$B$8:$B$13,'Closings By Depr Grp'!$A9)</f>
        <v>126034.94447512503</v>
      </c>
      <c r="AV9" s="22">
        <f>SUMIFS('CWIP Closings'!BF$8:BF$13,'CWIP Closings'!$B$8:$B$13,'Closings By Depr Grp'!$A9)</f>
        <v>126034.94447512503</v>
      </c>
      <c r="AW9" s="22">
        <f>SUMIFS('CWIP Closings'!BG$8:BG$13,'CWIP Closings'!$B$8:$B$13,'Closings By Depr Grp'!$A9)</f>
        <v>126034.94447512503</v>
      </c>
      <c r="AX9" s="23">
        <f t="shared" si="0"/>
        <v>2128863.6016817517</v>
      </c>
      <c r="AZ9" s="11">
        <v>0.05</v>
      </c>
      <c r="BA9" s="11">
        <v>4.4900000000000002E-2</v>
      </c>
      <c r="BB9">
        <v>7</v>
      </c>
    </row>
    <row r="10" spans="1:54" x14ac:dyDescent="0.25">
      <c r="A10" s="24" t="s">
        <v>7</v>
      </c>
      <c r="B10" s="10">
        <f>SUMIFS('CWIP Closings'!L$8:L$13,'CWIP Closings'!$B$8:$B$13,'Closings By Depr Grp'!$A10)</f>
        <v>0</v>
      </c>
      <c r="C10" s="10">
        <f>SUMIFS('CWIP Closings'!M$8:M$13,'CWIP Closings'!$B$8:$B$13,'Closings By Depr Grp'!$A10)</f>
        <v>0</v>
      </c>
      <c r="D10" s="10">
        <f>SUMIFS('CWIP Closings'!N$8:N$13,'CWIP Closings'!$B$8:$B$13,'Closings By Depr Grp'!$A10)</f>
        <v>0</v>
      </c>
      <c r="E10" s="10">
        <f>SUMIFS('CWIP Closings'!O$8:O$13,'CWIP Closings'!$B$8:$B$13,'Closings By Depr Grp'!$A10)</f>
        <v>0</v>
      </c>
      <c r="F10" s="10">
        <f>SUMIFS('CWIP Closings'!P$8:P$13,'CWIP Closings'!$B$8:$B$13,'Closings By Depr Grp'!$A10)</f>
        <v>0</v>
      </c>
      <c r="G10" s="10">
        <f>SUMIFS('CWIP Closings'!Q$8:Q$13,'CWIP Closings'!$B$8:$B$13,'Closings By Depr Grp'!$A10)</f>
        <v>0</v>
      </c>
      <c r="H10" s="10">
        <f>SUMIFS('CWIP Closings'!R$8:R$13,'CWIP Closings'!$B$8:$B$13,'Closings By Depr Grp'!$A10)</f>
        <v>0</v>
      </c>
      <c r="I10" s="10">
        <f>SUMIFS('CWIP Closings'!S$8:S$13,'CWIP Closings'!$B$8:$B$13,'Closings By Depr Grp'!$A10)</f>
        <v>0</v>
      </c>
      <c r="J10" s="10">
        <f>SUMIFS('CWIP Closings'!T$8:T$13,'CWIP Closings'!$B$8:$B$13,'Closings By Depr Grp'!$A10)</f>
        <v>0</v>
      </c>
      <c r="K10" s="10">
        <f>SUMIFS('CWIP Closings'!U$8:U$13,'CWIP Closings'!$B$8:$B$13,'Closings By Depr Grp'!$A10)</f>
        <v>0</v>
      </c>
      <c r="L10" s="10">
        <f>SUMIFS('CWIP Closings'!V$8:V$13,'CWIP Closings'!$B$8:$B$13,'Closings By Depr Grp'!$A10)</f>
        <v>0</v>
      </c>
      <c r="M10" s="10">
        <f>SUMIFS('CWIP Closings'!W$8:W$13,'CWIP Closings'!$B$8:$B$13,'Closings By Depr Grp'!$A10)</f>
        <v>0</v>
      </c>
      <c r="N10" s="10">
        <f>SUMIFS('CWIP Closings'!X$8:X$13,'CWIP Closings'!$B$8:$B$13,'Closings By Depr Grp'!$A10)</f>
        <v>281666.66666666663</v>
      </c>
      <c r="O10" s="10">
        <f>SUMIFS('CWIP Closings'!Y$8:Y$13,'CWIP Closings'!$B$8:$B$13,'Closings By Depr Grp'!$A10)</f>
        <v>281666.66666666663</v>
      </c>
      <c r="P10" s="10">
        <f>SUMIFS('CWIP Closings'!Z$8:Z$13,'CWIP Closings'!$B$8:$B$13,'Closings By Depr Grp'!$A10)</f>
        <v>281666.66666666663</v>
      </c>
      <c r="Q10" s="10">
        <f>SUMIFS('CWIP Closings'!AA$8:AA$13,'CWIP Closings'!$B$8:$B$13,'Closings By Depr Grp'!$A10)</f>
        <v>281666.66666666663</v>
      </c>
      <c r="R10" s="10">
        <f>SUMIFS('CWIP Closings'!AB$8:AB$13,'CWIP Closings'!$B$8:$B$13,'Closings By Depr Grp'!$A10)</f>
        <v>281666.66666666663</v>
      </c>
      <c r="S10" s="10">
        <f>SUMIFS('CWIP Closings'!AC$8:AC$13,'CWIP Closings'!$B$8:$B$13,'Closings By Depr Grp'!$A10)</f>
        <v>281666.66666666663</v>
      </c>
      <c r="T10" s="10">
        <f>SUMIFS('CWIP Closings'!AD$8:AD$13,'CWIP Closings'!$B$8:$B$13,'Closings By Depr Grp'!$A10)</f>
        <v>281666.66666666663</v>
      </c>
      <c r="U10" s="10">
        <f>SUMIFS('CWIP Closings'!AE$8:AE$13,'CWIP Closings'!$B$8:$B$13,'Closings By Depr Grp'!$A10)</f>
        <v>281666.66666666663</v>
      </c>
      <c r="V10" s="10">
        <f>SUMIFS('CWIP Closings'!AF$8:AF$13,'CWIP Closings'!$B$8:$B$13,'Closings By Depr Grp'!$A10)</f>
        <v>281666.66666666663</v>
      </c>
      <c r="W10" s="10">
        <f>SUMIFS('CWIP Closings'!AG$8:AG$13,'CWIP Closings'!$B$8:$B$13,'Closings By Depr Grp'!$A10)</f>
        <v>281666.66666666663</v>
      </c>
      <c r="X10" s="10">
        <f>SUMIFS('CWIP Closings'!AH$8:AH$13,'CWIP Closings'!$B$8:$B$13,'Closings By Depr Grp'!$A10)</f>
        <v>281666.66666666663</v>
      </c>
      <c r="Y10" s="10">
        <f>SUMIFS('CWIP Closings'!AI$8:AI$13,'CWIP Closings'!$B$8:$B$13,'Closings By Depr Grp'!$A10)</f>
        <v>281666.66666666663</v>
      </c>
      <c r="Z10" s="10">
        <f>SUMIFS('CWIP Closings'!AJ$8:AJ$13,'CWIP Closings'!$B$8:$B$13,'Closings By Depr Grp'!$A10)</f>
        <v>340146.82</v>
      </c>
      <c r="AA10" s="10">
        <f>SUMIFS('CWIP Closings'!AK$8:AK$13,'CWIP Closings'!$B$8:$B$13,'Closings By Depr Grp'!$A10)</f>
        <v>340146.82</v>
      </c>
      <c r="AB10" s="10">
        <f>SUMIFS('CWIP Closings'!AL$8:AL$13,'CWIP Closings'!$B$8:$B$13,'Closings By Depr Grp'!$A10)</f>
        <v>340146.82</v>
      </c>
      <c r="AC10" s="10">
        <f>SUMIFS('CWIP Closings'!AM$8:AM$13,'CWIP Closings'!$B$8:$B$13,'Closings By Depr Grp'!$A10)</f>
        <v>340146.82</v>
      </c>
      <c r="AD10" s="10">
        <f>SUMIFS('CWIP Closings'!AN$8:AN$13,'CWIP Closings'!$B$8:$B$13,'Closings By Depr Grp'!$A10)</f>
        <v>340146.82</v>
      </c>
      <c r="AE10" s="10">
        <f>SUMIFS('CWIP Closings'!AO$8:AO$13,'CWIP Closings'!$B$8:$B$13,'Closings By Depr Grp'!$A10)</f>
        <v>340146.82</v>
      </c>
      <c r="AF10" s="10">
        <f>SUMIFS('CWIP Closings'!AP$8:AP$13,'CWIP Closings'!$B$8:$B$13,'Closings By Depr Grp'!$A10)</f>
        <v>340146.82</v>
      </c>
      <c r="AG10" s="10">
        <f>SUMIFS('CWIP Closings'!AQ$8:AQ$13,'CWIP Closings'!$B$8:$B$13,'Closings By Depr Grp'!$A10)</f>
        <v>340146.82</v>
      </c>
      <c r="AH10" s="10">
        <f>SUMIFS('CWIP Closings'!AR$8:AR$13,'CWIP Closings'!$B$8:$B$13,'Closings By Depr Grp'!$A10)</f>
        <v>340146.82</v>
      </c>
      <c r="AI10" s="10">
        <f>SUMIFS('CWIP Closings'!AS$8:AS$13,'CWIP Closings'!$B$8:$B$13,'Closings By Depr Grp'!$A10)</f>
        <v>340146.82</v>
      </c>
      <c r="AJ10" s="10">
        <f>SUMIFS('CWIP Closings'!AT$8:AT$13,'CWIP Closings'!$B$8:$B$13,'Closings By Depr Grp'!$A10)</f>
        <v>340146.82</v>
      </c>
      <c r="AK10" s="10">
        <f>SUMIFS('CWIP Closings'!AU$8:AU$13,'CWIP Closings'!$B$8:$B$13,'Closings By Depr Grp'!$A10)</f>
        <v>340146.82</v>
      </c>
      <c r="AL10" s="10">
        <f>SUMIFS('CWIP Closings'!AV$8:AV$13,'CWIP Closings'!$B$8:$B$13,'Closings By Depr Grp'!$A10)</f>
        <v>313604.48166666663</v>
      </c>
      <c r="AM10" s="10">
        <f>SUMIFS('CWIP Closings'!AW$8:AW$13,'CWIP Closings'!$B$8:$B$13,'Closings By Depr Grp'!$A10)</f>
        <v>313604.48166666663</v>
      </c>
      <c r="AN10" s="10">
        <f>SUMIFS('CWIP Closings'!AX$8:AX$13,'CWIP Closings'!$B$8:$B$13,'Closings By Depr Grp'!$A10)</f>
        <v>313604.48166666663</v>
      </c>
      <c r="AO10" s="10">
        <f>SUMIFS('CWIP Closings'!AY$8:AY$13,'CWIP Closings'!$B$8:$B$13,'Closings By Depr Grp'!$A10)</f>
        <v>313604.48166666663</v>
      </c>
      <c r="AP10" s="10">
        <f>SUMIFS('CWIP Closings'!AZ$8:AZ$13,'CWIP Closings'!$B$8:$B$13,'Closings By Depr Grp'!$A10)</f>
        <v>313604.48166666663</v>
      </c>
      <c r="AQ10" s="10">
        <f>SUMIFS('CWIP Closings'!BA$8:BA$13,'CWIP Closings'!$B$8:$B$13,'Closings By Depr Grp'!$A10)</f>
        <v>313604.48166666663</v>
      </c>
      <c r="AR10" s="10">
        <f>SUMIFS('CWIP Closings'!BB$8:BB$13,'CWIP Closings'!$B$8:$B$13,'Closings By Depr Grp'!$A10)</f>
        <v>313604.48166666663</v>
      </c>
      <c r="AS10" s="10">
        <f>SUMIFS('CWIP Closings'!BC$8:BC$13,'CWIP Closings'!$B$8:$B$13,'Closings By Depr Grp'!$A10)</f>
        <v>313604.48166666663</v>
      </c>
      <c r="AT10" s="10">
        <f>SUMIFS('CWIP Closings'!BD$8:BD$13,'CWIP Closings'!$B$8:$B$13,'Closings By Depr Grp'!$A10)</f>
        <v>313604.48166666663</v>
      </c>
      <c r="AU10" s="10">
        <f>SUMIFS('CWIP Closings'!BE$8:BE$13,'CWIP Closings'!$B$8:$B$13,'Closings By Depr Grp'!$A10)</f>
        <v>313604.48166666663</v>
      </c>
      <c r="AV10" s="10">
        <f>SUMIFS('CWIP Closings'!BF$8:BF$13,'CWIP Closings'!$B$8:$B$13,'Closings By Depr Grp'!$A10)</f>
        <v>313604.48166666663</v>
      </c>
      <c r="AW10" s="10">
        <f>SUMIFS('CWIP Closings'!BG$8:BG$13,'CWIP Closings'!$B$8:$B$13,'Closings By Depr Grp'!$A10)</f>
        <v>313604.48166666663</v>
      </c>
      <c r="AX10" s="242">
        <f t="shared" ref="AX10" si="1">SUM(B10:AW10)</f>
        <v>11225015.620000007</v>
      </c>
      <c r="AZ10" s="11">
        <v>4.8399999999999999E-2</v>
      </c>
      <c r="BA10" s="11">
        <v>5.2699999999999997E-2</v>
      </c>
      <c r="BB10">
        <v>5</v>
      </c>
    </row>
    <row r="11" spans="1:54" x14ac:dyDescent="0.25">
      <c r="A11" s="1" t="s">
        <v>1</v>
      </c>
      <c r="B11" s="23">
        <f t="shared" ref="B11:AG11" si="2">SUM(B7:B10)</f>
        <v>0</v>
      </c>
      <c r="C11" s="23">
        <f t="shared" si="2"/>
        <v>0</v>
      </c>
      <c r="D11" s="23">
        <f t="shared" si="2"/>
        <v>0</v>
      </c>
      <c r="E11" s="23">
        <f t="shared" si="2"/>
        <v>0</v>
      </c>
      <c r="F11" s="23">
        <f t="shared" si="2"/>
        <v>0</v>
      </c>
      <c r="G11" s="23">
        <f t="shared" si="2"/>
        <v>0</v>
      </c>
      <c r="H11" s="23">
        <f t="shared" si="2"/>
        <v>293454.98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368333.33333333331</v>
      </c>
      <c r="O11" s="23">
        <f t="shared" si="2"/>
        <v>368333.33333333331</v>
      </c>
      <c r="P11" s="23">
        <f t="shared" si="2"/>
        <v>368333.33333333331</v>
      </c>
      <c r="Q11" s="23">
        <f t="shared" si="2"/>
        <v>368333.33333333331</v>
      </c>
      <c r="R11" s="23">
        <f t="shared" si="2"/>
        <v>368333.33333333331</v>
      </c>
      <c r="S11" s="23">
        <f t="shared" si="2"/>
        <v>368333.33333333331</v>
      </c>
      <c r="T11" s="23">
        <f t="shared" si="2"/>
        <v>368333.33333333331</v>
      </c>
      <c r="U11" s="23">
        <f t="shared" si="2"/>
        <v>368333.33333333331</v>
      </c>
      <c r="V11" s="23">
        <f t="shared" si="2"/>
        <v>368333.33333333331</v>
      </c>
      <c r="W11" s="23">
        <f t="shared" si="2"/>
        <v>368333.33333333331</v>
      </c>
      <c r="X11" s="23">
        <f t="shared" si="2"/>
        <v>368333.33333333331</v>
      </c>
      <c r="Y11" s="23">
        <f t="shared" si="2"/>
        <v>368333.33333333331</v>
      </c>
      <c r="Z11" s="23">
        <f t="shared" si="2"/>
        <v>725874.82499999995</v>
      </c>
      <c r="AA11" s="23">
        <f t="shared" si="2"/>
        <v>725874.82499999995</v>
      </c>
      <c r="AB11" s="23">
        <f t="shared" si="2"/>
        <v>725874.82499999995</v>
      </c>
      <c r="AC11" s="23">
        <f t="shared" si="2"/>
        <v>725874.82499999995</v>
      </c>
      <c r="AD11" s="23">
        <f t="shared" si="2"/>
        <v>725874.82499999995</v>
      </c>
      <c r="AE11" s="23">
        <f t="shared" si="2"/>
        <v>725874.82499999995</v>
      </c>
      <c r="AF11" s="23">
        <f t="shared" si="2"/>
        <v>725874.82499999995</v>
      </c>
      <c r="AG11" s="23">
        <f t="shared" si="2"/>
        <v>725874.82499999995</v>
      </c>
      <c r="AH11" s="23">
        <f t="shared" ref="AH11:AX11" si="3">SUM(AH7:AH10)</f>
        <v>725874.82499999995</v>
      </c>
      <c r="AI11" s="23">
        <f t="shared" si="3"/>
        <v>725874.82499999995</v>
      </c>
      <c r="AJ11" s="23">
        <f t="shared" si="3"/>
        <v>725874.82499999995</v>
      </c>
      <c r="AK11" s="23">
        <f t="shared" si="3"/>
        <v>725874.82499999995</v>
      </c>
      <c r="AL11" s="23">
        <f t="shared" si="3"/>
        <v>1302967.9650000001</v>
      </c>
      <c r="AM11" s="23">
        <f t="shared" si="3"/>
        <v>1302967.9650000001</v>
      </c>
      <c r="AN11" s="23">
        <f t="shared" si="3"/>
        <v>1302967.9650000001</v>
      </c>
      <c r="AO11" s="23">
        <f t="shared" si="3"/>
        <v>1302967.9650000001</v>
      </c>
      <c r="AP11" s="23">
        <f t="shared" si="3"/>
        <v>1302967.9650000001</v>
      </c>
      <c r="AQ11" s="23">
        <f t="shared" si="3"/>
        <v>1302967.9650000001</v>
      </c>
      <c r="AR11" s="23">
        <f t="shared" si="3"/>
        <v>1302967.9650000001</v>
      </c>
      <c r="AS11" s="23">
        <f t="shared" si="3"/>
        <v>1302967.9650000001</v>
      </c>
      <c r="AT11" s="23">
        <f t="shared" si="3"/>
        <v>1302967.9650000001</v>
      </c>
      <c r="AU11" s="23">
        <f t="shared" si="3"/>
        <v>1302967.9650000001</v>
      </c>
      <c r="AV11" s="23">
        <f t="shared" si="3"/>
        <v>1302967.9650000001</v>
      </c>
      <c r="AW11" s="23">
        <f t="shared" si="3"/>
        <v>1302967.9650000001</v>
      </c>
      <c r="AX11" s="23">
        <f t="shared" si="3"/>
        <v>29059568.460000008</v>
      </c>
      <c r="AZ11" s="11"/>
    </row>
    <row r="12" spans="1:54" x14ac:dyDescent="0.25">
      <c r="A12" s="1"/>
      <c r="F12" s="23"/>
      <c r="AX12" s="23">
        <f>AX11-'CWIP Closings'!BH14</f>
        <v>0</v>
      </c>
    </row>
    <row r="13" spans="1:54" x14ac:dyDescent="0.25">
      <c r="A13" s="1"/>
    </row>
    <row r="14" spans="1:54" x14ac:dyDescent="0.25">
      <c r="A14" s="1"/>
    </row>
    <row r="15" spans="1:54" x14ac:dyDescent="0.25">
      <c r="A15" s="1"/>
    </row>
  </sheetData>
  <sortState xmlns:xlrd2="http://schemas.microsoft.com/office/spreadsheetml/2017/richdata2" ref="A7:A42">
    <sortCondition ref="A7:A42"/>
  </sortState>
  <mergeCells count="11">
    <mergeCell ref="AP5:AT5"/>
    <mergeCell ref="AU5:AX5"/>
    <mergeCell ref="B5:F5"/>
    <mergeCell ref="AZ5:BA5"/>
    <mergeCell ref="G5:K5"/>
    <mergeCell ref="L5:P5"/>
    <mergeCell ref="Q5:U5"/>
    <mergeCell ref="V5:Z5"/>
    <mergeCell ref="AA5:AE5"/>
    <mergeCell ref="AF5:AJ5"/>
    <mergeCell ref="AK5:AO5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30"/>
  <sheetViews>
    <sheetView topLeftCell="AM1" zoomScaleNormal="100" workbookViewId="0">
      <selection activeCell="BF37" sqref="BF37"/>
    </sheetView>
  </sheetViews>
  <sheetFormatPr defaultColWidth="9.28515625" defaultRowHeight="12.75" x14ac:dyDescent="0.2"/>
  <cols>
    <col min="1" max="1" width="62.5703125" style="1" bestFit="1" customWidth="1"/>
    <col min="2" max="2" width="33.28515625" style="1" bestFit="1" customWidth="1"/>
    <col min="3" max="3" width="17.28515625" style="1" bestFit="1" customWidth="1"/>
    <col min="4" max="4" width="21.5703125" style="1" bestFit="1" customWidth="1"/>
    <col min="5" max="8" width="12.5703125" style="1" customWidth="1"/>
    <col min="9" max="10" width="13.28515625" style="1" bestFit="1" customWidth="1"/>
    <col min="11" max="11" width="33.28515625" style="1" bestFit="1" customWidth="1"/>
    <col min="12" max="23" width="11.42578125" style="1" bestFit="1" customWidth="1"/>
    <col min="24" max="59" width="13.28515625" style="1" bestFit="1" customWidth="1"/>
    <col min="60" max="60" width="15.28515625" style="1" bestFit="1" customWidth="1"/>
    <col min="61" max="61" width="12.42578125" style="1" bestFit="1" customWidth="1"/>
    <col min="62" max="16384" width="9.28515625" style="1"/>
  </cols>
  <sheetData>
    <row r="1" spans="1:61" ht="15" x14ac:dyDescent="0.25">
      <c r="BH1" s="280" t="s">
        <v>158</v>
      </c>
    </row>
    <row r="2" spans="1:61" ht="15" x14ac:dyDescent="0.25">
      <c r="BH2" s="280" t="s">
        <v>159</v>
      </c>
    </row>
    <row r="3" spans="1:61" ht="15" x14ac:dyDescent="0.25">
      <c r="BH3" s="280" t="s">
        <v>166</v>
      </c>
    </row>
    <row r="5" spans="1:61" ht="13.5" thickBot="1" x14ac:dyDescent="0.25">
      <c r="B5" s="3"/>
      <c r="C5" s="3"/>
      <c r="D5" s="3"/>
      <c r="K5" s="3"/>
    </row>
    <row r="6" spans="1:61" ht="13.5" thickBot="1" x14ac:dyDescent="0.25">
      <c r="A6" s="14"/>
      <c r="E6" s="288" t="s">
        <v>149</v>
      </c>
      <c r="F6" s="286"/>
      <c r="G6" s="286"/>
      <c r="H6" s="286"/>
      <c r="I6" s="287"/>
      <c r="J6" s="261"/>
      <c r="L6" s="288" t="s">
        <v>141</v>
      </c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7"/>
    </row>
    <row r="7" spans="1:61" ht="13.5" thickBot="1" x14ac:dyDescent="0.25">
      <c r="A7" s="5" t="s">
        <v>0</v>
      </c>
      <c r="B7" s="4" t="s">
        <v>11</v>
      </c>
      <c r="C7" s="4" t="s">
        <v>147</v>
      </c>
      <c r="D7" s="4" t="s">
        <v>10</v>
      </c>
      <c r="E7" s="17">
        <v>2022</v>
      </c>
      <c r="F7" s="18">
        <v>2023</v>
      </c>
      <c r="G7" s="18">
        <v>2024</v>
      </c>
      <c r="H7" s="18">
        <v>2025</v>
      </c>
      <c r="I7" s="19" t="s">
        <v>1</v>
      </c>
      <c r="J7" s="259" t="s">
        <v>148</v>
      </c>
      <c r="K7" s="4" t="s">
        <v>11</v>
      </c>
      <c r="L7" s="238">
        <v>44562</v>
      </c>
      <c r="M7" s="239">
        <v>44593</v>
      </c>
      <c r="N7" s="239">
        <v>44621</v>
      </c>
      <c r="O7" s="239">
        <v>44652</v>
      </c>
      <c r="P7" s="240">
        <v>44682</v>
      </c>
      <c r="Q7" s="238">
        <v>44713</v>
      </c>
      <c r="R7" s="239">
        <v>44743</v>
      </c>
      <c r="S7" s="239">
        <v>44774</v>
      </c>
      <c r="T7" s="239">
        <v>44805</v>
      </c>
      <c r="U7" s="240">
        <v>44835</v>
      </c>
      <c r="V7" s="238">
        <v>44866</v>
      </c>
      <c r="W7" s="239">
        <v>44896</v>
      </c>
      <c r="X7" s="239">
        <v>44927</v>
      </c>
      <c r="Y7" s="239">
        <v>44958</v>
      </c>
      <c r="Z7" s="240">
        <v>44986</v>
      </c>
      <c r="AA7" s="238">
        <v>45017</v>
      </c>
      <c r="AB7" s="239">
        <v>45047</v>
      </c>
      <c r="AC7" s="239">
        <v>45078</v>
      </c>
      <c r="AD7" s="239">
        <v>45108</v>
      </c>
      <c r="AE7" s="240">
        <v>45139</v>
      </c>
      <c r="AF7" s="238">
        <v>45170</v>
      </c>
      <c r="AG7" s="239">
        <v>45200</v>
      </c>
      <c r="AH7" s="239">
        <v>45231</v>
      </c>
      <c r="AI7" s="239">
        <v>45261</v>
      </c>
      <c r="AJ7" s="240">
        <v>45292</v>
      </c>
      <c r="AK7" s="238">
        <v>45323</v>
      </c>
      <c r="AL7" s="239">
        <v>45352</v>
      </c>
      <c r="AM7" s="239">
        <v>45383</v>
      </c>
      <c r="AN7" s="239">
        <v>45413</v>
      </c>
      <c r="AO7" s="240">
        <v>45444</v>
      </c>
      <c r="AP7" s="238">
        <v>45474</v>
      </c>
      <c r="AQ7" s="239">
        <v>45505</v>
      </c>
      <c r="AR7" s="239">
        <v>45536</v>
      </c>
      <c r="AS7" s="239">
        <v>45566</v>
      </c>
      <c r="AT7" s="240">
        <v>45597</v>
      </c>
      <c r="AU7" s="238">
        <v>45627</v>
      </c>
      <c r="AV7" s="239">
        <v>45658</v>
      </c>
      <c r="AW7" s="239">
        <v>45689</v>
      </c>
      <c r="AX7" s="239">
        <v>45717</v>
      </c>
      <c r="AY7" s="240">
        <v>45748</v>
      </c>
      <c r="AZ7" s="238">
        <v>45778</v>
      </c>
      <c r="BA7" s="239">
        <v>45809</v>
      </c>
      <c r="BB7" s="239">
        <v>45839</v>
      </c>
      <c r="BC7" s="239">
        <v>45870</v>
      </c>
      <c r="BD7" s="240">
        <v>45901</v>
      </c>
      <c r="BE7" s="238">
        <v>45931</v>
      </c>
      <c r="BF7" s="239">
        <v>45962</v>
      </c>
      <c r="BG7" s="239">
        <v>45992</v>
      </c>
      <c r="BH7" s="241" t="s">
        <v>1</v>
      </c>
    </row>
    <row r="8" spans="1:61" ht="15" x14ac:dyDescent="0.25">
      <c r="A8" s="13" t="s">
        <v>5</v>
      </c>
      <c r="B8"/>
      <c r="C8" s="11"/>
      <c r="D8" s="12" t="s">
        <v>150</v>
      </c>
      <c r="E8" s="16"/>
      <c r="F8" s="16"/>
      <c r="G8" s="16">
        <v>8305496</v>
      </c>
      <c r="H8" s="16">
        <v>20377175</v>
      </c>
      <c r="I8" s="15">
        <f>SUM(E8:H8)</f>
        <v>28682671</v>
      </c>
      <c r="J8" s="15">
        <f>I8*C8</f>
        <v>0</v>
      </c>
      <c r="K8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">
        <f>SUM(L8:BG8)</f>
        <v>0</v>
      </c>
      <c r="BI8" s="2"/>
    </row>
    <row r="9" spans="1:61" ht="15" x14ac:dyDescent="0.25">
      <c r="A9" s="13"/>
      <c r="B9" t="s">
        <v>8</v>
      </c>
      <c r="C9" s="11">
        <v>0.26</v>
      </c>
      <c r="D9" s="12">
        <v>3.8901542742651236E-2</v>
      </c>
      <c r="E9" s="16">
        <f>E$8*$D9</f>
        <v>0</v>
      </c>
      <c r="F9" s="16">
        <f t="shared" ref="F9:H11" si="0">F$8*$D9</f>
        <v>0</v>
      </c>
      <c r="G9" s="16">
        <f t="shared" si="0"/>
        <v>323096.60764291888</v>
      </c>
      <c r="H9" s="16">
        <f t="shared" si="0"/>
        <v>792703.54423698422</v>
      </c>
      <c r="I9" s="15"/>
      <c r="J9" s="15">
        <f>SUM(E9:H9)*C9</f>
        <v>290108.03948877484</v>
      </c>
      <c r="K9" t="s">
        <v>8</v>
      </c>
      <c r="L9" s="237">
        <f t="shared" ref="L9:BG9" si="1">(SUMIFS($E9:$H9,$E$7:$H$7,YEAR(L$7)))/12*$C9</f>
        <v>0</v>
      </c>
      <c r="M9" s="237">
        <f t="shared" si="1"/>
        <v>0</v>
      </c>
      <c r="N9" s="237">
        <f t="shared" si="1"/>
        <v>0</v>
      </c>
      <c r="O9" s="237">
        <f t="shared" si="1"/>
        <v>0</v>
      </c>
      <c r="P9" s="237">
        <f t="shared" si="1"/>
        <v>0</v>
      </c>
      <c r="Q9" s="237">
        <f t="shared" si="1"/>
        <v>0</v>
      </c>
      <c r="R9" s="237">
        <f t="shared" si="1"/>
        <v>0</v>
      </c>
      <c r="S9" s="237">
        <f t="shared" si="1"/>
        <v>0</v>
      </c>
      <c r="T9" s="237">
        <f t="shared" si="1"/>
        <v>0</v>
      </c>
      <c r="U9" s="237">
        <f t="shared" si="1"/>
        <v>0</v>
      </c>
      <c r="V9" s="237">
        <f t="shared" si="1"/>
        <v>0</v>
      </c>
      <c r="W9" s="237">
        <f t="shared" si="1"/>
        <v>0</v>
      </c>
      <c r="X9" s="237">
        <f t="shared" si="1"/>
        <v>0</v>
      </c>
      <c r="Y9" s="237">
        <f t="shared" si="1"/>
        <v>0</v>
      </c>
      <c r="Z9" s="237">
        <f t="shared" si="1"/>
        <v>0</v>
      </c>
      <c r="AA9" s="237">
        <f t="shared" si="1"/>
        <v>0</v>
      </c>
      <c r="AB9" s="237">
        <f t="shared" si="1"/>
        <v>0</v>
      </c>
      <c r="AC9" s="237">
        <f t="shared" si="1"/>
        <v>0</v>
      </c>
      <c r="AD9" s="237">
        <f t="shared" si="1"/>
        <v>0</v>
      </c>
      <c r="AE9" s="237">
        <f t="shared" si="1"/>
        <v>0</v>
      </c>
      <c r="AF9" s="237">
        <f t="shared" si="1"/>
        <v>0</v>
      </c>
      <c r="AG9" s="237">
        <f t="shared" si="1"/>
        <v>0</v>
      </c>
      <c r="AH9" s="237">
        <f t="shared" si="1"/>
        <v>0</v>
      </c>
      <c r="AI9" s="237">
        <f t="shared" si="1"/>
        <v>0</v>
      </c>
      <c r="AJ9" s="237">
        <f t="shared" si="1"/>
        <v>7000.426498929909</v>
      </c>
      <c r="AK9" s="237">
        <f t="shared" si="1"/>
        <v>7000.426498929909</v>
      </c>
      <c r="AL9" s="237">
        <f t="shared" si="1"/>
        <v>7000.426498929909</v>
      </c>
      <c r="AM9" s="237">
        <f t="shared" si="1"/>
        <v>7000.426498929909</v>
      </c>
      <c r="AN9" s="237">
        <f t="shared" si="1"/>
        <v>7000.426498929909</v>
      </c>
      <c r="AO9" s="237">
        <f t="shared" si="1"/>
        <v>7000.426498929909</v>
      </c>
      <c r="AP9" s="237">
        <f t="shared" si="1"/>
        <v>7000.426498929909</v>
      </c>
      <c r="AQ9" s="237">
        <f t="shared" si="1"/>
        <v>7000.426498929909</v>
      </c>
      <c r="AR9" s="237">
        <f t="shared" si="1"/>
        <v>7000.426498929909</v>
      </c>
      <c r="AS9" s="237">
        <f t="shared" si="1"/>
        <v>7000.426498929909</v>
      </c>
      <c r="AT9" s="237">
        <f t="shared" si="1"/>
        <v>7000.426498929909</v>
      </c>
      <c r="AU9" s="237">
        <f t="shared" si="1"/>
        <v>7000.426498929909</v>
      </c>
      <c r="AV9" s="237">
        <f t="shared" si="1"/>
        <v>17175.24345846799</v>
      </c>
      <c r="AW9" s="237">
        <f t="shared" si="1"/>
        <v>17175.24345846799</v>
      </c>
      <c r="AX9" s="237">
        <f t="shared" si="1"/>
        <v>17175.24345846799</v>
      </c>
      <c r="AY9" s="237">
        <f t="shared" si="1"/>
        <v>17175.24345846799</v>
      </c>
      <c r="AZ9" s="237">
        <f t="shared" si="1"/>
        <v>17175.24345846799</v>
      </c>
      <c r="BA9" s="237">
        <f t="shared" si="1"/>
        <v>17175.24345846799</v>
      </c>
      <c r="BB9" s="237">
        <f t="shared" si="1"/>
        <v>17175.24345846799</v>
      </c>
      <c r="BC9" s="237">
        <f t="shared" si="1"/>
        <v>17175.24345846799</v>
      </c>
      <c r="BD9" s="237">
        <f t="shared" si="1"/>
        <v>17175.24345846799</v>
      </c>
      <c r="BE9" s="237">
        <f t="shared" si="1"/>
        <v>17175.24345846799</v>
      </c>
      <c r="BF9" s="237">
        <f t="shared" si="1"/>
        <v>17175.24345846799</v>
      </c>
      <c r="BG9" s="237">
        <f t="shared" si="1"/>
        <v>17175.24345846799</v>
      </c>
      <c r="BH9" s="2">
        <f t="shared" ref="BH9:BH13" si="2">SUM(L9:BG9)</f>
        <v>290108.0394887749</v>
      </c>
      <c r="BI9" s="2"/>
    </row>
    <row r="10" spans="1:61" ht="15" x14ac:dyDescent="0.25">
      <c r="A10" s="14"/>
      <c r="B10" t="s">
        <v>6</v>
      </c>
      <c r="C10" s="11">
        <v>0.26</v>
      </c>
      <c r="D10" s="12">
        <v>0.67563212361132252</v>
      </c>
      <c r="E10" s="16">
        <f>E$8*$D10</f>
        <v>0</v>
      </c>
      <c r="F10" s="16">
        <f t="shared" si="0"/>
        <v>0</v>
      </c>
      <c r="G10" s="16">
        <f t="shared" si="0"/>
        <v>5611459.9001253452</v>
      </c>
      <c r="H10" s="16">
        <f t="shared" si="0"/>
        <v>13767474.01844955</v>
      </c>
      <c r="I10" s="15"/>
      <c r="J10" s="15">
        <f t="shared" ref="J10:J13" si="3">SUM(E10:H10)*C10</f>
        <v>5038522.8188294731</v>
      </c>
      <c r="K10" t="s">
        <v>6</v>
      </c>
      <c r="L10" s="237">
        <f t="shared" ref="L10:AA13" si="4">(SUMIFS($E10:$H10,$E$7:$H$7,YEAR(L$7)))/12*$C10</f>
        <v>0</v>
      </c>
      <c r="M10" s="237">
        <f t="shared" si="4"/>
        <v>0</v>
      </c>
      <c r="N10" s="237">
        <f t="shared" si="4"/>
        <v>0</v>
      </c>
      <c r="O10" s="237">
        <f t="shared" si="4"/>
        <v>0</v>
      </c>
      <c r="P10" s="237">
        <f t="shared" si="4"/>
        <v>0</v>
      </c>
      <c r="Q10" s="237">
        <f t="shared" si="4"/>
        <v>0</v>
      </c>
      <c r="R10" s="237">
        <f t="shared" si="4"/>
        <v>0</v>
      </c>
      <c r="S10" s="237">
        <f t="shared" si="4"/>
        <v>0</v>
      </c>
      <c r="T10" s="237">
        <f t="shared" si="4"/>
        <v>0</v>
      </c>
      <c r="U10" s="237">
        <f t="shared" si="4"/>
        <v>0</v>
      </c>
      <c r="V10" s="237">
        <f t="shared" si="4"/>
        <v>0</v>
      </c>
      <c r="W10" s="237">
        <f t="shared" si="4"/>
        <v>0</v>
      </c>
      <c r="X10" s="237">
        <f t="shared" si="4"/>
        <v>0</v>
      </c>
      <c r="Y10" s="237">
        <f t="shared" si="4"/>
        <v>0</v>
      </c>
      <c r="Z10" s="237">
        <f t="shared" si="4"/>
        <v>0</v>
      </c>
      <c r="AA10" s="237">
        <f t="shared" si="4"/>
        <v>0</v>
      </c>
      <c r="AB10" s="237">
        <f t="shared" ref="AB10:AQ13" si="5">(SUMIFS($E10:$H10,$E$7:$H$7,YEAR(AB$7)))/12*$C10</f>
        <v>0</v>
      </c>
      <c r="AC10" s="237">
        <f t="shared" si="5"/>
        <v>0</v>
      </c>
      <c r="AD10" s="237">
        <f t="shared" si="5"/>
        <v>0</v>
      </c>
      <c r="AE10" s="237">
        <f t="shared" si="5"/>
        <v>0</v>
      </c>
      <c r="AF10" s="237">
        <f t="shared" si="5"/>
        <v>0</v>
      </c>
      <c r="AG10" s="237">
        <f t="shared" si="5"/>
        <v>0</v>
      </c>
      <c r="AH10" s="237">
        <f t="shared" si="5"/>
        <v>0</v>
      </c>
      <c r="AI10" s="237">
        <f t="shared" si="5"/>
        <v>0</v>
      </c>
      <c r="AJ10" s="237">
        <f t="shared" si="5"/>
        <v>121581.63116938248</v>
      </c>
      <c r="AK10" s="237">
        <f t="shared" si="5"/>
        <v>121581.63116938248</v>
      </c>
      <c r="AL10" s="237">
        <f t="shared" si="5"/>
        <v>121581.63116938248</v>
      </c>
      <c r="AM10" s="237">
        <f t="shared" si="5"/>
        <v>121581.63116938248</v>
      </c>
      <c r="AN10" s="237">
        <f t="shared" si="5"/>
        <v>121581.63116938248</v>
      </c>
      <c r="AO10" s="237">
        <f t="shared" si="5"/>
        <v>121581.63116938248</v>
      </c>
      <c r="AP10" s="237">
        <f t="shared" si="5"/>
        <v>121581.63116938248</v>
      </c>
      <c r="AQ10" s="237">
        <f t="shared" si="5"/>
        <v>121581.63116938248</v>
      </c>
      <c r="AR10" s="237">
        <f t="shared" ref="AR10:BG13" si="6">(SUMIFS($E10:$H10,$E$7:$H$7,YEAR(AR$7)))/12*$C10</f>
        <v>121581.63116938248</v>
      </c>
      <c r="AS10" s="237">
        <f t="shared" si="6"/>
        <v>121581.63116938248</v>
      </c>
      <c r="AT10" s="237">
        <f t="shared" si="6"/>
        <v>121581.63116938248</v>
      </c>
      <c r="AU10" s="237">
        <f t="shared" si="6"/>
        <v>121581.63116938248</v>
      </c>
      <c r="AV10" s="237">
        <f t="shared" si="6"/>
        <v>298295.27039974026</v>
      </c>
      <c r="AW10" s="237">
        <f t="shared" si="6"/>
        <v>298295.27039974026</v>
      </c>
      <c r="AX10" s="237">
        <f t="shared" si="6"/>
        <v>298295.27039974026</v>
      </c>
      <c r="AY10" s="237">
        <f t="shared" si="6"/>
        <v>298295.27039974026</v>
      </c>
      <c r="AZ10" s="237">
        <f t="shared" si="6"/>
        <v>298295.27039974026</v>
      </c>
      <c r="BA10" s="237">
        <f t="shared" si="6"/>
        <v>298295.27039974026</v>
      </c>
      <c r="BB10" s="237">
        <f t="shared" si="6"/>
        <v>298295.27039974026</v>
      </c>
      <c r="BC10" s="237">
        <f t="shared" si="6"/>
        <v>298295.27039974026</v>
      </c>
      <c r="BD10" s="237">
        <f t="shared" si="6"/>
        <v>298295.27039974026</v>
      </c>
      <c r="BE10" s="237">
        <f t="shared" si="6"/>
        <v>298295.27039974026</v>
      </c>
      <c r="BF10" s="237">
        <f t="shared" si="6"/>
        <v>298295.27039974026</v>
      </c>
      <c r="BG10" s="237">
        <f t="shared" si="6"/>
        <v>298295.27039974026</v>
      </c>
      <c r="BH10" s="2">
        <f t="shared" si="2"/>
        <v>5038522.8188294731</v>
      </c>
      <c r="BI10" s="2"/>
    </row>
    <row r="11" spans="1:61" ht="15" x14ac:dyDescent="0.25">
      <c r="A11" s="13"/>
      <c r="B11" t="s">
        <v>9</v>
      </c>
      <c r="C11" s="11">
        <v>0.26</v>
      </c>
      <c r="D11" s="12">
        <v>0.28546633364602614</v>
      </c>
      <c r="E11" s="16">
        <f>E$8*$D11</f>
        <v>0</v>
      </c>
      <c r="F11" s="16">
        <f t="shared" si="0"/>
        <v>0</v>
      </c>
      <c r="G11" s="16">
        <f t="shared" si="0"/>
        <v>2370939.4922317355</v>
      </c>
      <c r="H11" s="16">
        <f t="shared" si="0"/>
        <v>5816997.4373134626</v>
      </c>
      <c r="I11" s="15"/>
      <c r="J11" s="15">
        <f t="shared" si="3"/>
        <v>2128863.6016817517</v>
      </c>
      <c r="K11" t="s">
        <v>9</v>
      </c>
      <c r="L11" s="237">
        <f t="shared" si="4"/>
        <v>0</v>
      </c>
      <c r="M11" s="237">
        <f t="shared" si="4"/>
        <v>0</v>
      </c>
      <c r="N11" s="237">
        <f t="shared" si="4"/>
        <v>0</v>
      </c>
      <c r="O11" s="237">
        <f t="shared" si="4"/>
        <v>0</v>
      </c>
      <c r="P11" s="237">
        <f t="shared" si="4"/>
        <v>0</v>
      </c>
      <c r="Q11" s="237">
        <f t="shared" si="4"/>
        <v>0</v>
      </c>
      <c r="R11" s="237">
        <f t="shared" si="4"/>
        <v>0</v>
      </c>
      <c r="S11" s="237">
        <f t="shared" si="4"/>
        <v>0</v>
      </c>
      <c r="T11" s="237">
        <f t="shared" si="4"/>
        <v>0</v>
      </c>
      <c r="U11" s="237">
        <f t="shared" si="4"/>
        <v>0</v>
      </c>
      <c r="V11" s="237">
        <f t="shared" si="4"/>
        <v>0</v>
      </c>
      <c r="W11" s="237">
        <f t="shared" si="4"/>
        <v>0</v>
      </c>
      <c r="X11" s="237">
        <f t="shared" si="4"/>
        <v>0</v>
      </c>
      <c r="Y11" s="237">
        <f t="shared" si="4"/>
        <v>0</v>
      </c>
      <c r="Z11" s="237">
        <f t="shared" si="4"/>
        <v>0</v>
      </c>
      <c r="AA11" s="237">
        <f t="shared" si="4"/>
        <v>0</v>
      </c>
      <c r="AB11" s="237">
        <f t="shared" si="5"/>
        <v>0</v>
      </c>
      <c r="AC11" s="237">
        <f t="shared" si="5"/>
        <v>0</v>
      </c>
      <c r="AD11" s="237">
        <f t="shared" si="5"/>
        <v>0</v>
      </c>
      <c r="AE11" s="237">
        <f t="shared" si="5"/>
        <v>0</v>
      </c>
      <c r="AF11" s="237">
        <f t="shared" si="5"/>
        <v>0</v>
      </c>
      <c r="AG11" s="237">
        <f t="shared" si="5"/>
        <v>0</v>
      </c>
      <c r="AH11" s="237">
        <f t="shared" si="5"/>
        <v>0</v>
      </c>
      <c r="AI11" s="237">
        <f t="shared" si="5"/>
        <v>0</v>
      </c>
      <c r="AJ11" s="237">
        <f t="shared" si="5"/>
        <v>51370.355665020936</v>
      </c>
      <c r="AK11" s="237">
        <f t="shared" si="5"/>
        <v>51370.355665020936</v>
      </c>
      <c r="AL11" s="237">
        <f t="shared" si="5"/>
        <v>51370.355665020936</v>
      </c>
      <c r="AM11" s="237">
        <f t="shared" si="5"/>
        <v>51370.355665020936</v>
      </c>
      <c r="AN11" s="237">
        <f t="shared" si="5"/>
        <v>51370.355665020936</v>
      </c>
      <c r="AO11" s="237">
        <f t="shared" si="5"/>
        <v>51370.355665020936</v>
      </c>
      <c r="AP11" s="237">
        <f t="shared" si="5"/>
        <v>51370.355665020936</v>
      </c>
      <c r="AQ11" s="237">
        <f t="shared" si="5"/>
        <v>51370.355665020936</v>
      </c>
      <c r="AR11" s="237">
        <f t="shared" si="6"/>
        <v>51370.355665020936</v>
      </c>
      <c r="AS11" s="237">
        <f t="shared" si="6"/>
        <v>51370.355665020936</v>
      </c>
      <c r="AT11" s="237">
        <f t="shared" si="6"/>
        <v>51370.355665020936</v>
      </c>
      <c r="AU11" s="237">
        <f t="shared" si="6"/>
        <v>51370.355665020936</v>
      </c>
      <c r="AV11" s="237">
        <f t="shared" si="6"/>
        <v>126034.94447512503</v>
      </c>
      <c r="AW11" s="237">
        <f t="shared" si="6"/>
        <v>126034.94447512503</v>
      </c>
      <c r="AX11" s="237">
        <f t="shared" si="6"/>
        <v>126034.94447512503</v>
      </c>
      <c r="AY11" s="237">
        <f t="shared" si="6"/>
        <v>126034.94447512503</v>
      </c>
      <c r="AZ11" s="237">
        <f t="shared" si="6"/>
        <v>126034.94447512503</v>
      </c>
      <c r="BA11" s="237">
        <f t="shared" si="6"/>
        <v>126034.94447512503</v>
      </c>
      <c r="BB11" s="237">
        <f t="shared" si="6"/>
        <v>126034.94447512503</v>
      </c>
      <c r="BC11" s="237">
        <f t="shared" si="6"/>
        <v>126034.94447512503</v>
      </c>
      <c r="BD11" s="237">
        <f t="shared" si="6"/>
        <v>126034.94447512503</v>
      </c>
      <c r="BE11" s="237">
        <f t="shared" si="6"/>
        <v>126034.94447512503</v>
      </c>
      <c r="BF11" s="237">
        <f t="shared" si="6"/>
        <v>126034.94447512503</v>
      </c>
      <c r="BG11" s="237">
        <f t="shared" si="6"/>
        <v>126034.94447512503</v>
      </c>
      <c r="BH11" s="2">
        <f t="shared" si="2"/>
        <v>2128863.6016817517</v>
      </c>
      <c r="BI11" s="2"/>
    </row>
    <row r="12" spans="1:61" ht="15" x14ac:dyDescent="0.25">
      <c r="A12" s="13" t="s">
        <v>3</v>
      </c>
      <c r="B12" t="s">
        <v>6</v>
      </c>
      <c r="C12" s="11">
        <v>0.26</v>
      </c>
      <c r="D12" s="12">
        <v>1</v>
      </c>
      <c r="E12" s="16">
        <v>1128673</v>
      </c>
      <c r="F12" s="16">
        <v>4000000</v>
      </c>
      <c r="G12" s="16">
        <v>9497335</v>
      </c>
      <c r="H12" s="16">
        <v>25285755</v>
      </c>
      <c r="I12" s="15">
        <f t="shared" ref="I12:I13" si="7">SUM(E12:H12)</f>
        <v>39911763</v>
      </c>
      <c r="J12" s="15">
        <f t="shared" si="3"/>
        <v>10377058.380000001</v>
      </c>
      <c r="K12" t="s">
        <v>6</v>
      </c>
      <c r="L12" s="237"/>
      <c r="M12" s="237"/>
      <c r="N12" s="237"/>
      <c r="O12" s="237"/>
      <c r="P12" s="237"/>
      <c r="Q12" s="237"/>
      <c r="R12" s="237">
        <f>E12*C12</f>
        <v>293454.98</v>
      </c>
      <c r="S12" s="237"/>
      <c r="T12" s="237"/>
      <c r="U12" s="237"/>
      <c r="V12" s="237"/>
      <c r="W12" s="237"/>
      <c r="X12" s="237">
        <f t="shared" si="4"/>
        <v>86666.666666666672</v>
      </c>
      <c r="Y12" s="237">
        <f t="shared" si="4"/>
        <v>86666.666666666672</v>
      </c>
      <c r="Z12" s="237">
        <f t="shared" si="4"/>
        <v>86666.666666666672</v>
      </c>
      <c r="AA12" s="237">
        <f t="shared" si="4"/>
        <v>86666.666666666672</v>
      </c>
      <c r="AB12" s="237">
        <f t="shared" si="5"/>
        <v>86666.666666666672</v>
      </c>
      <c r="AC12" s="237">
        <f t="shared" si="5"/>
        <v>86666.666666666672</v>
      </c>
      <c r="AD12" s="237">
        <f t="shared" si="5"/>
        <v>86666.666666666672</v>
      </c>
      <c r="AE12" s="237">
        <f t="shared" si="5"/>
        <v>86666.666666666672</v>
      </c>
      <c r="AF12" s="237">
        <f t="shared" si="5"/>
        <v>86666.666666666672</v>
      </c>
      <c r="AG12" s="237">
        <f t="shared" si="5"/>
        <v>86666.666666666672</v>
      </c>
      <c r="AH12" s="237">
        <f t="shared" si="5"/>
        <v>86666.666666666672</v>
      </c>
      <c r="AI12" s="237">
        <f t="shared" si="5"/>
        <v>86666.666666666672</v>
      </c>
      <c r="AJ12" s="237">
        <f t="shared" si="5"/>
        <v>205775.59166666667</v>
      </c>
      <c r="AK12" s="237">
        <f t="shared" si="5"/>
        <v>205775.59166666667</v>
      </c>
      <c r="AL12" s="237">
        <f t="shared" si="5"/>
        <v>205775.59166666667</v>
      </c>
      <c r="AM12" s="237">
        <f t="shared" si="5"/>
        <v>205775.59166666667</v>
      </c>
      <c r="AN12" s="237">
        <f t="shared" si="5"/>
        <v>205775.59166666667</v>
      </c>
      <c r="AO12" s="237">
        <f t="shared" si="5"/>
        <v>205775.59166666667</v>
      </c>
      <c r="AP12" s="237">
        <f t="shared" si="5"/>
        <v>205775.59166666667</v>
      </c>
      <c r="AQ12" s="237">
        <f t="shared" si="5"/>
        <v>205775.59166666667</v>
      </c>
      <c r="AR12" s="237">
        <f t="shared" si="6"/>
        <v>205775.59166666667</v>
      </c>
      <c r="AS12" s="237">
        <f t="shared" si="6"/>
        <v>205775.59166666667</v>
      </c>
      <c r="AT12" s="237">
        <f t="shared" si="6"/>
        <v>205775.59166666667</v>
      </c>
      <c r="AU12" s="237">
        <f t="shared" si="6"/>
        <v>205775.59166666667</v>
      </c>
      <c r="AV12" s="237">
        <f t="shared" si="6"/>
        <v>547858.02500000002</v>
      </c>
      <c r="AW12" s="237">
        <f t="shared" si="6"/>
        <v>547858.02500000002</v>
      </c>
      <c r="AX12" s="237">
        <f t="shared" si="6"/>
        <v>547858.02500000002</v>
      </c>
      <c r="AY12" s="237">
        <f t="shared" si="6"/>
        <v>547858.02500000002</v>
      </c>
      <c r="AZ12" s="237">
        <f t="shared" si="6"/>
        <v>547858.02500000002</v>
      </c>
      <c r="BA12" s="237">
        <f t="shared" si="6"/>
        <v>547858.02500000002</v>
      </c>
      <c r="BB12" s="237">
        <f t="shared" si="6"/>
        <v>547858.02500000002</v>
      </c>
      <c r="BC12" s="237">
        <f t="shared" si="6"/>
        <v>547858.02500000002</v>
      </c>
      <c r="BD12" s="237">
        <f t="shared" si="6"/>
        <v>547858.02500000002</v>
      </c>
      <c r="BE12" s="237">
        <f t="shared" si="6"/>
        <v>547858.02500000002</v>
      </c>
      <c r="BF12" s="237">
        <f t="shared" si="6"/>
        <v>547858.02500000002</v>
      </c>
      <c r="BG12" s="237">
        <f t="shared" si="6"/>
        <v>547858.02500000002</v>
      </c>
      <c r="BH12" s="2">
        <f t="shared" si="2"/>
        <v>10377058.380000005</v>
      </c>
      <c r="BI12" s="2"/>
    </row>
    <row r="13" spans="1:61" ht="15" x14ac:dyDescent="0.25">
      <c r="A13" s="14" t="s">
        <v>4</v>
      </c>
      <c r="B13" s="263" t="s">
        <v>7</v>
      </c>
      <c r="C13" s="11">
        <v>0.26</v>
      </c>
      <c r="D13" s="12">
        <v>1</v>
      </c>
      <c r="E13" s="265"/>
      <c r="F13" s="265">
        <v>13000000</v>
      </c>
      <c r="G13" s="265">
        <v>15699084</v>
      </c>
      <c r="H13" s="265">
        <v>14474053</v>
      </c>
      <c r="I13" s="260">
        <f t="shared" si="7"/>
        <v>43173137</v>
      </c>
      <c r="J13" s="260">
        <f t="shared" si="3"/>
        <v>11225015.620000001</v>
      </c>
      <c r="K13" t="s">
        <v>7</v>
      </c>
      <c r="L13" s="237">
        <f t="shared" si="4"/>
        <v>0</v>
      </c>
      <c r="M13" s="237">
        <f t="shared" si="4"/>
        <v>0</v>
      </c>
      <c r="N13" s="237">
        <f t="shared" si="4"/>
        <v>0</v>
      </c>
      <c r="O13" s="237">
        <f t="shared" si="4"/>
        <v>0</v>
      </c>
      <c r="P13" s="237">
        <f t="shared" si="4"/>
        <v>0</v>
      </c>
      <c r="Q13" s="237">
        <f t="shared" si="4"/>
        <v>0</v>
      </c>
      <c r="R13" s="237">
        <f t="shared" si="4"/>
        <v>0</v>
      </c>
      <c r="S13" s="237">
        <f t="shared" si="4"/>
        <v>0</v>
      </c>
      <c r="T13" s="237">
        <f t="shared" si="4"/>
        <v>0</v>
      </c>
      <c r="U13" s="237">
        <f t="shared" si="4"/>
        <v>0</v>
      </c>
      <c r="V13" s="237">
        <f t="shared" si="4"/>
        <v>0</v>
      </c>
      <c r="W13" s="237">
        <f t="shared" si="4"/>
        <v>0</v>
      </c>
      <c r="X13" s="237">
        <f t="shared" si="4"/>
        <v>281666.66666666663</v>
      </c>
      <c r="Y13" s="237">
        <f t="shared" si="4"/>
        <v>281666.66666666663</v>
      </c>
      <c r="Z13" s="237">
        <f t="shared" si="4"/>
        <v>281666.66666666663</v>
      </c>
      <c r="AA13" s="237">
        <f t="shared" si="4"/>
        <v>281666.66666666663</v>
      </c>
      <c r="AB13" s="237">
        <f t="shared" si="5"/>
        <v>281666.66666666663</v>
      </c>
      <c r="AC13" s="237">
        <f t="shared" si="5"/>
        <v>281666.66666666663</v>
      </c>
      <c r="AD13" s="237">
        <f t="shared" si="5"/>
        <v>281666.66666666663</v>
      </c>
      <c r="AE13" s="237">
        <f t="shared" si="5"/>
        <v>281666.66666666663</v>
      </c>
      <c r="AF13" s="237">
        <f t="shared" si="5"/>
        <v>281666.66666666663</v>
      </c>
      <c r="AG13" s="237">
        <f t="shared" si="5"/>
        <v>281666.66666666663</v>
      </c>
      <c r="AH13" s="237">
        <f t="shared" si="5"/>
        <v>281666.66666666663</v>
      </c>
      <c r="AI13" s="237">
        <f t="shared" si="5"/>
        <v>281666.66666666663</v>
      </c>
      <c r="AJ13" s="237">
        <f t="shared" si="5"/>
        <v>340146.82</v>
      </c>
      <c r="AK13" s="237">
        <f t="shared" si="5"/>
        <v>340146.82</v>
      </c>
      <c r="AL13" s="237">
        <f t="shared" si="5"/>
        <v>340146.82</v>
      </c>
      <c r="AM13" s="237">
        <f t="shared" si="5"/>
        <v>340146.82</v>
      </c>
      <c r="AN13" s="237">
        <f t="shared" si="5"/>
        <v>340146.82</v>
      </c>
      <c r="AO13" s="237">
        <f t="shared" si="5"/>
        <v>340146.82</v>
      </c>
      <c r="AP13" s="237">
        <f t="shared" si="5"/>
        <v>340146.82</v>
      </c>
      <c r="AQ13" s="237">
        <f t="shared" si="5"/>
        <v>340146.82</v>
      </c>
      <c r="AR13" s="237">
        <f t="shared" si="6"/>
        <v>340146.82</v>
      </c>
      <c r="AS13" s="237">
        <f t="shared" si="6"/>
        <v>340146.82</v>
      </c>
      <c r="AT13" s="237">
        <f t="shared" si="6"/>
        <v>340146.82</v>
      </c>
      <c r="AU13" s="237">
        <f t="shared" si="6"/>
        <v>340146.82</v>
      </c>
      <c r="AV13" s="237">
        <f t="shared" si="6"/>
        <v>313604.48166666663</v>
      </c>
      <c r="AW13" s="237">
        <f t="shared" si="6"/>
        <v>313604.48166666663</v>
      </c>
      <c r="AX13" s="237">
        <f t="shared" si="6"/>
        <v>313604.48166666663</v>
      </c>
      <c r="AY13" s="237">
        <f t="shared" si="6"/>
        <v>313604.48166666663</v>
      </c>
      <c r="AZ13" s="237">
        <f t="shared" si="6"/>
        <v>313604.48166666663</v>
      </c>
      <c r="BA13" s="237">
        <f t="shared" si="6"/>
        <v>313604.48166666663</v>
      </c>
      <c r="BB13" s="237">
        <f t="shared" si="6"/>
        <v>313604.48166666663</v>
      </c>
      <c r="BC13" s="237">
        <f t="shared" si="6"/>
        <v>313604.48166666663</v>
      </c>
      <c r="BD13" s="237">
        <f t="shared" si="6"/>
        <v>313604.48166666663</v>
      </c>
      <c r="BE13" s="237">
        <f t="shared" si="6"/>
        <v>313604.48166666663</v>
      </c>
      <c r="BF13" s="237">
        <f t="shared" si="6"/>
        <v>313604.48166666663</v>
      </c>
      <c r="BG13" s="237">
        <f t="shared" si="6"/>
        <v>313604.48166666663</v>
      </c>
      <c r="BH13" s="2">
        <f t="shared" si="2"/>
        <v>11225015.620000007</v>
      </c>
      <c r="BI13" s="2"/>
    </row>
    <row r="14" spans="1:61" x14ac:dyDescent="0.2">
      <c r="A14" s="7"/>
      <c r="E14" s="2">
        <f>SUM(E9:E13)</f>
        <v>1128673</v>
      </c>
      <c r="F14" s="2">
        <f t="shared" ref="F14:H14" si="8">SUM(F9:F13)</f>
        <v>17000000</v>
      </c>
      <c r="G14" s="2">
        <f t="shared" si="8"/>
        <v>33501915</v>
      </c>
      <c r="H14" s="2">
        <f t="shared" si="8"/>
        <v>60136983</v>
      </c>
      <c r="I14" s="2">
        <f>SUM(I8:I13)</f>
        <v>111767571</v>
      </c>
      <c r="J14" s="2">
        <f>SUM(J8:J13)</f>
        <v>29059568.460000001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>
        <f>SUM(BH8:BH13)</f>
        <v>29059568.460000008</v>
      </c>
      <c r="BI14" s="2"/>
    </row>
    <row r="15" spans="1:61" x14ac:dyDescent="0.2">
      <c r="A15" s="7"/>
      <c r="J15" s="262"/>
    </row>
    <row r="16" spans="1:61" x14ac:dyDescent="0.2">
      <c r="A16" s="7"/>
    </row>
    <row r="17" spans="1:1" x14ac:dyDescent="0.2">
      <c r="A17" s="7"/>
    </row>
    <row r="18" spans="1:1" x14ac:dyDescent="0.2">
      <c r="A18" s="7"/>
    </row>
    <row r="19" spans="1:1" x14ac:dyDescent="0.2">
      <c r="A19" s="7"/>
    </row>
    <row r="20" spans="1:1" x14ac:dyDescent="0.2">
      <c r="A20" s="7"/>
    </row>
    <row r="21" spans="1:1" x14ac:dyDescent="0.2">
      <c r="A21" s="8"/>
    </row>
    <row r="22" spans="1:1" x14ac:dyDescent="0.2">
      <c r="A22" s="7"/>
    </row>
    <row r="23" spans="1:1" x14ac:dyDescent="0.2">
      <c r="A23" s="7"/>
    </row>
    <row r="24" spans="1:1" x14ac:dyDescent="0.2">
      <c r="A24" s="7"/>
    </row>
    <row r="25" spans="1:1" x14ac:dyDescent="0.2">
      <c r="A25" s="9"/>
    </row>
    <row r="26" spans="1:1" x14ac:dyDescent="0.2">
      <c r="A26" s="6"/>
    </row>
    <row r="27" spans="1:1" x14ac:dyDescent="0.2">
      <c r="A27" s="6"/>
    </row>
    <row r="28" spans="1:1" x14ac:dyDescent="0.2">
      <c r="A28" s="6"/>
    </row>
    <row r="29" spans="1:1" x14ac:dyDescent="0.2">
      <c r="A29" s="6"/>
    </row>
    <row r="30" spans="1:1" x14ac:dyDescent="0.2">
      <c r="A30" s="6"/>
    </row>
  </sheetData>
  <mergeCells count="11">
    <mergeCell ref="E6:I6"/>
    <mergeCell ref="L6:P6"/>
    <mergeCell ref="Q6:U6"/>
    <mergeCell ref="V6:Z6"/>
    <mergeCell ref="AZ6:BD6"/>
    <mergeCell ref="BE6:BH6"/>
    <mergeCell ref="AA6:AE6"/>
    <mergeCell ref="AF6:AJ6"/>
    <mergeCell ref="AK6:AO6"/>
    <mergeCell ref="AP6:AT6"/>
    <mergeCell ref="AU6:AY6"/>
  </mergeCells>
  <pageMargins left="0.7" right="0.7" top="0.75" bottom="0.75" header="0.3" footer="0.3"/>
  <pageSetup orientation="landscape" horizontalDpi="300" verticalDpi="3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N417"/>
  <sheetViews>
    <sheetView tabSelected="1" zoomScaleNormal="100" workbookViewId="0">
      <pane xSplit="1" ySplit="10" topLeftCell="B11" activePane="bottomRight" state="frozen"/>
      <selection activeCell="D49" sqref="D49:D61"/>
      <selection pane="topRight" activeCell="D49" sqref="D49:D61"/>
      <selection pane="bottomLeft" activeCell="D49" sqref="D49:D61"/>
      <selection pane="bottomRight" activeCell="P30" sqref="P30"/>
    </sheetView>
  </sheetViews>
  <sheetFormatPr defaultColWidth="9.28515625" defaultRowHeight="12.75" x14ac:dyDescent="0.2"/>
  <cols>
    <col min="1" max="1" width="9.28515625" style="28"/>
    <col min="2" max="2" width="1.5703125" style="28" customWidth="1"/>
    <col min="3" max="3" width="8.28515625" style="28" bestFit="1" customWidth="1"/>
    <col min="4" max="4" width="9" style="28" bestFit="1" customWidth="1"/>
    <col min="5" max="5" width="1.5703125" style="28" customWidth="1"/>
    <col min="6" max="6" width="8.28515625" style="28" bestFit="1" customWidth="1"/>
    <col min="7" max="7" width="9" style="28" bestFit="1" customWidth="1"/>
    <col min="8" max="8" width="1.5703125" style="28" customWidth="1"/>
    <col min="9" max="9" width="8.28515625" style="28" bestFit="1" customWidth="1"/>
    <col min="10" max="10" width="9" style="28" bestFit="1" customWidth="1"/>
    <col min="11" max="11" width="1.5703125" style="28" customWidth="1"/>
    <col min="12" max="12" width="8.28515625" style="28" bestFit="1" customWidth="1"/>
    <col min="13" max="13" width="9" style="28" bestFit="1" customWidth="1"/>
    <col min="14" max="14" width="1.5703125" style="28" customWidth="1"/>
    <col min="15" max="15" width="8.28515625" style="28" bestFit="1" customWidth="1"/>
    <col min="16" max="16" width="9" style="28" bestFit="1" customWidth="1"/>
    <col min="17" max="17" width="1.5703125" style="28" customWidth="1"/>
    <col min="18" max="18" width="8.28515625" style="28" bestFit="1" customWidth="1"/>
    <col min="19" max="19" width="9" style="28" bestFit="1" customWidth="1"/>
    <col min="20" max="20" width="1.5703125" style="28" customWidth="1"/>
    <col min="21" max="21" width="8.28515625" style="28" bestFit="1" customWidth="1"/>
    <col min="22" max="22" width="9" style="28" bestFit="1" customWidth="1"/>
    <col min="23" max="23" width="1.5703125" style="28" customWidth="1"/>
    <col min="24" max="24" width="8.28515625" style="28" bestFit="1" customWidth="1"/>
    <col min="25" max="25" width="9" style="28" bestFit="1" customWidth="1"/>
    <col min="26" max="26" width="1.5703125" style="28" customWidth="1"/>
    <col min="27" max="27" width="8.28515625" style="28" bestFit="1" customWidth="1"/>
    <col min="28" max="28" width="9" style="28" bestFit="1" customWidth="1"/>
    <col min="29" max="29" width="1.5703125" style="28" customWidth="1"/>
    <col min="30" max="30" width="9.28515625" style="28"/>
    <col min="31" max="31" width="9" style="28" bestFit="1" customWidth="1"/>
    <col min="32" max="32" width="1.5703125" style="28" customWidth="1"/>
    <col min="33" max="34" width="9.28515625" style="28"/>
    <col min="35" max="35" width="1" style="28" customWidth="1"/>
    <col min="36" max="37" width="9.28515625" style="28"/>
    <col min="38" max="38" width="2.28515625" style="28" customWidth="1"/>
    <col min="39" max="40" width="9.28515625" style="28"/>
    <col min="41" max="41" width="2.42578125" style="28" customWidth="1"/>
    <col min="42" max="42" width="18.7109375" style="28" bestFit="1" customWidth="1"/>
    <col min="43" max="16384" width="9.28515625" style="28"/>
  </cols>
  <sheetData>
    <row r="1" spans="1:144" ht="15" x14ac:dyDescent="0.25">
      <c r="AQ1" s="280" t="s">
        <v>158</v>
      </c>
    </row>
    <row r="2" spans="1:144" ht="15" x14ac:dyDescent="0.25">
      <c r="AQ2" s="280" t="s">
        <v>159</v>
      </c>
    </row>
    <row r="3" spans="1:144" ht="15" x14ac:dyDescent="0.25">
      <c r="AQ3" s="280" t="s">
        <v>167</v>
      </c>
    </row>
    <row r="5" spans="1:144" x14ac:dyDescent="0.2">
      <c r="A5" s="26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144" x14ac:dyDescent="0.2">
      <c r="A6" s="26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144" x14ac:dyDescent="0.2">
      <c r="A7" s="29"/>
    </row>
    <row r="8" spans="1:144" x14ac:dyDescent="0.2">
      <c r="A8" s="29" t="s">
        <v>20</v>
      </c>
    </row>
    <row r="9" spans="1:144" x14ac:dyDescent="0.2">
      <c r="C9" s="30" t="s">
        <v>21</v>
      </c>
      <c r="F9" s="30" t="s">
        <v>21</v>
      </c>
      <c r="I9" s="30" t="s">
        <v>21</v>
      </c>
      <c r="L9" s="30" t="s">
        <v>21</v>
      </c>
      <c r="O9" s="30" t="s">
        <v>21</v>
      </c>
      <c r="R9" s="30" t="s">
        <v>21</v>
      </c>
      <c r="U9" s="30" t="s">
        <v>22</v>
      </c>
      <c r="X9" s="30" t="s">
        <v>22</v>
      </c>
      <c r="AA9" s="30" t="s">
        <v>22</v>
      </c>
      <c r="AD9" s="30" t="s">
        <v>23</v>
      </c>
      <c r="AG9" s="30" t="s">
        <v>23</v>
      </c>
      <c r="AJ9" s="31" t="s">
        <v>24</v>
      </c>
      <c r="AM9" s="30" t="s">
        <v>22</v>
      </c>
      <c r="AP9" s="30" t="s">
        <v>25</v>
      </c>
    </row>
    <row r="10" spans="1:144" s="30" customFormat="1" x14ac:dyDescent="0.2">
      <c r="A10" s="32" t="s">
        <v>26</v>
      </c>
      <c r="B10" s="33"/>
      <c r="C10" s="32" t="s">
        <v>27</v>
      </c>
      <c r="D10" s="32" t="s">
        <v>28</v>
      </c>
      <c r="E10" s="33"/>
      <c r="F10" s="32" t="s">
        <v>29</v>
      </c>
      <c r="G10" s="32" t="str">
        <f>+D10</f>
        <v>Cumulative</v>
      </c>
      <c r="H10" s="33"/>
      <c r="I10" s="32" t="s">
        <v>30</v>
      </c>
      <c r="J10" s="32" t="str">
        <f>+G10</f>
        <v>Cumulative</v>
      </c>
      <c r="K10" s="33"/>
      <c r="L10" s="32" t="s">
        <v>31</v>
      </c>
      <c r="M10" s="32" t="str">
        <f>+G10</f>
        <v>Cumulative</v>
      </c>
      <c r="N10" s="33"/>
      <c r="O10" s="32" t="s">
        <v>32</v>
      </c>
      <c r="P10" s="32" t="str">
        <f>+J10</f>
        <v>Cumulative</v>
      </c>
      <c r="Q10" s="33"/>
      <c r="R10" s="32" t="s">
        <v>33</v>
      </c>
      <c r="S10" s="32" t="str">
        <f>+J10</f>
        <v>Cumulative</v>
      </c>
      <c r="T10" s="33"/>
      <c r="U10" s="32" t="s">
        <v>34</v>
      </c>
      <c r="V10" s="32" t="str">
        <f>+P10</f>
        <v>Cumulative</v>
      </c>
      <c r="W10" s="33"/>
      <c r="X10" s="32" t="s">
        <v>32</v>
      </c>
      <c r="Y10" s="32" t="str">
        <f>+S10</f>
        <v>Cumulative</v>
      </c>
      <c r="Z10" s="33"/>
      <c r="AA10" s="32" t="s">
        <v>35</v>
      </c>
      <c r="AB10" s="32" t="str">
        <f>+V10</f>
        <v>Cumulative</v>
      </c>
      <c r="AC10" s="33"/>
      <c r="AD10" s="32" t="s">
        <v>36</v>
      </c>
      <c r="AE10" s="32" t="str">
        <f>+AB10</f>
        <v>Cumulative</v>
      </c>
      <c r="AF10" s="33"/>
      <c r="AG10" s="32" t="s">
        <v>37</v>
      </c>
      <c r="AH10" s="32" t="str">
        <f>+AE10</f>
        <v>Cumulative</v>
      </c>
      <c r="AI10" s="33"/>
      <c r="AJ10" s="32" t="s">
        <v>27</v>
      </c>
      <c r="AK10" s="32" t="s">
        <v>28</v>
      </c>
      <c r="AL10" s="33"/>
      <c r="AM10" s="32" t="s">
        <v>33</v>
      </c>
      <c r="AN10" s="32" t="str">
        <f>+AE10</f>
        <v>Cumulative</v>
      </c>
      <c r="AO10" s="33"/>
      <c r="AP10" s="34" t="s">
        <v>37</v>
      </c>
      <c r="AQ10" s="32" t="str">
        <f>+AN10</f>
        <v>Cumulative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</row>
    <row r="11" spans="1:144" x14ac:dyDescent="0.2">
      <c r="A11" s="30">
        <v>1</v>
      </c>
      <c r="C11" s="35">
        <v>0.33329999999999999</v>
      </c>
      <c r="D11" s="35">
        <f>+C11</f>
        <v>0.33329999999999999</v>
      </c>
      <c r="E11" s="35"/>
      <c r="F11" s="35">
        <v>0.2</v>
      </c>
      <c r="G11" s="35">
        <f>+F11</f>
        <v>0.2</v>
      </c>
      <c r="H11" s="35"/>
      <c r="I11" s="35">
        <v>0.1429</v>
      </c>
      <c r="J11" s="35">
        <f>+I11</f>
        <v>0.1429</v>
      </c>
      <c r="K11" s="35"/>
      <c r="L11" s="35">
        <v>0.11111</v>
      </c>
      <c r="M11" s="35">
        <f>+L11</f>
        <v>0.11111</v>
      </c>
      <c r="N11" s="35"/>
      <c r="O11" s="35">
        <v>0.1</v>
      </c>
      <c r="P11" s="35">
        <f>+O11</f>
        <v>0.1</v>
      </c>
      <c r="Q11" s="35"/>
      <c r="R11" s="35">
        <v>8.3299999999999999E-2</v>
      </c>
      <c r="S11" s="35">
        <f>+R11</f>
        <v>8.3299999999999999E-2</v>
      </c>
      <c r="T11" s="35"/>
      <c r="U11" s="35">
        <v>0.05</v>
      </c>
      <c r="V11" s="35">
        <f>+U11</f>
        <v>0.05</v>
      </c>
      <c r="W11" s="35"/>
      <c r="X11" s="35">
        <v>7.4999999999999997E-2</v>
      </c>
      <c r="Y11" s="35">
        <f>+X11</f>
        <v>7.4999999999999997E-2</v>
      </c>
      <c r="Z11" s="35"/>
      <c r="AA11" s="35">
        <v>3.7499999999999999E-2</v>
      </c>
      <c r="AB11" s="35">
        <f>+AA11</f>
        <v>3.7499999999999999E-2</v>
      </c>
      <c r="AC11" s="35"/>
      <c r="AD11" s="35">
        <v>1.72E-2</v>
      </c>
      <c r="AE11" s="35">
        <f>+AD11</f>
        <v>1.72E-2</v>
      </c>
      <c r="AF11" s="35"/>
      <c r="AG11" s="35">
        <v>1.2840000000000001E-2</v>
      </c>
      <c r="AH11" s="35">
        <f>+AG11</f>
        <v>1.2840000000000001E-2</v>
      </c>
      <c r="AI11" s="35"/>
      <c r="AJ11" s="35">
        <f>1/3/2</f>
        <v>0.16666666666666666</v>
      </c>
      <c r="AK11" s="35">
        <f>+AJ11</f>
        <v>0.16666666666666666</v>
      </c>
      <c r="AL11" s="35"/>
      <c r="AM11" s="35">
        <v>6.25E-2</v>
      </c>
      <c r="AN11" s="35">
        <f>+AM11</f>
        <v>6.25E-2</v>
      </c>
      <c r="AO11" s="35"/>
      <c r="AP11" s="35">
        <v>1.1769999999999999E-2</v>
      </c>
      <c r="AQ11" s="35">
        <f>+AP11</f>
        <v>1.1769999999999999E-2</v>
      </c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</row>
    <row r="12" spans="1:144" x14ac:dyDescent="0.2">
      <c r="A12" s="30">
        <f>+A11+1</f>
        <v>2</v>
      </c>
      <c r="C12" s="35">
        <v>0.44450000000000001</v>
      </c>
      <c r="D12" s="35">
        <f>+D11+C12</f>
        <v>0.77780000000000005</v>
      </c>
      <c r="E12" s="35"/>
      <c r="F12" s="35">
        <v>0.32</v>
      </c>
      <c r="G12" s="35">
        <f>+G11+F12</f>
        <v>0.52</v>
      </c>
      <c r="H12" s="35"/>
      <c r="I12" s="35">
        <v>0.24490000000000001</v>
      </c>
      <c r="J12" s="35">
        <f>+J11+I12</f>
        <v>0.38780000000000003</v>
      </c>
      <c r="K12" s="35"/>
      <c r="L12" s="35">
        <v>0.19753000000000001</v>
      </c>
      <c r="M12" s="35">
        <f>+M11+L12</f>
        <v>0.30864000000000003</v>
      </c>
      <c r="N12" s="35"/>
      <c r="O12" s="35">
        <v>0.18</v>
      </c>
      <c r="P12" s="35">
        <f>+P11+O12</f>
        <v>0.28000000000000003</v>
      </c>
      <c r="Q12" s="35"/>
      <c r="R12" s="35">
        <v>0.15279999999999999</v>
      </c>
      <c r="S12" s="35">
        <f>+S11+R12</f>
        <v>0.23609999999999998</v>
      </c>
      <c r="T12" s="35"/>
      <c r="U12" s="35">
        <v>9.5000000000000001E-2</v>
      </c>
      <c r="V12" s="35">
        <f>+V11+U12</f>
        <v>0.14500000000000002</v>
      </c>
      <c r="W12" s="35"/>
      <c r="X12" s="35">
        <v>0.13875000000000001</v>
      </c>
      <c r="Y12" s="35">
        <f>+Y11+X12</f>
        <v>0.21375</v>
      </c>
      <c r="Z12" s="35"/>
      <c r="AA12" s="35">
        <v>7.2190000000000004E-2</v>
      </c>
      <c r="AB12" s="35">
        <f>+AB11+AA12</f>
        <v>0.10969000000000001</v>
      </c>
      <c r="AC12" s="35"/>
      <c r="AD12" s="35">
        <v>3.175E-2</v>
      </c>
      <c r="AE12" s="35">
        <f>+AE11+AD12</f>
        <v>4.895E-2</v>
      </c>
      <c r="AF12" s="35"/>
      <c r="AG12" s="35">
        <v>2.564E-2</v>
      </c>
      <c r="AH12" s="35">
        <f>+AH11+AG12</f>
        <v>3.848E-2</v>
      </c>
      <c r="AI12" s="35"/>
      <c r="AJ12" s="35">
        <f>1/3</f>
        <v>0.33333333333333331</v>
      </c>
      <c r="AK12" s="35">
        <f>+AK11+AJ12</f>
        <v>0.5</v>
      </c>
      <c r="AL12" s="35"/>
      <c r="AM12" s="35">
        <v>0.11719</v>
      </c>
      <c r="AN12" s="35">
        <f>+AN11+AM12</f>
        <v>0.17969000000000002</v>
      </c>
      <c r="AO12" s="35"/>
      <c r="AP12" s="35">
        <v>2.564E-2</v>
      </c>
      <c r="AQ12" s="35">
        <f>+AQ11+AP12</f>
        <v>3.7409999999999999E-2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</row>
    <row r="13" spans="1:144" x14ac:dyDescent="0.2">
      <c r="A13" s="30">
        <f t="shared" ref="A13:A50" si="0">+A12+1</f>
        <v>3</v>
      </c>
      <c r="C13" s="35">
        <v>0.14810000000000001</v>
      </c>
      <c r="D13" s="35">
        <f>+D12+C13</f>
        <v>0.92590000000000006</v>
      </c>
      <c r="E13" s="35"/>
      <c r="F13" s="35">
        <v>0.192</v>
      </c>
      <c r="G13" s="35">
        <f>+G12+F13</f>
        <v>0.71199999999999997</v>
      </c>
      <c r="H13" s="35"/>
      <c r="I13" s="35">
        <v>0.1749</v>
      </c>
      <c r="J13" s="35">
        <f t="shared" ref="J13:J18" si="1">+J12+I13</f>
        <v>0.56269999999999998</v>
      </c>
      <c r="K13" s="35"/>
      <c r="L13" s="35">
        <v>0.15364</v>
      </c>
      <c r="M13" s="35">
        <f t="shared" ref="M13:M20" si="2">+M12+L13</f>
        <v>0.46228000000000002</v>
      </c>
      <c r="N13" s="35"/>
      <c r="O13" s="35">
        <v>0.14399999999999999</v>
      </c>
      <c r="P13" s="35">
        <f t="shared" ref="P13:P21" si="3">+P12+O13</f>
        <v>0.42400000000000004</v>
      </c>
      <c r="Q13" s="35"/>
      <c r="R13" s="35">
        <v>0.1273</v>
      </c>
      <c r="S13" s="35">
        <f t="shared" ref="S13:S23" si="4">+S12+R13</f>
        <v>0.36339999999999995</v>
      </c>
      <c r="T13" s="35"/>
      <c r="U13" s="35">
        <v>8.5500000000000007E-2</v>
      </c>
      <c r="V13" s="35">
        <f t="shared" ref="V13:V26" si="5">+V12+U13</f>
        <v>0.23050000000000004</v>
      </c>
      <c r="W13" s="35"/>
      <c r="X13" s="35">
        <v>0.11794</v>
      </c>
      <c r="Y13" s="35">
        <f t="shared" ref="Y13:Y21" si="6">+Y12+X13</f>
        <v>0.33168999999999998</v>
      </c>
      <c r="Z13" s="35"/>
      <c r="AA13" s="35">
        <v>6.6769999999999996E-2</v>
      </c>
      <c r="AB13" s="35">
        <f t="shared" ref="AB13:AB28" si="7">+AB12+AA13</f>
        <v>0.17646000000000001</v>
      </c>
      <c r="AC13" s="35"/>
      <c r="AD13" s="35">
        <v>3.175E-2</v>
      </c>
      <c r="AE13" s="35">
        <f t="shared" ref="AE13:AE42" si="8">+AE12+AD13</f>
        <v>8.0699999999999994E-2</v>
      </c>
      <c r="AF13" s="35"/>
      <c r="AG13" s="35">
        <v>2.564E-2</v>
      </c>
      <c r="AH13" s="35">
        <f t="shared" ref="AH13:AH50" si="9">+AH12+AG13</f>
        <v>6.4119999999999996E-2</v>
      </c>
      <c r="AI13" s="35"/>
      <c r="AJ13" s="35">
        <f>1/3</f>
        <v>0.33333333333333331</v>
      </c>
      <c r="AK13" s="35">
        <f>+AK12+AJ13</f>
        <v>0.83333333333333326</v>
      </c>
      <c r="AL13" s="35"/>
      <c r="AM13" s="35">
        <v>0.10255</v>
      </c>
      <c r="AN13" s="35">
        <f t="shared" ref="AN13:AN23" si="10">+AN12+AM13</f>
        <v>0.28224000000000005</v>
      </c>
      <c r="AO13" s="35"/>
      <c r="AP13" s="35">
        <v>2.564E-2</v>
      </c>
      <c r="AQ13" s="35">
        <f t="shared" ref="AQ13:AQ50" si="11">+AQ12+AP13</f>
        <v>6.3049999999999995E-2</v>
      </c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</row>
    <row r="14" spans="1:144" x14ac:dyDescent="0.2">
      <c r="A14" s="30">
        <f t="shared" si="0"/>
        <v>4</v>
      </c>
      <c r="C14" s="35">
        <v>7.4099999999999999E-2</v>
      </c>
      <c r="D14" s="35">
        <f>+D13+C14</f>
        <v>1</v>
      </c>
      <c r="E14" s="35"/>
      <c r="F14" s="35">
        <v>0.1152</v>
      </c>
      <c r="G14" s="35">
        <f>+G13+F14</f>
        <v>0.82719999999999994</v>
      </c>
      <c r="H14" s="35"/>
      <c r="I14" s="35">
        <v>0.1249</v>
      </c>
      <c r="J14" s="35">
        <f t="shared" si="1"/>
        <v>0.68759999999999999</v>
      </c>
      <c r="K14" s="35"/>
      <c r="L14" s="35">
        <v>0.11949</v>
      </c>
      <c r="M14" s="35">
        <f t="shared" si="2"/>
        <v>0.58177000000000001</v>
      </c>
      <c r="N14" s="35"/>
      <c r="O14" s="35">
        <v>0.1152</v>
      </c>
      <c r="P14" s="35">
        <f t="shared" si="3"/>
        <v>0.53920000000000001</v>
      </c>
      <c r="Q14" s="35"/>
      <c r="R14" s="35">
        <v>0.1061</v>
      </c>
      <c r="S14" s="35">
        <f t="shared" si="4"/>
        <v>0.46949999999999992</v>
      </c>
      <c r="T14" s="35"/>
      <c r="U14" s="35">
        <v>7.6999999999999999E-2</v>
      </c>
      <c r="V14" s="35">
        <f t="shared" si="5"/>
        <v>0.30750000000000005</v>
      </c>
      <c r="W14" s="35"/>
      <c r="X14" s="35">
        <v>0.10025000000000001</v>
      </c>
      <c r="Y14" s="35">
        <f t="shared" si="6"/>
        <v>0.43193999999999999</v>
      </c>
      <c r="Z14" s="35"/>
      <c r="AA14" s="35">
        <v>6.1769999999999999E-2</v>
      </c>
      <c r="AB14" s="35">
        <f t="shared" si="7"/>
        <v>0.23823</v>
      </c>
      <c r="AC14" s="35"/>
      <c r="AD14" s="35">
        <v>3.175E-2</v>
      </c>
      <c r="AE14" s="35">
        <f t="shared" si="8"/>
        <v>0.11244999999999999</v>
      </c>
      <c r="AF14" s="35"/>
      <c r="AG14" s="35">
        <v>2.564E-2</v>
      </c>
      <c r="AH14" s="35">
        <f t="shared" si="9"/>
        <v>8.9759999999999993E-2</v>
      </c>
      <c r="AI14" s="35"/>
      <c r="AJ14" s="35">
        <f>1/3/2</f>
        <v>0.16666666666666666</v>
      </c>
      <c r="AK14" s="35">
        <f>+AK13+AJ14</f>
        <v>0.99999999999999989</v>
      </c>
      <c r="AL14" s="35"/>
      <c r="AM14" s="35">
        <v>8.9730000000000004E-2</v>
      </c>
      <c r="AN14" s="35">
        <f t="shared" si="10"/>
        <v>0.37197000000000002</v>
      </c>
      <c r="AO14" s="35"/>
      <c r="AP14" s="35">
        <v>2.564E-2</v>
      </c>
      <c r="AQ14" s="35">
        <f t="shared" si="11"/>
        <v>8.8689999999999991E-2</v>
      </c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</row>
    <row r="15" spans="1:144" x14ac:dyDescent="0.2">
      <c r="A15" s="30">
        <f t="shared" si="0"/>
        <v>5</v>
      </c>
      <c r="C15" s="35"/>
      <c r="D15" s="35"/>
      <c r="E15" s="35"/>
      <c r="F15" s="35">
        <v>0.1152</v>
      </c>
      <c r="G15" s="35">
        <f>+G14+F15</f>
        <v>0.9423999999999999</v>
      </c>
      <c r="H15" s="35"/>
      <c r="I15" s="35">
        <v>8.9300000000000004E-2</v>
      </c>
      <c r="J15" s="35">
        <f t="shared" si="1"/>
        <v>0.77690000000000003</v>
      </c>
      <c r="K15" s="35"/>
      <c r="L15" s="35">
        <v>9.2939999999999995E-2</v>
      </c>
      <c r="M15" s="35">
        <f t="shared" si="2"/>
        <v>0.67471000000000003</v>
      </c>
      <c r="N15" s="35"/>
      <c r="O15" s="35">
        <v>9.2200000000000004E-2</v>
      </c>
      <c r="P15" s="35">
        <f t="shared" si="3"/>
        <v>0.63139999999999996</v>
      </c>
      <c r="Q15" s="35"/>
      <c r="R15" s="35">
        <v>8.8400000000000006E-2</v>
      </c>
      <c r="S15" s="35">
        <f t="shared" si="4"/>
        <v>0.55789999999999995</v>
      </c>
      <c r="T15" s="35"/>
      <c r="U15" s="35">
        <v>6.93E-2</v>
      </c>
      <c r="V15" s="35">
        <f t="shared" si="5"/>
        <v>0.37680000000000002</v>
      </c>
      <c r="W15" s="35"/>
      <c r="X15" s="35">
        <v>8.7389999999999995E-2</v>
      </c>
      <c r="Y15" s="35">
        <f t="shared" si="6"/>
        <v>0.51932999999999996</v>
      </c>
      <c r="Z15" s="35"/>
      <c r="AA15" s="35">
        <v>5.713E-2</v>
      </c>
      <c r="AB15" s="35">
        <f t="shared" si="7"/>
        <v>0.29536000000000001</v>
      </c>
      <c r="AC15" s="35"/>
      <c r="AD15" s="35">
        <v>3.175E-2</v>
      </c>
      <c r="AE15" s="35">
        <f t="shared" si="8"/>
        <v>0.14419999999999999</v>
      </c>
      <c r="AF15" s="35"/>
      <c r="AG15" s="35">
        <v>2.564E-2</v>
      </c>
      <c r="AH15" s="35">
        <f t="shared" si="9"/>
        <v>0.11539999999999999</v>
      </c>
      <c r="AI15" s="35"/>
      <c r="AJ15" s="35"/>
      <c r="AK15" s="35"/>
      <c r="AL15" s="35"/>
      <c r="AM15" s="35">
        <v>7.8520000000000006E-2</v>
      </c>
      <c r="AN15" s="35">
        <f t="shared" si="10"/>
        <v>0.45049000000000006</v>
      </c>
      <c r="AO15" s="35"/>
      <c r="AP15" s="35">
        <v>2.564E-2</v>
      </c>
      <c r="AQ15" s="35">
        <f t="shared" si="11"/>
        <v>0.11432999999999999</v>
      </c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</row>
    <row r="16" spans="1:144" x14ac:dyDescent="0.2">
      <c r="A16" s="30">
        <f t="shared" si="0"/>
        <v>6</v>
      </c>
      <c r="C16" s="35"/>
      <c r="D16" s="35"/>
      <c r="E16" s="35"/>
      <c r="F16" s="35">
        <v>5.7599999999999998E-2</v>
      </c>
      <c r="G16" s="35">
        <f>+G15+F16</f>
        <v>0.99999999999999989</v>
      </c>
      <c r="H16" s="35"/>
      <c r="I16" s="35">
        <v>8.9200000000000002E-2</v>
      </c>
      <c r="J16" s="35">
        <f t="shared" si="1"/>
        <v>0.86610000000000009</v>
      </c>
      <c r="K16" s="35"/>
      <c r="L16" s="35">
        <v>7.2289999999999993E-2</v>
      </c>
      <c r="M16" s="35">
        <f t="shared" si="2"/>
        <v>0.747</v>
      </c>
      <c r="N16" s="35"/>
      <c r="O16" s="35">
        <v>7.3700000000000002E-2</v>
      </c>
      <c r="P16" s="35">
        <f t="shared" si="3"/>
        <v>0.70509999999999995</v>
      </c>
      <c r="Q16" s="35"/>
      <c r="R16" s="35">
        <v>7.3700000000000002E-2</v>
      </c>
      <c r="S16" s="35">
        <f t="shared" si="4"/>
        <v>0.63159999999999994</v>
      </c>
      <c r="T16" s="35"/>
      <c r="U16" s="35">
        <v>6.2300000000000001E-2</v>
      </c>
      <c r="V16" s="35">
        <f t="shared" si="5"/>
        <v>0.43910000000000005</v>
      </c>
      <c r="W16" s="35"/>
      <c r="X16" s="35">
        <v>8.7389999999999995E-2</v>
      </c>
      <c r="Y16" s="35">
        <f t="shared" si="6"/>
        <v>0.60671999999999993</v>
      </c>
      <c r="Z16" s="35"/>
      <c r="AA16" s="35">
        <v>5.2850000000000001E-2</v>
      </c>
      <c r="AB16" s="35">
        <f t="shared" si="7"/>
        <v>0.34821000000000002</v>
      </c>
      <c r="AC16" s="35"/>
      <c r="AD16" s="35">
        <v>3.175E-2</v>
      </c>
      <c r="AE16" s="35">
        <f t="shared" si="8"/>
        <v>0.17595</v>
      </c>
      <c r="AF16" s="35"/>
      <c r="AG16" s="35">
        <v>2.564E-2</v>
      </c>
      <c r="AH16" s="35">
        <f t="shared" si="9"/>
        <v>0.14104</v>
      </c>
      <c r="AI16" s="35"/>
      <c r="AJ16" s="35"/>
      <c r="AK16" s="35"/>
      <c r="AL16" s="35"/>
      <c r="AM16" s="35">
        <v>7.3270000000000002E-2</v>
      </c>
      <c r="AN16" s="35">
        <f t="shared" si="10"/>
        <v>0.52376</v>
      </c>
      <c r="AO16" s="35"/>
      <c r="AP16" s="35">
        <v>2.564E-2</v>
      </c>
      <c r="AQ16" s="35">
        <f t="shared" si="11"/>
        <v>0.13996999999999998</v>
      </c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</row>
    <row r="17" spans="1:144" x14ac:dyDescent="0.2">
      <c r="A17" s="30">
        <f t="shared" si="0"/>
        <v>7</v>
      </c>
      <c r="C17" s="35"/>
      <c r="D17" s="35"/>
      <c r="E17" s="35"/>
      <c r="F17" s="35"/>
      <c r="G17" s="35"/>
      <c r="H17" s="35"/>
      <c r="I17" s="35">
        <v>8.9300000000000004E-2</v>
      </c>
      <c r="J17" s="35">
        <f t="shared" si="1"/>
        <v>0.95540000000000014</v>
      </c>
      <c r="K17" s="35"/>
      <c r="L17" s="35">
        <v>7.2279999999999997E-2</v>
      </c>
      <c r="M17" s="35">
        <f t="shared" si="2"/>
        <v>0.81928000000000001</v>
      </c>
      <c r="N17" s="35"/>
      <c r="O17" s="35">
        <v>6.5500000000000003E-2</v>
      </c>
      <c r="P17" s="35">
        <f t="shared" si="3"/>
        <v>0.77059999999999995</v>
      </c>
      <c r="Q17" s="35"/>
      <c r="R17" s="35">
        <v>6.1400000000000003E-2</v>
      </c>
      <c r="S17" s="35">
        <f t="shared" si="4"/>
        <v>0.69299999999999995</v>
      </c>
      <c r="T17" s="35"/>
      <c r="U17" s="35">
        <v>5.8999999999999997E-2</v>
      </c>
      <c r="V17" s="35">
        <f t="shared" si="5"/>
        <v>0.49810000000000004</v>
      </c>
      <c r="W17" s="35"/>
      <c r="X17" s="35">
        <v>8.7389999999999995E-2</v>
      </c>
      <c r="Y17" s="35">
        <f t="shared" si="6"/>
        <v>0.69410999999999989</v>
      </c>
      <c r="Z17" s="35"/>
      <c r="AA17" s="35">
        <v>4.888E-2</v>
      </c>
      <c r="AB17" s="35">
        <f t="shared" si="7"/>
        <v>0.39709</v>
      </c>
      <c r="AC17" s="35"/>
      <c r="AD17" s="35">
        <v>3.175E-2</v>
      </c>
      <c r="AE17" s="35">
        <f t="shared" si="8"/>
        <v>0.2077</v>
      </c>
      <c r="AF17" s="35"/>
      <c r="AG17" s="35">
        <v>2.564E-2</v>
      </c>
      <c r="AH17" s="35">
        <f t="shared" si="9"/>
        <v>0.16667999999999999</v>
      </c>
      <c r="AI17" s="35"/>
      <c r="AJ17" s="35"/>
      <c r="AK17" s="35"/>
      <c r="AL17" s="35"/>
      <c r="AM17" s="35">
        <v>7.3270000000000002E-2</v>
      </c>
      <c r="AN17" s="35">
        <f t="shared" si="10"/>
        <v>0.59702999999999995</v>
      </c>
      <c r="AO17" s="35"/>
      <c r="AP17" s="35">
        <v>2.564E-2</v>
      </c>
      <c r="AQ17" s="35">
        <f t="shared" si="11"/>
        <v>0.16560999999999998</v>
      </c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</row>
    <row r="18" spans="1:144" x14ac:dyDescent="0.2">
      <c r="A18" s="30">
        <f t="shared" si="0"/>
        <v>8</v>
      </c>
      <c r="C18" s="35"/>
      <c r="D18" s="35"/>
      <c r="E18" s="35"/>
      <c r="F18" s="35"/>
      <c r="G18" s="35"/>
      <c r="H18" s="35"/>
      <c r="I18" s="35">
        <v>4.4600000000000001E-2</v>
      </c>
      <c r="J18" s="35">
        <f t="shared" si="1"/>
        <v>1.0000000000000002</v>
      </c>
      <c r="K18" s="35"/>
      <c r="L18" s="35">
        <v>7.2289999999999993E-2</v>
      </c>
      <c r="M18" s="35">
        <f t="shared" si="2"/>
        <v>0.89156999999999997</v>
      </c>
      <c r="N18" s="35"/>
      <c r="O18" s="35">
        <v>6.5500000000000003E-2</v>
      </c>
      <c r="P18" s="35">
        <f t="shared" si="3"/>
        <v>0.83609999999999995</v>
      </c>
      <c r="Q18" s="35"/>
      <c r="R18" s="35">
        <v>5.5800000000000002E-2</v>
      </c>
      <c r="S18" s="35">
        <f t="shared" si="4"/>
        <v>0.74879999999999991</v>
      </c>
      <c r="T18" s="35"/>
      <c r="U18" s="35">
        <v>5.8999999999999997E-2</v>
      </c>
      <c r="V18" s="35">
        <f t="shared" si="5"/>
        <v>0.55710000000000004</v>
      </c>
      <c r="W18" s="35"/>
      <c r="X18" s="35">
        <v>8.7389999999999995E-2</v>
      </c>
      <c r="Y18" s="35">
        <f t="shared" si="6"/>
        <v>0.78149999999999986</v>
      </c>
      <c r="Z18" s="35"/>
      <c r="AA18" s="35">
        <v>4.5220000000000003E-2</v>
      </c>
      <c r="AB18" s="35">
        <f t="shared" si="7"/>
        <v>0.44230999999999998</v>
      </c>
      <c r="AC18" s="35"/>
      <c r="AD18" s="35">
        <v>3.1739999999999997E-2</v>
      </c>
      <c r="AE18" s="35">
        <f t="shared" si="8"/>
        <v>0.23943999999999999</v>
      </c>
      <c r="AF18" s="35"/>
      <c r="AG18" s="35">
        <v>2.564E-2</v>
      </c>
      <c r="AH18" s="35">
        <f t="shared" si="9"/>
        <v>0.19231999999999999</v>
      </c>
      <c r="AI18" s="35"/>
      <c r="AJ18" s="35"/>
      <c r="AK18" s="35"/>
      <c r="AL18" s="35"/>
      <c r="AM18" s="35">
        <v>7.3270000000000002E-2</v>
      </c>
      <c r="AN18" s="35">
        <f t="shared" si="10"/>
        <v>0.6702999999999999</v>
      </c>
      <c r="AO18" s="35"/>
      <c r="AP18" s="35">
        <v>2.564E-2</v>
      </c>
      <c r="AQ18" s="35">
        <f t="shared" si="11"/>
        <v>0.19124999999999998</v>
      </c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</row>
    <row r="19" spans="1:144" x14ac:dyDescent="0.2">
      <c r="A19" s="30">
        <f t="shared" si="0"/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>
        <v>7.2289999999999993E-2</v>
      </c>
      <c r="M19" s="35">
        <f t="shared" si="2"/>
        <v>0.96385999999999994</v>
      </c>
      <c r="N19" s="35"/>
      <c r="O19" s="35">
        <v>6.5600000000000006E-2</v>
      </c>
      <c r="P19" s="35">
        <f t="shared" si="3"/>
        <v>0.90169999999999995</v>
      </c>
      <c r="Q19" s="35"/>
      <c r="R19" s="35">
        <v>5.5800000000000002E-2</v>
      </c>
      <c r="S19" s="35">
        <f t="shared" si="4"/>
        <v>0.80459999999999987</v>
      </c>
      <c r="T19" s="35"/>
      <c r="U19" s="35">
        <v>5.91E-2</v>
      </c>
      <c r="V19" s="35">
        <f t="shared" si="5"/>
        <v>0.61620000000000008</v>
      </c>
      <c r="W19" s="35"/>
      <c r="X19" s="35">
        <v>8.7389999999999995E-2</v>
      </c>
      <c r="Y19" s="35">
        <f t="shared" si="6"/>
        <v>0.86888999999999983</v>
      </c>
      <c r="Z19" s="35"/>
      <c r="AA19" s="35">
        <v>4.462E-2</v>
      </c>
      <c r="AB19" s="35">
        <f t="shared" si="7"/>
        <v>0.48692999999999997</v>
      </c>
      <c r="AC19" s="35"/>
      <c r="AD19" s="35">
        <v>3.175E-2</v>
      </c>
      <c r="AE19" s="35">
        <f t="shared" si="8"/>
        <v>0.27118999999999999</v>
      </c>
      <c r="AF19" s="35"/>
      <c r="AG19" s="35">
        <v>2.564E-2</v>
      </c>
      <c r="AH19" s="35">
        <f t="shared" si="9"/>
        <v>0.21795999999999999</v>
      </c>
      <c r="AI19" s="35"/>
      <c r="AJ19" s="35"/>
      <c r="AK19" s="35"/>
      <c r="AL19" s="35"/>
      <c r="AM19" s="35">
        <v>7.3270000000000002E-2</v>
      </c>
      <c r="AN19" s="35">
        <f t="shared" si="10"/>
        <v>0.74356999999999984</v>
      </c>
      <c r="AO19" s="35"/>
      <c r="AP19" s="35">
        <v>2.564E-2</v>
      </c>
      <c r="AQ19" s="35">
        <f t="shared" si="11"/>
        <v>0.21688999999999997</v>
      </c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</row>
    <row r="20" spans="1:144" x14ac:dyDescent="0.2">
      <c r="A20" s="30">
        <f t="shared" si="0"/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>
        <v>3.6139999999999999E-2</v>
      </c>
      <c r="M20" s="35">
        <f t="shared" si="2"/>
        <v>0.99999999999999989</v>
      </c>
      <c r="N20" s="35"/>
      <c r="O20" s="35">
        <v>6.5500000000000003E-2</v>
      </c>
      <c r="P20" s="35">
        <f t="shared" si="3"/>
        <v>0.96719999999999995</v>
      </c>
      <c r="Q20" s="35"/>
      <c r="R20" s="35">
        <v>5.5899999999999998E-2</v>
      </c>
      <c r="S20" s="35">
        <f t="shared" si="4"/>
        <v>0.86049999999999982</v>
      </c>
      <c r="T20" s="35"/>
      <c r="U20" s="35">
        <v>5.8999999999999997E-2</v>
      </c>
      <c r="V20" s="35">
        <f t="shared" si="5"/>
        <v>0.67520000000000002</v>
      </c>
      <c r="W20" s="35"/>
      <c r="X20" s="35">
        <v>8.7389999999999995E-2</v>
      </c>
      <c r="Y20" s="35">
        <f t="shared" si="6"/>
        <v>0.9562799999999998</v>
      </c>
      <c r="Z20" s="35"/>
      <c r="AA20" s="35">
        <v>4.4609999999999997E-2</v>
      </c>
      <c r="AB20" s="35">
        <f t="shared" si="7"/>
        <v>0.53154000000000001</v>
      </c>
      <c r="AC20" s="35"/>
      <c r="AD20" s="35">
        <v>3.1739999999999997E-2</v>
      </c>
      <c r="AE20" s="35">
        <f t="shared" si="8"/>
        <v>0.30292999999999998</v>
      </c>
      <c r="AF20" s="35"/>
      <c r="AG20" s="35">
        <v>2.564E-2</v>
      </c>
      <c r="AH20" s="35">
        <f t="shared" si="9"/>
        <v>0.24359999999999998</v>
      </c>
      <c r="AI20" s="35"/>
      <c r="AJ20" s="35"/>
      <c r="AK20" s="35"/>
      <c r="AL20" s="35"/>
      <c r="AM20" s="35">
        <v>7.3270000000000002E-2</v>
      </c>
      <c r="AN20" s="35">
        <f t="shared" si="10"/>
        <v>0.81683999999999979</v>
      </c>
      <c r="AO20" s="35"/>
      <c r="AP20" s="35">
        <v>2.564E-2</v>
      </c>
      <c r="AQ20" s="35">
        <f t="shared" si="11"/>
        <v>0.24252999999999997</v>
      </c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</row>
    <row r="21" spans="1:144" x14ac:dyDescent="0.2">
      <c r="A21" s="30">
        <f t="shared" si="0"/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>
        <v>3.2800000000000003E-2</v>
      </c>
      <c r="P21" s="35">
        <f t="shared" si="3"/>
        <v>1</v>
      </c>
      <c r="Q21" s="35"/>
      <c r="R21" s="35">
        <v>5.5800000000000002E-2</v>
      </c>
      <c r="S21" s="35">
        <f t="shared" si="4"/>
        <v>0.91629999999999978</v>
      </c>
      <c r="T21" s="35"/>
      <c r="U21" s="35">
        <v>5.91E-2</v>
      </c>
      <c r="V21" s="35">
        <f t="shared" si="5"/>
        <v>0.73430000000000006</v>
      </c>
      <c r="W21" s="35"/>
      <c r="X21" s="35">
        <v>4.3720000000000002E-2</v>
      </c>
      <c r="Y21" s="35">
        <f t="shared" si="6"/>
        <v>0.99999999999999978</v>
      </c>
      <c r="Z21" s="35"/>
      <c r="AA21" s="35">
        <v>4.462E-2</v>
      </c>
      <c r="AB21" s="35">
        <f t="shared" si="7"/>
        <v>0.57616000000000001</v>
      </c>
      <c r="AC21" s="35"/>
      <c r="AD21" s="35">
        <v>3.175E-2</v>
      </c>
      <c r="AE21" s="35">
        <f t="shared" si="8"/>
        <v>0.33467999999999998</v>
      </c>
      <c r="AF21" s="35"/>
      <c r="AG21" s="35">
        <v>2.564E-2</v>
      </c>
      <c r="AH21" s="35">
        <f t="shared" si="9"/>
        <v>0.26923999999999998</v>
      </c>
      <c r="AI21" s="35"/>
      <c r="AJ21" s="35"/>
      <c r="AK21" s="35"/>
      <c r="AL21" s="35"/>
      <c r="AM21" s="35">
        <v>7.3270000000000002E-2</v>
      </c>
      <c r="AN21" s="35">
        <f t="shared" si="10"/>
        <v>0.89010999999999973</v>
      </c>
      <c r="AO21" s="35"/>
      <c r="AP21" s="35">
        <v>2.564E-2</v>
      </c>
      <c r="AQ21" s="35">
        <f t="shared" si="11"/>
        <v>0.26816999999999996</v>
      </c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</row>
    <row r="22" spans="1:144" x14ac:dyDescent="0.2">
      <c r="A22" s="30">
        <f t="shared" si="0"/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>
        <v>5.5800000000000002E-2</v>
      </c>
      <c r="S22" s="35">
        <f t="shared" si="4"/>
        <v>0.97209999999999974</v>
      </c>
      <c r="T22" s="35"/>
      <c r="U22" s="35">
        <v>5.8999999999999997E-2</v>
      </c>
      <c r="V22" s="35">
        <f t="shared" si="5"/>
        <v>0.79330000000000012</v>
      </c>
      <c r="W22" s="35"/>
      <c r="X22" s="35"/>
      <c r="Y22" s="35"/>
      <c r="Z22" s="35"/>
      <c r="AA22" s="35">
        <v>4.4609999999999997E-2</v>
      </c>
      <c r="AB22" s="35">
        <f t="shared" si="7"/>
        <v>0.62077000000000004</v>
      </c>
      <c r="AC22" s="35"/>
      <c r="AD22" s="35">
        <v>3.1739999999999997E-2</v>
      </c>
      <c r="AE22" s="35">
        <f t="shared" si="8"/>
        <v>0.36641999999999997</v>
      </c>
      <c r="AF22" s="35"/>
      <c r="AG22" s="35">
        <v>2.564E-2</v>
      </c>
      <c r="AH22" s="35">
        <f t="shared" si="9"/>
        <v>0.29487999999999998</v>
      </c>
      <c r="AI22" s="35"/>
      <c r="AJ22" s="35"/>
      <c r="AK22" s="35"/>
      <c r="AL22" s="35"/>
      <c r="AM22" s="35">
        <v>7.3270000000000002E-2</v>
      </c>
      <c r="AN22" s="35">
        <f t="shared" si="10"/>
        <v>0.96337999999999968</v>
      </c>
      <c r="AO22" s="35"/>
      <c r="AP22" s="35">
        <v>2.564E-2</v>
      </c>
      <c r="AQ22" s="35">
        <f t="shared" si="11"/>
        <v>0.29380999999999996</v>
      </c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</row>
    <row r="23" spans="1:144" x14ac:dyDescent="0.2">
      <c r="A23" s="30">
        <f t="shared" si="0"/>
        <v>13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>
        <v>2.7900000000000001E-2</v>
      </c>
      <c r="S23" s="35">
        <f t="shared" si="4"/>
        <v>0.99999999999999978</v>
      </c>
      <c r="T23" s="35"/>
      <c r="U23" s="35">
        <v>5.91E-2</v>
      </c>
      <c r="V23" s="35">
        <f t="shared" si="5"/>
        <v>0.85240000000000016</v>
      </c>
      <c r="W23" s="35"/>
      <c r="X23" s="35"/>
      <c r="Y23" s="35"/>
      <c r="Z23" s="35"/>
      <c r="AA23" s="35">
        <v>4.462E-2</v>
      </c>
      <c r="AB23" s="35">
        <f t="shared" si="7"/>
        <v>0.66539000000000004</v>
      </c>
      <c r="AC23" s="35"/>
      <c r="AD23" s="35">
        <v>3.175E-2</v>
      </c>
      <c r="AE23" s="35">
        <f t="shared" si="8"/>
        <v>0.39816999999999997</v>
      </c>
      <c r="AF23" s="35"/>
      <c r="AG23" s="35">
        <v>2.564E-2</v>
      </c>
      <c r="AH23" s="35">
        <f t="shared" si="9"/>
        <v>0.32051999999999997</v>
      </c>
      <c r="AI23" s="35"/>
      <c r="AJ23" s="35"/>
      <c r="AK23" s="35"/>
      <c r="AL23" s="35"/>
      <c r="AM23" s="35">
        <v>3.662E-2</v>
      </c>
      <c r="AN23" s="35">
        <f t="shared" si="10"/>
        <v>0.99999999999999967</v>
      </c>
      <c r="AO23" s="35"/>
      <c r="AP23" s="35">
        <v>2.564E-2</v>
      </c>
      <c r="AQ23" s="35">
        <f t="shared" si="11"/>
        <v>0.31944999999999996</v>
      </c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</row>
    <row r="24" spans="1:144" x14ac:dyDescent="0.2">
      <c r="A24" s="30">
        <f t="shared" si="0"/>
        <v>14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>
        <v>5.8999999999999997E-2</v>
      </c>
      <c r="V24" s="35">
        <f t="shared" si="5"/>
        <v>0.91140000000000021</v>
      </c>
      <c r="W24" s="35"/>
      <c r="X24" s="35"/>
      <c r="Y24" s="35"/>
      <c r="Z24" s="35"/>
      <c r="AA24" s="35">
        <v>4.4609999999999997E-2</v>
      </c>
      <c r="AB24" s="35">
        <f t="shared" si="7"/>
        <v>0.71000000000000008</v>
      </c>
      <c r="AC24" s="35"/>
      <c r="AD24" s="35">
        <v>3.1739999999999997E-2</v>
      </c>
      <c r="AE24" s="35">
        <f t="shared" si="8"/>
        <v>0.42990999999999996</v>
      </c>
      <c r="AF24" s="35"/>
      <c r="AG24" s="35">
        <v>2.564E-2</v>
      </c>
      <c r="AH24" s="35">
        <f t="shared" si="9"/>
        <v>0.34615999999999997</v>
      </c>
      <c r="AI24" s="35"/>
      <c r="AJ24" s="35"/>
      <c r="AK24" s="35"/>
      <c r="AL24" s="35"/>
      <c r="AM24" s="35"/>
      <c r="AN24" s="35"/>
      <c r="AO24" s="35"/>
      <c r="AP24" s="35">
        <v>2.564E-2</v>
      </c>
      <c r="AQ24" s="35">
        <f t="shared" si="11"/>
        <v>0.34508999999999995</v>
      </c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</row>
    <row r="25" spans="1:144" x14ac:dyDescent="0.2">
      <c r="A25" s="30">
        <f t="shared" si="0"/>
        <v>15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>
        <v>5.91E-2</v>
      </c>
      <c r="V25" s="35">
        <f t="shared" si="5"/>
        <v>0.97050000000000025</v>
      </c>
      <c r="W25" s="35"/>
      <c r="X25" s="35"/>
      <c r="Y25" s="35"/>
      <c r="Z25" s="35"/>
      <c r="AA25" s="35">
        <v>4.462E-2</v>
      </c>
      <c r="AB25" s="35">
        <f t="shared" si="7"/>
        <v>0.75462000000000007</v>
      </c>
      <c r="AC25" s="35"/>
      <c r="AD25" s="35">
        <v>3.175E-2</v>
      </c>
      <c r="AE25" s="35">
        <f t="shared" si="8"/>
        <v>0.46165999999999996</v>
      </c>
      <c r="AF25" s="35"/>
      <c r="AG25" s="35">
        <v>2.564E-2</v>
      </c>
      <c r="AH25" s="35">
        <f t="shared" si="9"/>
        <v>0.37179999999999996</v>
      </c>
      <c r="AI25" s="35"/>
      <c r="AJ25" s="35"/>
      <c r="AK25" s="35"/>
      <c r="AL25" s="35"/>
      <c r="AM25" s="35"/>
      <c r="AN25" s="35"/>
      <c r="AO25" s="35"/>
      <c r="AP25" s="35">
        <v>2.564E-2</v>
      </c>
      <c r="AQ25" s="35">
        <f t="shared" si="11"/>
        <v>0.37072999999999995</v>
      </c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</row>
    <row r="26" spans="1:144" x14ac:dyDescent="0.2">
      <c r="A26" s="30">
        <f t="shared" si="0"/>
        <v>16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>
        <v>2.9499999999999998E-2</v>
      </c>
      <c r="V26" s="35">
        <f t="shared" si="5"/>
        <v>1.0000000000000002</v>
      </c>
      <c r="W26" s="35"/>
      <c r="X26" s="35"/>
      <c r="Y26" s="35"/>
      <c r="Z26" s="35"/>
      <c r="AA26" s="35">
        <v>4.4609999999999997E-2</v>
      </c>
      <c r="AB26" s="35">
        <f t="shared" si="7"/>
        <v>0.79923000000000011</v>
      </c>
      <c r="AC26" s="35"/>
      <c r="AD26" s="35">
        <v>3.1739999999999997E-2</v>
      </c>
      <c r="AE26" s="35">
        <f t="shared" si="8"/>
        <v>0.49339999999999995</v>
      </c>
      <c r="AF26" s="35"/>
      <c r="AG26" s="35">
        <v>2.564E-2</v>
      </c>
      <c r="AH26" s="35">
        <f t="shared" si="9"/>
        <v>0.39743999999999996</v>
      </c>
      <c r="AI26" s="35"/>
      <c r="AJ26" s="35"/>
      <c r="AK26" s="35"/>
      <c r="AL26" s="35"/>
      <c r="AM26" s="35"/>
      <c r="AN26" s="35"/>
      <c r="AO26" s="35"/>
      <c r="AP26" s="35">
        <v>2.564E-2</v>
      </c>
      <c r="AQ26" s="35">
        <f t="shared" si="11"/>
        <v>0.39636999999999994</v>
      </c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</row>
    <row r="27" spans="1:144" x14ac:dyDescent="0.2">
      <c r="A27" s="30">
        <f t="shared" si="0"/>
        <v>17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>
        <v>4.462E-2</v>
      </c>
      <c r="AB27" s="35">
        <f t="shared" si="7"/>
        <v>0.8438500000000001</v>
      </c>
      <c r="AC27" s="35"/>
      <c r="AD27" s="35">
        <v>3.175E-2</v>
      </c>
      <c r="AE27" s="35">
        <f t="shared" si="8"/>
        <v>0.52515000000000001</v>
      </c>
      <c r="AF27" s="35"/>
      <c r="AG27" s="35">
        <v>2.564E-2</v>
      </c>
      <c r="AH27" s="35">
        <f t="shared" si="9"/>
        <v>0.42307999999999996</v>
      </c>
      <c r="AI27" s="35"/>
      <c r="AJ27" s="35"/>
      <c r="AK27" s="35"/>
      <c r="AL27" s="35"/>
      <c r="AM27" s="35"/>
      <c r="AN27" s="35"/>
      <c r="AO27" s="35"/>
      <c r="AP27" s="35">
        <v>2.564E-2</v>
      </c>
      <c r="AQ27" s="35">
        <f t="shared" si="11"/>
        <v>0.42200999999999994</v>
      </c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</row>
    <row r="28" spans="1:144" x14ac:dyDescent="0.2">
      <c r="A28" s="30">
        <f t="shared" si="0"/>
        <v>18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>
        <v>4.4609999999999997E-2</v>
      </c>
      <c r="AB28" s="35">
        <f t="shared" si="7"/>
        <v>0.88846000000000014</v>
      </c>
      <c r="AC28" s="35"/>
      <c r="AD28" s="35">
        <v>3.1739999999999997E-2</v>
      </c>
      <c r="AE28" s="35">
        <f t="shared" si="8"/>
        <v>0.55689</v>
      </c>
      <c r="AF28" s="35"/>
      <c r="AG28" s="35">
        <v>2.564E-2</v>
      </c>
      <c r="AH28" s="35">
        <f t="shared" si="9"/>
        <v>0.44871999999999995</v>
      </c>
      <c r="AI28" s="35"/>
      <c r="AJ28" s="35"/>
      <c r="AK28" s="35"/>
      <c r="AL28" s="35"/>
      <c r="AM28" s="35"/>
      <c r="AN28" s="35"/>
      <c r="AO28" s="35"/>
      <c r="AP28" s="35">
        <v>2.564E-2</v>
      </c>
      <c r="AQ28" s="35">
        <f t="shared" si="11"/>
        <v>0.44764999999999994</v>
      </c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</row>
    <row r="29" spans="1:144" x14ac:dyDescent="0.2">
      <c r="A29" s="30">
        <f t="shared" si="0"/>
        <v>19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>
        <v>4.462E-2</v>
      </c>
      <c r="AB29" s="35">
        <f>+AB28+AA29</f>
        <v>0.93308000000000013</v>
      </c>
      <c r="AC29" s="35"/>
      <c r="AD29" s="35">
        <v>3.175E-2</v>
      </c>
      <c r="AE29" s="35">
        <f t="shared" si="8"/>
        <v>0.58864000000000005</v>
      </c>
      <c r="AF29" s="35"/>
      <c r="AG29" s="35">
        <v>2.564E-2</v>
      </c>
      <c r="AH29" s="35">
        <f t="shared" si="9"/>
        <v>0.47435999999999995</v>
      </c>
      <c r="AI29" s="35"/>
      <c r="AJ29" s="35"/>
      <c r="AK29" s="35"/>
      <c r="AL29" s="35"/>
      <c r="AM29" s="35"/>
      <c r="AN29" s="35"/>
      <c r="AO29" s="35"/>
      <c r="AP29" s="35">
        <v>2.564E-2</v>
      </c>
      <c r="AQ29" s="35">
        <f t="shared" si="11"/>
        <v>0.47328999999999993</v>
      </c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1:144" x14ac:dyDescent="0.2">
      <c r="A30" s="30">
        <f t="shared" si="0"/>
        <v>20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>
        <v>4.4609999999999997E-2</v>
      </c>
      <c r="AB30" s="35">
        <f>+AB29+AA30</f>
        <v>0.97769000000000017</v>
      </c>
      <c r="AC30" s="35"/>
      <c r="AD30" s="35">
        <v>3.1739999999999997E-2</v>
      </c>
      <c r="AE30" s="35">
        <f t="shared" si="8"/>
        <v>0.62038000000000004</v>
      </c>
      <c r="AF30" s="35"/>
      <c r="AG30" s="35">
        <v>2.564E-2</v>
      </c>
      <c r="AH30" s="35">
        <f t="shared" si="9"/>
        <v>0.49999999999999994</v>
      </c>
      <c r="AI30" s="35"/>
      <c r="AJ30" s="35"/>
      <c r="AK30" s="35"/>
      <c r="AL30" s="35"/>
      <c r="AM30" s="35"/>
      <c r="AN30" s="35"/>
      <c r="AO30" s="35"/>
      <c r="AP30" s="35">
        <v>2.564E-2</v>
      </c>
      <c r="AQ30" s="35">
        <f t="shared" si="11"/>
        <v>0.49892999999999993</v>
      </c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1:144" x14ac:dyDescent="0.2">
      <c r="A31" s="30">
        <f t="shared" si="0"/>
        <v>21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>
        <v>2.231E-2</v>
      </c>
      <c r="AB31" s="35">
        <f>+AB30+AA31</f>
        <v>1.0000000000000002</v>
      </c>
      <c r="AC31" s="35"/>
      <c r="AD31" s="35">
        <v>3.175E-2</v>
      </c>
      <c r="AE31" s="35">
        <f t="shared" si="8"/>
        <v>0.6521300000000001</v>
      </c>
      <c r="AF31" s="35"/>
      <c r="AG31" s="35">
        <v>2.564E-2</v>
      </c>
      <c r="AH31" s="35">
        <f t="shared" si="9"/>
        <v>0.52564</v>
      </c>
      <c r="AI31" s="35"/>
      <c r="AJ31" s="35"/>
      <c r="AK31" s="35"/>
      <c r="AL31" s="35"/>
      <c r="AM31" s="35"/>
      <c r="AN31" s="35"/>
      <c r="AO31" s="35"/>
      <c r="AP31" s="35">
        <v>2.564E-2</v>
      </c>
      <c r="AQ31" s="35">
        <f t="shared" si="11"/>
        <v>0.52456999999999998</v>
      </c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1:144" x14ac:dyDescent="0.2">
      <c r="A32" s="30">
        <f t="shared" si="0"/>
        <v>22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>
        <v>3.1739999999999997E-2</v>
      </c>
      <c r="AE32" s="35">
        <f t="shared" si="8"/>
        <v>0.68387000000000009</v>
      </c>
      <c r="AF32" s="35"/>
      <c r="AG32" s="35">
        <v>2.564E-2</v>
      </c>
      <c r="AH32" s="35">
        <f t="shared" si="9"/>
        <v>0.55127999999999999</v>
      </c>
      <c r="AI32" s="35"/>
      <c r="AJ32" s="35"/>
      <c r="AK32" s="35"/>
      <c r="AL32" s="35"/>
      <c r="AM32" s="35"/>
      <c r="AN32" s="35"/>
      <c r="AO32" s="35"/>
      <c r="AP32" s="35">
        <v>2.564E-2</v>
      </c>
      <c r="AQ32" s="35">
        <f t="shared" si="11"/>
        <v>0.55020999999999998</v>
      </c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1:144" x14ac:dyDescent="0.2">
      <c r="A33" s="30">
        <f t="shared" si="0"/>
        <v>23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>
        <v>3.175E-2</v>
      </c>
      <c r="AE33" s="35">
        <f t="shared" si="8"/>
        <v>0.71562000000000014</v>
      </c>
      <c r="AF33" s="35"/>
      <c r="AG33" s="35">
        <v>2.564E-2</v>
      </c>
      <c r="AH33" s="35">
        <f t="shared" si="9"/>
        <v>0.57691999999999999</v>
      </c>
      <c r="AI33" s="35"/>
      <c r="AJ33" s="35"/>
      <c r="AK33" s="35"/>
      <c r="AL33" s="35"/>
      <c r="AM33" s="35"/>
      <c r="AN33" s="35"/>
      <c r="AO33" s="35"/>
      <c r="AP33" s="35">
        <v>2.564E-2</v>
      </c>
      <c r="AQ33" s="35">
        <f t="shared" si="11"/>
        <v>0.57584999999999997</v>
      </c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</row>
    <row r="34" spans="1:144" x14ac:dyDescent="0.2">
      <c r="A34" s="30">
        <f t="shared" si="0"/>
        <v>24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>
        <v>3.1739999999999997E-2</v>
      </c>
      <c r="AE34" s="35">
        <f t="shared" si="8"/>
        <v>0.74736000000000014</v>
      </c>
      <c r="AF34" s="35"/>
      <c r="AG34" s="35">
        <v>2.564E-2</v>
      </c>
      <c r="AH34" s="35">
        <f t="shared" si="9"/>
        <v>0.60255999999999998</v>
      </c>
      <c r="AI34" s="35"/>
      <c r="AJ34" s="35"/>
      <c r="AK34" s="35"/>
      <c r="AL34" s="35"/>
      <c r="AM34" s="35"/>
      <c r="AN34" s="35"/>
      <c r="AO34" s="35"/>
      <c r="AP34" s="35">
        <v>2.564E-2</v>
      </c>
      <c r="AQ34" s="35">
        <f t="shared" si="11"/>
        <v>0.60148999999999997</v>
      </c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</row>
    <row r="35" spans="1:144" x14ac:dyDescent="0.2">
      <c r="A35" s="30">
        <f t="shared" si="0"/>
        <v>25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>
        <v>3.175E-2</v>
      </c>
      <c r="AE35" s="35">
        <f t="shared" si="8"/>
        <v>0.77911000000000019</v>
      </c>
      <c r="AF35" s="35"/>
      <c r="AG35" s="35">
        <v>2.564E-2</v>
      </c>
      <c r="AH35" s="35">
        <f t="shared" si="9"/>
        <v>0.62819999999999998</v>
      </c>
      <c r="AI35" s="35"/>
      <c r="AJ35" s="35"/>
      <c r="AK35" s="35"/>
      <c r="AL35" s="35"/>
      <c r="AM35" s="35"/>
      <c r="AN35" s="35"/>
      <c r="AO35" s="35"/>
      <c r="AP35" s="35">
        <v>2.564E-2</v>
      </c>
      <c r="AQ35" s="35">
        <f t="shared" si="11"/>
        <v>0.62712999999999997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</row>
    <row r="36" spans="1:144" x14ac:dyDescent="0.2">
      <c r="A36" s="30">
        <f t="shared" si="0"/>
        <v>26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>
        <v>3.1739999999999997E-2</v>
      </c>
      <c r="AE36" s="35">
        <f t="shared" si="8"/>
        <v>0.81085000000000018</v>
      </c>
      <c r="AF36" s="35"/>
      <c r="AG36" s="35">
        <v>2.564E-2</v>
      </c>
      <c r="AH36" s="35">
        <f t="shared" si="9"/>
        <v>0.65383999999999998</v>
      </c>
      <c r="AI36" s="35"/>
      <c r="AJ36" s="35"/>
      <c r="AK36" s="35"/>
      <c r="AL36" s="35"/>
      <c r="AM36" s="35"/>
      <c r="AN36" s="35"/>
      <c r="AO36" s="35"/>
      <c r="AP36" s="35">
        <v>2.564E-2</v>
      </c>
      <c r="AQ36" s="35">
        <f t="shared" si="11"/>
        <v>0.65276999999999996</v>
      </c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</row>
    <row r="37" spans="1:144" x14ac:dyDescent="0.2">
      <c r="A37" s="30">
        <f t="shared" si="0"/>
        <v>27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>
        <v>3.175E-2</v>
      </c>
      <c r="AE37" s="35">
        <f t="shared" si="8"/>
        <v>0.84260000000000024</v>
      </c>
      <c r="AF37" s="35"/>
      <c r="AG37" s="35">
        <v>2.564E-2</v>
      </c>
      <c r="AH37" s="35">
        <f t="shared" si="9"/>
        <v>0.67947999999999997</v>
      </c>
      <c r="AI37" s="35"/>
      <c r="AJ37" s="35"/>
      <c r="AK37" s="35"/>
      <c r="AL37" s="35"/>
      <c r="AM37" s="35"/>
      <c r="AN37" s="35"/>
      <c r="AO37" s="35"/>
      <c r="AP37" s="35">
        <v>2.564E-2</v>
      </c>
      <c r="AQ37" s="35">
        <f t="shared" si="11"/>
        <v>0.67840999999999996</v>
      </c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</row>
    <row r="38" spans="1:144" x14ac:dyDescent="0.2">
      <c r="A38" s="30">
        <f t="shared" si="0"/>
        <v>28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>
        <v>3.1739999999999997E-2</v>
      </c>
      <c r="AE38" s="35">
        <f t="shared" si="8"/>
        <v>0.87434000000000023</v>
      </c>
      <c r="AF38" s="35"/>
      <c r="AG38" s="35">
        <v>2.564E-2</v>
      </c>
      <c r="AH38" s="35">
        <f t="shared" si="9"/>
        <v>0.70511999999999997</v>
      </c>
      <c r="AI38" s="35"/>
      <c r="AJ38" s="35"/>
      <c r="AK38" s="35"/>
      <c r="AL38" s="35"/>
      <c r="AM38" s="35"/>
      <c r="AN38" s="35"/>
      <c r="AO38" s="35"/>
      <c r="AP38" s="35">
        <v>2.564E-2</v>
      </c>
      <c r="AQ38" s="35">
        <f t="shared" si="11"/>
        <v>0.70404999999999995</v>
      </c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</row>
    <row r="39" spans="1:144" x14ac:dyDescent="0.2">
      <c r="A39" s="30">
        <f t="shared" si="0"/>
        <v>29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>
        <v>3.175E-2</v>
      </c>
      <c r="AE39" s="35">
        <f t="shared" si="8"/>
        <v>0.90609000000000028</v>
      </c>
      <c r="AF39" s="35"/>
      <c r="AG39" s="35">
        <v>2.564E-2</v>
      </c>
      <c r="AH39" s="35">
        <f t="shared" si="9"/>
        <v>0.73075999999999997</v>
      </c>
      <c r="AI39" s="35"/>
      <c r="AJ39" s="35"/>
      <c r="AK39" s="35"/>
      <c r="AL39" s="35"/>
      <c r="AM39" s="35"/>
      <c r="AN39" s="35"/>
      <c r="AO39" s="35"/>
      <c r="AP39" s="35">
        <v>2.564E-2</v>
      </c>
      <c r="AQ39" s="35">
        <f t="shared" si="11"/>
        <v>0.72968999999999995</v>
      </c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</row>
    <row r="40" spans="1:144" x14ac:dyDescent="0.2">
      <c r="A40" s="30">
        <f t="shared" si="0"/>
        <v>30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>
        <v>3.1739999999999997E-2</v>
      </c>
      <c r="AE40" s="35">
        <f t="shared" si="8"/>
        <v>0.93783000000000027</v>
      </c>
      <c r="AF40" s="35"/>
      <c r="AG40" s="35">
        <v>2.564E-2</v>
      </c>
      <c r="AH40" s="35">
        <f t="shared" si="9"/>
        <v>0.75639999999999996</v>
      </c>
      <c r="AI40" s="35"/>
      <c r="AJ40" s="35"/>
      <c r="AK40" s="35"/>
      <c r="AL40" s="35"/>
      <c r="AM40" s="35"/>
      <c r="AN40" s="35"/>
      <c r="AO40" s="35"/>
      <c r="AP40" s="35">
        <v>2.564E-2</v>
      </c>
      <c r="AQ40" s="35">
        <f t="shared" si="11"/>
        <v>0.75532999999999995</v>
      </c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</row>
    <row r="41" spans="1:144" x14ac:dyDescent="0.2">
      <c r="A41" s="30">
        <f t="shared" si="0"/>
        <v>31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>
        <v>3.175E-2</v>
      </c>
      <c r="AE41" s="35">
        <f t="shared" si="8"/>
        <v>0.96958000000000033</v>
      </c>
      <c r="AF41" s="35"/>
      <c r="AG41" s="35">
        <v>2.564E-2</v>
      </c>
      <c r="AH41" s="35">
        <f t="shared" si="9"/>
        <v>0.78203999999999996</v>
      </c>
      <c r="AI41" s="35"/>
      <c r="AJ41" s="35"/>
      <c r="AK41" s="35"/>
      <c r="AL41" s="35"/>
      <c r="AM41" s="35"/>
      <c r="AN41" s="35"/>
      <c r="AO41" s="35"/>
      <c r="AP41" s="35">
        <v>2.564E-2</v>
      </c>
      <c r="AQ41" s="35">
        <f t="shared" si="11"/>
        <v>0.78096999999999994</v>
      </c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</row>
    <row r="42" spans="1:144" x14ac:dyDescent="0.2">
      <c r="A42" s="30">
        <f t="shared" si="0"/>
        <v>32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>
        <v>3.0419999999999999E-2</v>
      </c>
      <c r="AE42" s="35">
        <f t="shared" si="8"/>
        <v>1.0000000000000002</v>
      </c>
      <c r="AF42" s="35"/>
      <c r="AG42" s="35">
        <v>2.564E-2</v>
      </c>
      <c r="AH42" s="35">
        <f t="shared" si="9"/>
        <v>0.80767999999999995</v>
      </c>
      <c r="AI42" s="35"/>
      <c r="AJ42" s="35"/>
      <c r="AK42" s="35"/>
      <c r="AL42" s="35"/>
      <c r="AM42" s="35"/>
      <c r="AN42" s="35"/>
      <c r="AO42" s="35"/>
      <c r="AP42" s="35">
        <v>2.564E-2</v>
      </c>
      <c r="AQ42" s="35">
        <f t="shared" si="11"/>
        <v>0.80660999999999994</v>
      </c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</row>
    <row r="43" spans="1:144" x14ac:dyDescent="0.2">
      <c r="A43" s="30">
        <f t="shared" si="0"/>
        <v>33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>
        <v>2.564E-2</v>
      </c>
      <c r="AH43" s="35">
        <f t="shared" si="9"/>
        <v>0.83331999999999995</v>
      </c>
      <c r="AI43" s="35"/>
      <c r="AJ43" s="35"/>
      <c r="AK43" s="35"/>
      <c r="AL43" s="35"/>
      <c r="AM43" s="35"/>
      <c r="AN43" s="35"/>
      <c r="AO43" s="35"/>
      <c r="AP43" s="35">
        <v>2.564E-2</v>
      </c>
      <c r="AQ43" s="35">
        <f t="shared" si="11"/>
        <v>0.83224999999999993</v>
      </c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</row>
    <row r="44" spans="1:144" x14ac:dyDescent="0.2">
      <c r="A44" s="30">
        <f t="shared" si="0"/>
        <v>34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>
        <v>2.564E-2</v>
      </c>
      <c r="AH44" s="35">
        <f t="shared" si="9"/>
        <v>0.85895999999999995</v>
      </c>
      <c r="AI44" s="35"/>
      <c r="AJ44" s="35"/>
      <c r="AK44" s="35"/>
      <c r="AL44" s="35"/>
      <c r="AM44" s="35"/>
      <c r="AN44" s="35"/>
      <c r="AO44" s="35"/>
      <c r="AP44" s="35">
        <v>2.564E-2</v>
      </c>
      <c r="AQ44" s="35">
        <f t="shared" si="11"/>
        <v>0.85788999999999993</v>
      </c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</row>
    <row r="45" spans="1:144" x14ac:dyDescent="0.2">
      <c r="A45" s="30">
        <f t="shared" si="0"/>
        <v>35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>
        <v>2.564E-2</v>
      </c>
      <c r="AH45" s="35">
        <f t="shared" si="9"/>
        <v>0.88459999999999994</v>
      </c>
      <c r="AI45" s="35"/>
      <c r="AJ45" s="35"/>
      <c r="AK45" s="35"/>
      <c r="AL45" s="35"/>
      <c r="AM45" s="35"/>
      <c r="AN45" s="35"/>
      <c r="AO45" s="35"/>
      <c r="AP45" s="35">
        <v>2.564E-2</v>
      </c>
      <c r="AQ45" s="35">
        <f t="shared" si="11"/>
        <v>0.88352999999999993</v>
      </c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</row>
    <row r="46" spans="1:144" x14ac:dyDescent="0.2">
      <c r="A46" s="30">
        <f t="shared" si="0"/>
        <v>36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>
        <v>2.564E-2</v>
      </c>
      <c r="AH46" s="35">
        <f t="shared" si="9"/>
        <v>0.91023999999999994</v>
      </c>
      <c r="AI46" s="35"/>
      <c r="AJ46" s="35"/>
      <c r="AK46" s="35"/>
      <c r="AL46" s="35"/>
      <c r="AM46" s="35"/>
      <c r="AN46" s="35"/>
      <c r="AO46" s="35"/>
      <c r="AP46" s="35">
        <v>2.564E-2</v>
      </c>
      <c r="AQ46" s="35">
        <f t="shared" si="11"/>
        <v>0.90916999999999992</v>
      </c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</row>
    <row r="47" spans="1:144" x14ac:dyDescent="0.2">
      <c r="A47" s="30">
        <f t="shared" si="0"/>
        <v>37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>
        <v>2.564E-2</v>
      </c>
      <c r="AH47" s="35">
        <f t="shared" si="9"/>
        <v>0.93587999999999993</v>
      </c>
      <c r="AI47" s="35"/>
      <c r="AJ47" s="35"/>
      <c r="AK47" s="35"/>
      <c r="AL47" s="35"/>
      <c r="AM47" s="35"/>
      <c r="AN47" s="35"/>
      <c r="AO47" s="35"/>
      <c r="AP47" s="35">
        <v>2.564E-2</v>
      </c>
      <c r="AQ47" s="35">
        <f t="shared" si="11"/>
        <v>0.93480999999999992</v>
      </c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</row>
    <row r="48" spans="1:144" x14ac:dyDescent="0.2">
      <c r="A48" s="30">
        <f t="shared" si="0"/>
        <v>38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>
        <v>2.564E-2</v>
      </c>
      <c r="AH48" s="35">
        <f t="shared" si="9"/>
        <v>0.96151999999999993</v>
      </c>
      <c r="AI48" s="35"/>
      <c r="AJ48" s="35"/>
      <c r="AK48" s="35"/>
      <c r="AL48" s="35"/>
      <c r="AM48" s="35"/>
      <c r="AN48" s="35"/>
      <c r="AO48" s="35"/>
      <c r="AP48" s="35">
        <v>2.564E-2</v>
      </c>
      <c r="AQ48" s="35">
        <f t="shared" si="11"/>
        <v>0.96044999999999991</v>
      </c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</row>
    <row r="49" spans="1:144" x14ac:dyDescent="0.2">
      <c r="A49" s="30">
        <f t="shared" si="0"/>
        <v>39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>
        <v>2.564E-2</v>
      </c>
      <c r="AH49" s="35">
        <f t="shared" si="9"/>
        <v>0.98715999999999993</v>
      </c>
      <c r="AI49" s="35"/>
      <c r="AJ49" s="35"/>
      <c r="AK49" s="35"/>
      <c r="AL49" s="35"/>
      <c r="AM49" s="35"/>
      <c r="AN49" s="35"/>
      <c r="AO49" s="35"/>
      <c r="AP49" s="35">
        <v>2.564E-2</v>
      </c>
      <c r="AQ49" s="35">
        <f t="shared" si="11"/>
        <v>0.98608999999999991</v>
      </c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</row>
    <row r="50" spans="1:144" x14ac:dyDescent="0.2">
      <c r="A50" s="30">
        <f t="shared" si="0"/>
        <v>40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>
        <v>1.2840000000000001E-2</v>
      </c>
      <c r="AH50" s="35">
        <f t="shared" si="9"/>
        <v>0.99999999999999989</v>
      </c>
      <c r="AI50" s="35"/>
      <c r="AJ50" s="35"/>
      <c r="AK50" s="35"/>
      <c r="AL50" s="35"/>
      <c r="AM50" s="35"/>
      <c r="AN50" s="35"/>
      <c r="AO50" s="35"/>
      <c r="AP50" s="35">
        <v>1.391E-2</v>
      </c>
      <c r="AQ50" s="35">
        <f t="shared" si="11"/>
        <v>0.99999999999999989</v>
      </c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</row>
    <row r="51" spans="1:144" x14ac:dyDescent="0.2">
      <c r="A51" s="30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</row>
    <row r="52" spans="1:144" x14ac:dyDescent="0.2">
      <c r="A52" s="30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</row>
    <row r="53" spans="1:144" x14ac:dyDescent="0.2">
      <c r="A53" s="30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</row>
    <row r="54" spans="1:144" x14ac:dyDescent="0.2">
      <c r="A54" s="30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</row>
    <row r="55" spans="1:144" x14ac:dyDescent="0.2">
      <c r="A55" s="30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</row>
    <row r="56" spans="1:144" x14ac:dyDescent="0.2">
      <c r="A56" s="30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</row>
    <row r="57" spans="1:144" x14ac:dyDescent="0.2">
      <c r="A57" s="30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</row>
    <row r="58" spans="1:144" x14ac:dyDescent="0.2">
      <c r="A58" s="30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</row>
    <row r="59" spans="1:144" x14ac:dyDescent="0.2">
      <c r="A59" s="30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</row>
    <row r="60" spans="1:144" x14ac:dyDescent="0.2">
      <c r="A60" s="30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</row>
    <row r="61" spans="1:144" x14ac:dyDescent="0.2">
      <c r="A61" s="30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</row>
    <row r="62" spans="1:144" x14ac:dyDescent="0.2">
      <c r="A62" s="30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</row>
    <row r="63" spans="1:144" x14ac:dyDescent="0.2">
      <c r="A63" s="30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</row>
    <row r="64" spans="1:144" x14ac:dyDescent="0.2">
      <c r="A64" s="30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</row>
    <row r="65" spans="1:144" x14ac:dyDescent="0.2">
      <c r="A65" s="30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</row>
    <row r="66" spans="1:144" x14ac:dyDescent="0.2">
      <c r="A66" s="30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</row>
    <row r="67" spans="1:144" x14ac:dyDescent="0.2">
      <c r="A67" s="30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</row>
    <row r="68" spans="1:144" x14ac:dyDescent="0.2">
      <c r="A68" s="30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</row>
    <row r="69" spans="1:144" x14ac:dyDescent="0.2">
      <c r="A69" s="30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</row>
    <row r="70" spans="1:144" x14ac:dyDescent="0.2">
      <c r="A70" s="30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</row>
    <row r="71" spans="1:144" x14ac:dyDescent="0.2">
      <c r="A71" s="30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</row>
    <row r="72" spans="1:144" x14ac:dyDescent="0.2">
      <c r="A72" s="30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</row>
    <row r="73" spans="1:144" x14ac:dyDescent="0.2">
      <c r="A73" s="30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</row>
    <row r="74" spans="1:144" x14ac:dyDescent="0.2">
      <c r="A74" s="30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x14ac:dyDescent="0.2">
      <c r="A75" s="30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x14ac:dyDescent="0.2">
      <c r="A76" s="30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x14ac:dyDescent="0.2">
      <c r="A77" s="30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x14ac:dyDescent="0.2">
      <c r="A78" s="30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x14ac:dyDescent="0.2">
      <c r="A79" s="30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x14ac:dyDescent="0.2">
      <c r="A80" s="30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x14ac:dyDescent="0.2">
      <c r="A81" s="30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x14ac:dyDescent="0.2">
      <c r="A82" s="30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x14ac:dyDescent="0.2">
      <c r="A83" s="30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x14ac:dyDescent="0.2">
      <c r="A84" s="30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x14ac:dyDescent="0.2">
      <c r="A85" s="30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x14ac:dyDescent="0.2">
      <c r="A86" s="30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x14ac:dyDescent="0.2">
      <c r="A87" s="30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x14ac:dyDescent="0.2">
      <c r="A88" s="30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x14ac:dyDescent="0.2">
      <c r="A89" s="30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x14ac:dyDescent="0.2">
      <c r="A90" s="30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x14ac:dyDescent="0.2">
      <c r="A91" s="30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x14ac:dyDescent="0.2">
      <c r="A92" s="30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x14ac:dyDescent="0.2">
      <c r="A93" s="30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x14ac:dyDescent="0.2">
      <c r="A94" s="30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x14ac:dyDescent="0.2">
      <c r="A95" s="3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x14ac:dyDescent="0.2">
      <c r="A96" s="30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x14ac:dyDescent="0.2">
      <c r="A97" s="30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x14ac:dyDescent="0.2">
      <c r="A98" s="30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x14ac:dyDescent="0.2">
      <c r="A99" s="30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x14ac:dyDescent="0.2">
      <c r="A100" s="30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x14ac:dyDescent="0.2">
      <c r="A101" s="30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x14ac:dyDescent="0.2">
      <c r="A102" s="30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x14ac:dyDescent="0.2">
      <c r="A103" s="30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x14ac:dyDescent="0.2">
      <c r="A104" s="30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x14ac:dyDescent="0.2">
      <c r="A105" s="30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x14ac:dyDescent="0.2">
      <c r="A106" s="30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x14ac:dyDescent="0.2">
      <c r="A107" s="30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</row>
    <row r="108" spans="1:144" x14ac:dyDescent="0.2">
      <c r="A108" s="30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</row>
    <row r="109" spans="1:144" x14ac:dyDescent="0.2">
      <c r="A109" s="30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</row>
    <row r="110" spans="1:144" x14ac:dyDescent="0.2">
      <c r="A110" s="30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</row>
    <row r="111" spans="1:144" x14ac:dyDescent="0.2">
      <c r="A111" s="30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</row>
    <row r="112" spans="1:144" x14ac:dyDescent="0.2">
      <c r="A112" s="30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</row>
    <row r="113" spans="1:144" x14ac:dyDescent="0.2">
      <c r="A113" s="30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</row>
    <row r="114" spans="1:144" x14ac:dyDescent="0.2">
      <c r="A114" s="30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</row>
    <row r="115" spans="1:144" x14ac:dyDescent="0.2">
      <c r="A115" s="30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</row>
    <row r="116" spans="1:144" x14ac:dyDescent="0.2">
      <c r="A116" s="30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</row>
    <row r="117" spans="1:144" x14ac:dyDescent="0.2">
      <c r="A117" s="30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</row>
    <row r="118" spans="1:144" x14ac:dyDescent="0.2">
      <c r="A118" s="30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</row>
    <row r="119" spans="1:144" x14ac:dyDescent="0.2">
      <c r="A119" s="30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</row>
    <row r="120" spans="1:144" x14ac:dyDescent="0.2">
      <c r="A120" s="30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</row>
    <row r="121" spans="1:144" x14ac:dyDescent="0.2">
      <c r="A121" s="30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</row>
    <row r="122" spans="1:144" x14ac:dyDescent="0.2">
      <c r="A122" s="30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</row>
    <row r="123" spans="1:144" x14ac:dyDescent="0.2">
      <c r="A123" s="30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</row>
    <row r="124" spans="1:144" x14ac:dyDescent="0.2">
      <c r="A124" s="30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</row>
    <row r="125" spans="1:144" x14ac:dyDescent="0.2">
      <c r="A125" s="30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</row>
    <row r="126" spans="1:144" x14ac:dyDescent="0.2">
      <c r="A126" s="30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</row>
    <row r="127" spans="1:144" x14ac:dyDescent="0.2">
      <c r="A127" s="30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</row>
    <row r="128" spans="1:144" x14ac:dyDescent="0.2">
      <c r="A128" s="30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</row>
    <row r="129" spans="1:144" x14ac:dyDescent="0.2">
      <c r="A129" s="30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</row>
    <row r="130" spans="1:144" x14ac:dyDescent="0.2">
      <c r="A130" s="30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</row>
    <row r="131" spans="1:144" x14ac:dyDescent="0.2">
      <c r="A131" s="30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</row>
    <row r="132" spans="1:144" x14ac:dyDescent="0.2">
      <c r="A132" s="30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</row>
    <row r="133" spans="1:144" x14ac:dyDescent="0.2">
      <c r="A133" s="30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</row>
    <row r="134" spans="1:144" x14ac:dyDescent="0.2">
      <c r="A134" s="30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</row>
    <row r="135" spans="1:144" x14ac:dyDescent="0.2">
      <c r="A135" s="30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</row>
    <row r="136" spans="1:144" x14ac:dyDescent="0.2"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</row>
    <row r="137" spans="1:144" x14ac:dyDescent="0.2"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</row>
    <row r="138" spans="1:144" x14ac:dyDescent="0.2"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</row>
    <row r="139" spans="1:144" x14ac:dyDescent="0.2"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</row>
    <row r="140" spans="1:144" x14ac:dyDescent="0.2"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</row>
    <row r="141" spans="1:144" x14ac:dyDescent="0.2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</row>
    <row r="142" spans="1:144" x14ac:dyDescent="0.2"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</row>
    <row r="143" spans="1:144" x14ac:dyDescent="0.2"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</row>
    <row r="144" spans="1:144" x14ac:dyDescent="0.2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</row>
    <row r="145" spans="3:144" x14ac:dyDescent="0.2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</row>
    <row r="146" spans="3:144" x14ac:dyDescent="0.2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</row>
    <row r="147" spans="3:144" x14ac:dyDescent="0.2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</row>
    <row r="148" spans="3:144" x14ac:dyDescent="0.2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</row>
    <row r="149" spans="3:144" x14ac:dyDescent="0.2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</row>
    <row r="150" spans="3:144" x14ac:dyDescent="0.2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</row>
    <row r="151" spans="3:144" x14ac:dyDescent="0.2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</row>
    <row r="152" spans="3:144" x14ac:dyDescent="0.2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</row>
    <row r="153" spans="3:144" x14ac:dyDescent="0.2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</row>
    <row r="154" spans="3:144" x14ac:dyDescent="0.2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</row>
    <row r="155" spans="3:144" x14ac:dyDescent="0.2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</row>
    <row r="156" spans="3:144" x14ac:dyDescent="0.2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</row>
    <row r="157" spans="3:144" x14ac:dyDescent="0.2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</row>
    <row r="158" spans="3:144" x14ac:dyDescent="0.2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</row>
    <row r="159" spans="3:144" x14ac:dyDescent="0.2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</row>
    <row r="160" spans="3:144" x14ac:dyDescent="0.2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</row>
    <row r="161" spans="3:144" x14ac:dyDescent="0.2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</row>
    <row r="162" spans="3:144" x14ac:dyDescent="0.2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</row>
    <row r="163" spans="3:144" x14ac:dyDescent="0.2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</row>
    <row r="164" spans="3:144" x14ac:dyDescent="0.2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</row>
    <row r="165" spans="3:144" x14ac:dyDescent="0.2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</row>
    <row r="166" spans="3:144" x14ac:dyDescent="0.2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</row>
    <row r="167" spans="3:144" x14ac:dyDescent="0.2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</row>
    <row r="168" spans="3:144" x14ac:dyDescent="0.2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</row>
    <row r="169" spans="3:144" x14ac:dyDescent="0.2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</row>
    <row r="170" spans="3:144" x14ac:dyDescent="0.2"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</row>
    <row r="171" spans="3:144" x14ac:dyDescent="0.2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</row>
    <row r="172" spans="3:144" x14ac:dyDescent="0.2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</row>
    <row r="173" spans="3:144" x14ac:dyDescent="0.2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</row>
    <row r="174" spans="3:144" x14ac:dyDescent="0.2"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</row>
    <row r="175" spans="3:144" x14ac:dyDescent="0.2"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</row>
    <row r="176" spans="3:144" x14ac:dyDescent="0.2"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</row>
    <row r="177" spans="3:144" x14ac:dyDescent="0.2"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</row>
    <row r="178" spans="3:144" x14ac:dyDescent="0.2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</row>
    <row r="179" spans="3:144" x14ac:dyDescent="0.2"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</row>
    <row r="180" spans="3:144" x14ac:dyDescent="0.2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</row>
    <row r="181" spans="3:144" x14ac:dyDescent="0.2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</row>
    <row r="182" spans="3:144" x14ac:dyDescent="0.2"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</row>
    <row r="183" spans="3:144" x14ac:dyDescent="0.2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</row>
    <row r="184" spans="3:144" x14ac:dyDescent="0.2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</row>
    <row r="185" spans="3:144" x14ac:dyDescent="0.2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</row>
    <row r="186" spans="3:144" x14ac:dyDescent="0.2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</row>
    <row r="187" spans="3:144" x14ac:dyDescent="0.2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</row>
    <row r="188" spans="3:144" x14ac:dyDescent="0.2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</row>
    <row r="189" spans="3:144" x14ac:dyDescent="0.2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</row>
    <row r="190" spans="3:144" x14ac:dyDescent="0.2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</row>
    <row r="191" spans="3:144" x14ac:dyDescent="0.2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</row>
    <row r="192" spans="3:144" x14ac:dyDescent="0.2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</row>
    <row r="193" spans="3:144" x14ac:dyDescent="0.2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</row>
    <row r="194" spans="3:144" x14ac:dyDescent="0.2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</row>
    <row r="195" spans="3:144" x14ac:dyDescent="0.2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</row>
    <row r="196" spans="3:144" x14ac:dyDescent="0.2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</row>
    <row r="197" spans="3:144" x14ac:dyDescent="0.2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</row>
    <row r="198" spans="3:144" x14ac:dyDescent="0.2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</row>
    <row r="199" spans="3:144" x14ac:dyDescent="0.2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</row>
    <row r="200" spans="3:144" x14ac:dyDescent="0.2"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</row>
    <row r="201" spans="3:144" x14ac:dyDescent="0.2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</row>
    <row r="202" spans="3:144" x14ac:dyDescent="0.2"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</row>
    <row r="203" spans="3:144" x14ac:dyDescent="0.2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</row>
    <row r="204" spans="3:144" x14ac:dyDescent="0.2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</row>
    <row r="205" spans="3:144" x14ac:dyDescent="0.2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</row>
    <row r="206" spans="3:144" x14ac:dyDescent="0.2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</row>
    <row r="207" spans="3:144" x14ac:dyDescent="0.2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</row>
    <row r="208" spans="3:144" x14ac:dyDescent="0.2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</row>
    <row r="209" spans="3:144" x14ac:dyDescent="0.2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</row>
    <row r="210" spans="3:144" x14ac:dyDescent="0.2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</row>
    <row r="211" spans="3:144" x14ac:dyDescent="0.2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</row>
    <row r="212" spans="3:144" x14ac:dyDescent="0.2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</row>
    <row r="213" spans="3:144" x14ac:dyDescent="0.2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</row>
    <row r="214" spans="3:144" x14ac:dyDescent="0.2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</row>
    <row r="215" spans="3:144" x14ac:dyDescent="0.2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</row>
    <row r="216" spans="3:144" x14ac:dyDescent="0.2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</row>
    <row r="217" spans="3:144" x14ac:dyDescent="0.2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</row>
    <row r="218" spans="3:144" x14ac:dyDescent="0.2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</row>
    <row r="219" spans="3:144" x14ac:dyDescent="0.2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</row>
    <row r="220" spans="3:144" x14ac:dyDescent="0.2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</row>
    <row r="221" spans="3:144" x14ac:dyDescent="0.2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</row>
    <row r="222" spans="3:144" x14ac:dyDescent="0.2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</row>
    <row r="223" spans="3:144" x14ac:dyDescent="0.2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</row>
    <row r="224" spans="3:144" x14ac:dyDescent="0.2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</row>
    <row r="225" spans="3:144" x14ac:dyDescent="0.2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</row>
    <row r="226" spans="3:144" x14ac:dyDescent="0.2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</row>
    <row r="227" spans="3:144" x14ac:dyDescent="0.2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</row>
    <row r="228" spans="3:144" x14ac:dyDescent="0.2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</row>
    <row r="229" spans="3:144" x14ac:dyDescent="0.2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</row>
    <row r="230" spans="3:144" x14ac:dyDescent="0.2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</row>
    <row r="231" spans="3:144" x14ac:dyDescent="0.2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</row>
    <row r="232" spans="3:144" x14ac:dyDescent="0.2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</row>
    <row r="233" spans="3:144" x14ac:dyDescent="0.2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</row>
    <row r="234" spans="3:144" x14ac:dyDescent="0.2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</row>
    <row r="235" spans="3:144" x14ac:dyDescent="0.2"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</row>
    <row r="236" spans="3:144" x14ac:dyDescent="0.2"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</row>
    <row r="237" spans="3:144" x14ac:dyDescent="0.2"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</row>
    <row r="238" spans="3:144" x14ac:dyDescent="0.2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</row>
    <row r="239" spans="3:144" x14ac:dyDescent="0.2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</row>
    <row r="240" spans="3:144" x14ac:dyDescent="0.2"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</row>
    <row r="241" spans="3:144" x14ac:dyDescent="0.2"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</row>
    <row r="242" spans="3:144" x14ac:dyDescent="0.2"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</row>
    <row r="243" spans="3:144" x14ac:dyDescent="0.2"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</row>
    <row r="244" spans="3:144" x14ac:dyDescent="0.2"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</row>
    <row r="245" spans="3:144" x14ac:dyDescent="0.2"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</row>
    <row r="246" spans="3:144" x14ac:dyDescent="0.2"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</row>
    <row r="247" spans="3:144" x14ac:dyDescent="0.2"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</row>
    <row r="248" spans="3:144" x14ac:dyDescent="0.2"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</row>
    <row r="249" spans="3:144" x14ac:dyDescent="0.2"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</row>
    <row r="250" spans="3:144" x14ac:dyDescent="0.2"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</row>
    <row r="251" spans="3:144" x14ac:dyDescent="0.2"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</row>
    <row r="252" spans="3:144" x14ac:dyDescent="0.2"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</row>
    <row r="253" spans="3:144" x14ac:dyDescent="0.2"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</row>
    <row r="254" spans="3:144" x14ac:dyDescent="0.2"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</row>
    <row r="255" spans="3:144" x14ac:dyDescent="0.2"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</row>
    <row r="256" spans="3:144" x14ac:dyDescent="0.2"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</row>
    <row r="257" spans="3:144" x14ac:dyDescent="0.2"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</row>
    <row r="258" spans="3:144" x14ac:dyDescent="0.2"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</row>
    <row r="259" spans="3:144" x14ac:dyDescent="0.2"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</row>
    <row r="260" spans="3:144" x14ac:dyDescent="0.2"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</row>
    <row r="261" spans="3:144" x14ac:dyDescent="0.2"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</row>
    <row r="262" spans="3:144" x14ac:dyDescent="0.2"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</row>
    <row r="263" spans="3:144" x14ac:dyDescent="0.2"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</row>
    <row r="264" spans="3:144" x14ac:dyDescent="0.2"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</row>
    <row r="265" spans="3:144" x14ac:dyDescent="0.2"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</row>
    <row r="266" spans="3:144" x14ac:dyDescent="0.2"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</row>
    <row r="267" spans="3:144" x14ac:dyDescent="0.2"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</row>
    <row r="268" spans="3:144" x14ac:dyDescent="0.2"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</row>
    <row r="269" spans="3:144" x14ac:dyDescent="0.2"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</row>
    <row r="270" spans="3:144" x14ac:dyDescent="0.2"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</row>
    <row r="271" spans="3:144" x14ac:dyDescent="0.2"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</row>
    <row r="272" spans="3:144" x14ac:dyDescent="0.2"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</row>
    <row r="273" spans="3:144" x14ac:dyDescent="0.2"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</row>
    <row r="274" spans="3:144" x14ac:dyDescent="0.2"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</row>
    <row r="275" spans="3:144" x14ac:dyDescent="0.2"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</row>
    <row r="276" spans="3:144" x14ac:dyDescent="0.2"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</row>
    <row r="277" spans="3:144" x14ac:dyDescent="0.2"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</row>
    <row r="278" spans="3:144" x14ac:dyDescent="0.2"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</row>
    <row r="279" spans="3:144" x14ac:dyDescent="0.2"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</row>
    <row r="280" spans="3:144" x14ac:dyDescent="0.2"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</row>
    <row r="281" spans="3:144" x14ac:dyDescent="0.2"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</row>
    <row r="282" spans="3:144" x14ac:dyDescent="0.2"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</row>
    <row r="283" spans="3:144" x14ac:dyDescent="0.2"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</row>
    <row r="284" spans="3:144" x14ac:dyDescent="0.2"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</row>
    <row r="285" spans="3:144" x14ac:dyDescent="0.2"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</row>
    <row r="286" spans="3:144" x14ac:dyDescent="0.2"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</row>
    <row r="287" spans="3:144" x14ac:dyDescent="0.2"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</row>
    <row r="288" spans="3:144" x14ac:dyDescent="0.2"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</row>
    <row r="289" spans="3:144" x14ac:dyDescent="0.2"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</row>
    <row r="290" spans="3:144" x14ac:dyDescent="0.2"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</row>
    <row r="291" spans="3:144" x14ac:dyDescent="0.2"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</row>
    <row r="292" spans="3:144" x14ac:dyDescent="0.2"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</row>
    <row r="293" spans="3:144" x14ac:dyDescent="0.2"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</row>
    <row r="294" spans="3:144" x14ac:dyDescent="0.2"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</row>
    <row r="295" spans="3:144" x14ac:dyDescent="0.2"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</row>
    <row r="296" spans="3:144" x14ac:dyDescent="0.2"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</row>
    <row r="297" spans="3:144" x14ac:dyDescent="0.2"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</row>
    <row r="298" spans="3:144" x14ac:dyDescent="0.2"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</row>
    <row r="299" spans="3:144" x14ac:dyDescent="0.2"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</row>
    <row r="300" spans="3:144" x14ac:dyDescent="0.2"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</row>
    <row r="301" spans="3:144" x14ac:dyDescent="0.2"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</row>
    <row r="302" spans="3:144" x14ac:dyDescent="0.2"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</row>
    <row r="303" spans="3:144" x14ac:dyDescent="0.2"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</row>
    <row r="304" spans="3:144" x14ac:dyDescent="0.2"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</row>
    <row r="305" spans="3:144" x14ac:dyDescent="0.2"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</row>
    <row r="306" spans="3:144" x14ac:dyDescent="0.2"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</row>
    <row r="307" spans="3:144" x14ac:dyDescent="0.2"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</row>
    <row r="308" spans="3:144" x14ac:dyDescent="0.2"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</row>
    <row r="309" spans="3:144" x14ac:dyDescent="0.2"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</row>
    <row r="310" spans="3:144" x14ac:dyDescent="0.2"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</row>
    <row r="311" spans="3:144" x14ac:dyDescent="0.2"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</row>
    <row r="312" spans="3:144" x14ac:dyDescent="0.2"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</row>
    <row r="313" spans="3:144" x14ac:dyDescent="0.2"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</row>
    <row r="314" spans="3:144" x14ac:dyDescent="0.2"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</row>
    <row r="315" spans="3:144" x14ac:dyDescent="0.2"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</row>
    <row r="316" spans="3:144" x14ac:dyDescent="0.2"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</row>
    <row r="317" spans="3:144" x14ac:dyDescent="0.2"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</row>
    <row r="318" spans="3:144" x14ac:dyDescent="0.2"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</row>
    <row r="319" spans="3:144" x14ac:dyDescent="0.2"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</row>
    <row r="320" spans="3:144" x14ac:dyDescent="0.2"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</row>
    <row r="321" spans="3:144" x14ac:dyDescent="0.2"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</row>
    <row r="322" spans="3:144" x14ac:dyDescent="0.2"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</row>
    <row r="323" spans="3:144" x14ac:dyDescent="0.2"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</row>
    <row r="324" spans="3:144" x14ac:dyDescent="0.2"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</row>
    <row r="325" spans="3:144" x14ac:dyDescent="0.2"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</row>
    <row r="326" spans="3:144" x14ac:dyDescent="0.2"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</row>
    <row r="327" spans="3:144" x14ac:dyDescent="0.2"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</row>
    <row r="328" spans="3:144" x14ac:dyDescent="0.2"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</row>
    <row r="329" spans="3:144" x14ac:dyDescent="0.2"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</row>
    <row r="330" spans="3:144" x14ac:dyDescent="0.2"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</row>
    <row r="331" spans="3:144" x14ac:dyDescent="0.2"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</row>
    <row r="332" spans="3:144" x14ac:dyDescent="0.2"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</row>
    <row r="333" spans="3:144" x14ac:dyDescent="0.2"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</row>
    <row r="334" spans="3:144" x14ac:dyDescent="0.2"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</row>
    <row r="335" spans="3:144" x14ac:dyDescent="0.2"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</row>
    <row r="336" spans="3:144" x14ac:dyDescent="0.2"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</row>
    <row r="337" spans="3:144" x14ac:dyDescent="0.2"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</row>
    <row r="338" spans="3:144" x14ac:dyDescent="0.2"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</row>
    <row r="339" spans="3:144" x14ac:dyDescent="0.2"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</row>
    <row r="340" spans="3:144" x14ac:dyDescent="0.2"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</row>
    <row r="341" spans="3:144" x14ac:dyDescent="0.2"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</row>
    <row r="342" spans="3:144" x14ac:dyDescent="0.2"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</row>
    <row r="343" spans="3:144" x14ac:dyDescent="0.2"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</row>
    <row r="344" spans="3:144" x14ac:dyDescent="0.2"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</row>
    <row r="345" spans="3:144" x14ac:dyDescent="0.2"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</row>
    <row r="346" spans="3:144" x14ac:dyDescent="0.2"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</row>
    <row r="347" spans="3:144" x14ac:dyDescent="0.2"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</row>
    <row r="348" spans="3:144" x14ac:dyDescent="0.2"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</row>
    <row r="349" spans="3:144" x14ac:dyDescent="0.2"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</row>
    <row r="350" spans="3:144" x14ac:dyDescent="0.2"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</row>
    <row r="351" spans="3:144" x14ac:dyDescent="0.2"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</row>
    <row r="352" spans="3:144" x14ac:dyDescent="0.2"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</row>
    <row r="353" spans="3:144" x14ac:dyDescent="0.2"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</row>
    <row r="354" spans="3:144" x14ac:dyDescent="0.2"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</row>
    <row r="355" spans="3:144" x14ac:dyDescent="0.2"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</row>
    <row r="356" spans="3:144" x14ac:dyDescent="0.2"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</row>
    <row r="357" spans="3:144" x14ac:dyDescent="0.2"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</row>
    <row r="358" spans="3:144" x14ac:dyDescent="0.2"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</row>
    <row r="359" spans="3:144" x14ac:dyDescent="0.2"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</row>
    <row r="360" spans="3:144" x14ac:dyDescent="0.2"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</row>
    <row r="361" spans="3:144" x14ac:dyDescent="0.2"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</row>
    <row r="362" spans="3:144" x14ac:dyDescent="0.2"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</row>
    <row r="363" spans="3:144" x14ac:dyDescent="0.2"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</row>
    <row r="364" spans="3:144" x14ac:dyDescent="0.2"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</row>
    <row r="365" spans="3:144" x14ac:dyDescent="0.2"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</row>
    <row r="366" spans="3:144" x14ac:dyDescent="0.2"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</row>
    <row r="367" spans="3:144" x14ac:dyDescent="0.2"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</row>
    <row r="368" spans="3:144" x14ac:dyDescent="0.2"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</row>
    <row r="369" spans="3:144" x14ac:dyDescent="0.2"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</row>
    <row r="370" spans="3:144" x14ac:dyDescent="0.2"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</row>
    <row r="371" spans="3:144" x14ac:dyDescent="0.2"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</row>
    <row r="372" spans="3:144" x14ac:dyDescent="0.2"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</row>
    <row r="373" spans="3:144" x14ac:dyDescent="0.2"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</row>
    <row r="374" spans="3:144" x14ac:dyDescent="0.2"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</row>
    <row r="375" spans="3:144" x14ac:dyDescent="0.2"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</row>
    <row r="376" spans="3:144" x14ac:dyDescent="0.2"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</row>
    <row r="377" spans="3:144" x14ac:dyDescent="0.2"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</row>
    <row r="378" spans="3:144" x14ac:dyDescent="0.2"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</row>
    <row r="379" spans="3:144" x14ac:dyDescent="0.2"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</row>
    <row r="380" spans="3:144" x14ac:dyDescent="0.2"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</row>
    <row r="381" spans="3:144" x14ac:dyDescent="0.2"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</row>
    <row r="382" spans="3:144" x14ac:dyDescent="0.2"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</row>
    <row r="383" spans="3:144" x14ac:dyDescent="0.2"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</row>
    <row r="384" spans="3:144" x14ac:dyDescent="0.2"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</row>
    <row r="385" spans="3:144" x14ac:dyDescent="0.2"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</row>
    <row r="386" spans="3:144" x14ac:dyDescent="0.2"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</row>
    <row r="387" spans="3:144" x14ac:dyDescent="0.2"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</row>
    <row r="388" spans="3:144" x14ac:dyDescent="0.2"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</row>
    <row r="389" spans="3:144" x14ac:dyDescent="0.2"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</row>
    <row r="390" spans="3:144" x14ac:dyDescent="0.2"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</row>
    <row r="391" spans="3:144" x14ac:dyDescent="0.2"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</row>
    <row r="392" spans="3:144" x14ac:dyDescent="0.2"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</row>
    <row r="393" spans="3:144" x14ac:dyDescent="0.2"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</row>
    <row r="394" spans="3:144" x14ac:dyDescent="0.2"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</row>
    <row r="395" spans="3:144" x14ac:dyDescent="0.2"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</row>
    <row r="396" spans="3:144" x14ac:dyDescent="0.2"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</row>
    <row r="397" spans="3:144" x14ac:dyDescent="0.2"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</row>
    <row r="398" spans="3:144" x14ac:dyDescent="0.2"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</row>
    <row r="399" spans="3:144" x14ac:dyDescent="0.2"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</row>
    <row r="400" spans="3:144" x14ac:dyDescent="0.2"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</row>
    <row r="401" spans="3:144" x14ac:dyDescent="0.2"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</row>
    <row r="402" spans="3:144" x14ac:dyDescent="0.2"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</row>
    <row r="403" spans="3:144" x14ac:dyDescent="0.2"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</row>
    <row r="404" spans="3:144" x14ac:dyDescent="0.2"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</row>
    <row r="405" spans="3:144" x14ac:dyDescent="0.2"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</row>
    <row r="406" spans="3:144" x14ac:dyDescent="0.2"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</row>
    <row r="407" spans="3:144" x14ac:dyDescent="0.2"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</row>
    <row r="408" spans="3:144" x14ac:dyDescent="0.2"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</row>
    <row r="409" spans="3:144" x14ac:dyDescent="0.2"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</row>
    <row r="410" spans="3:144" x14ac:dyDescent="0.2"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</row>
    <row r="411" spans="3:144" x14ac:dyDescent="0.2"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</row>
    <row r="412" spans="3:144" x14ac:dyDescent="0.2"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</row>
    <row r="413" spans="3:144" x14ac:dyDescent="0.2"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</row>
    <row r="414" spans="3:144" x14ac:dyDescent="0.2"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</row>
    <row r="415" spans="3:144" x14ac:dyDescent="0.2"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</row>
    <row r="416" spans="3:144" x14ac:dyDescent="0.2"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</row>
    <row r="417" spans="3:144" x14ac:dyDescent="0.2"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</row>
  </sheetData>
  <printOptions gridLines="1"/>
  <pageMargins left="0" right="0" top="0.25" bottom="0" header="0" footer="0.25"/>
  <pageSetup fitToWidth="0" fitToHeight="2" orientation="landscape" horizontalDpi="4294967292" r:id="rId1"/>
  <headerFooter alignWithMargins="0">
    <oddFooter>&amp;R&amp;"Times New Roman,Italic"&amp;8Capital Reocvery
&amp;F
&amp;D</oddFooter>
  </headerFooter>
  <rowBreaks count="1" manualBreakCount="1">
    <brk id="25" max="16383" man="1"/>
  </rowBreaks>
  <colBreaks count="2" manualBreakCount="2">
    <brk id="12" max="1048575" man="1"/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Date1 xmlns="dc463f71-b30c-4ab2-9473-d307f9d35888">2022-07-28T19:25:32+00:00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169B8-3B54-456A-9884-21BF0EBF9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0B2E6-5308-4BB5-9D1E-52C5896FDCD6}">
  <ds:schemaRefs>
    <ds:schemaRef ds:uri="http://purl.org/dc/terms/"/>
    <ds:schemaRef ds:uri="24f70c62-691b-492e-ba59-9d389529a97e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809E52-F50A-4893-B097-50045934D7C0}"/>
</file>

<file path=customXml/itemProps4.xml><?xml version="1.0" encoding="utf-8"?>
<ds:datastoreItem xmlns:ds="http://schemas.openxmlformats.org/officeDocument/2006/customXml" ds:itemID="{9DF4E043-02F7-48B8-A14C-8C309C947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Revenue Requirement Calculation</vt:lpstr>
      <vt:lpstr>E34402</vt:lpstr>
      <vt:lpstr>E3631</vt:lpstr>
      <vt:lpstr>E3940</vt:lpstr>
      <vt:lpstr>E3950</vt:lpstr>
      <vt:lpstr>Closings By Depr Grp</vt:lpstr>
      <vt:lpstr>CWIP Closings</vt:lpstr>
      <vt:lpstr>MACRS</vt:lpstr>
      <vt:lpstr>'Revenue Requirement Calculation'!Print_Area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220066-67-Staff-Rector-Exh.ASR-12</dc:title>
  <dc:creator>Stacy Smith</dc:creator>
  <dc:description/>
  <cp:lastModifiedBy>Rector, Andrew (UTC)</cp:lastModifiedBy>
  <dcterms:created xsi:type="dcterms:W3CDTF">2022-01-05T04:52:54Z</dcterms:created>
  <dcterms:modified xsi:type="dcterms:W3CDTF">2022-07-12T17:36:38Z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