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ebarlow/Google Drive (Sanger)/Shared with Marie B/NWEC/PSE GRC UE-190529 UG-190530/Testimony/Response Testimony/NWEC/Amy/Exhibits/"/>
    </mc:Choice>
  </mc:AlternateContent>
  <xr:revisionPtr revIDLastSave="0" documentId="13_ncr:1_{42CE9DF9-0092-4F47-A12A-7315AF582644}" xr6:coauthVersionLast="36" xr6:coauthVersionMax="36" xr10:uidLastSave="{00000000-0000-0000-0000-000000000000}"/>
  <bookViews>
    <workbookView xWindow="-30240" yWindow="-10120" windowWidth="28180" windowHeight="16280" tabRatio="883" xr2:uid="{00000000-000D-0000-FFFF-FFFF00000000}"/>
  </bookViews>
  <sheets>
    <sheet name="Residential Allowance" sheetId="220" r:id="rId1"/>
    <sheet name="Sch 31 Allowance" sheetId="221" r:id="rId2"/>
    <sheet name="Sch 41-86 Allowance" sheetId="218" r:id="rId3"/>
    <sheet name="Sch 85-87 Allowance" sheetId="219" r:id="rId4"/>
    <sheet name="Rule No. 6" sheetId="235" r:id="rId5"/>
    <sheet name="2019 GRC Work Papers-&gt;" sheetId="236" r:id="rId6"/>
    <sheet name="(SEF-3.02E-3.02G)CostOfCapital" sheetId="222" r:id="rId7"/>
    <sheet name="(SEF-3.02E-3.02G)Conv Factor" sheetId="238" r:id="rId8"/>
    <sheet name="(JAP-13) Page 2" sheetId="224" r:id="rId9"/>
    <sheet name="(JAP-13) Page 4" sheetId="226" r:id="rId10"/>
    <sheet name="(JDT-07) Rate Design Res" sheetId="228" r:id="rId11"/>
    <sheet name="(JDT-07) Rate Design C&amp;I" sheetId="229" r:id="rId12"/>
    <sheet name="(JDT-07) Rate Design Int&amp;Trans" sheetId="230" r:id="rId13"/>
    <sheet name="(JAP-04) Weather Adj" sheetId="232" r:id="rId14"/>
    <sheet name="Average Customer Counts " sheetId="23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 localSheetId="13">[3]BS!$T$7:$T$3582</definedName>
    <definedName name="__Dec03">[3]BS!$T$7:$T$3582</definedName>
    <definedName name="__Dec04" localSheetId="13">[1]BS!$AC$7:$AC$3580</definedName>
    <definedName name="__Dec04">[1]BS!$AC$7:$AC$3580</definedName>
    <definedName name="__Feb04">[1]BS!$S$7:$S$3582</definedName>
    <definedName name="__Jan04">[1]BS!$R$7:$R$3582</definedName>
    <definedName name="__Jul04" localSheetId="13">[1]BS!$X$7:$X$3582</definedName>
    <definedName name="__Jul04">[1]BS!$X$7:$X$3582</definedName>
    <definedName name="__Jul09" xml:space="preserve"> [2]BS!$X$7:$X$1726</definedName>
    <definedName name="__Jun04" localSheetId="13">[1]BS!$W$7:$W$3582</definedName>
    <definedName name="__Jun04">[1]BS!$W$7:$W$3582</definedName>
    <definedName name="__Jun09">" BS!$AI$7:$AI$1643"</definedName>
    <definedName name="__Mar04">[1]BS!$T$7:$T$3582</definedName>
    <definedName name="__May04" localSheetId="13">[1]BS!$V$7:$V$3582</definedName>
    <definedName name="__May04">[1]BS!$V$7:$V$3582</definedName>
    <definedName name="__Nov03" localSheetId="13">[3]BS!$S$7:$S$3582</definedName>
    <definedName name="__Nov03">[3]BS!$S$7:$S$3582</definedName>
    <definedName name="__Nov04" localSheetId="13">[1]BS!$AB$7:$AB$3582</definedName>
    <definedName name="__Nov04">[1]BS!$AB$7:$AB$3582</definedName>
    <definedName name="__Oct03" localSheetId="13">[3]BS!$R$7:$R$3582</definedName>
    <definedName name="__Oct03">[3]BS!$R$7:$R$3582</definedName>
    <definedName name="__Oct04" localSheetId="13">[1]BS!$AA$7:$AA$3582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 localSheetId="13">[3]BS!$Q$7:$Q$3582</definedName>
    <definedName name="__Sep03">[3]BS!$Q$7:$Q$3582</definedName>
    <definedName name="__Sep04" localSheetId="13">[1]BS!$Z$7:$Z$3582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 localSheetId="13">[1]BS!$U$7:$U$3582</definedName>
    <definedName name="_Apr04">[1]BS!$U$7:$U$3582</definedName>
    <definedName name="_Apr09" xml:space="preserve"> [2]BS!$U$7:$U$1726</definedName>
    <definedName name="_Aug04" localSheetId="13">[1]BS!$Y$7:$Y$3582</definedName>
    <definedName name="_Aug04">[1]BS!$Y$7:$Y$3582</definedName>
    <definedName name="_Aug09" xml:space="preserve"> [2]BS!$Y$7:$Y$1726</definedName>
    <definedName name="_Dec03" localSheetId="13">[3]BS!$T$7:$T$3582</definedName>
    <definedName name="_Dec03">[3]BS!$T$7:$T$3582</definedName>
    <definedName name="_Dec04" localSheetId="13">[1]BS!$AC$7:$AC$3580</definedName>
    <definedName name="_Dec04">[1]BS!$AC$7:$AC$3580</definedName>
    <definedName name="_Dec08" xml:space="preserve"> [2]BS!$Q$7:$Q$1726</definedName>
    <definedName name="_Feb04" localSheetId="13">[1]BS!$S$7:$S$3582</definedName>
    <definedName name="_Feb04">[1]BS!$S$7:$S$3582</definedName>
    <definedName name="_FEB09" xml:space="preserve"> [2]BS!$S$7:$S$1726</definedName>
    <definedName name="_Jan04" localSheetId="13">[1]BS!$R$7:$R$3582</definedName>
    <definedName name="_Jan04">[1]BS!$R$7:$R$3582</definedName>
    <definedName name="_Jul04" localSheetId="13">[1]BS!$X$7:$X$3582</definedName>
    <definedName name="_Jul04">[1]BS!$X$7:$X$3582</definedName>
    <definedName name="_Jul09" xml:space="preserve"> [2]BS!$X$7:$X$1726</definedName>
    <definedName name="_Jun04" localSheetId="13">[1]BS!$W$7:$W$3582</definedName>
    <definedName name="_Jun04">[1]BS!$W$7:$W$3582</definedName>
    <definedName name="_Jun09" xml:space="preserve"> [2]BS!$W$7:$W$1726</definedName>
    <definedName name="_Mar04" localSheetId="13">[1]BS!$T$7:$T$3582</definedName>
    <definedName name="_Mar04">[1]BS!$T$7:$T$3582</definedName>
    <definedName name="_May04" localSheetId="13">[1]BS!$V$7:$V$3582</definedName>
    <definedName name="_May04">[1]BS!$V$7:$V$3582</definedName>
    <definedName name="_May09" xml:space="preserve"> [2]BS!$V$7:$V$1726</definedName>
    <definedName name="_Nov03" localSheetId="13">[3]BS!$S$7:$S$3582</definedName>
    <definedName name="_Nov03">[3]BS!$S$7:$S$3582</definedName>
    <definedName name="_Nov04" localSheetId="13">[1]BS!$AB$7:$AB$3582</definedName>
    <definedName name="_Nov04">[1]BS!$AB$7:$AB$3582</definedName>
    <definedName name="_Oct03" localSheetId="13">[3]BS!$R$7:$R$3582</definedName>
    <definedName name="_Oct03">[3]BS!$R$7:$R$3582</definedName>
    <definedName name="_Oct04" localSheetId="13">[1]BS!$AA$7:$AA$3582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 localSheetId="13">[3]BS!$Q$7:$Q$3582</definedName>
    <definedName name="_Sep03">[3]BS!$Q$7:$Q$3582</definedName>
    <definedName name="_Sep04" localSheetId="13">[1]BS!$Z$7:$Z$3582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 localSheetId="13">'[8]Acquisition Inputs'!$C$8</definedName>
    <definedName name="Acq1Plant">'[8]Acquisition Inputs'!$C$8</definedName>
    <definedName name="Acq2Plant" localSheetId="13">'[8]Acquisition Inputs'!$C$70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 localSheetId="13">[1]BS!$AG$7:$AG$3582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 localSheetId="13">[1]BS!$AK$7:$AK$3582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 localSheetId="13">'[8]Dispatch Cases'!$C$11</definedName>
    <definedName name="CaseDescription">'[8]Dispatch Cases'!$C$11</definedName>
    <definedName name="CBWorkbookPriority">-2060790043</definedName>
    <definedName name="CCGT_HeatRate" localSheetId="13">[8]Assumptions!$H$23</definedName>
    <definedName name="CCGT_HeatRate">[8]Assumptions!$H$23</definedName>
    <definedName name="CCGTPrice" localSheetId="13">[8]Assumptions!$H$22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 localSheetId="13">[8]Assumptions!$I$65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'[19]Avg Amts'!$A$5:$BP$34</definedName>
    <definedName name="Data.Qtrs.Avg">'[19]Avg Amts'!$A$5:$IV$5</definedName>
    <definedName name="data1">'[20]Mix Variance'!$O$5:$T$25</definedName>
    <definedName name="DebtPerc" localSheetId="13">[8]Assumptions!$I$58</definedName>
    <definedName name="DebtPerc">[8]Assumptions!$I$58</definedName>
    <definedName name="Dec03AMA" localSheetId="13">[3]BS!$AJ$7:$AJ$3582</definedName>
    <definedName name="Dec03AMA">[3]BS!$AJ$7:$AJ$3582</definedName>
    <definedName name="Dec04AMA" localSheetId="13">[1]BS!$AO$7:$AO$3582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[21]Inputs!$D$11</definedName>
    <definedName name="DES1.T">[4]INTERNAL!$A$40:$IV$42</definedName>
    <definedName name="DES2.T">[4]INTERNAL!$A$43:$IV$45</definedName>
    <definedName name="DF_HeatRate" localSheetId="13">[8]Assumptions!$L$23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'[22]Assumptions of Purchase'!$B$45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[16]INPUTS!$F$36</definedName>
    <definedName name="Electric_Prices" localSheetId="13">'[24]Monthly Price Summary'!$B$4:$E$27</definedName>
    <definedName name="Electric_Prices">'[24]Monthly Price Summary'!$B$4:$E$27</definedName>
    <definedName name="ElRBLine" localSheetId="13">[1]BS!$AQ$7:$AQ$3303</definedName>
    <definedName name="ElRBLine">[1]BS!$AQ$7:$AQ$3303</definedName>
    <definedName name="EndDate" localSheetId="13">[8]Assumptions!$C$11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[21]Inputs!$D$12</definedName>
    <definedName name="EPIS.T">[4]INTERNAL!$A$49:$IV$51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 localSheetId="13">[1]BS!$AE$7:$AE$3582</definedName>
    <definedName name="Feb04AMA">[1]BS!$AE$7:$AE$3582</definedName>
    <definedName name="Feb09AMA">[2]BS!$AL$7:$AL$1725</definedName>
    <definedName name="Feb10AMA">[2]BS!$AX$7:$AX$1726</definedName>
    <definedName name="Fed_Cap_Tax" localSheetId="13">[25]Inputs!$E$112</definedName>
    <definedName name="Fed_Cap_Tax">[25]Inputs!$E$112</definedName>
    <definedName name="FedTaxRate" localSheetId="13">[8]Assumptions!$C$33</definedName>
    <definedName name="FedTaxRate">[8]Assumptions!$C$33</definedName>
    <definedName name="FERC_Lookup">'[26]Map Table'!$E$2:$F$58</definedName>
    <definedName name="FIT">'[27]ROR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 localSheetId="13">[1]BS!$AS$7:$AS$3631</definedName>
    <definedName name="GasRBLine">[1]BS!$AS$7:$AS$3631</definedName>
    <definedName name="GasWC_LineItem" localSheetId="13">[1]BS!$AR$7:$AR$3631</definedName>
    <definedName name="GasWC_LineItem">[1]BS!$AR$7:$AR$3631</definedName>
    <definedName name="GP.T">[4]INTERNAL!$A$52:$IV$54</definedName>
    <definedName name="HTML_CodePage">1252</definedName>
    <definedName name="HTML_Control" localSheetId="13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 localSheetId="13">[1]BS!$AD$7:$AD$3582</definedName>
    <definedName name="Jan04AMA">[1]BS!$AD$7:$AD$3582</definedName>
    <definedName name="Jan09AMA">[2]BS!$AK$7:$AK$1743</definedName>
    <definedName name="Jan10AMA">[2]BS!$AW$7:$AW$1726</definedName>
    <definedName name="jjj">[28]Inputs!$N$18</definedName>
    <definedName name="JP_Bal">[29]ACCOUNTS!$AG$31</definedName>
    <definedName name="Jul04AMA" localSheetId="13">[1]BS!$AJ$7:$AJ$3582</definedName>
    <definedName name="Jul04AMA">[1]BS!$AJ$7:$AJ$3582</definedName>
    <definedName name="Jul09AMA">[2]BS!$AQ$7:$AQ$1726</definedName>
    <definedName name="Jun04AMA" localSheetId="13">[1]BS!$AI$7:$AI$3582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[31]ACCOUNTS!$AG$167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 localSheetId="13">[1]BS!$AF$7:$AF$3582</definedName>
    <definedName name="Mar04AMA">[1]BS!$AF$7:$AF$3582</definedName>
    <definedName name="MAR09AMA">[2]BS!$AM$7:$AM$1725</definedName>
    <definedName name="Mar10AMA">[2]BS!$AY$7:$AY$1726</definedName>
    <definedName name="May04AMA" localSheetId="13">[1]BS!$AH$7:$AH$3582</definedName>
    <definedName name="May04AMA">[1]BS!$AH$7:$AH$3582</definedName>
    <definedName name="MAY09AMA">[2]BS!$AO$7:$AO$1726</definedName>
    <definedName name="May10AMA">[2]BS!$BA$7:$BA$1726</definedName>
    <definedName name="menu1_Button5_Click">[34]!menu1_Button5_Click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 localSheetId="13">[37]Mthly!$B$11:$D$11,[37]Mthly!$B$32:$D$32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 localSheetId="13">[3]BS!$AI$7:$AI$3582</definedName>
    <definedName name="Nov03AMA">[3]BS!$AI$7:$AI$3582</definedName>
    <definedName name="Nov04AMA" localSheetId="13">[1]BS!$AN$7:$AN$3582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 localSheetId="13">[3]BS!$AH$7:$AH$3582</definedName>
    <definedName name="Oct03AMA">[3]BS!$AH$7:$AH$3582</definedName>
    <definedName name="Oct04AMA" localSheetId="13">[1]BS!$AM$7:$AM$3582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 localSheetId="13">[25]Inputs!$E$129</definedName>
    <definedName name="Percent_debt">[25]Inputs!$E$129</definedName>
    <definedName name="POWER.T">[4]INTERNAL!$A$58:$IV$60</definedName>
    <definedName name="PP.T">[4]INTERNAL!$A$61:$IV$63</definedName>
    <definedName name="PreTaxDebtCost" localSheetId="13">[8]Assumptions!$I$56</definedName>
    <definedName name="PreTaxDebtCost">[8]Assumptions!$I$56</definedName>
    <definedName name="PreTaxWACC" localSheetId="13">[8]Assumptions!$I$62</definedName>
    <definedName name="PreTaxWACC">[8]Assumptions!$I$62</definedName>
    <definedName name="Prices_Aurora" localSheetId="13">'[24]Monthly Price Summary'!$C$4:$H$63</definedName>
    <definedName name="Prices_Aurora">'[24]Monthly Price Summary'!$C$4:$H$63</definedName>
    <definedName name="_xlnm.Print_Area" localSheetId="11">'(JDT-07) Rate Design C&amp;I'!$B$2:$Q$126</definedName>
    <definedName name="_xlnm.Print_Area" localSheetId="12">'(JDT-07) Rate Design Int&amp;Trans'!$B$1:$Q$225</definedName>
    <definedName name="_xlnm.Print_Area" localSheetId="10">'(JDT-07) Rate Design Res'!$B$1:$Q$55</definedName>
    <definedName name="_xlnm.Print_Titles" localSheetId="13">'(JAP-04) Weather Adj'!$B:$C,'(JAP-04) Weather Adj'!$1:$6</definedName>
    <definedName name="_xlnm.Print_Titles" localSheetId="11">'(JDT-07) Rate Design C&amp;I'!$1:$8</definedName>
    <definedName name="_xlnm.Print_Titles" localSheetId="12">'(JDT-07) Rate Design Int&amp;Trans'!$1:$8</definedName>
    <definedName name="_xlnm.Print_Titles" localSheetId="10">'(JDT-07) Rate Design Res'!$2:$8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 localSheetId="13">[25]Inputs!$E$111</definedName>
    <definedName name="Prov_Cap_Tax">[25]Inputs!$E$111</definedName>
    <definedName name="PSE">'[45]4.04'!$A$6</definedName>
    <definedName name="PSE_Pre_Tax_Equity_Rate">'[22]Assumptions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[29]INPUTS!$F$48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turn">'(SEF-3.02E-3.02G)CostOfCapital'!$E$38</definedName>
    <definedName name="RevClass">[47]Codes!$F$2:$G$10</definedName>
    <definedName name="REVFAC1.T">[4]INTERNAL!$A$73:$IV$75</definedName>
    <definedName name="ROD">[16]INPUTS!$F$30</definedName>
    <definedName name="ROE">[29]INPUTS!$F$31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 localSheetId="13">[3]BS!$AG$7:$AG$3582</definedName>
    <definedName name="Sep03AMA">[3]BS!$AG$7:$AG$3582</definedName>
    <definedName name="Sep04AMA" localSheetId="13">[1]BS!$AL$7:$AL$3582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 localSheetId="13">[8]Assumptions!$C$9</definedName>
    <definedName name="StartDate">[8]Assumptions!$C$9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'[23]JHS-6'!$A$7</definedName>
    <definedName name="TFR">[4]CLASSIFIERS!$A$11:$IV$11</definedName>
    <definedName name="ThermalBookLife" localSheetId="13">[8]Assumptions!$C$25</definedName>
    <definedName name="ThermalBookLife">[8]Assumptions!$C$25</definedName>
    <definedName name="Title" localSheetId="13">[8]Assumptions!$A$1</definedName>
    <definedName name="Title">[8]Assumptions!$A$1</definedName>
    <definedName name="TotalRateBase">'[6]G+T+D+R+M'!$H$58</definedName>
    <definedName name="TP.T">[4]INTERNAL!$A$91:$IV$93</definedName>
    <definedName name="transdb" localSheetId="13">'[51]Transp Unbilled'!$A$8:$E$174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 localSheetId="13">[8]Assumptions!$C$21</definedName>
    <definedName name="VOMEsc">[8]Assumptions!$C$21</definedName>
    <definedName name="WACC" localSheetId="13">[8]Assumptions!$I$61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81029"/>
</workbook>
</file>

<file path=xl/calcChain.xml><?xml version="1.0" encoding="utf-8"?>
<calcChain xmlns="http://schemas.openxmlformats.org/spreadsheetml/2006/main">
  <c r="C6" i="220" l="1"/>
  <c r="C8" i="220" s="1"/>
  <c r="E15" i="238"/>
  <c r="B15" i="238" l="1"/>
  <c r="E17" i="238"/>
  <c r="E19" i="238" s="1"/>
  <c r="E20" i="238" s="1"/>
  <c r="E21" i="238" s="1"/>
  <c r="D5" i="237" l="1"/>
  <c r="E5" i="237" s="1"/>
  <c r="F5" i="237" s="1"/>
  <c r="G5" i="237" s="1"/>
  <c r="H5" i="237" s="1"/>
  <c r="I5" i="237" s="1"/>
  <c r="J5" i="237" s="1"/>
  <c r="K5" i="237" s="1"/>
  <c r="L5" i="237" s="1"/>
  <c r="M5" i="237" s="1"/>
  <c r="N5" i="237" s="1"/>
  <c r="D15" i="222"/>
  <c r="C15" i="222"/>
  <c r="D14" i="222"/>
  <c r="C14" i="222"/>
  <c r="C16" i="222" s="1"/>
  <c r="A10" i="222"/>
  <c r="A11" i="222" s="1"/>
  <c r="A12" i="222" s="1"/>
  <c r="A13" i="222" s="1"/>
  <c r="A14" i="222" s="1"/>
  <c r="A15" i="222" s="1"/>
  <c r="A16" i="222" s="1"/>
  <c r="E15" i="222" l="1"/>
  <c r="E10" i="222"/>
  <c r="E11" i="222"/>
  <c r="C12" i="222"/>
  <c r="E12" i="222" l="1"/>
  <c r="E14" i="222"/>
  <c r="E16" i="222" s="1"/>
  <c r="B16" i="219" s="1"/>
  <c r="B14" i="218" l="1"/>
  <c r="C14" i="218" s="1"/>
  <c r="C16" i="219"/>
  <c r="E16" i="219"/>
  <c r="B14" i="220"/>
  <c r="C14" i="220" s="1"/>
  <c r="B14" i="221"/>
  <c r="C14" i="221" s="1"/>
  <c r="D16" i="219"/>
  <c r="O253" i="232"/>
  <c r="N19" i="237" s="1"/>
  <c r="N253" i="232"/>
  <c r="M19" i="237" s="1"/>
  <c r="M253" i="232"/>
  <c r="L19" i="237" s="1"/>
  <c r="L253" i="232"/>
  <c r="K19" i="237" s="1"/>
  <c r="K253" i="232"/>
  <c r="J19" i="237" s="1"/>
  <c r="J253" i="232"/>
  <c r="I19" i="237" s="1"/>
  <c r="I253" i="232"/>
  <c r="H19" i="237" s="1"/>
  <c r="H253" i="232"/>
  <c r="G19" i="237" s="1"/>
  <c r="G253" i="232"/>
  <c r="F19" i="237" s="1"/>
  <c r="F253" i="232"/>
  <c r="E19" i="237" s="1"/>
  <c r="E253" i="232"/>
  <c r="D19" i="237" s="1"/>
  <c r="D253" i="232"/>
  <c r="C19" i="237" s="1"/>
  <c r="O252" i="232"/>
  <c r="N18" i="237" s="1"/>
  <c r="N252" i="232"/>
  <c r="M18" i="237" s="1"/>
  <c r="M252" i="232"/>
  <c r="L18" i="237" s="1"/>
  <c r="L252" i="232"/>
  <c r="K18" i="237" s="1"/>
  <c r="K252" i="232"/>
  <c r="J18" i="237" s="1"/>
  <c r="J252" i="232"/>
  <c r="I18" i="237" s="1"/>
  <c r="I252" i="232"/>
  <c r="H18" i="237" s="1"/>
  <c r="H252" i="232"/>
  <c r="G18" i="237" s="1"/>
  <c r="G252" i="232"/>
  <c r="F18" i="237" s="1"/>
  <c r="F252" i="232"/>
  <c r="E18" i="237" s="1"/>
  <c r="E252" i="232"/>
  <c r="D18" i="237" s="1"/>
  <c r="D252" i="232"/>
  <c r="O251" i="232"/>
  <c r="N17" i="237" s="1"/>
  <c r="N251" i="232"/>
  <c r="M17" i="237" s="1"/>
  <c r="M251" i="232"/>
  <c r="L17" i="237" s="1"/>
  <c r="L251" i="232"/>
  <c r="K17" i="237" s="1"/>
  <c r="K251" i="232"/>
  <c r="J17" i="237" s="1"/>
  <c r="J251" i="232"/>
  <c r="I17" i="237" s="1"/>
  <c r="I251" i="232"/>
  <c r="H17" i="237" s="1"/>
  <c r="H251" i="232"/>
  <c r="G17" i="237" s="1"/>
  <c r="G251" i="232"/>
  <c r="F17" i="237" s="1"/>
  <c r="F251" i="232"/>
  <c r="E17" i="237" s="1"/>
  <c r="E251" i="232"/>
  <c r="D17" i="237" s="1"/>
  <c r="D251" i="232"/>
  <c r="O250" i="232"/>
  <c r="N16" i="237" s="1"/>
  <c r="N250" i="232"/>
  <c r="M16" i="237" s="1"/>
  <c r="M250" i="232"/>
  <c r="L16" i="237" s="1"/>
  <c r="L250" i="232"/>
  <c r="K16" i="237" s="1"/>
  <c r="K250" i="232"/>
  <c r="J16" i="237" s="1"/>
  <c r="J250" i="232"/>
  <c r="I16" i="237" s="1"/>
  <c r="I250" i="232"/>
  <c r="H16" i="237" s="1"/>
  <c r="H250" i="232"/>
  <c r="G16" i="237" s="1"/>
  <c r="G250" i="232"/>
  <c r="F16" i="237" s="1"/>
  <c r="F250" i="232"/>
  <c r="E16" i="237" s="1"/>
  <c r="E250" i="232"/>
  <c r="D16" i="237" s="1"/>
  <c r="D250" i="232"/>
  <c r="O249" i="232"/>
  <c r="N15" i="237" s="1"/>
  <c r="N249" i="232"/>
  <c r="M15" i="237" s="1"/>
  <c r="M249" i="232"/>
  <c r="L15" i="237" s="1"/>
  <c r="L249" i="232"/>
  <c r="K15" i="237" s="1"/>
  <c r="K249" i="232"/>
  <c r="J15" i="237" s="1"/>
  <c r="J249" i="232"/>
  <c r="I15" i="237" s="1"/>
  <c r="I249" i="232"/>
  <c r="H15" i="237" s="1"/>
  <c r="H249" i="232"/>
  <c r="G15" i="237" s="1"/>
  <c r="G249" i="232"/>
  <c r="F15" i="237" s="1"/>
  <c r="F249" i="232"/>
  <c r="E15" i="237" s="1"/>
  <c r="E249" i="232"/>
  <c r="D15" i="237" s="1"/>
  <c r="D249" i="232"/>
  <c r="C15" i="237" s="1"/>
  <c r="O248" i="232"/>
  <c r="N14" i="237" s="1"/>
  <c r="N248" i="232"/>
  <c r="M14" i="237" s="1"/>
  <c r="M248" i="232"/>
  <c r="L14" i="237" s="1"/>
  <c r="L248" i="232"/>
  <c r="K14" i="237" s="1"/>
  <c r="K248" i="232"/>
  <c r="J14" i="237" s="1"/>
  <c r="J248" i="232"/>
  <c r="I14" i="237" s="1"/>
  <c r="I248" i="232"/>
  <c r="H14" i="237" s="1"/>
  <c r="H248" i="232"/>
  <c r="G14" i="237" s="1"/>
  <c r="G248" i="232"/>
  <c r="F14" i="237" s="1"/>
  <c r="F248" i="232"/>
  <c r="E14" i="237" s="1"/>
  <c r="E248" i="232"/>
  <c r="D14" i="237" s="1"/>
  <c r="D248" i="232"/>
  <c r="O247" i="232"/>
  <c r="N13" i="237" s="1"/>
  <c r="N247" i="232"/>
  <c r="M13" i="237" s="1"/>
  <c r="M247" i="232"/>
  <c r="L13" i="237" s="1"/>
  <c r="L247" i="232"/>
  <c r="K13" i="237" s="1"/>
  <c r="K247" i="232"/>
  <c r="J13" i="237" s="1"/>
  <c r="J247" i="232"/>
  <c r="I13" i="237" s="1"/>
  <c r="I247" i="232"/>
  <c r="H13" i="237" s="1"/>
  <c r="H247" i="232"/>
  <c r="G13" i="237" s="1"/>
  <c r="G247" i="232"/>
  <c r="F13" i="237" s="1"/>
  <c r="F247" i="232"/>
  <c r="E13" i="237" s="1"/>
  <c r="E247" i="232"/>
  <c r="D13" i="237" s="1"/>
  <c r="D247" i="232"/>
  <c r="C13" i="237" s="1"/>
  <c r="O246" i="232"/>
  <c r="N12" i="237" s="1"/>
  <c r="N246" i="232"/>
  <c r="M12" i="237" s="1"/>
  <c r="M246" i="232"/>
  <c r="L12" i="237" s="1"/>
  <c r="L246" i="232"/>
  <c r="K12" i="237" s="1"/>
  <c r="K246" i="232"/>
  <c r="J12" i="237" s="1"/>
  <c r="J246" i="232"/>
  <c r="I12" i="237" s="1"/>
  <c r="I246" i="232"/>
  <c r="H12" i="237" s="1"/>
  <c r="H246" i="232"/>
  <c r="G12" i="237" s="1"/>
  <c r="G246" i="232"/>
  <c r="F12" i="237" s="1"/>
  <c r="F246" i="232"/>
  <c r="E12" i="237" s="1"/>
  <c r="E246" i="232"/>
  <c r="D12" i="237" s="1"/>
  <c r="D246" i="232"/>
  <c r="O245" i="232"/>
  <c r="N11" i="237" s="1"/>
  <c r="N245" i="232"/>
  <c r="M11" i="237" s="1"/>
  <c r="M245" i="232"/>
  <c r="L11" i="237" s="1"/>
  <c r="L245" i="232"/>
  <c r="K11" i="237" s="1"/>
  <c r="K245" i="232"/>
  <c r="J11" i="237" s="1"/>
  <c r="J245" i="232"/>
  <c r="I11" i="237" s="1"/>
  <c r="I245" i="232"/>
  <c r="H11" i="237" s="1"/>
  <c r="H245" i="232"/>
  <c r="G11" i="237" s="1"/>
  <c r="G245" i="232"/>
  <c r="F11" i="237" s="1"/>
  <c r="F245" i="232"/>
  <c r="E11" i="237" s="1"/>
  <c r="E245" i="232"/>
  <c r="D11" i="237" s="1"/>
  <c r="D245" i="232"/>
  <c r="O244" i="232"/>
  <c r="N10" i="237" s="1"/>
  <c r="N244" i="232"/>
  <c r="M10" i="237" s="1"/>
  <c r="M244" i="232"/>
  <c r="L10" i="237" s="1"/>
  <c r="L244" i="232"/>
  <c r="K10" i="237" s="1"/>
  <c r="K244" i="232"/>
  <c r="J10" i="237" s="1"/>
  <c r="J244" i="232"/>
  <c r="I10" i="237" s="1"/>
  <c r="I244" i="232"/>
  <c r="H10" i="237" s="1"/>
  <c r="H244" i="232"/>
  <c r="G10" i="237" s="1"/>
  <c r="G244" i="232"/>
  <c r="F10" i="237" s="1"/>
  <c r="F244" i="232"/>
  <c r="E10" i="237" s="1"/>
  <c r="E244" i="232"/>
  <c r="D10" i="237" s="1"/>
  <c r="D244" i="232"/>
  <c r="O243" i="232"/>
  <c r="N9" i="237" s="1"/>
  <c r="N243" i="232"/>
  <c r="M9" i="237" s="1"/>
  <c r="M243" i="232"/>
  <c r="L9" i="237" s="1"/>
  <c r="L243" i="232"/>
  <c r="K9" i="237" s="1"/>
  <c r="K243" i="232"/>
  <c r="J9" i="237" s="1"/>
  <c r="J243" i="232"/>
  <c r="I9" i="237" s="1"/>
  <c r="I243" i="232"/>
  <c r="H9" i="237" s="1"/>
  <c r="H243" i="232"/>
  <c r="G9" i="237" s="1"/>
  <c r="G243" i="232"/>
  <c r="F9" i="237" s="1"/>
  <c r="F243" i="232"/>
  <c r="E9" i="237" s="1"/>
  <c r="E243" i="232"/>
  <c r="D9" i="237" s="1"/>
  <c r="D243" i="232"/>
  <c r="C9" i="237" s="1"/>
  <c r="O242" i="232"/>
  <c r="N8" i="237" s="1"/>
  <c r="N242" i="232"/>
  <c r="M8" i="237" s="1"/>
  <c r="M242" i="232"/>
  <c r="L8" i="237" s="1"/>
  <c r="L242" i="232"/>
  <c r="K8" i="237" s="1"/>
  <c r="K242" i="232"/>
  <c r="J8" i="237" s="1"/>
  <c r="J242" i="232"/>
  <c r="I8" i="237" s="1"/>
  <c r="I242" i="232"/>
  <c r="H8" i="237" s="1"/>
  <c r="H242" i="232"/>
  <c r="G8" i="237" s="1"/>
  <c r="G242" i="232"/>
  <c r="F8" i="237" s="1"/>
  <c r="F242" i="232"/>
  <c r="E8" i="237" s="1"/>
  <c r="E242" i="232"/>
  <c r="D8" i="237" s="1"/>
  <c r="D242" i="232"/>
  <c r="O241" i="232"/>
  <c r="N7" i="237" s="1"/>
  <c r="N241" i="232"/>
  <c r="M7" i="237" s="1"/>
  <c r="M241" i="232"/>
  <c r="L7" i="237" s="1"/>
  <c r="L241" i="232"/>
  <c r="K7" i="237" s="1"/>
  <c r="K241" i="232"/>
  <c r="J7" i="237" s="1"/>
  <c r="J241" i="232"/>
  <c r="I7" i="237" s="1"/>
  <c r="I241" i="232"/>
  <c r="H7" i="237" s="1"/>
  <c r="H241" i="232"/>
  <c r="G7" i="237" s="1"/>
  <c r="G241" i="232"/>
  <c r="F7" i="237" s="1"/>
  <c r="F241" i="232"/>
  <c r="E7" i="237" s="1"/>
  <c r="E241" i="232"/>
  <c r="D7" i="237" s="1"/>
  <c r="D241" i="232"/>
  <c r="C7" i="237" s="1"/>
  <c r="O240" i="232"/>
  <c r="N240" i="232"/>
  <c r="M240" i="232"/>
  <c r="L240" i="232"/>
  <c r="K240" i="232"/>
  <c r="J240" i="232"/>
  <c r="I240" i="232"/>
  <c r="H240" i="232"/>
  <c r="G240" i="232"/>
  <c r="F240" i="232"/>
  <c r="E240" i="232"/>
  <c r="D240" i="232"/>
  <c r="P226" i="232"/>
  <c r="P214" i="232"/>
  <c r="P207" i="232"/>
  <c r="P206" i="232"/>
  <c r="P202" i="232"/>
  <c r="O197" i="232"/>
  <c r="N197" i="232"/>
  <c r="M197" i="232"/>
  <c r="L197" i="232"/>
  <c r="K197" i="232"/>
  <c r="J197" i="232"/>
  <c r="I197" i="232"/>
  <c r="H197" i="232"/>
  <c r="G197" i="232"/>
  <c r="F197" i="232"/>
  <c r="E197" i="232"/>
  <c r="D197" i="232"/>
  <c r="O196" i="232"/>
  <c r="O233" i="232" s="1"/>
  <c r="O268" i="232" s="1"/>
  <c r="N196" i="232"/>
  <c r="N233" i="232" s="1"/>
  <c r="N268" i="232" s="1"/>
  <c r="M196" i="232"/>
  <c r="M233" i="232" s="1"/>
  <c r="M268" i="232" s="1"/>
  <c r="L196" i="232"/>
  <c r="L233" i="232" s="1"/>
  <c r="L268" i="232" s="1"/>
  <c r="K196" i="232"/>
  <c r="K233" i="232" s="1"/>
  <c r="K268" i="232" s="1"/>
  <c r="J196" i="232"/>
  <c r="J233" i="232" s="1"/>
  <c r="J268" i="232" s="1"/>
  <c r="I196" i="232"/>
  <c r="I233" i="232" s="1"/>
  <c r="I268" i="232" s="1"/>
  <c r="H196" i="232"/>
  <c r="H233" i="232" s="1"/>
  <c r="H268" i="232" s="1"/>
  <c r="G196" i="232"/>
  <c r="G233" i="232" s="1"/>
  <c r="G268" i="232" s="1"/>
  <c r="F196" i="232"/>
  <c r="F233" i="232" s="1"/>
  <c r="F268" i="232" s="1"/>
  <c r="E196" i="232"/>
  <c r="E233" i="232" s="1"/>
  <c r="E268" i="232" s="1"/>
  <c r="D196" i="232"/>
  <c r="D233" i="232" s="1"/>
  <c r="O195" i="232"/>
  <c r="N195" i="232"/>
  <c r="M195" i="232"/>
  <c r="L195" i="232"/>
  <c r="K195" i="232"/>
  <c r="J195" i="232"/>
  <c r="I195" i="232"/>
  <c r="H195" i="232"/>
  <c r="G195" i="232"/>
  <c r="F195" i="232"/>
  <c r="E195" i="232"/>
  <c r="D195" i="232"/>
  <c r="O194" i="232"/>
  <c r="N194" i="232"/>
  <c r="M194" i="232"/>
  <c r="L194" i="232"/>
  <c r="K194" i="232"/>
  <c r="J194" i="232"/>
  <c r="I194" i="232"/>
  <c r="H194" i="232"/>
  <c r="G194" i="232"/>
  <c r="F194" i="232"/>
  <c r="E194" i="232"/>
  <c r="D194" i="232"/>
  <c r="O193" i="232"/>
  <c r="N193" i="232"/>
  <c r="M193" i="232"/>
  <c r="L193" i="232"/>
  <c r="K193" i="232"/>
  <c r="J193" i="232"/>
  <c r="I193" i="232"/>
  <c r="H193" i="232"/>
  <c r="G193" i="232"/>
  <c r="F193" i="232"/>
  <c r="E193" i="232"/>
  <c r="D193" i="232"/>
  <c r="C193" i="232"/>
  <c r="B193" i="232"/>
  <c r="O192" i="232"/>
  <c r="N192" i="232"/>
  <c r="M192" i="232"/>
  <c r="L192" i="232"/>
  <c r="K192" i="232"/>
  <c r="J192" i="232"/>
  <c r="I192" i="232"/>
  <c r="H192" i="232"/>
  <c r="G192" i="232"/>
  <c r="F192" i="232"/>
  <c r="E192" i="232"/>
  <c r="D192" i="232"/>
  <c r="C192" i="232"/>
  <c r="B192" i="232"/>
  <c r="O191" i="232"/>
  <c r="N191" i="232"/>
  <c r="M191" i="232"/>
  <c r="L191" i="232"/>
  <c r="K191" i="232"/>
  <c r="J191" i="232"/>
  <c r="I191" i="232"/>
  <c r="H191" i="232"/>
  <c r="G191" i="232"/>
  <c r="F191" i="232"/>
  <c r="E191" i="232"/>
  <c r="D191" i="232"/>
  <c r="C191" i="232"/>
  <c r="B191" i="232"/>
  <c r="O190" i="232"/>
  <c r="N190" i="232"/>
  <c r="M190" i="232"/>
  <c r="L190" i="232"/>
  <c r="K190" i="232"/>
  <c r="J190" i="232"/>
  <c r="I190" i="232"/>
  <c r="H190" i="232"/>
  <c r="G190" i="232"/>
  <c r="F190" i="232"/>
  <c r="E190" i="232"/>
  <c r="D190" i="232"/>
  <c r="O189" i="232"/>
  <c r="O225" i="232" s="1"/>
  <c r="O261" i="232" s="1"/>
  <c r="N189" i="232"/>
  <c r="N225" i="232" s="1"/>
  <c r="N261" i="232" s="1"/>
  <c r="M189" i="232"/>
  <c r="M225" i="232" s="1"/>
  <c r="M261" i="232" s="1"/>
  <c r="L189" i="232"/>
  <c r="L225" i="232" s="1"/>
  <c r="L261" i="232" s="1"/>
  <c r="K189" i="232"/>
  <c r="K225" i="232" s="1"/>
  <c r="K261" i="232" s="1"/>
  <c r="J189" i="232"/>
  <c r="J225" i="232" s="1"/>
  <c r="J261" i="232" s="1"/>
  <c r="I189" i="232"/>
  <c r="I225" i="232" s="1"/>
  <c r="I261" i="232" s="1"/>
  <c r="H189" i="232"/>
  <c r="H225" i="232" s="1"/>
  <c r="H261" i="232" s="1"/>
  <c r="G189" i="232"/>
  <c r="G225" i="232" s="1"/>
  <c r="G261" i="232" s="1"/>
  <c r="F189" i="232"/>
  <c r="F225" i="232" s="1"/>
  <c r="F261" i="232" s="1"/>
  <c r="E189" i="232"/>
  <c r="E225" i="232" s="1"/>
  <c r="E261" i="232" s="1"/>
  <c r="D189" i="232"/>
  <c r="D225" i="232" s="1"/>
  <c r="O188" i="232"/>
  <c r="N188" i="232"/>
  <c r="M188" i="232"/>
  <c r="L188" i="232"/>
  <c r="K188" i="232"/>
  <c r="J188" i="232"/>
  <c r="I188" i="232"/>
  <c r="H188" i="232"/>
  <c r="G188" i="232"/>
  <c r="F188" i="232"/>
  <c r="E188" i="232"/>
  <c r="D188" i="232"/>
  <c r="C188" i="232"/>
  <c r="B188" i="232"/>
  <c r="O187" i="232"/>
  <c r="O221" i="232" s="1"/>
  <c r="N187" i="232"/>
  <c r="N221" i="232" s="1"/>
  <c r="M187" i="232"/>
  <c r="M221" i="232" s="1"/>
  <c r="L187" i="232"/>
  <c r="L221" i="232" s="1"/>
  <c r="K187" i="232"/>
  <c r="K221" i="232" s="1"/>
  <c r="J187" i="232"/>
  <c r="J221" i="232" s="1"/>
  <c r="I187" i="232"/>
  <c r="I221" i="232" s="1"/>
  <c r="H187" i="232"/>
  <c r="H221" i="232" s="1"/>
  <c r="G187" i="232"/>
  <c r="G221" i="232" s="1"/>
  <c r="F187" i="232"/>
  <c r="F221" i="232" s="1"/>
  <c r="E187" i="232"/>
  <c r="E221" i="232" s="1"/>
  <c r="D187" i="232"/>
  <c r="D221" i="232" s="1"/>
  <c r="O152" i="232"/>
  <c r="N152" i="232"/>
  <c r="M152" i="232"/>
  <c r="L152" i="232"/>
  <c r="K152" i="232"/>
  <c r="J152" i="232"/>
  <c r="I152" i="232"/>
  <c r="H152" i="232"/>
  <c r="G152" i="232"/>
  <c r="F152" i="232"/>
  <c r="E152" i="232"/>
  <c r="D152" i="232"/>
  <c r="P83" i="232"/>
  <c r="O84" i="232"/>
  <c r="N84" i="232"/>
  <c r="M84" i="232"/>
  <c r="L84" i="232"/>
  <c r="K84" i="232"/>
  <c r="J84" i="232"/>
  <c r="I84" i="232"/>
  <c r="H84" i="232"/>
  <c r="G84" i="232"/>
  <c r="F84" i="232"/>
  <c r="E84" i="232"/>
  <c r="O79" i="232"/>
  <c r="N79" i="232"/>
  <c r="M79" i="232"/>
  <c r="L79" i="232"/>
  <c r="K79" i="232"/>
  <c r="J79" i="232"/>
  <c r="I79" i="232"/>
  <c r="H79" i="232"/>
  <c r="G79" i="232"/>
  <c r="F79" i="232"/>
  <c r="E79" i="232"/>
  <c r="D79" i="232"/>
  <c r="O78" i="232"/>
  <c r="O112" i="232" s="1"/>
  <c r="O127" i="232" s="1"/>
  <c r="O143" i="232" s="1"/>
  <c r="N78" i="232"/>
  <c r="N112" i="232" s="1"/>
  <c r="N127" i="232" s="1"/>
  <c r="N143" i="232" s="1"/>
  <c r="M78" i="232"/>
  <c r="M112" i="232" s="1"/>
  <c r="M127" i="232" s="1"/>
  <c r="M143" i="232" s="1"/>
  <c r="L78" i="232"/>
  <c r="L112" i="232" s="1"/>
  <c r="L127" i="232" s="1"/>
  <c r="L143" i="232" s="1"/>
  <c r="K78" i="232"/>
  <c r="K112" i="232" s="1"/>
  <c r="K127" i="232" s="1"/>
  <c r="K143" i="232" s="1"/>
  <c r="J78" i="232"/>
  <c r="J112" i="232" s="1"/>
  <c r="J127" i="232" s="1"/>
  <c r="J143" i="232" s="1"/>
  <c r="I78" i="232"/>
  <c r="H78" i="232"/>
  <c r="G78" i="232"/>
  <c r="F78" i="232"/>
  <c r="E78" i="232"/>
  <c r="D78" i="232"/>
  <c r="O77" i="232"/>
  <c r="N77" i="232"/>
  <c r="M77" i="232"/>
  <c r="L77" i="232"/>
  <c r="K77" i="232"/>
  <c r="J77" i="232"/>
  <c r="I77" i="232"/>
  <c r="H77" i="232"/>
  <c r="G77" i="232"/>
  <c r="F77" i="232"/>
  <c r="E77" i="232"/>
  <c r="D77" i="232"/>
  <c r="O76" i="232"/>
  <c r="N76" i="232"/>
  <c r="M76" i="232"/>
  <c r="L76" i="232"/>
  <c r="K76" i="232"/>
  <c r="J76" i="232"/>
  <c r="I76" i="232"/>
  <c r="H76" i="232"/>
  <c r="G76" i="232"/>
  <c r="F76" i="232"/>
  <c r="E76" i="232"/>
  <c r="D76" i="232"/>
  <c r="O75" i="232"/>
  <c r="N75" i="232"/>
  <c r="M75" i="232"/>
  <c r="L75" i="232"/>
  <c r="K75" i="232"/>
  <c r="J75" i="232"/>
  <c r="I75" i="232"/>
  <c r="H75" i="232"/>
  <c r="G75" i="232"/>
  <c r="F75" i="232"/>
  <c r="E75" i="232"/>
  <c r="D75" i="232"/>
  <c r="O74" i="232"/>
  <c r="N74" i="232"/>
  <c r="M74" i="232"/>
  <c r="L74" i="232"/>
  <c r="K74" i="232"/>
  <c r="J74" i="232"/>
  <c r="I74" i="232"/>
  <c r="H74" i="232"/>
  <c r="G74" i="232"/>
  <c r="F74" i="232"/>
  <c r="E74" i="232"/>
  <c r="D74" i="232"/>
  <c r="O73" i="232"/>
  <c r="N73" i="232"/>
  <c r="M73" i="232"/>
  <c r="L73" i="232"/>
  <c r="K73" i="232"/>
  <c r="J73" i="232"/>
  <c r="I73" i="232"/>
  <c r="H73" i="232"/>
  <c r="G73" i="232"/>
  <c r="F73" i="232"/>
  <c r="E73" i="232"/>
  <c r="D73" i="232"/>
  <c r="O72" i="232"/>
  <c r="N72" i="232"/>
  <c r="M72" i="232"/>
  <c r="L72" i="232"/>
  <c r="L105" i="232" s="1"/>
  <c r="L120" i="232" s="1"/>
  <c r="L136" i="232" s="1"/>
  <c r="K72" i="232"/>
  <c r="J72" i="232"/>
  <c r="I72" i="232"/>
  <c r="H72" i="232"/>
  <c r="H105" i="232" s="1"/>
  <c r="H120" i="232" s="1"/>
  <c r="H136" i="232" s="1"/>
  <c r="G72" i="232"/>
  <c r="F72" i="232"/>
  <c r="E72" i="232"/>
  <c r="D72" i="232"/>
  <c r="O71" i="232"/>
  <c r="N71" i="232"/>
  <c r="M71" i="232"/>
  <c r="L71" i="232"/>
  <c r="L104" i="232" s="1"/>
  <c r="L119" i="232" s="1"/>
  <c r="L135" i="232" s="1"/>
  <c r="K71" i="232"/>
  <c r="J71" i="232"/>
  <c r="I71" i="232"/>
  <c r="H71" i="232"/>
  <c r="H104" i="232" s="1"/>
  <c r="H119" i="232" s="1"/>
  <c r="H135" i="232" s="1"/>
  <c r="G71" i="232"/>
  <c r="F71" i="232"/>
  <c r="E71" i="232"/>
  <c r="D71" i="232"/>
  <c r="O70" i="232"/>
  <c r="N70" i="232"/>
  <c r="M70" i="232"/>
  <c r="L70" i="232"/>
  <c r="K70" i="232"/>
  <c r="J70" i="232"/>
  <c r="I70" i="232"/>
  <c r="H70" i="232"/>
  <c r="G70" i="232"/>
  <c r="F70" i="232"/>
  <c r="E70" i="232"/>
  <c r="D70" i="232"/>
  <c r="O69" i="232"/>
  <c r="N69" i="232"/>
  <c r="M69" i="232"/>
  <c r="L69" i="232"/>
  <c r="L103" i="232" s="1"/>
  <c r="L118" i="232" s="1"/>
  <c r="L134" i="232" s="1"/>
  <c r="K69" i="232"/>
  <c r="J69" i="232"/>
  <c r="I69" i="232"/>
  <c r="H69" i="232"/>
  <c r="H103" i="232" s="1"/>
  <c r="H118" i="232" s="1"/>
  <c r="H134" i="232" s="1"/>
  <c r="G69" i="232"/>
  <c r="F69" i="232"/>
  <c r="E69" i="232"/>
  <c r="D69" i="232"/>
  <c r="O68" i="232"/>
  <c r="N68" i="232"/>
  <c r="M68" i="232"/>
  <c r="L68" i="232"/>
  <c r="L102" i="232" s="1"/>
  <c r="L117" i="232" s="1"/>
  <c r="L133" i="232" s="1"/>
  <c r="K68" i="232"/>
  <c r="J68" i="232"/>
  <c r="I68" i="232"/>
  <c r="H68" i="232"/>
  <c r="H102" i="232" s="1"/>
  <c r="H117" i="232" s="1"/>
  <c r="H133" i="232" s="1"/>
  <c r="G68" i="232"/>
  <c r="F68" i="232"/>
  <c r="E68" i="232"/>
  <c r="D68" i="232"/>
  <c r="O67" i="232"/>
  <c r="N67" i="232"/>
  <c r="M67" i="232"/>
  <c r="L67" i="232"/>
  <c r="L101" i="232" s="1"/>
  <c r="L116" i="232" s="1"/>
  <c r="K67" i="232"/>
  <c r="J67" i="232"/>
  <c r="I67" i="232"/>
  <c r="H67" i="232"/>
  <c r="H101" i="232" s="1"/>
  <c r="H116" i="232" s="1"/>
  <c r="G67" i="232"/>
  <c r="F67" i="232"/>
  <c r="E67" i="232"/>
  <c r="D67" i="232"/>
  <c r="O64" i="232"/>
  <c r="N64" i="232"/>
  <c r="M64" i="232"/>
  <c r="L64" i="232"/>
  <c r="K64" i="232"/>
  <c r="J64" i="232"/>
  <c r="I64" i="232"/>
  <c r="H64" i="232"/>
  <c r="G64" i="232"/>
  <c r="F64" i="232"/>
  <c r="E64" i="232"/>
  <c r="D64" i="232"/>
  <c r="P63" i="232"/>
  <c r="P62" i="232"/>
  <c r="P61" i="232"/>
  <c r="P60" i="232"/>
  <c r="P59" i="232"/>
  <c r="P58" i="232"/>
  <c r="P57" i="232"/>
  <c r="P56" i="232"/>
  <c r="P55" i="232"/>
  <c r="P54" i="232"/>
  <c r="P53" i="232"/>
  <c r="P52" i="232"/>
  <c r="P51" i="232"/>
  <c r="P50" i="232"/>
  <c r="P49" i="232"/>
  <c r="P48" i="232"/>
  <c r="P47" i="232"/>
  <c r="P46" i="232"/>
  <c r="P45" i="232"/>
  <c r="P44" i="232"/>
  <c r="P43" i="232"/>
  <c r="P42" i="232"/>
  <c r="P41" i="232"/>
  <c r="P40" i="232"/>
  <c r="P39" i="232"/>
  <c r="P38" i="232"/>
  <c r="P37" i="232"/>
  <c r="P36" i="232"/>
  <c r="O33" i="232"/>
  <c r="N33" i="232"/>
  <c r="M33" i="232"/>
  <c r="L33" i="232"/>
  <c r="K33" i="232"/>
  <c r="J33" i="232"/>
  <c r="I33" i="232"/>
  <c r="H33" i="232"/>
  <c r="G33" i="232"/>
  <c r="F33" i="232"/>
  <c r="E33" i="232"/>
  <c r="D33" i="232"/>
  <c r="O32" i="232"/>
  <c r="N32" i="232"/>
  <c r="M32" i="232"/>
  <c r="L32" i="232"/>
  <c r="K32" i="232"/>
  <c r="J32" i="232"/>
  <c r="I32" i="232"/>
  <c r="H32" i="232"/>
  <c r="G32" i="232"/>
  <c r="F32" i="232"/>
  <c r="E32" i="232"/>
  <c r="D32" i="232"/>
  <c r="P31" i="232"/>
  <c r="P30" i="232"/>
  <c r="P29" i="232"/>
  <c r="P28" i="232"/>
  <c r="P27" i="232"/>
  <c r="P26" i="232"/>
  <c r="P25" i="232"/>
  <c r="P24" i="232"/>
  <c r="P23" i="232"/>
  <c r="P22" i="232"/>
  <c r="P21" i="232"/>
  <c r="P20" i="232"/>
  <c r="P19" i="232"/>
  <c r="P18" i="232"/>
  <c r="P17" i="232"/>
  <c r="P16" i="232"/>
  <c r="P15" i="232"/>
  <c r="P14" i="232"/>
  <c r="P13" i="232"/>
  <c r="P12" i="232"/>
  <c r="P11" i="232"/>
  <c r="P10" i="232"/>
  <c r="P9" i="232"/>
  <c r="P8" i="232"/>
  <c r="E6" i="232"/>
  <c r="F6" i="232" s="1"/>
  <c r="G6" i="232" s="1"/>
  <c r="H6" i="232" s="1"/>
  <c r="I6" i="232" s="1"/>
  <c r="J6" i="232" s="1"/>
  <c r="K6" i="232" s="1"/>
  <c r="L6" i="232" s="1"/>
  <c r="M6" i="232" s="1"/>
  <c r="N6" i="232" s="1"/>
  <c r="O6" i="232" s="1"/>
  <c r="E101" i="232" l="1"/>
  <c r="E116" i="232" s="1"/>
  <c r="I101" i="232"/>
  <c r="I116" i="232" s="1"/>
  <c r="M101" i="232"/>
  <c r="M116" i="232" s="1"/>
  <c r="E102" i="232"/>
  <c r="E117" i="232" s="1"/>
  <c r="E133" i="232" s="1"/>
  <c r="I102" i="232"/>
  <c r="I117" i="232" s="1"/>
  <c r="I133" i="232" s="1"/>
  <c r="M102" i="232"/>
  <c r="M117" i="232" s="1"/>
  <c r="M133" i="232" s="1"/>
  <c r="E103" i="232"/>
  <c r="E118" i="232" s="1"/>
  <c r="E134" i="232" s="1"/>
  <c r="I103" i="232"/>
  <c r="I118" i="232" s="1"/>
  <c r="I134" i="232" s="1"/>
  <c r="M103" i="232"/>
  <c r="M118" i="232" s="1"/>
  <c r="M134" i="232" s="1"/>
  <c r="E104" i="232"/>
  <c r="E119" i="232" s="1"/>
  <c r="E135" i="232" s="1"/>
  <c r="I104" i="232"/>
  <c r="I119" i="232" s="1"/>
  <c r="I135" i="232" s="1"/>
  <c r="M104" i="232"/>
  <c r="M119" i="232" s="1"/>
  <c r="M135" i="232" s="1"/>
  <c r="E105" i="232"/>
  <c r="E120" i="232" s="1"/>
  <c r="E136" i="232" s="1"/>
  <c r="I105" i="232"/>
  <c r="I120" i="232" s="1"/>
  <c r="I136" i="232" s="1"/>
  <c r="F254" i="232"/>
  <c r="E6" i="237"/>
  <c r="E20" i="237" s="1"/>
  <c r="J254" i="232"/>
  <c r="I6" i="237"/>
  <c r="I20" i="237" s="1"/>
  <c r="N254" i="232"/>
  <c r="M6" i="237"/>
  <c r="M20" i="237" s="1"/>
  <c r="G254" i="232"/>
  <c r="G255" i="232" s="1"/>
  <c r="F6" i="237"/>
  <c r="F20" i="237" s="1"/>
  <c r="K254" i="232"/>
  <c r="J6" i="237"/>
  <c r="J20" i="237" s="1"/>
  <c r="O254" i="232"/>
  <c r="N6" i="237"/>
  <c r="N20" i="237" s="1"/>
  <c r="D254" i="232"/>
  <c r="C6" i="237"/>
  <c r="H254" i="232"/>
  <c r="G6" i="237"/>
  <c r="G20" i="237" s="1"/>
  <c r="L254" i="232"/>
  <c r="K6" i="237"/>
  <c r="K20" i="237" s="1"/>
  <c r="P242" i="232"/>
  <c r="O8" i="237" s="1"/>
  <c r="P8" i="237" s="1"/>
  <c r="C8" i="237"/>
  <c r="P244" i="232"/>
  <c r="O10" i="237" s="1"/>
  <c r="P10" i="237" s="1"/>
  <c r="C10" i="237"/>
  <c r="P245" i="232"/>
  <c r="O11" i="237" s="1"/>
  <c r="P11" i="237" s="1"/>
  <c r="C11" i="237"/>
  <c r="P246" i="232"/>
  <c r="O12" i="237" s="1"/>
  <c r="P12" i="237" s="1"/>
  <c r="C12" i="237"/>
  <c r="P248" i="232"/>
  <c r="O14" i="237" s="1"/>
  <c r="P14" i="237" s="1"/>
  <c r="C14" i="237"/>
  <c r="P250" i="232"/>
  <c r="O16" i="237" s="1"/>
  <c r="P16" i="237" s="1"/>
  <c r="C16" i="237"/>
  <c r="P251" i="232"/>
  <c r="O17" i="237" s="1"/>
  <c r="P17" i="237" s="1"/>
  <c r="C17" i="237"/>
  <c r="P252" i="232"/>
  <c r="O18" i="237" s="1"/>
  <c r="P18" i="237" s="1"/>
  <c r="C18" i="237"/>
  <c r="E254" i="232"/>
  <c r="D6" i="237"/>
  <c r="D20" i="237" s="1"/>
  <c r="I254" i="232"/>
  <c r="H6" i="237"/>
  <c r="H20" i="237" s="1"/>
  <c r="M254" i="232"/>
  <c r="L6" i="237"/>
  <c r="L20" i="237" s="1"/>
  <c r="F101" i="232"/>
  <c r="F116" i="232" s="1"/>
  <c r="F132" i="232" s="1"/>
  <c r="J101" i="232"/>
  <c r="J116" i="232" s="1"/>
  <c r="F102" i="232"/>
  <c r="F117" i="232" s="1"/>
  <c r="F133" i="232" s="1"/>
  <c r="N102" i="232"/>
  <c r="N117" i="232" s="1"/>
  <c r="N133" i="232" s="1"/>
  <c r="F103" i="232"/>
  <c r="F118" i="232" s="1"/>
  <c r="F134" i="232" s="1"/>
  <c r="N103" i="232"/>
  <c r="N118" i="232" s="1"/>
  <c r="N134" i="232" s="1"/>
  <c r="F104" i="232"/>
  <c r="F119" i="232" s="1"/>
  <c r="F135" i="232" s="1"/>
  <c r="J104" i="232"/>
  <c r="J119" i="232" s="1"/>
  <c r="J135" i="232" s="1"/>
  <c r="N104" i="232"/>
  <c r="N119" i="232" s="1"/>
  <c r="N135" i="232" s="1"/>
  <c r="J105" i="232"/>
  <c r="J120" i="232" s="1"/>
  <c r="J136" i="232" s="1"/>
  <c r="G101" i="232"/>
  <c r="G116" i="232" s="1"/>
  <c r="G132" i="232" s="1"/>
  <c r="K101" i="232"/>
  <c r="K116" i="232" s="1"/>
  <c r="K132" i="232" s="1"/>
  <c r="O101" i="232"/>
  <c r="O116" i="232" s="1"/>
  <c r="G102" i="232"/>
  <c r="G117" i="232" s="1"/>
  <c r="G133" i="232" s="1"/>
  <c r="K102" i="232"/>
  <c r="K117" i="232" s="1"/>
  <c r="K133" i="232" s="1"/>
  <c r="O102" i="232"/>
  <c r="O117" i="232" s="1"/>
  <c r="O133" i="232" s="1"/>
  <c r="G103" i="232"/>
  <c r="G118" i="232" s="1"/>
  <c r="G134" i="232" s="1"/>
  <c r="K103" i="232"/>
  <c r="K118" i="232" s="1"/>
  <c r="K134" i="232" s="1"/>
  <c r="O103" i="232"/>
  <c r="O118" i="232" s="1"/>
  <c r="O134" i="232" s="1"/>
  <c r="G104" i="232"/>
  <c r="G119" i="232" s="1"/>
  <c r="G135" i="232" s="1"/>
  <c r="K104" i="232"/>
  <c r="K119" i="232" s="1"/>
  <c r="K135" i="232" s="1"/>
  <c r="O104" i="232"/>
  <c r="O119" i="232" s="1"/>
  <c r="O135" i="232" s="1"/>
  <c r="G105" i="232"/>
  <c r="G120" i="232" s="1"/>
  <c r="G136" i="232" s="1"/>
  <c r="K105" i="232"/>
  <c r="K120" i="232" s="1"/>
  <c r="K136" i="232" s="1"/>
  <c r="N101" i="232"/>
  <c r="N116" i="232" s="1"/>
  <c r="N132" i="232" s="1"/>
  <c r="J102" i="232"/>
  <c r="J117" i="232" s="1"/>
  <c r="J133" i="232" s="1"/>
  <c r="J103" i="232"/>
  <c r="J118" i="232" s="1"/>
  <c r="J134" i="232" s="1"/>
  <c r="F105" i="232"/>
  <c r="F120" i="232" s="1"/>
  <c r="F136" i="232" s="1"/>
  <c r="P243" i="232"/>
  <c r="O9" i="237" s="1"/>
  <c r="P9" i="237" s="1"/>
  <c r="P64" i="232"/>
  <c r="P188" i="232"/>
  <c r="P190" i="232"/>
  <c r="P192" i="232"/>
  <c r="P33" i="232"/>
  <c r="P71" i="232"/>
  <c r="P72" i="232"/>
  <c r="P191" i="232"/>
  <c r="P193" i="232"/>
  <c r="P194" i="232"/>
  <c r="P195" i="232"/>
  <c r="P197" i="232"/>
  <c r="P32" i="232"/>
  <c r="P82" i="232"/>
  <c r="P84" i="232" s="1"/>
  <c r="P150" i="232"/>
  <c r="P151" i="232"/>
  <c r="J132" i="232"/>
  <c r="O132" i="232"/>
  <c r="L132" i="232"/>
  <c r="H132" i="232"/>
  <c r="E132" i="232"/>
  <c r="I132" i="232"/>
  <c r="M132" i="232"/>
  <c r="P69" i="232"/>
  <c r="G111" i="232"/>
  <c r="G126" i="232" s="1"/>
  <c r="G142" i="232" s="1"/>
  <c r="K111" i="232"/>
  <c r="K126" i="232" s="1"/>
  <c r="K142" i="232" s="1"/>
  <c r="O111" i="232"/>
  <c r="O126" i="232" s="1"/>
  <c r="O142" i="232" s="1"/>
  <c r="M105" i="232"/>
  <c r="M120" i="232" s="1"/>
  <c r="M136" i="232" s="1"/>
  <c r="H106" i="232"/>
  <c r="H121" i="232" s="1"/>
  <c r="H137" i="232" s="1"/>
  <c r="L106" i="232"/>
  <c r="L121" i="232" s="1"/>
  <c r="L137" i="232" s="1"/>
  <c r="P73" i="232"/>
  <c r="G107" i="232"/>
  <c r="G122" i="232" s="1"/>
  <c r="G138" i="232" s="1"/>
  <c r="K107" i="232"/>
  <c r="K122" i="232" s="1"/>
  <c r="K138" i="232" s="1"/>
  <c r="O107" i="232"/>
  <c r="O122" i="232" s="1"/>
  <c r="O138" i="232" s="1"/>
  <c r="F108" i="232"/>
  <c r="F123" i="232" s="1"/>
  <c r="F139" i="232" s="1"/>
  <c r="J108" i="232"/>
  <c r="J123" i="232" s="1"/>
  <c r="J139" i="232" s="1"/>
  <c r="N108" i="232"/>
  <c r="N123" i="232" s="1"/>
  <c r="N139" i="232" s="1"/>
  <c r="E109" i="232"/>
  <c r="E124" i="232" s="1"/>
  <c r="E140" i="232" s="1"/>
  <c r="I109" i="232"/>
  <c r="I124" i="232" s="1"/>
  <c r="I140" i="232" s="1"/>
  <c r="M109" i="232"/>
  <c r="M124" i="232" s="1"/>
  <c r="M140" i="232" s="1"/>
  <c r="H110" i="232"/>
  <c r="H125" i="232" s="1"/>
  <c r="H141" i="232" s="1"/>
  <c r="L110" i="232"/>
  <c r="L125" i="232" s="1"/>
  <c r="L141" i="232" s="1"/>
  <c r="P77" i="232"/>
  <c r="G112" i="232"/>
  <c r="G127" i="232" s="1"/>
  <c r="G143" i="232" s="1"/>
  <c r="F113" i="232"/>
  <c r="F128" i="232" s="1"/>
  <c r="F144" i="232" s="1"/>
  <c r="J113" i="232"/>
  <c r="J128" i="232" s="1"/>
  <c r="J144" i="232" s="1"/>
  <c r="N113" i="232"/>
  <c r="N128" i="232" s="1"/>
  <c r="N144" i="232" s="1"/>
  <c r="H111" i="232"/>
  <c r="H126" i="232" s="1"/>
  <c r="H142" i="232" s="1"/>
  <c r="L111" i="232"/>
  <c r="L126" i="232" s="1"/>
  <c r="L142" i="232" s="1"/>
  <c r="P70" i="232"/>
  <c r="N105" i="232"/>
  <c r="N120" i="232" s="1"/>
  <c r="N136" i="232" s="1"/>
  <c r="E106" i="232"/>
  <c r="E121" i="232" s="1"/>
  <c r="E137" i="232" s="1"/>
  <c r="I106" i="232"/>
  <c r="I121" i="232" s="1"/>
  <c r="I137" i="232" s="1"/>
  <c r="M106" i="232"/>
  <c r="M121" i="232" s="1"/>
  <c r="M137" i="232" s="1"/>
  <c r="H107" i="232"/>
  <c r="H122" i="232" s="1"/>
  <c r="H138" i="232" s="1"/>
  <c r="L107" i="232"/>
  <c r="L122" i="232" s="1"/>
  <c r="L138" i="232" s="1"/>
  <c r="P74" i="232"/>
  <c r="G108" i="232"/>
  <c r="G123" i="232" s="1"/>
  <c r="G139" i="232" s="1"/>
  <c r="K108" i="232"/>
  <c r="K123" i="232" s="1"/>
  <c r="K139" i="232" s="1"/>
  <c r="O108" i="232"/>
  <c r="O123" i="232" s="1"/>
  <c r="O139" i="232" s="1"/>
  <c r="F109" i="232"/>
  <c r="F124" i="232" s="1"/>
  <c r="F140" i="232" s="1"/>
  <c r="J109" i="232"/>
  <c r="J124" i="232" s="1"/>
  <c r="J140" i="232" s="1"/>
  <c r="N109" i="232"/>
  <c r="N124" i="232" s="1"/>
  <c r="N140" i="232" s="1"/>
  <c r="E110" i="232"/>
  <c r="E125" i="232" s="1"/>
  <c r="E141" i="232" s="1"/>
  <c r="I110" i="232"/>
  <c r="I125" i="232" s="1"/>
  <c r="I141" i="232" s="1"/>
  <c r="M110" i="232"/>
  <c r="M125" i="232" s="1"/>
  <c r="M141" i="232" s="1"/>
  <c r="H112" i="232"/>
  <c r="H127" i="232" s="1"/>
  <c r="H143" i="232" s="1"/>
  <c r="P78" i="232"/>
  <c r="G113" i="232"/>
  <c r="G128" i="232" s="1"/>
  <c r="G144" i="232" s="1"/>
  <c r="K113" i="232"/>
  <c r="K128" i="232" s="1"/>
  <c r="K144" i="232" s="1"/>
  <c r="O113" i="232"/>
  <c r="O128" i="232" s="1"/>
  <c r="O144" i="232" s="1"/>
  <c r="D84" i="232"/>
  <c r="D102" i="232" s="1"/>
  <c r="P67" i="232"/>
  <c r="E111" i="232"/>
  <c r="E126" i="232" s="1"/>
  <c r="E142" i="232" s="1"/>
  <c r="I111" i="232"/>
  <c r="I126" i="232" s="1"/>
  <c r="I142" i="232" s="1"/>
  <c r="M111" i="232"/>
  <c r="M126" i="232" s="1"/>
  <c r="M142" i="232" s="1"/>
  <c r="O105" i="232"/>
  <c r="O120" i="232" s="1"/>
  <c r="O136" i="232" s="1"/>
  <c r="F106" i="232"/>
  <c r="F121" i="232" s="1"/>
  <c r="F137" i="232" s="1"/>
  <c r="J106" i="232"/>
  <c r="J121" i="232" s="1"/>
  <c r="J137" i="232" s="1"/>
  <c r="N106" i="232"/>
  <c r="N121" i="232" s="1"/>
  <c r="N137" i="232" s="1"/>
  <c r="E107" i="232"/>
  <c r="E122" i="232" s="1"/>
  <c r="E138" i="232" s="1"/>
  <c r="I107" i="232"/>
  <c r="I122" i="232" s="1"/>
  <c r="I138" i="232" s="1"/>
  <c r="M107" i="232"/>
  <c r="M122" i="232" s="1"/>
  <c r="M138" i="232" s="1"/>
  <c r="H108" i="232"/>
  <c r="H123" i="232" s="1"/>
  <c r="H139" i="232" s="1"/>
  <c r="L108" i="232"/>
  <c r="L123" i="232" s="1"/>
  <c r="L139" i="232" s="1"/>
  <c r="P75" i="232"/>
  <c r="G109" i="232"/>
  <c r="G124" i="232" s="1"/>
  <c r="G140" i="232" s="1"/>
  <c r="K109" i="232"/>
  <c r="K124" i="232" s="1"/>
  <c r="K140" i="232" s="1"/>
  <c r="O109" i="232"/>
  <c r="O124" i="232" s="1"/>
  <c r="O140" i="232" s="1"/>
  <c r="F110" i="232"/>
  <c r="F125" i="232" s="1"/>
  <c r="F141" i="232" s="1"/>
  <c r="J110" i="232"/>
  <c r="J125" i="232" s="1"/>
  <c r="J141" i="232" s="1"/>
  <c r="N110" i="232"/>
  <c r="N125" i="232" s="1"/>
  <c r="N141" i="232" s="1"/>
  <c r="E112" i="232"/>
  <c r="E127" i="232" s="1"/>
  <c r="E143" i="232" s="1"/>
  <c r="I112" i="232"/>
  <c r="I127" i="232" s="1"/>
  <c r="I143" i="232" s="1"/>
  <c r="H113" i="232"/>
  <c r="H128" i="232" s="1"/>
  <c r="H144" i="232" s="1"/>
  <c r="L113" i="232"/>
  <c r="L128" i="232" s="1"/>
  <c r="L144" i="232" s="1"/>
  <c r="P79" i="232"/>
  <c r="P68" i="232"/>
  <c r="F111" i="232"/>
  <c r="F126" i="232" s="1"/>
  <c r="F142" i="232" s="1"/>
  <c r="J111" i="232"/>
  <c r="J126" i="232" s="1"/>
  <c r="J142" i="232" s="1"/>
  <c r="N111" i="232"/>
  <c r="N126" i="232" s="1"/>
  <c r="N142" i="232" s="1"/>
  <c r="G106" i="232"/>
  <c r="G121" i="232" s="1"/>
  <c r="G137" i="232" s="1"/>
  <c r="K106" i="232"/>
  <c r="K121" i="232" s="1"/>
  <c r="K137" i="232" s="1"/>
  <c r="O106" i="232"/>
  <c r="O121" i="232" s="1"/>
  <c r="O137" i="232" s="1"/>
  <c r="F107" i="232"/>
  <c r="F122" i="232" s="1"/>
  <c r="F138" i="232" s="1"/>
  <c r="J107" i="232"/>
  <c r="J122" i="232" s="1"/>
  <c r="J138" i="232" s="1"/>
  <c r="N107" i="232"/>
  <c r="N122" i="232" s="1"/>
  <c r="N138" i="232" s="1"/>
  <c r="E108" i="232"/>
  <c r="E123" i="232" s="1"/>
  <c r="E139" i="232" s="1"/>
  <c r="I108" i="232"/>
  <c r="I123" i="232" s="1"/>
  <c r="I139" i="232" s="1"/>
  <c r="M108" i="232"/>
  <c r="M123" i="232" s="1"/>
  <c r="M139" i="232" s="1"/>
  <c r="H109" i="232"/>
  <c r="H124" i="232" s="1"/>
  <c r="H140" i="232" s="1"/>
  <c r="L109" i="232"/>
  <c r="L124" i="232" s="1"/>
  <c r="L140" i="232" s="1"/>
  <c r="P76" i="232"/>
  <c r="G110" i="232"/>
  <c r="G125" i="232" s="1"/>
  <c r="G141" i="232" s="1"/>
  <c r="K110" i="232"/>
  <c r="K125" i="232" s="1"/>
  <c r="K141" i="232" s="1"/>
  <c r="O110" i="232"/>
  <c r="O125" i="232" s="1"/>
  <c r="O141" i="232" s="1"/>
  <c r="F112" i="232"/>
  <c r="F127" i="232" s="1"/>
  <c r="F143" i="232" s="1"/>
  <c r="E113" i="232"/>
  <c r="E128" i="232" s="1"/>
  <c r="E144" i="232" s="1"/>
  <c r="I113" i="232"/>
  <c r="I128" i="232" s="1"/>
  <c r="I144" i="232" s="1"/>
  <c r="M113" i="232"/>
  <c r="M128" i="232" s="1"/>
  <c r="M144" i="232" s="1"/>
  <c r="P149" i="232"/>
  <c r="D198" i="232"/>
  <c r="H198" i="232"/>
  <c r="L198" i="232"/>
  <c r="D255" i="232"/>
  <c r="H255" i="232"/>
  <c r="L255" i="232"/>
  <c r="P221" i="232"/>
  <c r="P187" i="232"/>
  <c r="D261" i="232"/>
  <c r="P261" i="232" s="1"/>
  <c r="P225" i="232"/>
  <c r="P189" i="232"/>
  <c r="E198" i="232"/>
  <c r="I198" i="232"/>
  <c r="M198" i="232"/>
  <c r="D268" i="232"/>
  <c r="P268" i="232" s="1"/>
  <c r="P233" i="232"/>
  <c r="P196" i="232"/>
  <c r="F198" i="232"/>
  <c r="J198" i="232"/>
  <c r="N198" i="232"/>
  <c r="N288" i="232"/>
  <c r="J288" i="232"/>
  <c r="F288" i="232"/>
  <c r="M284" i="232"/>
  <c r="I284" i="232"/>
  <c r="E284" i="232"/>
  <c r="N283" i="232"/>
  <c r="J283" i="232"/>
  <c r="F283" i="232"/>
  <c r="M288" i="232"/>
  <c r="I288" i="232"/>
  <c r="E288" i="232"/>
  <c r="L284" i="232"/>
  <c r="H284" i="232"/>
  <c r="D284" i="232"/>
  <c r="M283" i="232"/>
  <c r="I283" i="232"/>
  <c r="E283" i="232"/>
  <c r="L288" i="232"/>
  <c r="H288" i="232"/>
  <c r="D288" i="232"/>
  <c r="O284" i="232"/>
  <c r="K284" i="232"/>
  <c r="G284" i="232"/>
  <c r="L283" i="232"/>
  <c r="H283" i="232"/>
  <c r="D283" i="232"/>
  <c r="K288" i="232"/>
  <c r="N284" i="232"/>
  <c r="K283" i="232"/>
  <c r="G288" i="232"/>
  <c r="J284" i="232"/>
  <c r="G283" i="232"/>
  <c r="F284" i="232"/>
  <c r="O288" i="232"/>
  <c r="O283" i="232"/>
  <c r="G198" i="232"/>
  <c r="K198" i="232"/>
  <c r="O198" i="232"/>
  <c r="K255" i="232"/>
  <c r="O255" i="232"/>
  <c r="P240" i="232"/>
  <c r="O6" i="237" s="1"/>
  <c r="P247" i="232"/>
  <c r="O13" i="237" s="1"/>
  <c r="P13" i="237" s="1"/>
  <c r="C11" i="219" s="1"/>
  <c r="E255" i="232"/>
  <c r="I255" i="232"/>
  <c r="M255" i="232"/>
  <c r="P241" i="232"/>
  <c r="O7" i="237" s="1"/>
  <c r="P7" i="237" s="1"/>
  <c r="P249" i="232"/>
  <c r="O15" i="237" s="1"/>
  <c r="P15" i="237" s="1"/>
  <c r="F255" i="232"/>
  <c r="J255" i="232"/>
  <c r="N255" i="232"/>
  <c r="P253" i="232"/>
  <c r="O19" i="237" s="1"/>
  <c r="P19" i="237" s="1"/>
  <c r="B11" i="219" l="1"/>
  <c r="P198" i="232"/>
  <c r="P152" i="232"/>
  <c r="C20" i="237"/>
  <c r="P6" i="237"/>
  <c r="O20" i="237"/>
  <c r="P20" i="237" s="1"/>
  <c r="G159" i="232"/>
  <c r="G176" i="232" s="1"/>
  <c r="D112" i="232"/>
  <c r="D127" i="232" s="1"/>
  <c r="D109" i="232"/>
  <c r="D124" i="232" s="1"/>
  <c r="D105" i="232"/>
  <c r="P105" i="232" s="1"/>
  <c r="P120" i="232" s="1"/>
  <c r="D113" i="232"/>
  <c r="P113" i="232" s="1"/>
  <c r="D108" i="232"/>
  <c r="D123" i="232" s="1"/>
  <c r="D104" i="232"/>
  <c r="D119" i="232" s="1"/>
  <c r="D135" i="232" s="1"/>
  <c r="O158" i="232"/>
  <c r="O212" i="232" s="1"/>
  <c r="N160" i="232"/>
  <c r="N215" i="232" s="1"/>
  <c r="L166" i="232"/>
  <c r="L211" i="232" s="1"/>
  <c r="J167" i="232"/>
  <c r="J216" i="232" s="1"/>
  <c r="I159" i="232"/>
  <c r="I176" i="232" s="1"/>
  <c r="H158" i="232"/>
  <c r="H175" i="232" s="1"/>
  <c r="P288" i="232"/>
  <c r="K167" i="232"/>
  <c r="K184" i="232" s="1"/>
  <c r="F159" i="232"/>
  <c r="F213" i="232" s="1"/>
  <c r="E166" i="232"/>
  <c r="E211" i="232" s="1"/>
  <c r="M167" i="232"/>
  <c r="M216" i="232" s="1"/>
  <c r="D117" i="232"/>
  <c r="P102" i="232"/>
  <c r="P254" i="232"/>
  <c r="P255" i="232" s="1"/>
  <c r="P283" i="232"/>
  <c r="J163" i="232"/>
  <c r="J162" i="232"/>
  <c r="J161" i="232"/>
  <c r="E161" i="232"/>
  <c r="E163" i="232"/>
  <c r="E162" i="232"/>
  <c r="H162" i="232"/>
  <c r="H161" i="232"/>
  <c r="H163" i="232"/>
  <c r="O163" i="232"/>
  <c r="O162" i="232"/>
  <c r="O161" i="232"/>
  <c r="M158" i="232"/>
  <c r="M160" i="232"/>
  <c r="I167" i="232"/>
  <c r="E159" i="232"/>
  <c r="M165" i="232"/>
  <c r="M157" i="232"/>
  <c r="M174" i="232" s="1"/>
  <c r="M145" i="232"/>
  <c r="M146" i="232" s="1"/>
  <c r="M164" i="232"/>
  <c r="M156" i="232"/>
  <c r="M173" i="232" s="1"/>
  <c r="M155" i="232"/>
  <c r="E165" i="232"/>
  <c r="E157" i="232"/>
  <c r="E174" i="232" s="1"/>
  <c r="E145" i="232"/>
  <c r="E146" i="232" s="1"/>
  <c r="E164" i="232"/>
  <c r="E156" i="232"/>
  <c r="E173" i="232" s="1"/>
  <c r="E155" i="232"/>
  <c r="L167" i="232"/>
  <c r="H159" i="232"/>
  <c r="H166" i="232"/>
  <c r="L165" i="232"/>
  <c r="L157" i="232"/>
  <c r="L174" i="232" s="1"/>
  <c r="L145" i="232"/>
  <c r="L146" i="232" s="1"/>
  <c r="L164" i="232"/>
  <c r="L156" i="232"/>
  <c r="L173" i="232" s="1"/>
  <c r="L155" i="232"/>
  <c r="O166" i="232"/>
  <c r="K158" i="232"/>
  <c r="G160" i="232"/>
  <c r="G167" i="232"/>
  <c r="K129" i="232"/>
  <c r="N166" i="232"/>
  <c r="J158" i="232"/>
  <c r="J160" i="232"/>
  <c r="F167" i="232"/>
  <c r="J129" i="232"/>
  <c r="F163" i="232"/>
  <c r="F162" i="232"/>
  <c r="F161" i="232"/>
  <c r="D107" i="232"/>
  <c r="D111" i="232"/>
  <c r="D110" i="232"/>
  <c r="K163" i="232"/>
  <c r="K162" i="232"/>
  <c r="K161" i="232"/>
  <c r="M166" i="232"/>
  <c r="I158" i="232"/>
  <c r="I160" i="232"/>
  <c r="E167" i="232"/>
  <c r="I129" i="232"/>
  <c r="H129" i="232"/>
  <c r="L160" i="232"/>
  <c r="H167" i="232"/>
  <c r="D103" i="232"/>
  <c r="D101" i="232"/>
  <c r="O159" i="232"/>
  <c r="K166" i="232"/>
  <c r="G158" i="232"/>
  <c r="O155" i="232"/>
  <c r="O165" i="232"/>
  <c r="O157" i="232"/>
  <c r="O174" i="232" s="1"/>
  <c r="O145" i="232"/>
  <c r="O146" i="232" s="1"/>
  <c r="O164" i="232"/>
  <c r="O156" i="232"/>
  <c r="O173" i="232" s="1"/>
  <c r="G155" i="232"/>
  <c r="G165" i="232"/>
  <c r="G157" i="232"/>
  <c r="G174" i="232" s="1"/>
  <c r="G145" i="232"/>
  <c r="G146" i="232" s="1"/>
  <c r="G164" i="232"/>
  <c r="G156" i="232"/>
  <c r="G173" i="232" s="1"/>
  <c r="N159" i="232"/>
  <c r="J166" i="232"/>
  <c r="F158" i="232"/>
  <c r="F160" i="232"/>
  <c r="J164" i="232"/>
  <c r="J156" i="232"/>
  <c r="J173" i="232" s="1"/>
  <c r="J155" i="232"/>
  <c r="J165" i="232"/>
  <c r="J157" i="232"/>
  <c r="J174" i="232" s="1"/>
  <c r="J145" i="232"/>
  <c r="J146" i="232" s="1"/>
  <c r="M161" i="232"/>
  <c r="M163" i="232"/>
  <c r="M162" i="232"/>
  <c r="G163" i="232"/>
  <c r="G162" i="232"/>
  <c r="G161" i="232"/>
  <c r="D106" i="232"/>
  <c r="M159" i="232"/>
  <c r="I166" i="232"/>
  <c r="E158" i="232"/>
  <c r="E160" i="232"/>
  <c r="I165" i="232"/>
  <c r="I157" i="232"/>
  <c r="I174" i="232" s="1"/>
  <c r="I145" i="232"/>
  <c r="I146" i="232" s="1"/>
  <c r="I164" i="232"/>
  <c r="I156" i="232"/>
  <c r="I173" i="232" s="1"/>
  <c r="I155" i="232"/>
  <c r="H165" i="232"/>
  <c r="H157" i="232"/>
  <c r="H174" i="232" s="1"/>
  <c r="H145" i="232"/>
  <c r="H146" i="232" s="1"/>
  <c r="H164" i="232"/>
  <c r="H156" i="232"/>
  <c r="H173" i="232" s="1"/>
  <c r="H155" i="232"/>
  <c r="L158" i="232"/>
  <c r="H160" i="232"/>
  <c r="O160" i="232"/>
  <c r="O167" i="232"/>
  <c r="K159" i="232"/>
  <c r="G166" i="232"/>
  <c r="O129" i="232"/>
  <c r="G129" i="232"/>
  <c r="N167" i="232"/>
  <c r="J159" i="232"/>
  <c r="F166" i="232"/>
  <c r="N129" i="232"/>
  <c r="F129" i="232"/>
  <c r="N163" i="232"/>
  <c r="N162" i="232"/>
  <c r="N161" i="232"/>
  <c r="I161" i="232"/>
  <c r="I163" i="232"/>
  <c r="I162" i="232"/>
  <c r="L162" i="232"/>
  <c r="L161" i="232"/>
  <c r="L163" i="232"/>
  <c r="M129" i="232"/>
  <c r="E129" i="232"/>
  <c r="L159" i="232"/>
  <c r="L129" i="232"/>
  <c r="K160" i="232"/>
  <c r="K155" i="232"/>
  <c r="K165" i="232"/>
  <c r="K157" i="232"/>
  <c r="K174" i="232" s="1"/>
  <c r="K145" i="232"/>
  <c r="K146" i="232" s="1"/>
  <c r="K164" i="232"/>
  <c r="K156" i="232"/>
  <c r="K173" i="232" s="1"/>
  <c r="N158" i="232"/>
  <c r="N164" i="232"/>
  <c r="N156" i="232"/>
  <c r="N173" i="232" s="1"/>
  <c r="N155" i="232"/>
  <c r="N165" i="232"/>
  <c r="N157" i="232"/>
  <c r="N174" i="232" s="1"/>
  <c r="N145" i="232"/>
  <c r="N146" i="232" s="1"/>
  <c r="F164" i="232"/>
  <c r="F156" i="232"/>
  <c r="F173" i="232" s="1"/>
  <c r="F155" i="232"/>
  <c r="F165" i="232"/>
  <c r="F157" i="232"/>
  <c r="F174" i="232" s="1"/>
  <c r="F145" i="232"/>
  <c r="F146" i="232" s="1"/>
  <c r="F176" i="232" l="1"/>
  <c r="D128" i="232"/>
  <c r="G213" i="232"/>
  <c r="N177" i="232"/>
  <c r="N234" i="232" s="1"/>
  <c r="N269" i="232" s="1"/>
  <c r="P104" i="232"/>
  <c r="P119" i="232" s="1"/>
  <c r="P108" i="232"/>
  <c r="P112" i="232"/>
  <c r="L183" i="232"/>
  <c r="L285" i="232" s="1"/>
  <c r="I213" i="232"/>
  <c r="D120" i="232"/>
  <c r="D136" i="232" s="1"/>
  <c r="P136" i="232" s="1"/>
  <c r="O175" i="232"/>
  <c r="O231" i="232" s="1"/>
  <c r="O266" i="232" s="1"/>
  <c r="P109" i="232"/>
  <c r="E183" i="232"/>
  <c r="E285" i="232" s="1"/>
  <c r="J184" i="232"/>
  <c r="J293" i="232" s="1"/>
  <c r="K216" i="232"/>
  <c r="H212" i="232"/>
  <c r="M184" i="232"/>
  <c r="M235" i="232" s="1"/>
  <c r="M270" i="232" s="1"/>
  <c r="G210" i="232"/>
  <c r="G180" i="232"/>
  <c r="J168" i="232"/>
  <c r="J169" i="232" s="1"/>
  <c r="J203" i="232"/>
  <c r="J172" i="232"/>
  <c r="G203" i="232"/>
  <c r="G168" i="232"/>
  <c r="G169" i="232" s="1"/>
  <c r="G172" i="232"/>
  <c r="K211" i="232"/>
  <c r="K183" i="232"/>
  <c r="E216" i="232"/>
  <c r="E184" i="232"/>
  <c r="D126" i="232"/>
  <c r="P111" i="232"/>
  <c r="F210" i="232"/>
  <c r="F180" i="232"/>
  <c r="J212" i="232"/>
  <c r="J175" i="232"/>
  <c r="L205" i="232"/>
  <c r="L182" i="232"/>
  <c r="E213" i="232"/>
  <c r="E176" i="232"/>
  <c r="N212" i="232"/>
  <c r="N175" i="232"/>
  <c r="L210" i="232"/>
  <c r="L180" i="232"/>
  <c r="N210" i="232"/>
  <c r="N180" i="232"/>
  <c r="O216" i="232"/>
  <c r="O184" i="232"/>
  <c r="H203" i="232"/>
  <c r="H172" i="232"/>
  <c r="H168" i="232"/>
  <c r="H169" i="232" s="1"/>
  <c r="I204" i="232"/>
  <c r="I181" i="232"/>
  <c r="I223" i="232" s="1"/>
  <c r="I259" i="232" s="1"/>
  <c r="E215" i="232"/>
  <c r="E177" i="232"/>
  <c r="P106" i="232"/>
  <c r="D121" i="232"/>
  <c r="M179" i="232"/>
  <c r="M209" i="232"/>
  <c r="J211" i="232"/>
  <c r="J183" i="232"/>
  <c r="O205" i="232"/>
  <c r="O182" i="232"/>
  <c r="O282" i="232" s="1"/>
  <c r="O213" i="232"/>
  <c r="O176" i="232"/>
  <c r="L215" i="232"/>
  <c r="L177" i="232"/>
  <c r="I215" i="232"/>
  <c r="I177" i="232"/>
  <c r="K179" i="232"/>
  <c r="K209" i="232"/>
  <c r="D122" i="232"/>
  <c r="P107" i="232"/>
  <c r="P123" i="232"/>
  <c r="D139" i="232"/>
  <c r="P139" i="232" s="1"/>
  <c r="N211" i="232"/>
  <c r="N183" i="232"/>
  <c r="K212" i="232"/>
  <c r="K175" i="232"/>
  <c r="L204" i="232"/>
  <c r="L181" i="232"/>
  <c r="L223" i="232" s="1"/>
  <c r="L259" i="232" s="1"/>
  <c r="H211" i="232"/>
  <c r="H183" i="232"/>
  <c r="E205" i="232"/>
  <c r="E182" i="232"/>
  <c r="E282" i="232" s="1"/>
  <c r="I216" i="232"/>
  <c r="I184" i="232"/>
  <c r="O179" i="232"/>
  <c r="O209" i="232"/>
  <c r="H179" i="232"/>
  <c r="H209" i="232"/>
  <c r="E210" i="232"/>
  <c r="E180" i="232"/>
  <c r="J210" i="232"/>
  <c r="J180" i="232"/>
  <c r="D133" i="232"/>
  <c r="P133" i="232" s="1"/>
  <c r="P117" i="232"/>
  <c r="I179" i="232"/>
  <c r="I209" i="232"/>
  <c r="N216" i="232"/>
  <c r="N184" i="232"/>
  <c r="L212" i="232"/>
  <c r="L175" i="232"/>
  <c r="M213" i="232"/>
  <c r="M176" i="232"/>
  <c r="F212" i="232"/>
  <c r="F175" i="232"/>
  <c r="H216" i="232"/>
  <c r="H184" i="232"/>
  <c r="K208" i="232"/>
  <c r="K178" i="232"/>
  <c r="G215" i="232"/>
  <c r="G177" i="232"/>
  <c r="E203" i="232"/>
  <c r="E172" i="232"/>
  <c r="E168" i="232"/>
  <c r="E169" i="232" s="1"/>
  <c r="M204" i="232"/>
  <c r="M181" i="232"/>
  <c r="M223" i="232" s="1"/>
  <c r="M259" i="232" s="1"/>
  <c r="O208" i="232"/>
  <c r="O178" i="232"/>
  <c r="H178" i="232"/>
  <c r="H208" i="232"/>
  <c r="J209" i="232"/>
  <c r="J179" i="232"/>
  <c r="H286" i="232"/>
  <c r="H231" i="232"/>
  <c r="H266" i="232" s="1"/>
  <c r="M293" i="232"/>
  <c r="G287" i="232"/>
  <c r="G232" i="232"/>
  <c r="G267" i="232" s="1"/>
  <c r="N205" i="232"/>
  <c r="N182" i="232"/>
  <c r="N282" i="232" s="1"/>
  <c r="I210" i="232"/>
  <c r="I180" i="232"/>
  <c r="F204" i="232"/>
  <c r="F181" i="232"/>
  <c r="F223" i="232" s="1"/>
  <c r="F259" i="232" s="1"/>
  <c r="N168" i="232"/>
  <c r="N169" i="232" s="1"/>
  <c r="N203" i="232"/>
  <c r="N172" i="232"/>
  <c r="K205" i="232"/>
  <c r="K182" i="232"/>
  <c r="K282" i="232" s="1"/>
  <c r="L213" i="232"/>
  <c r="L176" i="232"/>
  <c r="L178" i="232"/>
  <c r="L208" i="232"/>
  <c r="I178" i="232"/>
  <c r="I208" i="232"/>
  <c r="F211" i="232"/>
  <c r="F183" i="232"/>
  <c r="O215" i="232"/>
  <c r="O177" i="232"/>
  <c r="H205" i="232"/>
  <c r="H182" i="232"/>
  <c r="H224" i="232" s="1"/>
  <c r="H260" i="232" s="1"/>
  <c r="E212" i="232"/>
  <c r="E175" i="232"/>
  <c r="G208" i="232"/>
  <c r="G178" i="232"/>
  <c r="M210" i="232"/>
  <c r="M180" i="232"/>
  <c r="J204" i="232"/>
  <c r="J181" i="232"/>
  <c r="J223" i="232" s="1"/>
  <c r="J259" i="232" s="1"/>
  <c r="N213" i="232"/>
  <c r="N176" i="232"/>
  <c r="O204" i="232"/>
  <c r="O181" i="232"/>
  <c r="O223" i="232" s="1"/>
  <c r="O259" i="232" s="1"/>
  <c r="O203" i="232"/>
  <c r="O172" i="232"/>
  <c r="O168" i="232"/>
  <c r="O169" i="232" s="1"/>
  <c r="D116" i="232"/>
  <c r="P101" i="232"/>
  <c r="I212" i="232"/>
  <c r="I175" i="232"/>
  <c r="K210" i="232"/>
  <c r="K180" i="232"/>
  <c r="F178" i="232"/>
  <c r="F208" i="232"/>
  <c r="F216" i="232"/>
  <c r="F184" i="232"/>
  <c r="O211" i="232"/>
  <c r="O183" i="232"/>
  <c r="H213" i="232"/>
  <c r="H176" i="232"/>
  <c r="E204" i="232"/>
  <c r="E181" i="232"/>
  <c r="E223" i="232" s="1"/>
  <c r="E259" i="232" s="1"/>
  <c r="M203" i="232"/>
  <c r="M172" i="232"/>
  <c r="M168" i="232"/>
  <c r="M169" i="232" s="1"/>
  <c r="M215" i="232"/>
  <c r="M177" i="232"/>
  <c r="O210" i="232"/>
  <c r="O180" i="232"/>
  <c r="E178" i="232"/>
  <c r="E208" i="232"/>
  <c r="I287" i="232"/>
  <c r="I232" i="232"/>
  <c r="I267" i="232" s="1"/>
  <c r="K293" i="232"/>
  <c r="K235" i="232"/>
  <c r="K270" i="232" s="1"/>
  <c r="O286" i="232"/>
  <c r="F287" i="232"/>
  <c r="F232" i="232"/>
  <c r="F267" i="232" s="1"/>
  <c r="F168" i="232"/>
  <c r="F169" i="232" s="1"/>
  <c r="F203" i="232"/>
  <c r="F172" i="232"/>
  <c r="N204" i="232"/>
  <c r="N181" i="232"/>
  <c r="N223" i="232" s="1"/>
  <c r="N259" i="232" s="1"/>
  <c r="K215" i="232"/>
  <c r="K177" i="232"/>
  <c r="N209" i="232"/>
  <c r="N179" i="232"/>
  <c r="K213" i="232"/>
  <c r="K176" i="232"/>
  <c r="I205" i="232"/>
  <c r="I182" i="232"/>
  <c r="I224" i="232" s="1"/>
  <c r="I260" i="232" s="1"/>
  <c r="G204" i="232"/>
  <c r="G181" i="232"/>
  <c r="G223" i="232" s="1"/>
  <c r="G259" i="232" s="1"/>
  <c r="E179" i="232"/>
  <c r="E209" i="232"/>
  <c r="F205" i="232"/>
  <c r="F182" i="232"/>
  <c r="F282" i="232" s="1"/>
  <c r="K204" i="232"/>
  <c r="K181" i="232"/>
  <c r="K223" i="232" s="1"/>
  <c r="K259" i="232" s="1"/>
  <c r="K203" i="232"/>
  <c r="K168" i="232"/>
  <c r="K169" i="232" s="1"/>
  <c r="K172" i="232"/>
  <c r="L179" i="232"/>
  <c r="L209" i="232"/>
  <c r="N178" i="232"/>
  <c r="N208" i="232"/>
  <c r="P124" i="232"/>
  <c r="D140" i="232"/>
  <c r="P140" i="232" s="1"/>
  <c r="J213" i="232"/>
  <c r="J176" i="232"/>
  <c r="G211" i="232"/>
  <c r="G183" i="232"/>
  <c r="H215" i="232"/>
  <c r="H177" i="232"/>
  <c r="H204" i="232"/>
  <c r="H181" i="232"/>
  <c r="H223" i="232" s="1"/>
  <c r="H259" i="232" s="1"/>
  <c r="I203" i="232"/>
  <c r="I172" i="232"/>
  <c r="I168" i="232"/>
  <c r="I169" i="232" s="1"/>
  <c r="I211" i="232"/>
  <c r="I183" i="232"/>
  <c r="G179" i="232"/>
  <c r="G209" i="232"/>
  <c r="M178" i="232"/>
  <c r="M208" i="232"/>
  <c r="J205" i="232"/>
  <c r="J182" i="232"/>
  <c r="J282" i="232" s="1"/>
  <c r="F215" i="232"/>
  <c r="F177" i="232"/>
  <c r="G205" i="232"/>
  <c r="G182" i="232"/>
  <c r="G282" i="232" s="1"/>
  <c r="G212" i="232"/>
  <c r="G175" i="232"/>
  <c r="D118" i="232"/>
  <c r="P103" i="232"/>
  <c r="M211" i="232"/>
  <c r="M183" i="232"/>
  <c r="P110" i="232"/>
  <c r="D125" i="232"/>
  <c r="P135" i="232"/>
  <c r="P128" i="232"/>
  <c r="D144" i="232"/>
  <c r="P144" i="232" s="1"/>
  <c r="F209" i="232"/>
  <c r="F179" i="232"/>
  <c r="J215" i="232"/>
  <c r="J177" i="232"/>
  <c r="G216" i="232"/>
  <c r="G184" i="232"/>
  <c r="L203" i="232"/>
  <c r="L172" i="232"/>
  <c r="L168" i="232"/>
  <c r="L169" i="232" s="1"/>
  <c r="L282" i="232"/>
  <c r="L224" i="232"/>
  <c r="L260" i="232" s="1"/>
  <c r="L216" i="232"/>
  <c r="L184" i="232"/>
  <c r="M281" i="232"/>
  <c r="M205" i="232"/>
  <c r="M182" i="232"/>
  <c r="M282" i="232" s="1"/>
  <c r="M212" i="232"/>
  <c r="M175" i="232"/>
  <c r="H180" i="232"/>
  <c r="H210" i="232"/>
  <c r="P127" i="232"/>
  <c r="D143" i="232"/>
  <c r="P143" i="232" s="1"/>
  <c r="J178" i="232"/>
  <c r="J208" i="232"/>
  <c r="N289" i="232" l="1"/>
  <c r="L230" i="232"/>
  <c r="L265" i="232" s="1"/>
  <c r="L281" i="232"/>
  <c r="E230" i="232"/>
  <c r="E265" i="232" s="1"/>
  <c r="J235" i="232"/>
  <c r="J270" i="232" s="1"/>
  <c r="I282" i="232"/>
  <c r="E224" i="232"/>
  <c r="E260" i="232" s="1"/>
  <c r="O224" i="232"/>
  <c r="O260" i="232" s="1"/>
  <c r="K217" i="232"/>
  <c r="K218" i="232" s="1"/>
  <c r="G281" i="232"/>
  <c r="E281" i="232"/>
  <c r="J224" i="232"/>
  <c r="J260" i="232" s="1"/>
  <c r="F281" i="232"/>
  <c r="N224" i="232"/>
  <c r="N260" i="232" s="1"/>
  <c r="M217" i="232"/>
  <c r="M218" i="232" s="1"/>
  <c r="F217" i="232"/>
  <c r="F218" i="232" s="1"/>
  <c r="M224" i="232"/>
  <c r="M260" i="232" s="1"/>
  <c r="I281" i="232"/>
  <c r="G293" i="232"/>
  <c r="G235" i="232"/>
  <c r="G270" i="232" s="1"/>
  <c r="F291" i="232"/>
  <c r="F228" i="232"/>
  <c r="F263" i="232" s="1"/>
  <c r="M285" i="232"/>
  <c r="M230" i="232"/>
  <c r="M265" i="232" s="1"/>
  <c r="G286" i="232"/>
  <c r="G231" i="232"/>
  <c r="G266" i="232" s="1"/>
  <c r="G285" i="232"/>
  <c r="G230" i="232"/>
  <c r="G265" i="232" s="1"/>
  <c r="P116" i="232"/>
  <c r="D132" i="232"/>
  <c r="D129" i="232"/>
  <c r="P129" i="232" s="1"/>
  <c r="N287" i="232"/>
  <c r="N232" i="232"/>
  <c r="N267" i="232" s="1"/>
  <c r="G290" i="232"/>
  <c r="G227" i="232"/>
  <c r="G262" i="232" s="1"/>
  <c r="N280" i="232"/>
  <c r="N222" i="232"/>
  <c r="N185" i="232"/>
  <c r="N199" i="232" s="1"/>
  <c r="N294" i="232" s="1"/>
  <c r="D138" i="232"/>
  <c r="P122" i="232"/>
  <c r="J285" i="232"/>
  <c r="J230" i="232"/>
  <c r="J265" i="232" s="1"/>
  <c r="M291" i="232"/>
  <c r="M228" i="232"/>
  <c r="M263" i="232" s="1"/>
  <c r="H282" i="232"/>
  <c r="O293" i="232"/>
  <c r="O235" i="232"/>
  <c r="O270" i="232" s="1"/>
  <c r="L292" i="232"/>
  <c r="L229" i="232"/>
  <c r="L264" i="232" s="1"/>
  <c r="L293" i="232"/>
  <c r="L235" i="232"/>
  <c r="L270" i="232" s="1"/>
  <c r="F289" i="232"/>
  <c r="F234" i="232"/>
  <c r="F269" i="232" s="1"/>
  <c r="L291" i="232"/>
  <c r="L228" i="232"/>
  <c r="L263" i="232" s="1"/>
  <c r="N291" i="232"/>
  <c r="N228" i="232"/>
  <c r="N263" i="232" s="1"/>
  <c r="O285" i="232"/>
  <c r="O230" i="232"/>
  <c r="O265" i="232" s="1"/>
  <c r="I286" i="232"/>
  <c r="I231" i="232"/>
  <c r="I266" i="232" s="1"/>
  <c r="F285" i="232"/>
  <c r="F230" i="232"/>
  <c r="F265" i="232" s="1"/>
  <c r="N217" i="232"/>
  <c r="N218" i="232" s="1"/>
  <c r="F224" i="232"/>
  <c r="F260" i="232" s="1"/>
  <c r="K224" i="232"/>
  <c r="K260" i="232" s="1"/>
  <c r="E217" i="232"/>
  <c r="E218" i="232" s="1"/>
  <c r="H291" i="232"/>
  <c r="H228" i="232"/>
  <c r="H263" i="232" s="1"/>
  <c r="H285" i="232"/>
  <c r="H230" i="232"/>
  <c r="H265" i="232" s="1"/>
  <c r="K286" i="232"/>
  <c r="K231" i="232"/>
  <c r="K266" i="232" s="1"/>
  <c r="L289" i="232"/>
  <c r="L234" i="232"/>
  <c r="L269" i="232" s="1"/>
  <c r="D137" i="232"/>
  <c r="P121" i="232"/>
  <c r="E287" i="232"/>
  <c r="E232" i="232"/>
  <c r="E267" i="232" s="1"/>
  <c r="J286" i="232"/>
  <c r="J231" i="232"/>
  <c r="J266" i="232" s="1"/>
  <c r="K285" i="232"/>
  <c r="K230" i="232"/>
  <c r="K265" i="232" s="1"/>
  <c r="G217" i="232"/>
  <c r="G218" i="232" s="1"/>
  <c r="G292" i="232"/>
  <c r="G229" i="232"/>
  <c r="G264" i="232" s="1"/>
  <c r="M286" i="232"/>
  <c r="M231" i="232"/>
  <c r="M266" i="232" s="1"/>
  <c r="I285" i="232"/>
  <c r="I230" i="232"/>
  <c r="I265" i="232" s="1"/>
  <c r="L280" i="232"/>
  <c r="L222" i="232"/>
  <c r="L185" i="232"/>
  <c r="L199" i="232" s="1"/>
  <c r="L294" i="232" s="1"/>
  <c r="J289" i="232"/>
  <c r="J234" i="232"/>
  <c r="J269" i="232" s="1"/>
  <c r="D141" i="232"/>
  <c r="P141" i="232" s="1"/>
  <c r="P125" i="232"/>
  <c r="M290" i="232"/>
  <c r="M227" i="232"/>
  <c r="M262" i="232" s="1"/>
  <c r="I280" i="232"/>
  <c r="I222" i="232"/>
  <c r="I185" i="232"/>
  <c r="I199" i="232" s="1"/>
  <c r="I294" i="232" s="1"/>
  <c r="H289" i="232"/>
  <c r="H234" i="232"/>
  <c r="H269" i="232" s="1"/>
  <c r="J287" i="232"/>
  <c r="J232" i="232"/>
  <c r="J267" i="232" s="1"/>
  <c r="K280" i="232"/>
  <c r="K222" i="232"/>
  <c r="K185" i="232"/>
  <c r="K199" i="232" s="1"/>
  <c r="K294" i="232" s="1"/>
  <c r="M289" i="232"/>
  <c r="M234" i="232"/>
  <c r="M269" i="232" s="1"/>
  <c r="F290" i="232"/>
  <c r="F227" i="232"/>
  <c r="F262" i="232" s="1"/>
  <c r="O280" i="232"/>
  <c r="O222" i="232"/>
  <c r="O185" i="232"/>
  <c r="O199" i="232" s="1"/>
  <c r="O294" i="232" s="1"/>
  <c r="G224" i="232"/>
  <c r="G260" i="232" s="1"/>
  <c r="M292" i="232"/>
  <c r="M229" i="232"/>
  <c r="M264" i="232" s="1"/>
  <c r="E286" i="232"/>
  <c r="E231" i="232"/>
  <c r="E266" i="232" s="1"/>
  <c r="H281" i="232"/>
  <c r="L290" i="232"/>
  <c r="L227" i="232"/>
  <c r="L262" i="232" s="1"/>
  <c r="H290" i="232"/>
  <c r="H227" i="232"/>
  <c r="H262" i="232" s="1"/>
  <c r="G289" i="232"/>
  <c r="G234" i="232"/>
  <c r="G269" i="232" s="1"/>
  <c r="H293" i="232"/>
  <c r="H235" i="232"/>
  <c r="H270" i="232" s="1"/>
  <c r="F286" i="232"/>
  <c r="F231" i="232"/>
  <c r="F266" i="232" s="1"/>
  <c r="L286" i="232"/>
  <c r="L231" i="232"/>
  <c r="L266" i="232" s="1"/>
  <c r="E292" i="232"/>
  <c r="E229" i="232"/>
  <c r="E264" i="232" s="1"/>
  <c r="K291" i="232"/>
  <c r="K228" i="232"/>
  <c r="K263" i="232" s="1"/>
  <c r="J281" i="232"/>
  <c r="H280" i="232"/>
  <c r="H222" i="232"/>
  <c r="H185" i="232"/>
  <c r="H199" i="232" s="1"/>
  <c r="H294" i="232" s="1"/>
  <c r="N292" i="232"/>
  <c r="N229" i="232"/>
  <c r="N264" i="232" s="1"/>
  <c r="N286" i="232"/>
  <c r="N231" i="232"/>
  <c r="N266" i="232" s="1"/>
  <c r="D142" i="232"/>
  <c r="P142" i="232" s="1"/>
  <c r="P126" i="232"/>
  <c r="J280" i="232"/>
  <c r="J222" i="232"/>
  <c r="J185" i="232"/>
  <c r="J199" i="232" s="1"/>
  <c r="J294" i="232" s="1"/>
  <c r="G291" i="232"/>
  <c r="G228" i="232"/>
  <c r="G263" i="232" s="1"/>
  <c r="O292" i="232"/>
  <c r="O229" i="232"/>
  <c r="O264" i="232" s="1"/>
  <c r="I290" i="232"/>
  <c r="I227" i="232"/>
  <c r="I262" i="232" s="1"/>
  <c r="E280" i="232"/>
  <c r="E222" i="232"/>
  <c r="E185" i="232"/>
  <c r="E199" i="232" s="1"/>
  <c r="E294" i="232" s="1"/>
  <c r="K290" i="232"/>
  <c r="K227" i="232"/>
  <c r="K262" i="232" s="1"/>
  <c r="M287" i="232"/>
  <c r="M232" i="232"/>
  <c r="M267" i="232" s="1"/>
  <c r="N235" i="232"/>
  <c r="N270" i="232" s="1"/>
  <c r="N293" i="232"/>
  <c r="J292" i="232"/>
  <c r="J229" i="232"/>
  <c r="J264" i="232" s="1"/>
  <c r="I293" i="232"/>
  <c r="I235" i="232"/>
  <c r="I270" i="232" s="1"/>
  <c r="J290" i="232"/>
  <c r="J227" i="232"/>
  <c r="J262" i="232" s="1"/>
  <c r="H292" i="232"/>
  <c r="H229" i="232"/>
  <c r="H264" i="232" s="1"/>
  <c r="L217" i="232"/>
  <c r="L218" i="232" s="1"/>
  <c r="D134" i="232"/>
  <c r="P134" i="232" s="1"/>
  <c r="P118" i="232"/>
  <c r="I217" i="232"/>
  <c r="I218" i="232" s="1"/>
  <c r="N290" i="232"/>
  <c r="N227" i="232"/>
  <c r="N262" i="232" s="1"/>
  <c r="N281" i="232"/>
  <c r="E291" i="232"/>
  <c r="E228" i="232"/>
  <c r="E263" i="232" s="1"/>
  <c r="K287" i="232"/>
  <c r="K232" i="232"/>
  <c r="K267" i="232" s="1"/>
  <c r="K289" i="232"/>
  <c r="K234" i="232"/>
  <c r="K269" i="232" s="1"/>
  <c r="F280" i="232"/>
  <c r="F222" i="232"/>
  <c r="F185" i="232"/>
  <c r="F199" i="232" s="1"/>
  <c r="F294" i="232" s="1"/>
  <c r="E290" i="232"/>
  <c r="E227" i="232"/>
  <c r="E262" i="232" s="1"/>
  <c r="M280" i="232"/>
  <c r="M222" i="232"/>
  <c r="M185" i="232"/>
  <c r="M199" i="232" s="1"/>
  <c r="M294" i="232" s="1"/>
  <c r="H287" i="232"/>
  <c r="H232" i="232"/>
  <c r="H267" i="232" s="1"/>
  <c r="F293" i="232"/>
  <c r="F235" i="232"/>
  <c r="F270" i="232" s="1"/>
  <c r="K292" i="232"/>
  <c r="K229" i="232"/>
  <c r="K264" i="232" s="1"/>
  <c r="O217" i="232"/>
  <c r="O218" i="232" s="1"/>
  <c r="O289" i="232"/>
  <c r="O234" i="232"/>
  <c r="O269" i="232" s="1"/>
  <c r="L287" i="232"/>
  <c r="L232" i="232"/>
  <c r="L267" i="232" s="1"/>
  <c r="K281" i="232"/>
  <c r="I292" i="232"/>
  <c r="I229" i="232"/>
  <c r="I264" i="232" s="1"/>
  <c r="J291" i="232"/>
  <c r="J228" i="232"/>
  <c r="J263" i="232" s="1"/>
  <c r="O290" i="232"/>
  <c r="O227" i="232"/>
  <c r="O262" i="232" s="1"/>
  <c r="I291" i="232"/>
  <c r="I228" i="232"/>
  <c r="I263" i="232" s="1"/>
  <c r="O291" i="232"/>
  <c r="O228" i="232"/>
  <c r="O263" i="232" s="1"/>
  <c r="N285" i="232"/>
  <c r="N230" i="232"/>
  <c r="N265" i="232" s="1"/>
  <c r="I289" i="232"/>
  <c r="I234" i="232"/>
  <c r="I269" i="232" s="1"/>
  <c r="O287" i="232"/>
  <c r="O232" i="232"/>
  <c r="O267" i="232" s="1"/>
  <c r="O281" i="232"/>
  <c r="E289" i="232"/>
  <c r="E234" i="232"/>
  <c r="E269" i="232" s="1"/>
  <c r="H217" i="232"/>
  <c r="F292" i="232"/>
  <c r="F229" i="232"/>
  <c r="F264" i="232" s="1"/>
  <c r="E293" i="232"/>
  <c r="E235" i="232"/>
  <c r="E270" i="232" s="1"/>
  <c r="G280" i="232"/>
  <c r="G222" i="232"/>
  <c r="G185" i="232"/>
  <c r="G199" i="232" s="1"/>
  <c r="G294" i="232" s="1"/>
  <c r="J217" i="232"/>
  <c r="J218" i="232" s="1"/>
  <c r="N275" i="232" l="1"/>
  <c r="L275" i="232"/>
  <c r="E275" i="232"/>
  <c r="I258" i="232"/>
  <c r="I236" i="232"/>
  <c r="I237" i="232" s="1"/>
  <c r="D165" i="232"/>
  <c r="D157" i="232"/>
  <c r="D145" i="232"/>
  <c r="D164" i="232"/>
  <c r="D156" i="232"/>
  <c r="P132" i="232"/>
  <c r="D155" i="232"/>
  <c r="E258" i="232"/>
  <c r="E236" i="232"/>
  <c r="E237" i="232" s="1"/>
  <c r="O236" i="232"/>
  <c r="O237" i="232" s="1"/>
  <c r="O258" i="232"/>
  <c r="K236" i="232"/>
  <c r="K237" i="232" s="1"/>
  <c r="K258" i="232"/>
  <c r="L258" i="232"/>
  <c r="L236" i="232"/>
  <c r="L237" i="232" s="1"/>
  <c r="P137" i="232"/>
  <c r="D160" i="232"/>
  <c r="D167" i="232"/>
  <c r="D159" i="232"/>
  <c r="D166" i="232"/>
  <c r="D158" i="232"/>
  <c r="N258" i="232"/>
  <c r="N236" i="232"/>
  <c r="N237" i="232" s="1"/>
  <c r="J275" i="232"/>
  <c r="M258" i="232"/>
  <c r="M236" i="232"/>
  <c r="M237" i="232" s="1"/>
  <c r="J258" i="232"/>
  <c r="J236" i="232"/>
  <c r="J237" i="232" s="1"/>
  <c r="K275" i="232"/>
  <c r="H275" i="232"/>
  <c r="G275" i="232"/>
  <c r="M275" i="232"/>
  <c r="G236" i="232"/>
  <c r="G237" i="232" s="1"/>
  <c r="G258" i="232"/>
  <c r="F236" i="232"/>
  <c r="F237" i="232" s="1"/>
  <c r="F258" i="232"/>
  <c r="H236" i="232"/>
  <c r="H237" i="232" s="1"/>
  <c r="H258" i="232"/>
  <c r="I275" i="232"/>
  <c r="F275" i="232"/>
  <c r="O275" i="232"/>
  <c r="D162" i="232"/>
  <c r="P138" i="232"/>
  <c r="D161" i="232"/>
  <c r="D163" i="232"/>
  <c r="H274" i="232" l="1"/>
  <c r="H276" i="232" s="1"/>
  <c r="H271" i="232"/>
  <c r="H272" i="232" s="1"/>
  <c r="D180" i="232"/>
  <c r="D210" i="232"/>
  <c r="P210" i="232" s="1"/>
  <c r="P163" i="232"/>
  <c r="M274" i="232"/>
  <c r="M276" i="232" s="1"/>
  <c r="M271" i="232"/>
  <c r="M272" i="232" s="1"/>
  <c r="D215" i="232"/>
  <c r="P215" i="232" s="1"/>
  <c r="D177" i="232"/>
  <c r="P160" i="232"/>
  <c r="K271" i="232"/>
  <c r="K272" i="232" s="1"/>
  <c r="K274" i="232"/>
  <c r="K276" i="232" s="1"/>
  <c r="D173" i="232"/>
  <c r="P156" i="232"/>
  <c r="D205" i="232"/>
  <c r="P205" i="232" s="1"/>
  <c r="D182" i="232"/>
  <c r="P182" i="232" s="1"/>
  <c r="P165" i="232"/>
  <c r="D179" i="232"/>
  <c r="D209" i="232"/>
  <c r="P209" i="232" s="1"/>
  <c r="P162" i="232"/>
  <c r="G271" i="232"/>
  <c r="G272" i="232" s="1"/>
  <c r="G274" i="232"/>
  <c r="G276" i="232" s="1"/>
  <c r="N271" i="232"/>
  <c r="N272" i="232" s="1"/>
  <c r="N274" i="232"/>
  <c r="N276" i="232" s="1"/>
  <c r="D174" i="232"/>
  <c r="P157" i="232"/>
  <c r="D212" i="232"/>
  <c r="P212" i="232" s="1"/>
  <c r="D175" i="232"/>
  <c r="P158" i="232"/>
  <c r="D178" i="232"/>
  <c r="D208" i="232"/>
  <c r="P208" i="232" s="1"/>
  <c r="P161" i="232"/>
  <c r="F274" i="232"/>
  <c r="F276" i="232" s="1"/>
  <c r="F271" i="232"/>
  <c r="F272" i="232" s="1"/>
  <c r="D211" i="232"/>
  <c r="P211" i="232" s="1"/>
  <c r="D183" i="232"/>
  <c r="P166" i="232"/>
  <c r="E274" i="232"/>
  <c r="E276" i="232" s="1"/>
  <c r="E271" i="232"/>
  <c r="E272" i="232" s="1"/>
  <c r="D204" i="232"/>
  <c r="P204" i="232" s="1"/>
  <c r="D181" i="232"/>
  <c r="P164" i="232"/>
  <c r="D216" i="232"/>
  <c r="P216" i="232" s="1"/>
  <c r="D184" i="232"/>
  <c r="P167" i="232"/>
  <c r="L274" i="232"/>
  <c r="L276" i="232" s="1"/>
  <c r="L271" i="232"/>
  <c r="L272" i="232" s="1"/>
  <c r="J271" i="232"/>
  <c r="J272" i="232" s="1"/>
  <c r="J274" i="232"/>
  <c r="J276" i="232" s="1"/>
  <c r="D213" i="232"/>
  <c r="P213" i="232" s="1"/>
  <c r="D176" i="232"/>
  <c r="P159" i="232"/>
  <c r="O271" i="232"/>
  <c r="O272" i="232" s="1"/>
  <c r="O274" i="232"/>
  <c r="O276" i="232" s="1"/>
  <c r="D203" i="232"/>
  <c r="D172" i="232"/>
  <c r="D168" i="232"/>
  <c r="D169" i="232" s="1"/>
  <c r="P155" i="232"/>
  <c r="D146" i="232"/>
  <c r="P145" i="232"/>
  <c r="P146" i="232" s="1"/>
  <c r="I274" i="232"/>
  <c r="I276" i="232" s="1"/>
  <c r="I271" i="232"/>
  <c r="I272" i="232" s="1"/>
  <c r="O277" i="232" l="1"/>
  <c r="G277" i="232"/>
  <c r="N277" i="232"/>
  <c r="K277" i="232"/>
  <c r="F277" i="232"/>
  <c r="H277" i="232"/>
  <c r="D285" i="232"/>
  <c r="D230" i="232"/>
  <c r="P183" i="232"/>
  <c r="P285" i="232" s="1"/>
  <c r="D217" i="232"/>
  <c r="D218" i="232" s="1"/>
  <c r="P203" i="232"/>
  <c r="P217" i="232" s="1"/>
  <c r="P218" i="232" s="1"/>
  <c r="D292" i="232"/>
  <c r="P292" i="232" s="1"/>
  <c r="D229" i="232"/>
  <c r="P180" i="232"/>
  <c r="D293" i="232"/>
  <c r="P293" i="232" s="1"/>
  <c r="D235" i="232"/>
  <c r="D270" i="232" s="1"/>
  <c r="P270" i="232" s="1"/>
  <c r="P184" i="232"/>
  <c r="P235" i="232" s="1"/>
  <c r="D286" i="232"/>
  <c r="P286" i="232" s="1"/>
  <c r="D231" i="232"/>
  <c r="P175" i="232"/>
  <c r="D287" i="232"/>
  <c r="P287" i="232" s="1"/>
  <c r="D232" i="232"/>
  <c r="P176" i="232"/>
  <c r="P168" i="232"/>
  <c r="P169" i="232" s="1"/>
  <c r="L277" i="232"/>
  <c r="E277" i="232"/>
  <c r="D290" i="232"/>
  <c r="P290" i="232" s="1"/>
  <c r="D227" i="232"/>
  <c r="P178" i="232"/>
  <c r="D291" i="232"/>
  <c r="P291" i="232" s="1"/>
  <c r="D228" i="232"/>
  <c r="P179" i="232"/>
  <c r="M277" i="232"/>
  <c r="D280" i="232"/>
  <c r="P280" i="232" s="1"/>
  <c r="D222" i="232"/>
  <c r="P172" i="232"/>
  <c r="D185" i="232"/>
  <c r="D199" i="232" s="1"/>
  <c r="D294" i="232" s="1"/>
  <c r="P294" i="232" s="1"/>
  <c r="I277" i="232"/>
  <c r="J277" i="232"/>
  <c r="D223" i="232"/>
  <c r="P181" i="232"/>
  <c r="D282" i="232"/>
  <c r="P282" i="232" s="1"/>
  <c r="D224" i="232"/>
  <c r="P174" i="232"/>
  <c r="D281" i="232"/>
  <c r="P281" i="232" s="1"/>
  <c r="P173" i="232"/>
  <c r="D289" i="232"/>
  <c r="P289" i="232" s="1"/>
  <c r="D234" i="232"/>
  <c r="P177" i="232"/>
  <c r="D264" i="232" l="1"/>
  <c r="P264" i="232" s="1"/>
  <c r="P229" i="232"/>
  <c r="D267" i="232"/>
  <c r="P267" i="232" s="1"/>
  <c r="P232" i="232"/>
  <c r="D269" i="232"/>
  <c r="P269" i="232" s="1"/>
  <c r="P234" i="232"/>
  <c r="D259" i="232"/>
  <c r="P259" i="232" s="1"/>
  <c r="P223" i="232"/>
  <c r="P185" i="232"/>
  <c r="P199" i="232" s="1"/>
  <c r="D262" i="232"/>
  <c r="P262" i="232" s="1"/>
  <c r="P227" i="232"/>
  <c r="D265" i="232"/>
  <c r="P230" i="232"/>
  <c r="D260" i="232"/>
  <c r="P260" i="232" s="1"/>
  <c r="P224" i="232"/>
  <c r="P222" i="232"/>
  <c r="D258" i="232"/>
  <c r="D236" i="232"/>
  <c r="D237" i="232" s="1"/>
  <c r="D263" i="232"/>
  <c r="P263" i="232" s="1"/>
  <c r="P228" i="232"/>
  <c r="D266" i="232"/>
  <c r="P266" i="232" s="1"/>
  <c r="P231" i="232"/>
  <c r="P236" i="232" l="1"/>
  <c r="P237" i="232" s="1"/>
  <c r="D275" i="232"/>
  <c r="P275" i="232" s="1"/>
  <c r="P265" i="232"/>
  <c r="D274" i="232"/>
  <c r="D271" i="232"/>
  <c r="D272" i="232" s="1"/>
  <c r="P258" i="232"/>
  <c r="P274" i="232" l="1"/>
  <c r="P276" i="232" s="1"/>
  <c r="D276" i="232"/>
  <c r="D277" i="232" s="1"/>
  <c r="P271" i="232"/>
  <c r="P272" i="232" s="1"/>
  <c r="P277" i="232" l="1"/>
  <c r="D31" i="226" l="1"/>
  <c r="D27" i="226"/>
  <c r="C18" i="226"/>
  <c r="C14" i="226"/>
  <c r="A10" i="226"/>
  <c r="A11" i="226" s="1"/>
  <c r="A12" i="224"/>
  <c r="A13" i="224" s="1"/>
  <c r="Q14" i="226" l="1"/>
  <c r="Q18" i="226"/>
  <c r="M19" i="226" s="1"/>
  <c r="Q10" i="226"/>
  <c r="A12" i="226"/>
  <c r="A13" i="226" s="1"/>
  <c r="A14" i="226" s="1"/>
  <c r="A15" i="226" s="1"/>
  <c r="A14" i="224"/>
  <c r="A15" i="224" s="1"/>
  <c r="C15" i="224"/>
  <c r="F19" i="226" l="1"/>
  <c r="L19" i="226"/>
  <c r="N19" i="226"/>
  <c r="H19" i="226"/>
  <c r="K11" i="226"/>
  <c r="O11" i="226"/>
  <c r="G15" i="226"/>
  <c r="M15" i="226"/>
  <c r="L15" i="226"/>
  <c r="N11" i="226"/>
  <c r="H11" i="226"/>
  <c r="N15" i="226"/>
  <c r="P15" i="226"/>
  <c r="O15" i="226"/>
  <c r="E11" i="226"/>
  <c r="E19" i="226"/>
  <c r="J15" i="226"/>
  <c r="I15" i="226"/>
  <c r="J11" i="226"/>
  <c r="M11" i="226"/>
  <c r="G11" i="226"/>
  <c r="K15" i="226"/>
  <c r="O19" i="226"/>
  <c r="P19" i="226"/>
  <c r="G19" i="226"/>
  <c r="E15" i="226"/>
  <c r="F11" i="226"/>
  <c r="L11" i="226"/>
  <c r="K19" i="226"/>
  <c r="J19" i="226"/>
  <c r="I19" i="226"/>
  <c r="F15" i="226"/>
  <c r="H15" i="226"/>
  <c r="I11" i="226"/>
  <c r="P11" i="226"/>
  <c r="A16" i="226"/>
  <c r="A17" i="226" s="1"/>
  <c r="A18" i="226" s="1"/>
  <c r="A19" i="226" s="1"/>
  <c r="Q19" i="226" l="1"/>
  <c r="Q15" i="226"/>
  <c r="Q11" i="226"/>
  <c r="A20" i="226"/>
  <c r="A21" i="226" s="1"/>
  <c r="A22" i="226" s="1"/>
  <c r="A23" i="226" s="1"/>
  <c r="A24" i="226" l="1"/>
  <c r="A25" i="226" s="1"/>
  <c r="A26" i="226" s="1"/>
  <c r="A27" i="226" s="1"/>
  <c r="D24" i="226"/>
  <c r="A28" i="226" l="1"/>
  <c r="A29" i="226" s="1"/>
  <c r="A30" i="226" s="1"/>
  <c r="A31" i="226" s="1"/>
  <c r="D28" i="226"/>
  <c r="A32" i="226" l="1"/>
  <c r="D32" i="226"/>
  <c r="B18" i="218" l="1"/>
  <c r="B18" i="221"/>
  <c r="B18" i="220" l="1"/>
  <c r="D15" i="224" l="1"/>
  <c r="B10" i="220" s="1"/>
  <c r="P24" i="226" l="1"/>
  <c r="E24" i="226"/>
  <c r="O24" i="226"/>
  <c r="H24" i="226"/>
  <c r="J24" i="226"/>
  <c r="N24" i="226"/>
  <c r="K24" i="226"/>
  <c r="G24" i="226"/>
  <c r="F24" i="226"/>
  <c r="I24" i="226"/>
  <c r="M24" i="226"/>
  <c r="L24" i="226"/>
  <c r="Q24" i="226" l="1"/>
  <c r="E15" i="224"/>
  <c r="B10" i="221" s="1"/>
  <c r="F15" i="224" l="1"/>
  <c r="B10" i="218" s="1"/>
  <c r="F32" i="226" l="1"/>
  <c r="K32" i="226"/>
  <c r="L32" i="226"/>
  <c r="N32" i="226"/>
  <c r="O32" i="226"/>
  <c r="P32" i="226"/>
  <c r="G32" i="226"/>
  <c r="H32" i="226"/>
  <c r="E32" i="226"/>
  <c r="M32" i="226"/>
  <c r="I32" i="226"/>
  <c r="J32" i="226"/>
  <c r="Q32" i="226" l="1"/>
  <c r="G28" i="226" l="1"/>
  <c r="O28" i="226"/>
  <c r="P28" i="226"/>
  <c r="I28" i="226"/>
  <c r="K28" i="226"/>
  <c r="L28" i="226"/>
  <c r="E28" i="226"/>
  <c r="N28" i="226"/>
  <c r="J28" i="226"/>
  <c r="M28" i="226"/>
  <c r="H28" i="226"/>
  <c r="F28" i="226"/>
  <c r="Q28" i="226" l="1"/>
  <c r="H39" i="228"/>
  <c r="H35" i="228"/>
  <c r="Q35" i="228" s="1"/>
  <c r="D39" i="228"/>
  <c r="H27" i="228"/>
  <c r="H16" i="228"/>
  <c r="H13" i="228"/>
  <c r="H23" i="228"/>
  <c r="H61" i="229"/>
  <c r="H60" i="229"/>
  <c r="H56" i="229"/>
  <c r="Q56" i="229" s="1"/>
  <c r="H54" i="229"/>
  <c r="H53" i="229"/>
  <c r="H71" i="229"/>
  <c r="D48" i="229"/>
  <c r="D29" i="229"/>
  <c r="I24" i="229"/>
  <c r="H17" i="229"/>
  <c r="H14" i="229"/>
  <c r="Q14" i="229" s="1"/>
  <c r="H13" i="229"/>
  <c r="D219" i="230"/>
  <c r="I155" i="230"/>
  <c r="Q153" i="230"/>
  <c r="H145" i="230"/>
  <c r="H144" i="230"/>
  <c r="H140" i="230"/>
  <c r="H163" i="230" s="1"/>
  <c r="Q163" i="230" s="1"/>
  <c r="H139" i="230"/>
  <c r="H138" i="230"/>
  <c r="H161" i="230" s="1"/>
  <c r="H137" i="230"/>
  <c r="H136" i="230"/>
  <c r="H159" i="230" s="1"/>
  <c r="Q159" i="230" s="1"/>
  <c r="H135" i="230"/>
  <c r="I132" i="230"/>
  <c r="K132" i="230" s="1"/>
  <c r="H131" i="230"/>
  <c r="Q131" i="230" s="1"/>
  <c r="H154" i="230"/>
  <c r="I94" i="230"/>
  <c r="K94" i="230" s="1"/>
  <c r="H84" i="230"/>
  <c r="H83" i="230"/>
  <c r="H79" i="230"/>
  <c r="I79" i="230" s="1"/>
  <c r="H78" i="230"/>
  <c r="H97" i="230" s="1"/>
  <c r="I75" i="230"/>
  <c r="H74" i="230"/>
  <c r="Q74" i="230" s="1"/>
  <c r="H93" i="230"/>
  <c r="Q73" i="230"/>
  <c r="I73" i="230"/>
  <c r="I35" i="230"/>
  <c r="K35" i="230" s="1"/>
  <c r="H25" i="230"/>
  <c r="H24" i="230"/>
  <c r="H20" i="230"/>
  <c r="H19" i="230"/>
  <c r="H18" i="230"/>
  <c r="Q18" i="230" s="1"/>
  <c r="I15" i="230"/>
  <c r="K15" i="230" s="1"/>
  <c r="H14" i="230"/>
  <c r="Q14" i="230" s="1"/>
  <c r="H34" i="230"/>
  <c r="I110" i="230" l="1"/>
  <c r="F160" i="230"/>
  <c r="F138" i="230"/>
  <c r="F24" i="228"/>
  <c r="F139" i="230"/>
  <c r="Q23" i="228"/>
  <c r="D93" i="229"/>
  <c r="F98" i="230"/>
  <c r="F135" i="230"/>
  <c r="F140" i="230"/>
  <c r="K216" i="230"/>
  <c r="I13" i="230"/>
  <c r="I129" i="230"/>
  <c r="I130" i="230"/>
  <c r="I12" i="230"/>
  <c r="I12" i="228"/>
  <c r="D173" i="230"/>
  <c r="Q71" i="229"/>
  <c r="Q69" i="229"/>
  <c r="D21" i="230"/>
  <c r="D14" i="230" s="1"/>
  <c r="F14" i="230" s="1"/>
  <c r="I20" i="230"/>
  <c r="Q97" i="230"/>
  <c r="Q92" i="230"/>
  <c r="D99" i="230"/>
  <c r="D101" i="230" s="1"/>
  <c r="I101" i="230" s="1"/>
  <c r="I120" i="230" s="1"/>
  <c r="I136" i="230"/>
  <c r="I138" i="230"/>
  <c r="K138" i="230" s="1"/>
  <c r="F153" i="230"/>
  <c r="D35" i="229"/>
  <c r="F13" i="229"/>
  <c r="F49" i="229"/>
  <c r="D87" i="229"/>
  <c r="D88" i="229" s="1"/>
  <c r="F97" i="230"/>
  <c r="Q161" i="230"/>
  <c r="I153" i="230"/>
  <c r="D181" i="230"/>
  <c r="F219" i="230"/>
  <c r="I54" i="229"/>
  <c r="D92" i="229"/>
  <c r="D94" i="229"/>
  <c r="I13" i="228"/>
  <c r="I14" i="228" s="1"/>
  <c r="Q34" i="230"/>
  <c r="I34" i="230"/>
  <c r="D113" i="230"/>
  <c r="Q138" i="230"/>
  <c r="Q12" i="229"/>
  <c r="F75" i="229"/>
  <c r="I175" i="230"/>
  <c r="H75" i="229"/>
  <c r="Q75" i="229" s="1"/>
  <c r="H48" i="229"/>
  <c r="Q48" i="229" s="1"/>
  <c r="F53" i="230"/>
  <c r="F18" i="230"/>
  <c r="D24" i="230"/>
  <c r="F24" i="230" s="1"/>
  <c r="F62" i="230" s="1"/>
  <c r="D50" i="230"/>
  <c r="F34" i="230"/>
  <c r="F41" i="230"/>
  <c r="I140" i="230"/>
  <c r="D180" i="230"/>
  <c r="K217" i="230"/>
  <c r="L217" i="230" s="1"/>
  <c r="F12" i="229"/>
  <c r="D14" i="229"/>
  <c r="I14" i="229" s="1"/>
  <c r="D17" i="229"/>
  <c r="F17" i="229" s="1"/>
  <c r="F47" i="229"/>
  <c r="D55" i="229"/>
  <c r="F12" i="228"/>
  <c r="K12" i="228" s="1"/>
  <c r="Q33" i="230"/>
  <c r="F78" i="230"/>
  <c r="F92" i="230"/>
  <c r="F161" i="230"/>
  <c r="F181" i="230" s="1"/>
  <c r="F25" i="229"/>
  <c r="F36" i="229" s="1"/>
  <c r="D36" i="229"/>
  <c r="D122" i="229" s="1"/>
  <c r="Q47" i="229"/>
  <c r="F69" i="229"/>
  <c r="D89" i="229"/>
  <c r="F76" i="229"/>
  <c r="D16" i="228"/>
  <c r="I14" i="230"/>
  <c r="I52" i="230" s="1"/>
  <c r="F19" i="230"/>
  <c r="D51" i="230"/>
  <c r="F175" i="230"/>
  <c r="K218" i="230"/>
  <c r="L218" i="230" s="1"/>
  <c r="I12" i="229"/>
  <c r="K12" i="229" s="1"/>
  <c r="I16" i="228"/>
  <c r="I39" i="228"/>
  <c r="F39" i="228"/>
  <c r="I23" i="228"/>
  <c r="Q13" i="228"/>
  <c r="H24" i="228"/>
  <c r="Q24" i="228" s="1"/>
  <c r="I35" i="228"/>
  <c r="F13" i="228"/>
  <c r="F23" i="228"/>
  <c r="F25" i="228" s="1"/>
  <c r="D27" i="228"/>
  <c r="F27" i="228" s="1"/>
  <c r="I27" i="228" s="1"/>
  <c r="D48" i="228"/>
  <c r="Q12" i="228"/>
  <c r="F16" i="228"/>
  <c r="F35" i="228"/>
  <c r="Q13" i="229"/>
  <c r="H25" i="229"/>
  <c r="Q25" i="229" s="1"/>
  <c r="I29" i="229"/>
  <c r="F29" i="229"/>
  <c r="I13" i="229"/>
  <c r="Q24" i="229"/>
  <c r="F48" i="229"/>
  <c r="H76" i="229"/>
  <c r="Q54" i="229"/>
  <c r="D56" i="229"/>
  <c r="D60" i="229"/>
  <c r="F60" i="229" s="1"/>
  <c r="I75" i="229"/>
  <c r="I53" i="229"/>
  <c r="D61" i="229"/>
  <c r="F24" i="229"/>
  <c r="F35" i="229" s="1"/>
  <c r="D26" i="229"/>
  <c r="I47" i="229"/>
  <c r="F54" i="229"/>
  <c r="D70" i="229"/>
  <c r="D77" i="229"/>
  <c r="D40" i="229"/>
  <c r="I49" i="229"/>
  <c r="H52" i="229"/>
  <c r="F53" i="229"/>
  <c r="Q53" i="229"/>
  <c r="I69" i="229"/>
  <c r="F71" i="229"/>
  <c r="I71" i="229"/>
  <c r="Q49" i="229"/>
  <c r="D107" i="230"/>
  <c r="F72" i="230"/>
  <c r="D178" i="230"/>
  <c r="D164" i="230"/>
  <c r="D166" i="230" s="1"/>
  <c r="F158" i="230"/>
  <c r="H39" i="230"/>
  <c r="Q39" i="230" s="1"/>
  <c r="I53" i="230"/>
  <c r="F20" i="230"/>
  <c r="F58" i="230" s="1"/>
  <c r="I33" i="230"/>
  <c r="I50" i="230" s="1"/>
  <c r="D6" i="219" s="1"/>
  <c r="Q72" i="230"/>
  <c r="D108" i="230"/>
  <c r="D119" i="230" s="1"/>
  <c r="D84" i="230"/>
  <c r="F73" i="230"/>
  <c r="Q78" i="230"/>
  <c r="Q93" i="230"/>
  <c r="I93" i="230"/>
  <c r="I108" i="230" s="1"/>
  <c r="H160" i="230"/>
  <c r="Q160" i="230" s="1"/>
  <c r="Q137" i="230"/>
  <c r="H40" i="230"/>
  <c r="Q19" i="230"/>
  <c r="Q12" i="230"/>
  <c r="D25" i="230"/>
  <c r="F13" i="230"/>
  <c r="I19" i="230"/>
  <c r="K75" i="230"/>
  <c r="H98" i="230"/>
  <c r="Q98" i="230" s="1"/>
  <c r="Q79" i="230"/>
  <c r="L216" i="230"/>
  <c r="F12" i="230"/>
  <c r="H41" i="230"/>
  <c r="Q41" i="230" s="1"/>
  <c r="Q20" i="230"/>
  <c r="F33" i="230"/>
  <c r="D56" i="230"/>
  <c r="F39" i="230"/>
  <c r="F56" i="230" s="1"/>
  <c r="D42" i="230"/>
  <c r="D44" i="230" s="1"/>
  <c r="F44" i="230" s="1"/>
  <c r="D57" i="230"/>
  <c r="F40" i="230"/>
  <c r="D58" i="230"/>
  <c r="I72" i="230"/>
  <c r="D114" i="230"/>
  <c r="D115" i="230" s="1"/>
  <c r="F79" i="230"/>
  <c r="F114" i="230" s="1"/>
  <c r="D80" i="230"/>
  <c r="I92" i="230"/>
  <c r="H162" i="230"/>
  <c r="Q139" i="230"/>
  <c r="Q13" i="230"/>
  <c r="I18" i="230"/>
  <c r="I78" i="230"/>
  <c r="Q129" i="230"/>
  <c r="H158" i="230"/>
  <c r="Q158" i="230" s="1"/>
  <c r="Q135" i="230"/>
  <c r="I139" i="230"/>
  <c r="D182" i="230"/>
  <c r="F162" i="230"/>
  <c r="F182" i="230" s="1"/>
  <c r="K175" i="230"/>
  <c r="I163" i="230"/>
  <c r="F110" i="230"/>
  <c r="K110" i="230" s="1"/>
  <c r="F93" i="230"/>
  <c r="F99" i="230" s="1"/>
  <c r="I97" i="230"/>
  <c r="Q154" i="230"/>
  <c r="I135" i="230"/>
  <c r="D141" i="230"/>
  <c r="F136" i="230"/>
  <c r="I137" i="230"/>
  <c r="I154" i="230"/>
  <c r="I159" i="230"/>
  <c r="D172" i="230"/>
  <c r="I219" i="230"/>
  <c r="F129" i="230"/>
  <c r="F130" i="230"/>
  <c r="Q130" i="230"/>
  <c r="F137" i="230"/>
  <c r="F180" i="230" s="1"/>
  <c r="F154" i="230"/>
  <c r="F159" i="230"/>
  <c r="I161" i="230"/>
  <c r="F163" i="230"/>
  <c r="Q136" i="230"/>
  <c r="Q140" i="230"/>
  <c r="D145" i="230"/>
  <c r="I160" i="230"/>
  <c r="D179" i="230"/>
  <c r="D183" i="230"/>
  <c r="K13" i="228" l="1"/>
  <c r="L13" i="228" s="1"/>
  <c r="K136" i="230"/>
  <c r="I98" i="230"/>
  <c r="K98" i="230" s="1"/>
  <c r="I51" i="230"/>
  <c r="I172" i="230"/>
  <c r="E6" i="219" s="1"/>
  <c r="K129" i="230"/>
  <c r="I173" i="230"/>
  <c r="K135" i="230"/>
  <c r="F179" i="230"/>
  <c r="K139" i="230"/>
  <c r="F178" i="230"/>
  <c r="F51" i="230"/>
  <c r="K51" i="230" s="1"/>
  <c r="K53" i="230"/>
  <c r="F183" i="230"/>
  <c r="F89" i="229"/>
  <c r="F87" i="229"/>
  <c r="K140" i="230"/>
  <c r="F113" i="230"/>
  <c r="K49" i="229"/>
  <c r="F94" i="229"/>
  <c r="K130" i="230"/>
  <c r="K219" i="230"/>
  <c r="L219" i="230" s="1"/>
  <c r="K34" i="230"/>
  <c r="F173" i="230"/>
  <c r="F101" i="230"/>
  <c r="K101" i="230" s="1"/>
  <c r="D52" i="230"/>
  <c r="D95" i="229"/>
  <c r="D123" i="229" s="1"/>
  <c r="D124" i="229" s="1"/>
  <c r="K97" i="230"/>
  <c r="I15" i="229"/>
  <c r="F172" i="230"/>
  <c r="I35" i="229"/>
  <c r="K153" i="230"/>
  <c r="F57" i="230"/>
  <c r="F93" i="229"/>
  <c r="F112" i="229"/>
  <c r="I24" i="228"/>
  <c r="K24" i="228" s="1"/>
  <c r="I17" i="229"/>
  <c r="I40" i="229" s="1"/>
  <c r="K13" i="230"/>
  <c r="I39" i="230"/>
  <c r="K39" i="230" s="1"/>
  <c r="I24" i="230"/>
  <c r="I62" i="230" s="1"/>
  <c r="I21" i="230"/>
  <c r="H70" i="229"/>
  <c r="Q70" i="229" s="1"/>
  <c r="I48" i="229"/>
  <c r="K48" i="229" s="1"/>
  <c r="D62" i="230"/>
  <c r="F14" i="229"/>
  <c r="F15" i="229" s="1"/>
  <c r="K79" i="230"/>
  <c r="K27" i="228"/>
  <c r="L27" i="228" s="1"/>
  <c r="I46" i="228"/>
  <c r="F46" i="228"/>
  <c r="K16" i="228"/>
  <c r="L16" i="228" s="1"/>
  <c r="F14" i="228"/>
  <c r="K39" i="228"/>
  <c r="L39" i="228" s="1"/>
  <c r="F29" i="228"/>
  <c r="I41" i="228"/>
  <c r="K35" i="228"/>
  <c r="K23" i="228"/>
  <c r="I18" i="228"/>
  <c r="F41" i="228"/>
  <c r="K14" i="228"/>
  <c r="L12" i="228"/>
  <c r="I26" i="229"/>
  <c r="F26" i="229"/>
  <c r="F27" i="229" s="1"/>
  <c r="F30" i="229" s="1"/>
  <c r="Q52" i="229"/>
  <c r="H74" i="229"/>
  <c r="Q74" i="229" s="1"/>
  <c r="F70" i="229"/>
  <c r="K24" i="229"/>
  <c r="I56" i="229"/>
  <c r="F56" i="229"/>
  <c r="K29" i="229"/>
  <c r="I89" i="229"/>
  <c r="K71" i="229"/>
  <c r="K89" i="229" s="1"/>
  <c r="F61" i="229"/>
  <c r="F101" i="229" s="1"/>
  <c r="I61" i="229"/>
  <c r="Q76" i="229"/>
  <c r="I76" i="229"/>
  <c r="D37" i="229"/>
  <c r="K54" i="229"/>
  <c r="I60" i="229"/>
  <c r="D81" i="229"/>
  <c r="D78" i="229"/>
  <c r="F100" i="229"/>
  <c r="K69" i="229"/>
  <c r="I87" i="229"/>
  <c r="K47" i="229"/>
  <c r="K53" i="229"/>
  <c r="F40" i="229"/>
  <c r="I93" i="229"/>
  <c r="K75" i="229"/>
  <c r="K13" i="229"/>
  <c r="I25" i="229"/>
  <c r="I36" i="229" s="1"/>
  <c r="K36" i="229" s="1"/>
  <c r="F64" i="230"/>
  <c r="D131" i="230"/>
  <c r="D144" i="230"/>
  <c r="I74" i="230"/>
  <c r="D74" i="230"/>
  <c r="D83" i="230"/>
  <c r="F108" i="230"/>
  <c r="K108" i="230" s="1"/>
  <c r="K161" i="230"/>
  <c r="I181" i="230"/>
  <c r="K181" i="230" s="1"/>
  <c r="F164" i="230"/>
  <c r="K18" i="230"/>
  <c r="D59" i="230"/>
  <c r="Q40" i="230"/>
  <c r="I40" i="230"/>
  <c r="K40" i="230" s="1"/>
  <c r="K159" i="230"/>
  <c r="I179" i="230"/>
  <c r="K179" i="230" s="1"/>
  <c r="K137" i="230"/>
  <c r="I41" i="230"/>
  <c r="F42" i="230"/>
  <c r="F45" i="230" s="1"/>
  <c r="F52" i="230"/>
  <c r="K52" i="230" s="1"/>
  <c r="K14" i="230"/>
  <c r="K20" i="230"/>
  <c r="I25" i="230"/>
  <c r="I26" i="230" s="1"/>
  <c r="F25" i="230"/>
  <c r="D63" i="230"/>
  <c r="K33" i="230"/>
  <c r="D184" i="230"/>
  <c r="K160" i="230"/>
  <c r="I180" i="230"/>
  <c r="K180" i="230" s="1"/>
  <c r="K172" i="230"/>
  <c r="D118" i="230"/>
  <c r="D120" i="230" s="1"/>
  <c r="D211" i="230"/>
  <c r="F107" i="230"/>
  <c r="I145" i="230"/>
  <c r="F145" i="230"/>
  <c r="F188" i="230" s="1"/>
  <c r="Q162" i="230"/>
  <c r="I162" i="230"/>
  <c r="K93" i="230"/>
  <c r="F84" i="230"/>
  <c r="F119" i="230" s="1"/>
  <c r="I84" i="230"/>
  <c r="I166" i="230"/>
  <c r="D189" i="230"/>
  <c r="K173" i="230"/>
  <c r="K154" i="230"/>
  <c r="K163" i="230"/>
  <c r="I183" i="230"/>
  <c r="K183" i="230" s="1"/>
  <c r="K78" i="230"/>
  <c r="I113" i="230"/>
  <c r="K113" i="230" s="1"/>
  <c r="F166" i="230"/>
  <c r="I99" i="230"/>
  <c r="I102" i="230" s="1"/>
  <c r="K92" i="230"/>
  <c r="I107" i="230"/>
  <c r="I80" i="230"/>
  <c r="K72" i="230"/>
  <c r="I44" i="230"/>
  <c r="D64" i="230"/>
  <c r="F50" i="230"/>
  <c r="K50" i="230" s="1"/>
  <c r="F21" i="230"/>
  <c r="K19" i="230"/>
  <c r="K24" i="230"/>
  <c r="F102" i="230"/>
  <c r="F120" i="230"/>
  <c r="K120" i="230" s="1"/>
  <c r="I158" i="230"/>
  <c r="K73" i="230"/>
  <c r="I114" i="230"/>
  <c r="K114" i="230" s="1"/>
  <c r="K12" i="230"/>
  <c r="K14" i="229" l="1"/>
  <c r="I57" i="229"/>
  <c r="D212" i="230"/>
  <c r="C20" i="219"/>
  <c r="C6" i="218"/>
  <c r="K35" i="229"/>
  <c r="C6" i="221"/>
  <c r="D210" i="230"/>
  <c r="D213" i="230" s="1"/>
  <c r="B20" i="219"/>
  <c r="K15" i="229"/>
  <c r="I164" i="230"/>
  <c r="I70" i="229"/>
  <c r="I198" i="230"/>
  <c r="I56" i="230"/>
  <c r="K56" i="230" s="1"/>
  <c r="K25" i="228"/>
  <c r="L25" i="228" s="1"/>
  <c r="I25" i="228"/>
  <c r="I112" i="229"/>
  <c r="K112" i="229" s="1"/>
  <c r="K17" i="229"/>
  <c r="L17" i="229" s="1"/>
  <c r="I19" i="229"/>
  <c r="K99" i="230"/>
  <c r="K102" i="230" s="1"/>
  <c r="K93" i="229"/>
  <c r="O14" i="228"/>
  <c r="L14" i="228"/>
  <c r="K18" i="228"/>
  <c r="K46" i="228"/>
  <c r="K29" i="228"/>
  <c r="L29" i="228" s="1"/>
  <c r="O37" i="228"/>
  <c r="L35" i="228"/>
  <c r="K41" i="228"/>
  <c r="L41" i="228" s="1"/>
  <c r="F18" i="228"/>
  <c r="F47" i="228"/>
  <c r="F48" i="228" s="1"/>
  <c r="L15" i="229"/>
  <c r="K19" i="229"/>
  <c r="F78" i="229"/>
  <c r="F79" i="229" s="1"/>
  <c r="D96" i="229"/>
  <c r="I78" i="229"/>
  <c r="K40" i="229"/>
  <c r="L40" i="229" s="1"/>
  <c r="F81" i="229"/>
  <c r="F102" i="229" s="1"/>
  <c r="F103" i="229" s="1"/>
  <c r="I81" i="229"/>
  <c r="I101" i="229"/>
  <c r="K61" i="229"/>
  <c r="K101" i="229" s="1"/>
  <c r="K56" i="229"/>
  <c r="K57" i="229" s="1"/>
  <c r="F88" i="229"/>
  <c r="K76" i="229"/>
  <c r="K94" i="229" s="1"/>
  <c r="I94" i="229"/>
  <c r="F117" i="229"/>
  <c r="F19" i="229"/>
  <c r="K26" i="229"/>
  <c r="I37" i="229"/>
  <c r="I38" i="229" s="1"/>
  <c r="I41" i="229" s="1"/>
  <c r="K70" i="229"/>
  <c r="K88" i="229" s="1"/>
  <c r="I88" i="229"/>
  <c r="K25" i="229"/>
  <c r="I27" i="229"/>
  <c r="I62" i="229"/>
  <c r="K60" i="229"/>
  <c r="I100" i="229"/>
  <c r="K87" i="229"/>
  <c r="F62" i="229"/>
  <c r="F37" i="229"/>
  <c r="F38" i="229" s="1"/>
  <c r="F41" i="229" s="1"/>
  <c r="F57" i="229"/>
  <c r="K44" i="230"/>
  <c r="I64" i="230"/>
  <c r="K64" i="230" s="1"/>
  <c r="F83" i="230"/>
  <c r="I83" i="230"/>
  <c r="I131" i="230"/>
  <c r="F131" i="230"/>
  <c r="I189" i="230"/>
  <c r="K166" i="230"/>
  <c r="I167" i="230"/>
  <c r="I188" i="230"/>
  <c r="K188" i="230" s="1"/>
  <c r="K145" i="230"/>
  <c r="D109" i="230"/>
  <c r="F74" i="230"/>
  <c r="K74" i="230" s="1"/>
  <c r="K80" i="230" s="1"/>
  <c r="K21" i="230"/>
  <c r="F59" i="230"/>
  <c r="I119" i="230"/>
  <c r="K119" i="230" s="1"/>
  <c r="K84" i="230"/>
  <c r="K162" i="230"/>
  <c r="I182" i="230"/>
  <c r="K182" i="230" s="1"/>
  <c r="I28" i="230"/>
  <c r="I42" i="230"/>
  <c r="I204" i="230" s="1"/>
  <c r="I210" i="230" s="1"/>
  <c r="K25" i="230"/>
  <c r="K26" i="230" s="1"/>
  <c r="I63" i="230"/>
  <c r="I109" i="230"/>
  <c r="K158" i="230"/>
  <c r="I178" i="230"/>
  <c r="K178" i="230" s="1"/>
  <c r="F204" i="230"/>
  <c r="F63" i="230"/>
  <c r="F65" i="230" s="1"/>
  <c r="F26" i="230"/>
  <c r="F198" i="230" s="1"/>
  <c r="K62" i="230"/>
  <c r="I205" i="230"/>
  <c r="F189" i="230"/>
  <c r="F167" i="230"/>
  <c r="I57" i="230"/>
  <c r="K57" i="230" s="1"/>
  <c r="K107" i="230"/>
  <c r="I115" i="230"/>
  <c r="K41" i="230"/>
  <c r="K42" i="230" s="1"/>
  <c r="L42" i="230" s="1"/>
  <c r="I58" i="230"/>
  <c r="K58" i="230" s="1"/>
  <c r="F144" i="230"/>
  <c r="I144" i="230"/>
  <c r="K164" i="230" l="1"/>
  <c r="L164" i="230" s="1"/>
  <c r="I59" i="230"/>
  <c r="B10" i="219" s="1"/>
  <c r="I29" i="228"/>
  <c r="I47" i="228"/>
  <c r="I48" i="228" s="1"/>
  <c r="K27" i="229"/>
  <c r="O14" i="229" s="1"/>
  <c r="F82" i="229"/>
  <c r="I45" i="230"/>
  <c r="L19" i="229"/>
  <c r="L18" i="228"/>
  <c r="K59" i="230"/>
  <c r="K167" i="230"/>
  <c r="L167" i="230" s="1"/>
  <c r="K47" i="228"/>
  <c r="L47" i="228" s="1"/>
  <c r="K30" i="229"/>
  <c r="L57" i="229"/>
  <c r="I96" i="229"/>
  <c r="I97" i="229" s="1"/>
  <c r="K78" i="229"/>
  <c r="I79" i="229"/>
  <c r="I64" i="229"/>
  <c r="I113" i="229"/>
  <c r="F122" i="229"/>
  <c r="K81" i="229"/>
  <c r="K102" i="229" s="1"/>
  <c r="I102" i="229"/>
  <c r="I103" i="229" s="1"/>
  <c r="F118" i="229"/>
  <c r="F119" i="229" s="1"/>
  <c r="F96" i="229"/>
  <c r="I30" i="229"/>
  <c r="I117" i="229"/>
  <c r="F64" i="229"/>
  <c r="F113" i="229"/>
  <c r="K100" i="229"/>
  <c r="K62" i="229"/>
  <c r="K37" i="229"/>
  <c r="K38" i="229" s="1"/>
  <c r="F97" i="229"/>
  <c r="F105" i="229" s="1"/>
  <c r="L59" i="230"/>
  <c r="O74" i="230"/>
  <c r="F118" i="230"/>
  <c r="F121" i="230" s="1"/>
  <c r="F85" i="230"/>
  <c r="K63" i="230"/>
  <c r="K65" i="230" s="1"/>
  <c r="L65" i="230" s="1"/>
  <c r="F67" i="230"/>
  <c r="I65" i="230"/>
  <c r="I67" i="230" s="1"/>
  <c r="L21" i="230"/>
  <c r="K28" i="230"/>
  <c r="O14" i="230"/>
  <c r="K189" i="230"/>
  <c r="K131" i="230"/>
  <c r="I174" i="230"/>
  <c r="I141" i="230"/>
  <c r="F210" i="230"/>
  <c r="K210" i="230" s="1"/>
  <c r="K198" i="230"/>
  <c r="L26" i="230"/>
  <c r="F174" i="230"/>
  <c r="F184" i="230" s="1"/>
  <c r="F141" i="230"/>
  <c r="I146" i="230"/>
  <c r="K144" i="230"/>
  <c r="I187" i="230"/>
  <c r="F187" i="230"/>
  <c r="F190" i="230" s="1"/>
  <c r="F146" i="230"/>
  <c r="F200" i="230" s="1"/>
  <c r="F28" i="230"/>
  <c r="K204" i="230"/>
  <c r="F109" i="230"/>
  <c r="F115" i="230" s="1"/>
  <c r="F123" i="230" s="1"/>
  <c r="F80" i="230"/>
  <c r="F205" i="230" s="1"/>
  <c r="K205" i="230" s="1"/>
  <c r="I118" i="230"/>
  <c r="I85" i="230"/>
  <c r="K83" i="230"/>
  <c r="K85" i="230" s="1"/>
  <c r="K45" i="230"/>
  <c r="L45" i="230" s="1"/>
  <c r="K103" i="229" l="1"/>
  <c r="L103" i="229" s="1"/>
  <c r="L80" i="230"/>
  <c r="I105" i="229"/>
  <c r="K48" i="228"/>
  <c r="L48" i="228" s="1"/>
  <c r="L62" i="229"/>
  <c r="K64" i="229"/>
  <c r="L64" i="229" s="1"/>
  <c r="I82" i="229"/>
  <c r="I118" i="229"/>
  <c r="K118" i="229" s="1"/>
  <c r="L118" i="229" s="1"/>
  <c r="K113" i="229"/>
  <c r="K114" i="229" s="1"/>
  <c r="I114" i="229"/>
  <c r="F123" i="229"/>
  <c r="F124" i="229" s="1"/>
  <c r="F114" i="229"/>
  <c r="K117" i="229"/>
  <c r="I122" i="229"/>
  <c r="K96" i="229"/>
  <c r="K97" i="229" s="1"/>
  <c r="K79" i="229"/>
  <c r="K41" i="229"/>
  <c r="L41" i="229" s="1"/>
  <c r="L38" i="229"/>
  <c r="I199" i="230"/>
  <c r="I87" i="230"/>
  <c r="K146" i="230"/>
  <c r="L146" i="230" s="1"/>
  <c r="I200" i="230"/>
  <c r="K118" i="230"/>
  <c r="K121" i="230" s="1"/>
  <c r="L121" i="230" s="1"/>
  <c r="I121" i="230"/>
  <c r="I123" i="230" s="1"/>
  <c r="F206" i="230"/>
  <c r="F212" i="230" s="1"/>
  <c r="F148" i="230"/>
  <c r="K141" i="230"/>
  <c r="I148" i="230"/>
  <c r="I206" i="230"/>
  <c r="K67" i="230"/>
  <c r="L67" i="230" s="1"/>
  <c r="K87" i="230"/>
  <c r="L85" i="230"/>
  <c r="K109" i="230"/>
  <c r="K115" i="230" s="1"/>
  <c r="I190" i="230"/>
  <c r="K187" i="230"/>
  <c r="K190" i="230" s="1"/>
  <c r="L190" i="230" s="1"/>
  <c r="F192" i="230"/>
  <c r="K174" i="230"/>
  <c r="K184" i="230" s="1"/>
  <c r="I184" i="230"/>
  <c r="L28" i="230"/>
  <c r="F199" i="230"/>
  <c r="F87" i="230"/>
  <c r="I192" i="230" l="1"/>
  <c r="C10" i="219"/>
  <c r="I119" i="229"/>
  <c r="K122" i="229"/>
  <c r="L117" i="229"/>
  <c r="K119" i="229"/>
  <c r="L119" i="229" s="1"/>
  <c r="K82" i="229"/>
  <c r="L82" i="229" s="1"/>
  <c r="L79" i="229"/>
  <c r="O49" i="229"/>
  <c r="I123" i="229"/>
  <c r="K123" i="229" s="1"/>
  <c r="L123" i="229" s="1"/>
  <c r="K105" i="229"/>
  <c r="L105" i="229" s="1"/>
  <c r="L97" i="229"/>
  <c r="F211" i="230"/>
  <c r="F213" i="230" s="1"/>
  <c r="F201" i="230"/>
  <c r="F207" i="230"/>
  <c r="K206" i="230"/>
  <c r="K207" i="230" s="1"/>
  <c r="I207" i="230"/>
  <c r="I212" i="230"/>
  <c r="K212" i="230" s="1"/>
  <c r="K200" i="230"/>
  <c r="I211" i="230"/>
  <c r="K199" i="230"/>
  <c r="I201" i="230"/>
  <c r="K192" i="230"/>
  <c r="L192" i="230" s="1"/>
  <c r="L184" i="230"/>
  <c r="L115" i="230"/>
  <c r="K123" i="230"/>
  <c r="L123" i="230" s="1"/>
  <c r="L87" i="230"/>
  <c r="L141" i="230"/>
  <c r="K148" i="230"/>
  <c r="L148" i="230" s="1"/>
  <c r="O131" i="230"/>
  <c r="I124" i="229" l="1"/>
  <c r="L122" i="229"/>
  <c r="K124" i="229"/>
  <c r="L124" i="229" s="1"/>
  <c r="K211" i="230"/>
  <c r="K213" i="230" s="1"/>
  <c r="I213" i="230"/>
  <c r="K201" i="230"/>
  <c r="C10" i="220" l="1"/>
  <c r="E20" i="219"/>
  <c r="D11" i="219"/>
  <c r="D8" i="219" s="1"/>
  <c r="D10" i="219"/>
  <c r="C18" i="221"/>
  <c r="C10" i="221"/>
  <c r="C8" i="221"/>
  <c r="C18" i="218"/>
  <c r="B12" i="218"/>
  <c r="C8" i="218"/>
  <c r="C18" i="220"/>
  <c r="B12" i="220"/>
  <c r="B16" i="220" l="1"/>
  <c r="B20" i="220" s="1"/>
  <c r="C12" i="219"/>
  <c r="C14" i="219" s="1"/>
  <c r="C18" i="219" s="1"/>
  <c r="C22" i="219" s="1"/>
  <c r="E11" i="219"/>
  <c r="E8" i="219" s="1"/>
  <c r="E10" i="219"/>
  <c r="C12" i="221"/>
  <c r="C16" i="221" s="1"/>
  <c r="C20" i="221" s="1"/>
  <c r="B16" i="218"/>
  <c r="B20" i="218" s="1"/>
  <c r="C12" i="220"/>
  <c r="C16" i="220" s="1"/>
  <c r="D12" i="219"/>
  <c r="D14" i="219" s="1"/>
  <c r="D18" i="219" s="1"/>
  <c r="B12" i="219"/>
  <c r="B14" i="219" s="1"/>
  <c r="B18" i="219" s="1"/>
  <c r="D20" i="219"/>
  <c r="B12" i="221"/>
  <c r="B16" i="221" s="1"/>
  <c r="B20" i="221" s="1"/>
  <c r="C10" i="218"/>
  <c r="C12" i="218" s="1"/>
  <c r="C16" i="218" s="1"/>
  <c r="C20" i="218" s="1"/>
  <c r="E12" i="219" l="1"/>
  <c r="E14" i="219" s="1"/>
  <c r="E18" i="219" s="1"/>
  <c r="E22" i="219" s="1"/>
  <c r="C20" i="220"/>
  <c r="D22" i="219"/>
  <c r="B22" i="2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jphelp</author>
  </authors>
  <commentList>
    <comment ref="F5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Xu</author>
  </authors>
  <commentList>
    <comment ref="B7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PSE:
</t>
        </r>
        <r>
          <rPr>
            <sz val="10"/>
            <color indexed="81"/>
            <rFont val="Tahoma"/>
            <family val="2"/>
          </rPr>
          <t>Business Objects Calendar Therms</t>
        </r>
      </text>
    </comment>
  </commentList>
</comments>
</file>

<file path=xl/sharedStrings.xml><?xml version="1.0" encoding="utf-8"?>
<sst xmlns="http://schemas.openxmlformats.org/spreadsheetml/2006/main" count="1003" uniqueCount="311">
  <si>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</si>
  <si>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</si>
  <si>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</si>
  <si>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</si>
  <si>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</si>
  <si>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</si>
  <si>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</si>
  <si>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</si>
  <si>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</si>
  <si>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</si>
  <si>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</si>
  <si>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</si>
  <si>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</si>
  <si>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</si>
  <si>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</si>
  <si>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</si>
  <si>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</si>
  <si>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</si>
  <si>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</si>
  <si>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 xml:space="preserve">Billing </t>
  </si>
  <si>
    <t>Target</t>
  </si>
  <si>
    <t>Description</t>
  </si>
  <si>
    <t>Units</t>
  </si>
  <si>
    <t>Determinants</t>
  </si>
  <si>
    <t>Rates</t>
  </si>
  <si>
    <t>Revenues</t>
  </si>
  <si>
    <t>Percent</t>
  </si>
  <si>
    <t>Basic Charge</t>
  </si>
  <si>
    <t>Bills</t>
  </si>
  <si>
    <t>Delivery Charge</t>
  </si>
  <si>
    <t>Therms</t>
  </si>
  <si>
    <t>Mantles</t>
  </si>
  <si>
    <t>Change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</si>
  <si>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</si>
  <si>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</si>
  <si>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</si>
  <si>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</si>
  <si>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</si>
  <si>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</si>
  <si>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</si>
  <si>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</si>
  <si>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</si>
  <si>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</si>
  <si>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Total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</si>
  <si>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</si>
  <si>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</si>
  <si>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</si>
  <si>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</si>
  <si>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</si>
  <si>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</si>
  <si>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</si>
  <si>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</si>
  <si>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Next 100,000 therms</t>
  </si>
  <si>
    <t>Next 300,000 therms</t>
  </si>
  <si>
    <t>All over 500,000 therms</t>
  </si>
  <si>
    <t>Check</t>
  </si>
  <si>
    <t>Contracts</t>
  </si>
  <si>
    <t>41T</t>
  </si>
  <si>
    <t>85T</t>
  </si>
  <si>
    <t>86T</t>
  </si>
  <si>
    <t>87T</t>
  </si>
  <si>
    <t>Interruptible</t>
  </si>
  <si>
    <t>Transportation</t>
  </si>
  <si>
    <t>Rate Class</t>
  </si>
  <si>
    <t>Rate Sch.</t>
  </si>
  <si>
    <t>Residential lamps</t>
  </si>
  <si>
    <t>Propane</t>
  </si>
  <si>
    <t>General service - commercial</t>
  </si>
  <si>
    <t>Large volume - commercial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</si>
  <si>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</si>
  <si>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</si>
  <si>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</si>
  <si>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</si>
  <si>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</si>
  <si>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</si>
  <si>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</si>
  <si>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</si>
  <si>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</si>
  <si>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</si>
  <si>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</si>
  <si>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</si>
  <si>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</si>
  <si>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</si>
  <si>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</si>
  <si>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</si>
  <si>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Total sales &amp; transportation volume</t>
  </si>
  <si>
    <t>Subtotal transportation</t>
  </si>
  <si>
    <t>Customer Counts</t>
  </si>
  <si>
    <t xml:space="preserve">General service - commercial </t>
  </si>
  <si>
    <t xml:space="preserve">Large volume - commercial </t>
  </si>
  <si>
    <t>Non-excl interrupt w/ firm option - com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</si>
  <si>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</si>
  <si>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</si>
  <si>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</si>
  <si>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</si>
  <si>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</si>
  <si>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</si>
  <si>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</si>
  <si>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</si>
  <si>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</si>
  <si>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</si>
  <si>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</si>
  <si>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</si>
  <si>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by Group - System Level Analysis (Therms)</t>
  </si>
  <si>
    <t>Firm</t>
  </si>
  <si>
    <t>Weather Adjustment to Volume - System Level Analysis Spread to Rate Classes (Therms)</t>
  </si>
  <si>
    <t>Weather Normalized Volume - System Level Analysis (Therms)</t>
  </si>
  <si>
    <t>Residential lights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</si>
  <si>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</si>
  <si>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</si>
  <si>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</si>
  <si>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</si>
  <si>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</si>
  <si>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</si>
  <si>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</si>
  <si>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</si>
  <si>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</si>
  <si>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</si>
  <si>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</si>
  <si>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</si>
  <si>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</si>
  <si>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</si>
  <si>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</si>
  <si>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</si>
  <si>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</si>
  <si>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</si>
  <si>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</si>
  <si>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</si>
  <si>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</si>
  <si>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</si>
  <si>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</si>
  <si>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</si>
  <si>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</si>
  <si>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</si>
  <si>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</si>
  <si>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</si>
  <si>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</si>
  <si>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</si>
  <si>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</si>
  <si>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</si>
  <si>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SC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</si>
  <si>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</si>
  <si>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</si>
  <si>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</si>
  <si>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</si>
  <si>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</si>
  <si>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</si>
  <si>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</si>
  <si>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</si>
  <si>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</si>
  <si>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</si>
  <si>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</si>
  <si>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</si>
  <si>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</si>
  <si>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</si>
  <si>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Current</t>
  </si>
  <si>
    <t>Proposed</t>
  </si>
  <si>
    <t>Schedule 23</t>
  </si>
  <si>
    <t>Schedule 53</t>
  </si>
  <si>
    <t>Development of Monthly Allowed Delivery Revenue Per Customer</t>
  </si>
  <si>
    <t>31T</t>
  </si>
  <si>
    <t>Trans. - commercial</t>
  </si>
  <si>
    <t>Trans. General services (31T)</t>
  </si>
  <si>
    <t>Schedules 23 &amp; 53</t>
  </si>
  <si>
    <t>Schedules 31 &amp; 31T</t>
  </si>
  <si>
    <t>Schedules 41, 41T, 86 &amp; 86T</t>
  </si>
  <si>
    <t>% of Annual Total</t>
  </si>
  <si>
    <t>Sales</t>
  </si>
  <si>
    <t>Grand Total</t>
  </si>
  <si>
    <t xml:space="preserve">Difference </t>
  </si>
  <si>
    <t>Resulting</t>
  </si>
  <si>
    <t>$</t>
  </si>
  <si>
    <t>%</t>
  </si>
  <si>
    <t>Increase</t>
  </si>
  <si>
    <t>TARGET 23/53</t>
  </si>
  <si>
    <t>over (under)</t>
  </si>
  <si>
    <t>Gas Revenue (Schedule 101) (1)</t>
  </si>
  <si>
    <t>Total Revenues</t>
  </si>
  <si>
    <t>Total Delivery Charges</t>
  </si>
  <si>
    <t>Gas Revenue (Schedule 101)</t>
  </si>
  <si>
    <t>Schedule 16</t>
  </si>
  <si>
    <t>TARGET 16</t>
  </si>
  <si>
    <t>Total Delivery Charge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</si>
  <si>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</si>
  <si>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</si>
  <si>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</si>
  <si>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</si>
  <si>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</si>
  <si>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</si>
  <si>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</si>
  <si>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Schedule 31 - Transportation</t>
  </si>
  <si>
    <t>Gas Balancing Service Charge</t>
  </si>
  <si>
    <t>Schedule 31 - Total</t>
  </si>
  <si>
    <t>Schedule 41 - Sales</t>
  </si>
  <si>
    <t>TARGET 41/41T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</si>
  <si>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</si>
  <si>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</si>
  <si>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</si>
  <si>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</si>
  <si>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</si>
  <si>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</si>
  <si>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</si>
  <si>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</si>
  <si>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</si>
  <si>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</si>
  <si>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</si>
  <si>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</si>
  <si>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</si>
  <si>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</si>
  <si>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</si>
  <si>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</si>
  <si>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</si>
  <si>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</si>
  <si>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</si>
  <si>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</si>
  <si>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</si>
  <si>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</si>
  <si>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</si>
  <si>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</si>
  <si>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</si>
  <si>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</si>
  <si>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</si>
  <si>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</si>
  <si>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</si>
  <si>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</si>
  <si>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% of (C(o):R(2))</t>
  </si>
  <si>
    <t>% of (C(o):R(6))</t>
  </si>
  <si>
    <t>% of (C(o):R(10))</t>
  </si>
  <si>
    <t>No.</t>
  </si>
  <si>
    <t>Schedules</t>
  </si>
  <si>
    <t>Line</t>
  </si>
  <si>
    <t>23 &amp; 53</t>
  </si>
  <si>
    <t>31 &amp; 31T</t>
  </si>
  <si>
    <t>41, 41T, 86 &amp; 86T</t>
  </si>
  <si>
    <t>Development of Allowed Delivery Revenue Per Customer</t>
  </si>
  <si>
    <t>Test Year Delivery Revenue</t>
  </si>
  <si>
    <t>Annual Allowed Delivery Revenue Per Customer</t>
  </si>
  <si>
    <t>Allowed Delivery Revenue Per Customer</t>
  </si>
  <si>
    <t>Monthly Allowed Delivery Revenue Per Customer</t>
  </si>
  <si>
    <t>Residential Rates</t>
  </si>
  <si>
    <t xml:space="preserve">  - Months per Year</t>
  </si>
  <si>
    <t>Annual Basic Charge Revenue</t>
  </si>
  <si>
    <t>Annual Allowed Revenue Per Customer</t>
  </si>
  <si>
    <t>Annual Revenue</t>
  </si>
  <si>
    <t>After-Tax Return Grossed Up For Taxes</t>
  </si>
  <si>
    <t>Allowance</t>
  </si>
  <si>
    <t>Allowance Per Therm</t>
  </si>
  <si>
    <t>Average Monthly Basic Charge</t>
  </si>
  <si>
    <t>Annual Average Basic  Charge Revenue</t>
  </si>
  <si>
    <t>Allowance Per Customer</t>
  </si>
  <si>
    <t>Non-Residential Rates (85/85T/87/87T)</t>
  </si>
  <si>
    <t>Sch 85/85T</t>
  </si>
  <si>
    <t>Sch 87/87T</t>
  </si>
  <si>
    <t>Annual "Allowed" Revenue Per Customer</t>
  </si>
  <si>
    <t>Non-Residential Rates (31/31T)</t>
  </si>
  <si>
    <t>Non-Residential Rates (41/41T/86/86T)</t>
  </si>
  <si>
    <t>LINE</t>
  </si>
  <si>
    <t>NO.</t>
  </si>
  <si>
    <t>DESCRIPTION</t>
  </si>
  <si>
    <t>EQUITY</t>
  </si>
  <si>
    <t>TOTAL AFTER TAX COST OF CAPITAL</t>
  </si>
  <si>
    <t>PUGET SOUND ENERGY-GAS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</si>
  <si>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</si>
  <si>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</si>
  <si>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</si>
  <si>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</si>
  <si>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</si>
  <si>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</si>
  <si>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Modifications</t>
  </si>
  <si>
    <t>New Facilities</t>
  </si>
  <si>
    <t>Annual Therm Per Customer</t>
  </si>
  <si>
    <t xml:space="preserve">Annual Therm Per Customer </t>
  </si>
  <si>
    <t>Annual Margin Revenue</t>
  </si>
  <si>
    <t>Emergency Compressed Nature Gas Service</t>
  </si>
  <si>
    <t>Trans.  - commercial</t>
  </si>
  <si>
    <t>Standby &amp; auxiliary heating - res</t>
  </si>
  <si>
    <t>Standby &amp; auxiliary heating - com</t>
  </si>
  <si>
    <t>Standby &amp; auxiliary heating - ind</t>
  </si>
  <si>
    <t>Trans. limited interrupt w/ firm option - com</t>
  </si>
  <si>
    <t>Trans.  - industrial</t>
  </si>
  <si>
    <t>12 Months Ended December 31, 2018</t>
  </si>
  <si>
    <t>Standby service (61)</t>
  </si>
  <si>
    <t>Current and Proposed Rates by Rate Schedule (Schedules 85, 85T, 86, 86T, 87 &amp; 87T)</t>
  </si>
  <si>
    <t>(1) Schedule 101 rates in effective November 1, 2018</t>
  </si>
  <si>
    <t>Current and Proposed Rates by Rate Schedule (Schedules 31, 31T, 41 &amp; 41T)</t>
  </si>
  <si>
    <t>Current and Proposed Rates by Rate Schedule (Schedules 16, 23 &amp; 53)</t>
  </si>
  <si>
    <t>Gas Decoupling Mechanism (Schedule 142)</t>
  </si>
  <si>
    <t>JAP-13 Page 1</t>
  </si>
  <si>
    <t>Work Paper</t>
  </si>
  <si>
    <t xml:space="preserve">Weather-Normalized Therm Sales </t>
  </si>
  <si>
    <t>Exhibit JAP-04 Work Paper</t>
  </si>
  <si>
    <t>JAP-13 Page 2</t>
  </si>
  <si>
    <t xml:space="preserve"> Gas Weather Normalization of Volume</t>
  </si>
  <si>
    <t>Calendarized Volume (Therms)</t>
  </si>
  <si>
    <t>Trans. General service - industrial</t>
  </si>
  <si>
    <t>PUGET SOUND ENERGY, INC.</t>
  </si>
  <si>
    <t>2019 GENERAL RATE CASE</t>
  </si>
  <si>
    <t>Utility Capital Structure</t>
  </si>
  <si>
    <t>Proposed Cost of Capital and Rate of Return</t>
  </si>
  <si>
    <t>SHORT AND LONG TERM DEBT</t>
  </si>
  <si>
    <t>AFTER TAX SHORT TERM DEBT ( (LINE 1)* 79%)</t>
  </si>
  <si>
    <t xml:space="preserve">Average </t>
  </si>
  <si>
    <t>Average Number of Customers</t>
  </si>
  <si>
    <t>CONVERSION FACTOR</t>
  </si>
  <si>
    <t>FOR THE TWELVE MONTHS ENDED DECEMBER 31, 2018</t>
  </si>
  <si>
    <t>%'s</t>
  </si>
  <si>
    <t xml:space="preserve">FEDERAL INCOME TAX </t>
  </si>
  <si>
    <t>Response to NWEC Data Request No. 018 Attachment A</t>
  </si>
  <si>
    <t>2019 Gas General Rate Case (GRC)</t>
  </si>
  <si>
    <t>2019 Gas General Rate Case Filing</t>
  </si>
  <si>
    <t>Test Year Ended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</si>
</sst>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.000%"/>
    <numFmt numFmtId="169" formatCode="_(&quot;$&quot;* #,##0.00000_);_(&quot;$&quot;* \(#,##0.00000\);_(&quot;$&quot;* &quot;-&quot;??_);_(@_)"/>
    <numFmt numFmtId="170" formatCode="&quot;$&quot;#,##0.00\ ;\(&quot;$&quot;#,##0.00\)"/>
    <numFmt numFmtId="171" formatCode="&quot;$&quot;#,##0\ ;\(&quot;$&quot;#,##0\)"/>
    <numFmt numFmtId="172" formatCode="&quot;$&quot;#,##0.00000"/>
    <numFmt numFmtId="173" formatCode="0.0%"/>
    <numFmt numFmtId="174" formatCode="&quot;$&quot;#,##0.00000\ ;\(&quot;$&quot;#,##0.00000\)"/>
    <numFmt numFmtId="175" formatCode="&quot;$&quot;#,##0.0000\ ;\(&quot;$&quot;#,##0.0000\)"/>
    <numFmt numFmtId="176" formatCode="0.0000"/>
    <numFmt numFmtId="177" formatCode="0.00000"/>
    <numFmt numFmtId="178" formatCode="&quot;$&quot;#,##0"/>
    <numFmt numFmtId="179" formatCode="_(* #,##0.000000_);_(* \(#,##0.000000\);_(* &quot;-&quot;??_);_(@_)"/>
    <numFmt numFmtId="180" formatCode="0.0000%"/>
    <numFmt numFmtId="181" formatCode="#,##0.00000"/>
    <numFmt numFmtId="182" formatCode="#,##0.0"/>
    <numFmt numFmtId="183" formatCode="&quot;$&quot;#,##0.000\ ;\(&quot;$&quot;#,##0.000\)"/>
    <numFmt numFmtId="184" formatCode="_(* #,##0.0_);_(* \(#,##0.0\);_(* &quot;-&quot;_);_(@_)"/>
    <numFmt numFmtId="185" formatCode="&quot; As of &quot;mmmm\ d\,\ yyyy"/>
    <numFmt numFmtId="186" formatCode="0.000000%"/>
    <numFmt numFmtId="187" formatCode="m/d/yy;@"/>
    <numFmt numFmtId="188" formatCode="_(* #,##0.000_);_(* \(#,##0.000\);_(* &quot;-&quot;??_);_(@_)"/>
    <numFmt numFmtId="189" formatCode="0.00000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sz val="11"/>
      <color indexed="12"/>
      <name val="Calibri"/>
      <family val="2"/>
      <scheme val="minor"/>
    </font>
    <font>
      <sz val="10"/>
      <color rgb="FF0000FF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rgb="FF008080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1"/>
      <color rgb="FF008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rgb="FF00808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Calibri"/>
      <family val="2"/>
    </font>
    <font>
      <sz val="10"/>
      <name val="Geneva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11"/>
      <color rgb="FF0000FF"/>
      <name val="Calibri"/>
      <family val="2"/>
      <scheme val="minor"/>
    </font>
    <font>
      <b/>
      <sz val="10"/>
      <color rgb="FF00B0F0"/>
      <name val="Times New Roman"/>
      <family val="1"/>
    </font>
    <font>
      <sz val="10"/>
      <color rgb="FF00808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9">
    <xf numFmtId="0" fontId="0" fillId="0" borderId="0"/>
    <xf numFmtId="0" fontId="1" fillId="0" borderId="0"/>
    <xf numFmtId="0" fontId="1" fillId="0" borderId="0" applyNumberFormat="0" applyBorder="0" applyAlignment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184" fontId="1" fillId="0" borderId="0">
      <alignment horizontal="left" wrapText="1"/>
    </xf>
    <xf numFmtId="43" fontId="20" fillId="0" borderId="0" applyFont="0" applyFill="0" applyBorder="0" applyAlignment="0" applyProtection="0"/>
    <xf numFmtId="0" fontId="23" fillId="0" borderId="0"/>
    <xf numFmtId="10" fontId="34" fillId="0" borderId="0"/>
    <xf numFmtId="0" fontId="34" fillId="0" borderId="0"/>
    <xf numFmtId="37" fontId="3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Border="1"/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/>
    <xf numFmtId="3" fontId="6" fillId="0" borderId="0" xfId="0" applyNumberFormat="1" applyFont="1" applyFill="1" applyBorder="1"/>
    <xf numFmtId="167" fontId="3" fillId="0" borderId="0" xfId="0" applyNumberFormat="1" applyFont="1" applyFill="1"/>
    <xf numFmtId="176" fontId="3" fillId="0" borderId="0" xfId="0" applyNumberFormat="1" applyFont="1" applyFill="1"/>
    <xf numFmtId="177" fontId="3" fillId="0" borderId="0" xfId="0" applyNumberFormat="1" applyFont="1" applyFill="1" applyBorder="1"/>
    <xf numFmtId="167" fontId="3" fillId="0" borderId="0" xfId="0" applyNumberFormat="1" applyFont="1" applyFill="1" applyBorder="1"/>
    <xf numFmtId="9" fontId="1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Alignment="1"/>
    <xf numFmtId="170" fontId="1" fillId="0" borderId="0" xfId="0" applyNumberFormat="1" applyFont="1" applyBorder="1"/>
    <xf numFmtId="171" fontId="1" fillId="0" borderId="0" xfId="0" applyNumberFormat="1" applyFont="1" applyAlignment="1">
      <alignment horizontal="right"/>
    </xf>
    <xf numFmtId="0" fontId="1" fillId="0" borderId="0" xfId="0" applyFont="1"/>
    <xf numFmtId="168" fontId="1" fillId="0" borderId="0" xfId="0" applyNumberFormat="1" applyFont="1" applyAlignment="1">
      <alignment horizontal="left"/>
    </xf>
    <xf numFmtId="0" fontId="1" fillId="0" borderId="0" xfId="0" applyFont="1" applyBorder="1"/>
    <xf numFmtId="172" fontId="1" fillId="0" borderId="0" xfId="0" applyNumberFormat="1" applyFont="1"/>
    <xf numFmtId="3" fontId="1" fillId="0" borderId="0" xfId="0" applyNumberFormat="1" applyFont="1" applyBorder="1"/>
    <xf numFmtId="3" fontId="10" fillId="0" borderId="0" xfId="0" applyNumberFormat="1" applyFont="1" applyFill="1" applyBorder="1"/>
    <xf numFmtId="3" fontId="1" fillId="0" borderId="0" xfId="0" applyNumberFormat="1" applyFont="1" applyFill="1" applyBorder="1"/>
    <xf numFmtId="178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173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178" fontId="1" fillId="0" borderId="0" xfId="0" applyNumberFormat="1" applyFont="1" applyFill="1"/>
    <xf numFmtId="168" fontId="1" fillId="0" borderId="0" xfId="0" applyNumberFormat="1" applyFont="1"/>
    <xf numFmtId="178" fontId="1" fillId="0" borderId="0" xfId="0" applyNumberFormat="1" applyFont="1" applyAlignment="1">
      <alignment horizontal="left"/>
    </xf>
    <xf numFmtId="3" fontId="1" fillId="0" borderId="16" xfId="0" applyNumberFormat="1" applyFont="1" applyBorder="1"/>
    <xf numFmtId="170" fontId="1" fillId="0" borderId="0" xfId="0" applyNumberFormat="1" applyFont="1"/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74" fontId="1" fillId="0" borderId="0" xfId="0" applyNumberFormat="1" applyFont="1"/>
    <xf numFmtId="170" fontId="1" fillId="0" borderId="0" xfId="0" applyNumberFormat="1" applyFont="1" applyFill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164" fontId="0" fillId="0" borderId="4" xfId="7" applyNumberFormat="1" applyFont="1" applyBorder="1"/>
    <xf numFmtId="44" fontId="0" fillId="0" borderId="1" xfId="8" applyFont="1" applyBorder="1"/>
    <xf numFmtId="44" fontId="0" fillId="0" borderId="1" xfId="0" applyNumberFormat="1" applyBorder="1"/>
    <xf numFmtId="0" fontId="0" fillId="0" borderId="3" xfId="0" applyBorder="1"/>
    <xf numFmtId="44" fontId="0" fillId="0" borderId="3" xfId="0" applyNumberFormat="1" applyBorder="1"/>
    <xf numFmtId="10" fontId="0" fillId="0" borderId="0" xfId="9" applyNumberFormat="1" applyFont="1"/>
    <xf numFmtId="0" fontId="0" fillId="0" borderId="17" xfId="0" applyBorder="1"/>
    <xf numFmtId="44" fontId="0" fillId="0" borderId="17" xfId="0" applyNumberFormat="1" applyBorder="1"/>
    <xf numFmtId="44" fontId="0" fillId="0" borderId="18" xfId="0" applyNumberFormat="1" applyBorder="1"/>
    <xf numFmtId="44" fontId="0" fillId="0" borderId="0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64" fontId="0" fillId="0" borderId="9" xfId="7" applyNumberFormat="1" applyFont="1" applyBorder="1"/>
    <xf numFmtId="164" fontId="0" fillId="0" borderId="10" xfId="7" applyNumberFormat="1" applyFont="1" applyBorder="1"/>
    <xf numFmtId="44" fontId="0" fillId="0" borderId="11" xfId="8" applyFont="1" applyBorder="1"/>
    <xf numFmtId="44" fontId="0" fillId="0" borderId="8" xfId="8" applyFont="1" applyBorder="1"/>
    <xf numFmtId="164" fontId="0" fillId="0" borderId="13" xfId="7" applyNumberFormat="1" applyFont="1" applyBorder="1"/>
    <xf numFmtId="164" fontId="0" fillId="0" borderId="14" xfId="7" applyNumberFormat="1" applyFont="1" applyBorder="1"/>
    <xf numFmtId="44" fontId="0" fillId="0" borderId="11" xfId="0" applyNumberFormat="1" applyBorder="1"/>
    <xf numFmtId="44" fontId="0" fillId="0" borderId="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10" fontId="0" fillId="0" borderId="13" xfId="9" applyNumberFormat="1" applyFont="1" applyBorder="1"/>
    <xf numFmtId="10" fontId="0" fillId="0" borderId="14" xfId="9" applyNumberFormat="1" applyFont="1" applyBorder="1"/>
    <xf numFmtId="44" fontId="0" fillId="0" borderId="21" xfId="0" applyNumberFormat="1" applyBorder="1"/>
    <xf numFmtId="44" fontId="0" fillId="0" borderId="22" xfId="0" applyNumberFormat="1" applyBorder="1"/>
    <xf numFmtId="44" fontId="0" fillId="0" borderId="23" xfId="0" applyNumberFormat="1" applyBorder="1"/>
    <xf numFmtId="44" fontId="0" fillId="0" borderId="24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44" fontId="0" fillId="2" borderId="17" xfId="0" applyNumberFormat="1" applyFill="1" applyBorder="1"/>
    <xf numFmtId="44" fontId="0" fillId="2" borderId="21" xfId="0" applyNumberFormat="1" applyFill="1" applyBorder="1"/>
    <xf numFmtId="44" fontId="0" fillId="2" borderId="22" xfId="0" applyNumberFormat="1" applyFill="1" applyBorder="1"/>
    <xf numFmtId="0" fontId="2" fillId="0" borderId="0" xfId="0" applyFont="1" applyAlignment="1">
      <alignment horizontal="centerContinuous"/>
    </xf>
    <xf numFmtId="0" fontId="1" fillId="0" borderId="4" xfId="0" applyFont="1" applyBorder="1" applyAlignment="1">
      <alignment horizontal="center"/>
    </xf>
    <xf numFmtId="166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3" fontId="7" fillId="0" borderId="0" xfId="0" applyNumberFormat="1" applyFont="1" applyFill="1"/>
    <xf numFmtId="9" fontId="1" fillId="0" borderId="0" xfId="0" applyNumberFormat="1" applyFont="1" applyFill="1"/>
    <xf numFmtId="0" fontId="1" fillId="0" borderId="0" xfId="0" applyFont="1" applyAlignment="1">
      <alignment horizontal="right"/>
    </xf>
    <xf numFmtId="3" fontId="1" fillId="0" borderId="4" xfId="0" applyNumberFormat="1" applyFont="1" applyFill="1" applyBorder="1"/>
    <xf numFmtId="3" fontId="1" fillId="0" borderId="16" xfId="0" applyNumberFormat="1" applyFont="1" applyFill="1" applyBorder="1"/>
    <xf numFmtId="0" fontId="19" fillId="0" borderId="0" xfId="0" applyFont="1" applyFill="1"/>
    <xf numFmtId="0" fontId="21" fillId="0" borderId="0" xfId="0" applyFont="1" applyFill="1"/>
    <xf numFmtId="3" fontId="1" fillId="0" borderId="4" xfId="0" applyNumberFormat="1" applyFont="1" applyBorder="1"/>
    <xf numFmtId="0" fontId="2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3" fontId="22" fillId="0" borderId="0" xfId="0" applyNumberFormat="1" applyFont="1" applyBorder="1"/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/>
    <xf numFmtId="0" fontId="2" fillId="0" borderId="0" xfId="0" applyFont="1" applyAlignment="1">
      <alignment horizontal="left"/>
    </xf>
    <xf numFmtId="3" fontId="10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174" fontId="1" fillId="0" borderId="0" xfId="0" applyNumberFormat="1" applyFont="1" applyAlignment="1">
      <alignment horizontal="centerContinuous"/>
    </xf>
    <xf numFmtId="170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70" fontId="1" fillId="0" borderId="0" xfId="0" applyNumberFormat="1" applyFont="1" applyFill="1" applyAlignment="1">
      <alignment horizontal="centerContinuous"/>
    </xf>
    <xf numFmtId="168" fontId="1" fillId="0" borderId="0" xfId="0" applyNumberFormat="1" applyFont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174" fontId="1" fillId="0" borderId="0" xfId="0" applyNumberFormat="1" applyFont="1" applyBorder="1"/>
    <xf numFmtId="170" fontId="1" fillId="0" borderId="0" xfId="0" applyNumberFormat="1" applyFont="1" applyFill="1" applyBorder="1"/>
    <xf numFmtId="168" fontId="1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170" fontId="1" fillId="0" borderId="1" xfId="0" applyNumberFormat="1" applyFont="1" applyBorder="1" applyAlignment="1">
      <alignment horizontal="centerContinuous"/>
    </xf>
    <xf numFmtId="170" fontId="1" fillId="0" borderId="1" xfId="0" applyNumberFormat="1" applyFont="1" applyFill="1" applyBorder="1" applyAlignment="1">
      <alignment horizontal="centerContinuous"/>
    </xf>
    <xf numFmtId="170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13" xfId="0" applyFont="1" applyBorder="1" applyProtection="1">
      <protection locked="0"/>
    </xf>
    <xf numFmtId="0" fontId="1" fillId="0" borderId="0" xfId="0" applyFont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70" fontId="1" fillId="0" borderId="0" xfId="0" applyNumberFormat="1" applyFont="1" applyBorder="1" applyAlignment="1">
      <alignment horizontal="right"/>
    </xf>
    <xf numFmtId="168" fontId="1" fillId="0" borderId="14" xfId="0" applyNumberFormat="1" applyFont="1" applyBorder="1" applyAlignment="1">
      <alignment horizontal="right"/>
    </xf>
    <xf numFmtId="0" fontId="2" fillId="0" borderId="1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174" fontId="1" fillId="0" borderId="16" xfId="0" applyNumberFormat="1" applyFont="1" applyBorder="1"/>
    <xf numFmtId="171" fontId="1" fillId="0" borderId="16" xfId="0" applyNumberFormat="1" applyFont="1" applyBorder="1"/>
    <xf numFmtId="3" fontId="1" fillId="0" borderId="16" xfId="0" applyNumberFormat="1" applyFont="1" applyFill="1" applyBorder="1" applyProtection="1">
      <protection locked="0"/>
    </xf>
    <xf numFmtId="170" fontId="1" fillId="0" borderId="16" xfId="0" applyNumberFormat="1" applyFont="1" applyFill="1" applyBorder="1"/>
    <xf numFmtId="170" fontId="1" fillId="0" borderId="16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171" fontId="1" fillId="0" borderId="0" xfId="0" applyNumberFormat="1" applyFont="1" applyBorder="1"/>
    <xf numFmtId="171" fontId="1" fillId="0" borderId="0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70" fontId="10" fillId="0" borderId="0" xfId="0" applyNumberFormat="1" applyFont="1" applyFill="1" applyBorder="1"/>
    <xf numFmtId="171" fontId="5" fillId="0" borderId="5" xfId="0" applyNumberFormat="1" applyFont="1" applyFill="1" applyBorder="1" applyAlignment="1">
      <alignment horizontal="center"/>
    </xf>
    <xf numFmtId="168" fontId="1" fillId="0" borderId="0" xfId="0" applyNumberFormat="1" applyFont="1" applyBorder="1"/>
    <xf numFmtId="171" fontId="1" fillId="0" borderId="5" xfId="0" applyNumberFormat="1" applyFont="1" applyBorder="1" applyAlignment="1">
      <alignment horizontal="center"/>
    </xf>
    <xf numFmtId="174" fontId="10" fillId="0" borderId="0" xfId="0" applyNumberFormat="1" applyFont="1" applyFill="1" applyBorder="1"/>
    <xf numFmtId="174" fontId="1" fillId="0" borderId="0" xfId="0" applyNumberFormat="1" applyFont="1" applyFill="1" applyBorder="1"/>
    <xf numFmtId="171" fontId="1" fillId="0" borderId="6" xfId="0" applyNumberFormat="1" applyFont="1" applyBorder="1" applyAlignment="1">
      <alignment horizontal="center"/>
    </xf>
    <xf numFmtId="174" fontId="3" fillId="0" borderId="0" xfId="0" applyNumberFormat="1" applyFont="1" applyFill="1" applyBorder="1"/>
    <xf numFmtId="171" fontId="10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3" fillId="0" borderId="0" xfId="0" applyNumberFormat="1" applyFont="1" applyFill="1" applyBorder="1"/>
    <xf numFmtId="173" fontId="1" fillId="0" borderId="14" xfId="0" applyNumberFormat="1" applyFont="1" applyBorder="1"/>
    <xf numFmtId="171" fontId="1" fillId="0" borderId="16" xfId="0" applyNumberFormat="1" applyFont="1" applyBorder="1" applyAlignment="1">
      <alignment horizontal="right"/>
    </xf>
    <xf numFmtId="173" fontId="1" fillId="0" borderId="12" xfId="0" applyNumberFormat="1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/>
    <xf numFmtId="173" fontId="1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Border="1"/>
    <xf numFmtId="0" fontId="1" fillId="0" borderId="9" xfId="0" applyFont="1" applyBorder="1"/>
    <xf numFmtId="0" fontId="1" fillId="0" borderId="4" xfId="0" applyFont="1" applyBorder="1"/>
    <xf numFmtId="174" fontId="1" fillId="0" borderId="4" xfId="0" applyNumberFormat="1" applyFont="1" applyBorder="1"/>
    <xf numFmtId="171" fontId="1" fillId="0" borderId="4" xfId="0" applyNumberFormat="1" applyFont="1" applyBorder="1"/>
    <xf numFmtId="170" fontId="1" fillId="0" borderId="4" xfId="0" applyNumberFormat="1" applyFont="1" applyFill="1" applyBorder="1"/>
    <xf numFmtId="170" fontId="1" fillId="0" borderId="4" xfId="0" applyNumberFormat="1" applyFont="1" applyBorder="1" applyAlignment="1">
      <alignment horizontal="right"/>
    </xf>
    <xf numFmtId="173" fontId="1" fillId="0" borderId="10" xfId="0" applyNumberFormat="1" applyFont="1" applyBorder="1"/>
    <xf numFmtId="171" fontId="1" fillId="0" borderId="0" xfId="0" applyNumberFormat="1" applyFont="1" applyFill="1" applyBorder="1"/>
    <xf numFmtId="171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71" fontId="10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170" fontId="10" fillId="0" borderId="0" xfId="0" applyNumberFormat="1" applyFont="1" applyBorder="1"/>
    <xf numFmtId="174" fontId="7" fillId="0" borderId="0" xfId="0" applyNumberFormat="1" applyFont="1" applyFill="1" applyBorder="1"/>
    <xf numFmtId="170" fontId="3" fillId="0" borderId="0" xfId="0" applyNumberFormat="1" applyFont="1" applyFill="1" applyBorder="1"/>
    <xf numFmtId="171" fontId="1" fillId="0" borderId="0" xfId="0" applyNumberFormat="1" applyFont="1" applyFill="1" applyBorder="1" applyProtection="1">
      <protection locked="0"/>
    </xf>
    <xf numFmtId="171" fontId="1" fillId="0" borderId="4" xfId="0" applyNumberFormat="1" applyFont="1" applyBorder="1" applyAlignment="1">
      <alignment horizontal="right"/>
    </xf>
    <xf numFmtId="173" fontId="1" fillId="0" borderId="0" xfId="0" applyNumberFormat="1" applyFont="1" applyBorder="1"/>
    <xf numFmtId="0" fontId="2" fillId="0" borderId="11" xfId="0" applyFont="1" applyFill="1" applyBorder="1" applyProtection="1">
      <protection locked="0"/>
    </xf>
    <xf numFmtId="173" fontId="1" fillId="0" borderId="14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left"/>
    </xf>
    <xf numFmtId="171" fontId="1" fillId="0" borderId="4" xfId="0" applyNumberFormat="1" applyFont="1" applyFill="1" applyBorder="1"/>
    <xf numFmtId="173" fontId="1" fillId="0" borderId="14" xfId="0" applyNumberFormat="1" applyFont="1" applyFill="1" applyBorder="1"/>
    <xf numFmtId="171" fontId="1" fillId="0" borderId="16" xfId="0" applyNumberFormat="1" applyFont="1" applyFill="1" applyBorder="1" applyAlignment="1">
      <alignment horizontal="right"/>
    </xf>
    <xf numFmtId="174" fontId="1" fillId="0" borderId="4" xfId="0" applyNumberFormat="1" applyFont="1" applyFill="1" applyBorder="1"/>
    <xf numFmtId="171" fontId="1" fillId="0" borderId="4" xfId="0" applyNumberFormat="1" applyFont="1" applyFill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3" fontId="1" fillId="0" borderId="10" xfId="0" applyNumberFormat="1" applyFont="1" applyFill="1" applyBorder="1"/>
    <xf numFmtId="173" fontId="1" fillId="0" borderId="12" xfId="0" applyNumberFormat="1" applyFont="1" applyBorder="1"/>
    <xf numFmtId="170" fontId="3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0" fontId="1" fillId="0" borderId="13" xfId="0" applyFont="1" applyFill="1" applyBorder="1"/>
    <xf numFmtId="174" fontId="10" fillId="0" borderId="0" xfId="0" applyNumberFormat="1" applyFont="1" applyBorder="1"/>
    <xf numFmtId="174" fontId="1" fillId="0" borderId="0" xfId="0" applyNumberFormat="1" applyFont="1" applyAlignment="1">
      <alignment horizontal="center"/>
    </xf>
    <xf numFmtId="174" fontId="1" fillId="0" borderId="4" xfId="0" applyNumberFormat="1" applyFont="1" applyFill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/>
    <xf numFmtId="171" fontId="1" fillId="0" borderId="14" xfId="0" applyNumberFormat="1" applyFont="1" applyBorder="1" applyAlignment="1">
      <alignment horizontal="right"/>
    </xf>
    <xf numFmtId="171" fontId="1" fillId="0" borderId="0" xfId="0" applyNumberFormat="1" applyFont="1"/>
    <xf numFmtId="0" fontId="1" fillId="0" borderId="16" xfId="0" applyFont="1" applyFill="1" applyBorder="1" applyProtection="1">
      <protection locked="0"/>
    </xf>
    <xf numFmtId="174" fontId="1" fillId="0" borderId="16" xfId="0" applyNumberFormat="1" applyFont="1" applyFill="1" applyBorder="1"/>
    <xf numFmtId="171" fontId="1" fillId="0" borderId="16" xfId="0" applyNumberFormat="1" applyFont="1" applyFill="1" applyBorder="1"/>
    <xf numFmtId="170" fontId="1" fillId="0" borderId="16" xfId="0" applyNumberFormat="1" applyFont="1" applyFill="1" applyBorder="1" applyAlignment="1">
      <alignment horizontal="right"/>
    </xf>
    <xf numFmtId="0" fontId="1" fillId="0" borderId="13" xfId="0" applyFont="1" applyFill="1" applyBorder="1" applyProtection="1">
      <protection locked="0"/>
    </xf>
    <xf numFmtId="173" fontId="1" fillId="0" borderId="14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right"/>
    </xf>
    <xf numFmtId="173" fontId="1" fillId="0" borderId="12" xfId="0" applyNumberFormat="1" applyFont="1" applyFill="1" applyBorder="1"/>
    <xf numFmtId="170" fontId="1" fillId="0" borderId="4" xfId="0" applyNumberFormat="1" applyFont="1" applyBorder="1"/>
    <xf numFmtId="171" fontId="1" fillId="0" borderId="4" xfId="0" applyNumberFormat="1" applyFont="1" applyBorder="1" applyAlignment="1">
      <alignment horizontal="center"/>
    </xf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16" xfId="0" applyNumberFormat="1" applyFont="1" applyBorder="1"/>
    <xf numFmtId="5" fontId="1" fillId="0" borderId="0" xfId="0" applyNumberFormat="1" applyFont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3" fontId="5" fillId="0" borderId="0" xfId="0" applyNumberFormat="1" applyFont="1"/>
    <xf numFmtId="5" fontId="5" fillId="0" borderId="0" xfId="0" applyNumberFormat="1" applyFont="1"/>
    <xf numFmtId="173" fontId="1" fillId="0" borderId="0" xfId="0" applyNumberFormat="1" applyFont="1" applyAlignment="1">
      <alignment horizontal="right"/>
    </xf>
    <xf numFmtId="3" fontId="5" fillId="0" borderId="0" xfId="0" applyNumberFormat="1" applyFont="1" applyFill="1"/>
    <xf numFmtId="41" fontId="5" fillId="0" borderId="0" xfId="0" applyNumberFormat="1" applyFont="1"/>
    <xf numFmtId="42" fontId="5" fillId="0" borderId="0" xfId="0" applyNumberFormat="1" applyFont="1"/>
    <xf numFmtId="0" fontId="4" fillId="0" borderId="25" xfId="0" applyFont="1" applyBorder="1"/>
    <xf numFmtId="0" fontId="1" fillId="0" borderId="26" xfId="0" applyFont="1" applyBorder="1"/>
    <xf numFmtId="43" fontId="22" fillId="0" borderId="26" xfId="7" applyFont="1" applyBorder="1"/>
    <xf numFmtId="174" fontId="1" fillId="0" borderId="26" xfId="0" applyNumberFormat="1" applyFont="1" applyBorder="1"/>
    <xf numFmtId="43" fontId="22" fillId="0" borderId="27" xfId="7" applyFont="1" applyBorder="1"/>
    <xf numFmtId="0" fontId="4" fillId="0" borderId="28" xfId="0" applyFont="1" applyBorder="1"/>
    <xf numFmtId="0" fontId="1" fillId="0" borderId="29" xfId="0" applyFont="1" applyBorder="1"/>
    <xf numFmtId="43" fontId="22" fillId="0" borderId="29" xfId="7" applyFont="1" applyFill="1" applyBorder="1"/>
    <xf numFmtId="174" fontId="22" fillId="0" borderId="29" xfId="0" applyNumberFormat="1" applyFont="1" applyBorder="1"/>
    <xf numFmtId="5" fontId="22" fillId="0" borderId="30" xfId="7" applyNumberFormat="1" applyFont="1" applyBorder="1"/>
    <xf numFmtId="0" fontId="1" fillId="0" borderId="0" xfId="0" applyFont="1" applyFill="1" applyAlignment="1">
      <alignment horizontal="centerContinuous"/>
    </xf>
    <xf numFmtId="17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0" fontId="1" fillId="0" borderId="0" xfId="0" applyFont="1" applyAlignment="1"/>
    <xf numFmtId="170" fontId="1" fillId="0" borderId="0" xfId="0" applyNumberFormat="1" applyFont="1" applyAlignment="1"/>
    <xf numFmtId="3" fontId="1" fillId="0" borderId="4" xfId="0" applyNumberFormat="1" applyFont="1" applyFill="1" applyBorder="1" applyAlignment="1"/>
    <xf numFmtId="0" fontId="1" fillId="0" borderId="0" xfId="0" applyFont="1" applyFill="1" applyAlignment="1"/>
    <xf numFmtId="173" fontId="1" fillId="0" borderId="0" xfId="0" applyNumberFormat="1" applyFont="1" applyAlignment="1"/>
    <xf numFmtId="0" fontId="1" fillId="0" borderId="1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170" fontId="1" fillId="0" borderId="0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/>
    <xf numFmtId="0" fontId="1" fillId="0" borderId="16" xfId="0" applyFont="1" applyBorder="1"/>
    <xf numFmtId="0" fontId="1" fillId="0" borderId="16" xfId="0" applyFont="1" applyFill="1" applyBorder="1"/>
    <xf numFmtId="173" fontId="1" fillId="0" borderId="0" xfId="0" applyNumberFormat="1" applyFont="1" applyBorder="1" applyAlignment="1">
      <alignment horizontal="left"/>
    </xf>
    <xf numFmtId="171" fontId="1" fillId="0" borderId="6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wrapText="1"/>
    </xf>
    <xf numFmtId="169" fontId="10" fillId="0" borderId="0" xfId="0" applyNumberFormat="1" applyFont="1" applyFill="1"/>
    <xf numFmtId="182" fontId="1" fillId="0" borderId="0" xfId="0" applyNumberFormat="1" applyFont="1" applyFill="1" applyBorder="1"/>
    <xf numFmtId="181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0" fontId="1" fillId="0" borderId="4" xfId="0" applyFont="1" applyBorder="1" applyProtection="1">
      <protection locked="0"/>
    </xf>
    <xf numFmtId="0" fontId="1" fillId="0" borderId="4" xfId="0" applyFont="1" applyFill="1" applyBorder="1"/>
    <xf numFmtId="171" fontId="1" fillId="0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/>
    <xf numFmtId="0" fontId="4" fillId="0" borderId="15" xfId="0" applyFont="1" applyFill="1" applyBorder="1" applyAlignment="1">
      <alignment horizontal="center"/>
    </xf>
    <xf numFmtId="171" fontId="1" fillId="0" borderId="5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/>
    <xf numFmtId="174" fontId="1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/>
    <xf numFmtId="168" fontId="1" fillId="0" borderId="0" xfId="0" applyNumberFormat="1" applyFont="1" applyFill="1" applyBorder="1"/>
    <xf numFmtId="169" fontId="10" fillId="0" borderId="0" xfId="0" applyNumberFormat="1" applyFont="1" applyBorder="1"/>
    <xf numFmtId="0" fontId="10" fillId="0" borderId="0" xfId="0" applyFont="1" applyBorder="1"/>
    <xf numFmtId="17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0" fontId="1" fillId="0" borderId="9" xfId="0" applyFont="1" applyFill="1" applyBorder="1"/>
    <xf numFmtId="8" fontId="1" fillId="0" borderId="0" xfId="0" applyNumberFormat="1" applyFont="1" applyBorder="1"/>
    <xf numFmtId="169" fontId="3" fillId="0" borderId="0" xfId="0" applyNumberFormat="1" applyFont="1" applyBorder="1"/>
    <xf numFmtId="173" fontId="1" fillId="0" borderId="0" xfId="0" applyNumberFormat="1" applyFont="1" applyAlignment="1">
      <alignment horizontal="left"/>
    </xf>
    <xf numFmtId="178" fontId="1" fillId="0" borderId="0" xfId="0" applyNumberFormat="1" applyFont="1" applyBorder="1"/>
    <xf numFmtId="178" fontId="1" fillId="0" borderId="16" xfId="0" applyNumberFormat="1" applyFont="1" applyBorder="1"/>
    <xf numFmtId="0" fontId="1" fillId="0" borderId="31" xfId="0" applyFont="1" applyBorder="1"/>
    <xf numFmtId="178" fontId="1" fillId="0" borderId="32" xfId="0" applyNumberFormat="1" applyFont="1" applyBorder="1"/>
    <xf numFmtId="43" fontId="22" fillId="0" borderId="32" xfId="7" applyFont="1" applyBorder="1"/>
    <xf numFmtId="43" fontId="22" fillId="0" borderId="33" xfId="7" applyFont="1" applyBorder="1"/>
    <xf numFmtId="3" fontId="1" fillId="0" borderId="0" xfId="0" applyNumberFormat="1" applyFont="1" applyBorder="1" applyAlignment="1">
      <alignment horizontal="centerContinuous"/>
    </xf>
    <xf numFmtId="170" fontId="1" fillId="0" borderId="0" xfId="0" applyNumberFormat="1" applyFont="1" applyBorder="1" applyAlignment="1">
      <alignment horizontal="centerContinuous"/>
    </xf>
    <xf numFmtId="171" fontId="1" fillId="0" borderId="0" xfId="0" applyNumberFormat="1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171" fontId="1" fillId="0" borderId="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left"/>
    </xf>
    <xf numFmtId="170" fontId="1" fillId="0" borderId="8" xfId="0" applyNumberFormat="1" applyFont="1" applyBorder="1" applyAlignment="1">
      <alignment horizontal="centerContinuous"/>
    </xf>
    <xf numFmtId="0" fontId="2" fillId="0" borderId="16" xfId="0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2" fillId="0" borderId="13" xfId="0" applyFont="1" applyBorder="1"/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71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171" fontId="1" fillId="0" borderId="0" xfId="0" applyNumberFormat="1" applyFont="1" applyFill="1"/>
    <xf numFmtId="0" fontId="2" fillId="0" borderId="16" xfId="0" applyFont="1" applyFill="1" applyBorder="1" applyProtection="1">
      <protection locked="0"/>
    </xf>
    <xf numFmtId="0" fontId="11" fillId="0" borderId="16" xfId="0" applyFont="1" applyFill="1" applyBorder="1"/>
    <xf numFmtId="171" fontId="11" fillId="0" borderId="16" xfId="0" applyNumberFormat="1" applyFont="1" applyBorder="1"/>
    <xf numFmtId="172" fontId="1" fillId="0" borderId="0" xfId="0" applyNumberFormat="1" applyFont="1" applyFill="1" applyBorder="1"/>
    <xf numFmtId="171" fontId="5" fillId="0" borderId="0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0" xfId="0" applyFont="1" applyFill="1" applyBorder="1"/>
    <xf numFmtId="171" fontId="2" fillId="0" borderId="0" xfId="0" applyNumberFormat="1" applyFont="1" applyFill="1" applyBorder="1"/>
    <xf numFmtId="0" fontId="11" fillId="0" borderId="0" xfId="0" applyFont="1" applyFill="1" applyBorder="1"/>
    <xf numFmtId="171" fontId="11" fillId="0" borderId="0" xfId="0" applyNumberFormat="1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5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/>
    <xf numFmtId="0" fontId="2" fillId="0" borderId="9" xfId="0" applyFont="1" applyBorder="1"/>
    <xf numFmtId="0" fontId="2" fillId="0" borderId="4" xfId="0" applyFont="1" applyBorder="1"/>
    <xf numFmtId="171" fontId="2" fillId="0" borderId="4" xfId="0" applyNumberFormat="1" applyFont="1" applyBorder="1"/>
    <xf numFmtId="44" fontId="1" fillId="0" borderId="0" xfId="0" applyNumberFormat="1" applyFont="1"/>
    <xf numFmtId="0" fontId="2" fillId="0" borderId="32" xfId="0" applyFont="1" applyBorder="1"/>
    <xf numFmtId="43" fontId="22" fillId="0" borderId="32" xfId="7" applyFont="1" applyFill="1" applyBorder="1"/>
    <xf numFmtId="0" fontId="1" fillId="0" borderId="32" xfId="0" applyFont="1" applyFill="1" applyBorder="1"/>
    <xf numFmtId="43" fontId="22" fillId="0" borderId="33" xfId="7" applyFont="1" applyFill="1" applyBorder="1"/>
    <xf numFmtId="171" fontId="3" fillId="0" borderId="0" xfId="0" applyNumberFormat="1" applyFont="1"/>
    <xf numFmtId="0" fontId="25" fillId="0" borderId="0" xfId="0" applyFont="1" applyAlignment="1">
      <alignment horizontal="centerContinuous"/>
    </xf>
    <xf numFmtId="0" fontId="27" fillId="0" borderId="0" xfId="0" applyFont="1" applyFill="1"/>
    <xf numFmtId="0" fontId="27" fillId="0" borderId="0" xfId="0" applyFont="1"/>
    <xf numFmtId="0" fontId="26" fillId="0" borderId="0" xfId="0" applyFont="1" applyFill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165" fontId="29" fillId="0" borderId="0" xfId="0" applyNumberFormat="1" applyFont="1" applyFill="1"/>
    <xf numFmtId="0" fontId="26" fillId="0" borderId="0" xfId="0" applyFont="1" applyAlignment="1"/>
    <xf numFmtId="0" fontId="26" fillId="0" borderId="0" xfId="0" applyFont="1" applyFill="1" applyAlignment="1"/>
    <xf numFmtId="0" fontId="27" fillId="0" borderId="4" xfId="0" applyFont="1" applyFill="1" applyBorder="1"/>
    <xf numFmtId="0" fontId="27" fillId="0" borderId="0" xfId="0" quotePrefix="1" applyFont="1" applyFill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 applyBorder="1"/>
    <xf numFmtId="164" fontId="27" fillId="0" borderId="0" xfId="0" applyNumberFormat="1" applyFont="1" applyFill="1" applyBorder="1"/>
    <xf numFmtId="44" fontId="27" fillId="0" borderId="3" xfId="0" applyNumberFormat="1" applyFont="1" applyFill="1" applyBorder="1"/>
    <xf numFmtId="0" fontId="24" fillId="0" borderId="0" xfId="0" applyFont="1" applyFill="1"/>
    <xf numFmtId="41" fontId="26" fillId="0" borderId="4" xfId="0" applyNumberFormat="1" applyFont="1" applyFill="1" applyBorder="1" applyAlignment="1">
      <alignment horizontal="center" vertical="center" wrapText="1"/>
    </xf>
    <xf numFmtId="166" fontId="26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2" fillId="0" borderId="0" xfId="0" applyFont="1" applyFill="1"/>
    <xf numFmtId="3" fontId="27" fillId="0" borderId="0" xfId="0" applyNumberFormat="1" applyFont="1" applyFill="1"/>
    <xf numFmtId="3" fontId="24" fillId="0" borderId="0" xfId="0" applyNumberFormat="1" applyFont="1" applyFill="1"/>
    <xf numFmtId="0" fontId="24" fillId="0" borderId="0" xfId="0" quotePrefix="1" applyFont="1" applyFill="1" applyAlignment="1">
      <alignment horizontal="center"/>
    </xf>
    <xf numFmtId="10" fontId="24" fillId="0" borderId="0" xfId="0" applyNumberFormat="1" applyFont="1" applyFill="1"/>
    <xf numFmtId="0" fontId="24" fillId="0" borderId="0" xfId="0" applyFont="1" applyFill="1" applyAlignment="1">
      <alignment horizontal="center"/>
    </xf>
    <xf numFmtId="10" fontId="27" fillId="0" borderId="0" xfId="0" applyNumberFormat="1" applyFont="1" applyFill="1"/>
    <xf numFmtId="44" fontId="29" fillId="0" borderId="0" xfId="0" applyNumberFormat="1" applyFont="1" applyFill="1" applyAlignment="1">
      <alignment horizontal="center"/>
    </xf>
    <xf numFmtId="44" fontId="27" fillId="0" borderId="0" xfId="0" applyNumberFormat="1" applyFont="1" applyFill="1"/>
    <xf numFmtId="44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33" fillId="0" borderId="0" xfId="0" applyFont="1"/>
    <xf numFmtId="0" fontId="27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/>
    <xf numFmtId="0" fontId="16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10" fontId="18" fillId="0" borderId="0" xfId="14" applyFont="1"/>
    <xf numFmtId="0" fontId="35" fillId="0" borderId="0" xfId="15" applyFont="1" applyBorder="1" applyAlignment="1" applyProtection="1">
      <alignment horizontal="centerContinuous" vertical="center" wrapText="1"/>
    </xf>
    <xf numFmtId="10" fontId="2" fillId="0" borderId="0" xfId="14" applyFont="1" applyAlignment="1">
      <alignment horizontal="centerContinuous"/>
    </xf>
    <xf numFmtId="10" fontId="35" fillId="0" borderId="0" xfId="14" applyFont="1" applyBorder="1" applyAlignment="1" applyProtection="1">
      <alignment horizontal="centerContinuous" vertical="center" wrapText="1"/>
    </xf>
    <xf numFmtId="10" fontId="18" fillId="0" borderId="0" xfId="14" applyFont="1" applyAlignment="1">
      <alignment horizontal="centerContinuous"/>
    </xf>
    <xf numFmtId="37" fontId="18" fillId="0" borderId="0" xfId="14" applyNumberFormat="1" applyFont="1"/>
    <xf numFmtId="180" fontId="18" fillId="0" borderId="0" xfId="14" applyNumberFormat="1" applyFont="1"/>
    <xf numFmtId="185" fontId="37" fillId="0" borderId="0" xfId="14" applyNumberFormat="1" applyFont="1" applyBorder="1" applyAlignment="1" applyProtection="1">
      <alignment horizontal="centerContinuous" vertical="center" wrapText="1"/>
    </xf>
    <xf numFmtId="10" fontId="18" fillId="0" borderId="0" xfId="14" applyFont="1" applyBorder="1" applyAlignment="1">
      <alignment horizontal="centerContinuous" vertical="center" wrapText="1"/>
    </xf>
    <xf numFmtId="185" fontId="17" fillId="0" borderId="0" xfId="14" applyNumberFormat="1" applyFont="1" applyBorder="1" applyAlignment="1" applyProtection="1">
      <alignment horizontal="centerContinuous" vertical="center" wrapText="1"/>
    </xf>
    <xf numFmtId="1" fontId="18" fillId="0" borderId="0" xfId="14" applyNumberFormat="1" applyFont="1" applyAlignment="1" applyProtection="1">
      <alignment horizontal="center"/>
    </xf>
    <xf numFmtId="0" fontId="18" fillId="0" borderId="0" xfId="0" applyFont="1"/>
    <xf numFmtId="1" fontId="17" fillId="0" borderId="0" xfId="14" applyNumberFormat="1" applyFont="1" applyAlignment="1" applyProtection="1">
      <alignment horizontal="center"/>
    </xf>
    <xf numFmtId="10" fontId="1" fillId="0" borderId="0" xfId="14" applyFont="1"/>
    <xf numFmtId="1" fontId="17" fillId="0" borderId="4" xfId="14" applyNumberFormat="1" applyFont="1" applyBorder="1" applyAlignment="1" applyProtection="1">
      <alignment horizontal="center"/>
    </xf>
    <xf numFmtId="0" fontId="17" fillId="0" borderId="4" xfId="0" applyNumberFormat="1" applyFont="1" applyFill="1" applyBorder="1" applyAlignment="1">
      <alignment horizontal="center"/>
    </xf>
    <xf numFmtId="37" fontId="26" fillId="0" borderId="4" xfId="16" applyFont="1" applyBorder="1" applyAlignment="1" applyProtection="1">
      <alignment horizontal="center"/>
    </xf>
    <xf numFmtId="37" fontId="26" fillId="0" borderId="0" xfId="16" applyFont="1" applyAlignment="1" applyProtection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/>
    <xf numFmtId="10" fontId="1" fillId="0" borderId="0" xfId="17" applyNumberFormat="1" applyFont="1" applyFill="1" applyAlignment="1">
      <alignment horizontal="center"/>
    </xf>
    <xf numFmtId="10" fontId="2" fillId="0" borderId="0" xfId="14" applyFont="1" applyAlignment="1">
      <alignment horizontal="center"/>
    </xf>
    <xf numFmtId="10" fontId="1" fillId="0" borderId="4" xfId="14" applyFont="1" applyFill="1" applyBorder="1" applyAlignment="1">
      <alignment horizontal="center"/>
    </xf>
    <xf numFmtId="10" fontId="2" fillId="0" borderId="0" xfId="14" applyFont="1" applyAlignment="1" applyProtection="1">
      <alignment horizontal="center"/>
    </xf>
    <xf numFmtId="10" fontId="38" fillId="0" borderId="0" xfId="14" applyFont="1" applyFill="1" applyAlignment="1" applyProtection="1">
      <alignment horizontal="center"/>
    </xf>
    <xf numFmtId="10" fontId="38" fillId="0" borderId="0" xfId="14" applyFont="1" applyAlignment="1" applyProtection="1">
      <alignment horizontal="center"/>
    </xf>
    <xf numFmtId="10" fontId="1" fillId="0" borderId="0" xfId="14" applyFont="1" applyAlignment="1" applyProtection="1">
      <alignment horizontal="left"/>
    </xf>
    <xf numFmtId="10" fontId="1" fillId="0" borderId="0" xfId="14" applyFont="1" applyFill="1" applyAlignment="1" applyProtection="1">
      <alignment horizontal="left"/>
    </xf>
    <xf numFmtId="10" fontId="1" fillId="0" borderId="0" xfId="14" applyFont="1" applyAlignment="1">
      <alignment horizontal="center"/>
    </xf>
    <xf numFmtId="10" fontId="1" fillId="0" borderId="0" xfId="14" applyNumberFormat="1" applyFont="1" applyAlignment="1" applyProtection="1"/>
    <xf numFmtId="10" fontId="1" fillId="0" borderId="4" xfId="14" applyFont="1" applyBorder="1" applyAlignment="1">
      <alignment horizontal="center"/>
    </xf>
    <xf numFmtId="10" fontId="4" fillId="0" borderId="0" xfId="14" applyNumberFormat="1" applyFont="1" applyFill="1" applyAlignment="1" applyProtection="1"/>
    <xf numFmtId="10" fontId="2" fillId="0" borderId="0" xfId="14" applyFont="1"/>
    <xf numFmtId="5" fontId="1" fillId="0" borderId="0" xfId="14" applyNumberFormat="1" applyFont="1" applyAlignment="1"/>
    <xf numFmtId="10" fontId="1" fillId="0" borderId="0" xfId="14" applyFont="1" applyBorder="1" applyAlignment="1" applyProtection="1"/>
    <xf numFmtId="10" fontId="1" fillId="0" borderId="0" xfId="14" applyNumberFormat="1" applyFont="1" applyAlignment="1"/>
    <xf numFmtId="10" fontId="39" fillId="0" borderId="0" xfId="14" applyFont="1" applyBorder="1"/>
    <xf numFmtId="10" fontId="18" fillId="0" borderId="0" xfId="14" applyFont="1" applyBorder="1"/>
    <xf numFmtId="37" fontId="18" fillId="0" borderId="0" xfId="14" applyNumberFormat="1" applyFont="1" applyBorder="1"/>
    <xf numFmtId="186" fontId="39" fillId="0" borderId="0" xfId="14" applyNumberFormat="1" applyFont="1" applyBorder="1"/>
    <xf numFmtId="1" fontId="24" fillId="0" borderId="0" xfId="14" applyNumberFormat="1" applyFont="1" applyAlignment="1" applyProtection="1">
      <alignment horizontal="center"/>
    </xf>
    <xf numFmtId="5" fontId="1" fillId="0" borderId="0" xfId="14" applyNumberFormat="1" applyFont="1" applyFill="1" applyAlignment="1"/>
    <xf numFmtId="10" fontId="1" fillId="0" borderId="0" xfId="14" applyFont="1" applyFill="1" applyAlignment="1" applyProtection="1"/>
    <xf numFmtId="10" fontId="1" fillId="0" borderId="0" xfId="14" applyFont="1" applyFill="1" applyBorder="1" applyAlignment="1" applyProtection="1"/>
    <xf numFmtId="168" fontId="18" fillId="0" borderId="0" xfId="17" applyNumberFormat="1" applyFont="1"/>
    <xf numFmtId="10" fontId="2" fillId="0" borderId="0" xfId="14" applyFont="1" applyAlignment="1" applyProtection="1">
      <alignment horizontal="left"/>
    </xf>
    <xf numFmtId="5" fontId="40" fillId="0" borderId="0" xfId="14" applyNumberFormat="1" applyFont="1" applyFill="1" applyBorder="1" applyAlignment="1" applyProtection="1"/>
    <xf numFmtId="10" fontId="40" fillId="0" borderId="0" xfId="14" applyNumberFormat="1" applyFont="1" applyFill="1" applyAlignment="1" applyProtection="1"/>
    <xf numFmtId="10" fontId="1" fillId="0" borderId="0" xfId="14" applyNumberFormat="1" applyFont="1" applyFill="1" applyBorder="1" applyAlignment="1" applyProtection="1"/>
    <xf numFmtId="10" fontId="40" fillId="0" borderId="0" xfId="14" applyNumberFormat="1" applyFont="1" applyAlignment="1" applyProtection="1"/>
    <xf numFmtId="187" fontId="3" fillId="0" borderId="0" xfId="14" applyNumberFormat="1" applyFont="1" applyBorder="1" applyAlignment="1">
      <alignment horizontal="center"/>
    </xf>
    <xf numFmtId="37" fontId="1" fillId="0" borderId="0" xfId="14" applyNumberFormat="1" applyFont="1" applyBorder="1" applyAlignment="1">
      <alignment horizontal="center"/>
    </xf>
    <xf numFmtId="10" fontId="3" fillId="0" borderId="0" xfId="14" applyFont="1" applyBorder="1" applyAlignment="1" applyProtection="1"/>
    <xf numFmtId="173" fontId="1" fillId="0" borderId="0" xfId="14" applyNumberFormat="1" applyFont="1" applyBorder="1" applyAlignment="1" applyProtection="1"/>
    <xf numFmtId="10" fontId="3" fillId="0" borderId="0" xfId="14" applyNumberFormat="1" applyFont="1" applyFill="1" applyBorder="1" applyAlignment="1" applyProtection="1"/>
    <xf numFmtId="5" fontId="41" fillId="0" borderId="0" xfId="14" applyNumberFormat="1" applyFont="1" applyFill="1" applyBorder="1" applyAlignment="1" applyProtection="1"/>
    <xf numFmtId="10" fontId="41" fillId="0" borderId="0" xfId="14" applyNumberFormat="1" applyFont="1" applyFill="1" applyBorder="1" applyAlignment="1" applyProtection="1"/>
    <xf numFmtId="188" fontId="1" fillId="0" borderId="0" xfId="18" applyNumberFormat="1" applyFont="1" applyBorder="1" applyAlignment="1"/>
    <xf numFmtId="10" fontId="41" fillId="0" borderId="0" xfId="14" applyNumberFormat="1" applyFont="1" applyBorder="1" applyAlignment="1" applyProtection="1"/>
    <xf numFmtId="10" fontId="1" fillId="0" borderId="0" xfId="14" applyFont="1" applyBorder="1"/>
    <xf numFmtId="10" fontId="1" fillId="0" borderId="0" xfId="14" applyNumberFormat="1" applyFont="1" applyBorder="1" applyAlignment="1" applyProtection="1"/>
    <xf numFmtId="10" fontId="1" fillId="0" borderId="0" xfId="14" applyFont="1" applyFill="1" applyBorder="1"/>
    <xf numFmtId="10" fontId="41" fillId="0" borderId="0" xfId="14" applyFont="1" applyBorder="1" applyAlignment="1"/>
    <xf numFmtId="10" fontId="1" fillId="0" borderId="0" xfId="14" applyFont="1" applyFill="1"/>
    <xf numFmtId="10" fontId="42" fillId="0" borderId="0" xfId="14" applyFont="1" applyAlignment="1" applyProtection="1">
      <alignment horizontal="left"/>
    </xf>
    <xf numFmtId="38" fontId="1" fillId="0" borderId="0" xfId="14" applyNumberFormat="1" applyFont="1"/>
    <xf numFmtId="10" fontId="43" fillId="0" borderId="0" xfId="14" applyFont="1"/>
    <xf numFmtId="1" fontId="18" fillId="0" borderId="0" xfId="14" applyNumberFormat="1" applyFont="1" applyProtection="1"/>
    <xf numFmtId="5" fontId="1" fillId="0" borderId="0" xfId="14" applyNumberFormat="1" applyFont="1" applyAlignment="1" applyProtection="1"/>
    <xf numFmtId="5" fontId="1" fillId="0" borderId="0" xfId="14" applyNumberFormat="1" applyFont="1"/>
    <xf numFmtId="5" fontId="18" fillId="0" borderId="0" xfId="14" applyNumberFormat="1" applyFont="1" applyProtection="1"/>
    <xf numFmtId="173" fontId="18" fillId="0" borderId="0" xfId="14" applyNumberFormat="1" applyFont="1" applyProtection="1"/>
    <xf numFmtId="10" fontId="18" fillId="0" borderId="0" xfId="14" applyNumberFormat="1" applyFont="1" applyProtection="1"/>
    <xf numFmtId="10" fontId="10" fillId="0" borderId="0" xfId="14" applyFont="1" applyFill="1" applyAlignment="1">
      <alignment horizontal="center"/>
    </xf>
    <xf numFmtId="10" fontId="10" fillId="0" borderId="0" xfId="3" applyNumberFormat="1" applyFont="1" applyFill="1" applyAlignment="1">
      <alignment horizontal="center"/>
    </xf>
    <xf numFmtId="10" fontId="10" fillId="0" borderId="4" xfId="14" applyFont="1" applyFill="1" applyBorder="1" applyAlignment="1" applyProtection="1">
      <alignment horizontal="center"/>
    </xf>
    <xf numFmtId="10" fontId="10" fillId="0" borderId="4" xfId="14" applyFont="1" applyFill="1" applyBorder="1" applyAlignment="1">
      <alignment horizontal="center"/>
    </xf>
    <xf numFmtId="10" fontId="10" fillId="0" borderId="0" xfId="18" applyNumberFormat="1" applyFont="1" applyAlignment="1" applyProtection="1">
      <alignment horizontal="center"/>
    </xf>
    <xf numFmtId="10" fontId="10" fillId="0" borderId="0" xfId="3" applyNumberFormat="1" applyFont="1" applyAlignment="1">
      <alignment horizontal="center"/>
    </xf>
    <xf numFmtId="10" fontId="10" fillId="0" borderId="4" xfId="18" applyNumberFormat="1" applyFont="1" applyBorder="1" applyAlignment="1" applyProtection="1">
      <alignment horizontal="center"/>
    </xf>
    <xf numFmtId="179" fontId="10" fillId="0" borderId="0" xfId="0" applyNumberFormat="1" applyFont="1" applyFill="1"/>
    <xf numFmtId="179" fontId="10" fillId="0" borderId="0" xfId="0" applyNumberFormat="1" applyFont="1" applyFill="1" applyBorder="1"/>
    <xf numFmtId="164" fontId="0" fillId="0" borderId="0" xfId="7" applyNumberFormat="1" applyFont="1"/>
    <xf numFmtId="164" fontId="44" fillId="0" borderId="9" xfId="7" applyNumberFormat="1" applyFont="1" applyBorder="1"/>
    <xf numFmtId="164" fontId="44" fillId="0" borderId="10" xfId="7" applyNumberFormat="1" applyFont="1" applyBorder="1"/>
    <xf numFmtId="164" fontId="15" fillId="0" borderId="13" xfId="7" applyNumberFormat="1" applyFont="1" applyBorder="1"/>
    <xf numFmtId="164" fontId="15" fillId="0" borderId="14" xfId="7" applyNumberFormat="1" applyFont="1" applyBorder="1"/>
    <xf numFmtId="0" fontId="17" fillId="0" borderId="0" xfId="0" applyNumberFormat="1" applyFont="1" applyFill="1" applyAlignment="1"/>
    <xf numFmtId="167" fontId="17" fillId="0" borderId="0" xfId="0" applyNumberFormat="1" applyFont="1" applyFill="1" applyAlignment="1">
      <alignment horizontal="right"/>
    </xf>
    <xf numFmtId="0" fontId="1" fillId="0" borderId="0" xfId="0" applyNumberFormat="1" applyFont="1" applyAlignment="1"/>
    <xf numFmtId="0" fontId="17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Alignment="1">
      <alignment horizontal="centerContinuous"/>
    </xf>
    <xf numFmtId="0" fontId="45" fillId="0" borderId="0" xfId="0" applyNumberFormat="1" applyFont="1" applyAlignment="1">
      <alignment horizontal="centerContinuous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 horizontal="left"/>
    </xf>
    <xf numFmtId="167" fontId="18" fillId="0" borderId="0" xfId="0" applyNumberFormat="1" applyFont="1" applyFill="1" applyAlignment="1"/>
    <xf numFmtId="167" fontId="18" fillId="0" borderId="4" xfId="0" applyNumberFormat="1" applyFont="1" applyFill="1" applyBorder="1" applyAlignment="1"/>
    <xf numFmtId="167" fontId="18" fillId="0" borderId="0" xfId="0" applyNumberFormat="1" applyFont="1" applyFill="1" applyBorder="1" applyAlignment="1"/>
    <xf numFmtId="9" fontId="18" fillId="0" borderId="0" xfId="0" applyNumberFormat="1" applyFont="1" applyFill="1" applyAlignment="1">
      <alignment horizontal="center"/>
    </xf>
    <xf numFmtId="167" fontId="18" fillId="0" borderId="2" xfId="0" applyNumberFormat="1" applyFont="1" applyFill="1" applyBorder="1" applyAlignment="1" applyProtection="1">
      <protection locked="0"/>
    </xf>
    <xf numFmtId="189" fontId="1" fillId="0" borderId="0" xfId="0" applyNumberFormat="1" applyFont="1" applyAlignment="1"/>
    <xf numFmtId="180" fontId="46" fillId="0" borderId="0" xfId="0" applyNumberFormat="1" applyFont="1" applyFill="1" applyAlignment="1">
      <alignment horizontal="center"/>
    </xf>
    <xf numFmtId="167" fontId="46" fillId="0" borderId="0" xfId="0" applyNumberFormat="1" applyFont="1" applyFill="1" applyAlignment="1"/>
    <xf numFmtId="10" fontId="15" fillId="0" borderId="13" xfId="9" applyNumberFormat="1" applyFont="1" applyBorder="1"/>
    <xf numFmtId="44" fontId="15" fillId="0" borderId="13" xfId="8" applyFont="1" applyBorder="1"/>
    <xf numFmtId="44" fontId="15" fillId="0" borderId="14" xfId="8" applyFont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65" fontId="15" fillId="0" borderId="13" xfId="8" applyNumberFormat="1" applyFont="1" applyFill="1" applyBorder="1"/>
    <xf numFmtId="10" fontId="15" fillId="0" borderId="0" xfId="9" applyNumberFormat="1" applyFont="1"/>
    <xf numFmtId="164" fontId="44" fillId="0" borderId="4" xfId="7" applyNumberFormat="1" applyFont="1" applyBorder="1"/>
    <xf numFmtId="44" fontId="15" fillId="0" borderId="0" xfId="8" applyFont="1"/>
    <xf numFmtId="44" fontId="15" fillId="0" borderId="1" xfId="0" applyNumberFormat="1" applyFont="1" applyBorder="1"/>
    <xf numFmtId="164" fontId="15" fillId="0" borderId="4" xfId="7" applyNumberFormat="1" applyFont="1" applyBorder="1"/>
    <xf numFmtId="43" fontId="15" fillId="0" borderId="9" xfId="7" applyNumberFormat="1" applyFont="1" applyBorder="1"/>
    <xf numFmtId="43" fontId="15" fillId="0" borderId="10" xfId="7" applyNumberFormat="1" applyFont="1" applyBorder="1"/>
    <xf numFmtId="165" fontId="15" fillId="0" borderId="14" xfId="8" applyNumberFormat="1" applyFont="1" applyFill="1" applyBorder="1"/>
    <xf numFmtId="0" fontId="47" fillId="0" borderId="0" xfId="0" applyFont="1" applyAlignment="1">
      <alignment horizontal="center"/>
    </xf>
    <xf numFmtId="0" fontId="47" fillId="0" borderId="0" xfId="0" quotePrefix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7" fillId="0" borderId="0" xfId="0" quotePrefix="1" applyFont="1" applyAlignment="1">
      <alignment horizontal="center" wrapText="1"/>
    </xf>
    <xf numFmtId="185" fontId="36" fillId="0" borderId="0" xfId="14" applyNumberFormat="1" applyFont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9">
    <cellStyle name="Comma" xfId="7" builtinId="3"/>
    <cellStyle name="Comma 10" xfId="5" xr:uid="{00000000-0005-0000-0000-000001000000}"/>
    <cellStyle name="Comma 18" xfId="12" xr:uid="{00000000-0005-0000-0000-000002000000}"/>
    <cellStyle name="Comma 2" xfId="18" xr:uid="{00000000-0005-0000-0000-000003000000}"/>
    <cellStyle name="Currency" xfId="8" builtinId="4"/>
    <cellStyle name="Currency 10 2" xfId="4" xr:uid="{00000000-0005-0000-0000-000005000000}"/>
    <cellStyle name="Normal" xfId="0" builtinId="0"/>
    <cellStyle name="Normal - Style1 2 2 3 4" xfId="1" xr:uid="{00000000-0005-0000-0000-000007000000}"/>
    <cellStyle name="Normal - Style1 5 4" xfId="10" xr:uid="{00000000-0005-0000-0000-000008000000}"/>
    <cellStyle name="Normal 2" xfId="13" xr:uid="{00000000-0005-0000-0000-000009000000}"/>
    <cellStyle name="Normal 5" xfId="6" xr:uid="{00000000-0005-0000-0000-00000A000000}"/>
    <cellStyle name="Normal 8 6 8" xfId="11" xr:uid="{00000000-0005-0000-0000-00000B000000}"/>
    <cellStyle name="Normal_AMACAPST" xfId="15" xr:uid="{00000000-0005-0000-0000-00000C000000}"/>
    <cellStyle name="Normal_COSTOF" xfId="16" xr:uid="{00000000-0005-0000-0000-00000D000000}"/>
    <cellStyle name="Normal_RATEOFRE" xfId="14" xr:uid="{00000000-0005-0000-0000-00000E000000}"/>
    <cellStyle name="Percent" xfId="9" builtinId="5"/>
    <cellStyle name="Percent 10" xfId="3" xr:uid="{00000000-0005-0000-0000-000010000000}"/>
    <cellStyle name="Percent 2 2" xfId="17" xr:uid="{00000000-0005-0000-0000-000011000000}"/>
    <cellStyle name="Test" xfId="2" xr:uid="{00000000-0005-0000-0000-000012000000}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1.xml"/><Relationship Id="rId21" Type="http://schemas.openxmlformats.org/officeDocument/2006/relationships/externalLink" Target="externalLinks/externalLink6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48.xml"/><Relationship Id="rId68" Type="http://schemas.openxmlformats.org/officeDocument/2006/relationships/externalLink" Target="externalLinks/externalLink53.xml"/><Relationship Id="rId16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8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51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6.xml"/><Relationship Id="rId19" Type="http://schemas.openxmlformats.org/officeDocument/2006/relationships/externalLink" Target="externalLinks/externalLink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41.xml"/><Relationship Id="rId64" Type="http://schemas.openxmlformats.org/officeDocument/2006/relationships/externalLink" Target="externalLinks/externalLink49.xml"/><Relationship Id="rId69" Type="http://schemas.openxmlformats.org/officeDocument/2006/relationships/externalLink" Target="externalLinks/externalLink54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59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52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54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47.xml"/><Relationship Id="rId70" Type="http://schemas.openxmlformats.org/officeDocument/2006/relationships/externalLink" Target="externalLinks/externalLink55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4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60" Type="http://schemas.openxmlformats.org/officeDocument/2006/relationships/externalLink" Target="externalLinks/externalLink45.xml"/><Relationship Id="rId65" Type="http://schemas.openxmlformats.org/officeDocument/2006/relationships/externalLink" Target="externalLinks/externalLink50.xml"/><Relationship Id="rId73" Type="http://schemas.openxmlformats.org/officeDocument/2006/relationships/sharedStrings" Target="sharedStrings.xml"/><Relationship Id="rId78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9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35.xml"/><Relationship Id="rId55" Type="http://schemas.openxmlformats.org/officeDocument/2006/relationships/externalLink" Target="externalLinks/externalLink40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84250</xdr:colOff>
      <xdr:row>34</xdr:row>
      <xdr:rowOff>8160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1050" cy="62260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Cost%20Accounting/Resource%20Costs/CT/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SEFIL3/Xception/#All-Source RFP 2004/Quantitative Analysis Team/Wind RFP Analysis/EnXco Depr. and Royalty Alts/ASM8W- A06 EnXco $3.95 w depr 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PACA/PwrStat/Penny/LARGEQUALIFIED/Qf99/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.#2011 GRC Docket UE-11xxxx/Compliance/Compliance 2011 GRC 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Acct/newgas/2000/Oct00/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Documents%20and%20Settings/boljh/Local%20Settings/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# 2010 GTIF/Original2010GTIF-Oct/Models &amp; Adjustments Oct-10 filing/3.03 3.04 RB &amp; WC-RC June 10 Working 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4Home/JDyer/Unbilled%20Reasonableness/04-2013%20Gas%20Reasonablenes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WA%202013%20GRC%20(Docket%20UE-xxxxxx)/Filed/Direct/Exhibit%20No_(CCP-5)/Tab%204%20&amp;%205/COS%20WA%20June%202012%20(TempAdj-chg%20to%20St%20Lgts%20only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Elsea%20Projects/Encogen/Sept%2023%20Review/PSE%20Own%2011-99%20for%20$1yr00noboilerJ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.#2011 GRC Docket UE-11xxxx/COS/Revenue Requirement/Electric Model 2011 GRC 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WINNT/Temporary%20Internet%20Files/OLKC0/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Documents%20and%20Settings/scartwri/My%20Documents/Projects/PSE/Projects/BHP/Due%20Diligence/BHP%20IS.BS.CF%20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Documents%20and%20Settings/zdmurra/Local%20Settings/Temporary%20Internet%20Files/OLK15/Power%20Cost%2050yr%206.15.06%20AURORA%20run%20with%205.23.06%20pric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.#2011 GRC Docket UE-11xxxx/Testimony/Workpapers/ECOS 2011 GRC Workpapers 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COS/Wyoming%20FY%202005/COS/COS%20Sep%202006/Wyoming%20Combined%20Sept%202006%20MSP-UCAM%20and%20AFOR-09-12-05-JAM%20updat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ates/Public/Gas%20GRC%202011/Compliance%20Filing/Mei%20Cass%20Files/2011%20Gas%20COSS%20December%20TY%20Compliance_M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ates/Public/Decoupling/2016%20GRC%20Prep/PCA/#Electric Model 2016 GRC 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Users/pschmi/AppData/Local/Microsoft/Windows/Temporary%20Internet%20Files/Content.Outlook/U2G2SXAI/Cost%20Of%20Service/2017%20Gas%20COSS%20September%20TY_Complianc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TM1EXC/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/GrpRevnu/PUBLIC/WUTC/Puget%20Sound%20Energy/Semi%20Annual%20Report/Jun_30_01/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PA&amp;D/DSMRecov/2001/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Unbilled%20Rev%20Electric%20-%20Gas%20-%20SOE%20-%20SOG/2005/SOE/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SystemSegCosts/03/Washington/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COS/Wyoming%20FY%202005/COS/COS%20Sep%202006/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ates/Public/RASANEN/#2005 GRC/COS Inputs/COS Model/ECOS Model - FINAL 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wyoming%20rate%20case/Combined/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ates/Public/RASANEN/#2005 GRC/Update 6-30-06/COS Update 7-7-06/ECOS Model - UPDATE (JAH-5) 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Mid%20Office/aaa%20Jody%20Test/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Cost%20Accounting/Resource%20Costs/Capacity/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Formulas/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# 2007 GRC/4.04G Pass 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WINNT/Temporary%20Internet%20Files/OLK71/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PA&amp;D/DSMRecov/2012/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Cost%20Accounting/Resource%20Costs/Forecast%20&amp;%20Variance/PCORC/RORC%20Filing/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ecoa/Data/shared/2000%20CAPITAL%20BUDGET/COAL%20HAULERS/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GrpRevnu/PUBLIC/Unbilled%20Rev%20Electric%20-%20Gas%20-%20SOE%20-%20SOG/2006/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Users/hxu/Downloads/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Documents%20and%20Settings/p09653/My%20Documents/Oregon%20Rate%20Case/SB%201149/Rebuttal/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PA&amp;D/CASES/Oregon%2099/Portfolio/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Rgarratt%20backup%205_29_02/Excel/La%20Paloma/Proforma/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lcfil01/DATA/SLREG1/ARCHIVE/1999/Semi%20Dec%201999/Models%20(Ram%20&amp;%20Jam)/Copy%20of%20Models%20as%20Filed/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smr/AppData/Local/Temp/Workshare/fefcbnfy.hze/1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2.5033950805664062E-6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(a)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C20"/>
  <sheetViews>
    <sheetView tabSelected="1" view="pageLayout" topLeftCell="A26" zoomScaleNormal="100" workbookViewId="0">
      <selection activeCell="A11" sqref="A11"/>
    </sheetView>
  </sheetViews>
  <sheetFormatPr baseColWidth="10" defaultColWidth="8.83203125" defaultRowHeight="15"/>
  <cols>
    <col min="1" max="1" width="37" bestFit="1" customWidth="1"/>
    <col min="2" max="3" width="13.5" bestFit="1" customWidth="1"/>
  </cols>
  <sheetData>
    <row r="1" spans="1:3">
      <c r="A1" s="514" t="s">
        <v>17</v>
      </c>
      <c r="B1" s="514"/>
      <c r="C1" s="514"/>
    </row>
    <row r="2" spans="1:3">
      <c r="A2" s="515" t="s">
        <v>307</v>
      </c>
      <c r="B2" s="514"/>
      <c r="C2" s="514"/>
    </row>
    <row r="5" spans="1:3">
      <c r="A5" s="41" t="s">
        <v>239</v>
      </c>
      <c r="B5" s="39" t="s">
        <v>268</v>
      </c>
      <c r="C5" s="39" t="s">
        <v>269</v>
      </c>
    </row>
    <row r="6" spans="1:3">
      <c r="A6" t="s">
        <v>27</v>
      </c>
      <c r="C6" s="508">
        <f>'(JDT-07) Rate Design Res'!H12</f>
        <v>11.52</v>
      </c>
    </row>
    <row r="7" spans="1:3">
      <c r="A7" t="s">
        <v>240</v>
      </c>
      <c r="C7" s="507">
        <v>12</v>
      </c>
    </row>
    <row r="8" spans="1:3">
      <c r="A8" t="s">
        <v>241</v>
      </c>
      <c r="C8" s="43">
        <f>C6*C7</f>
        <v>138.24</v>
      </c>
    </row>
    <row r="10" spans="1:3">
      <c r="A10" t="s">
        <v>242</v>
      </c>
      <c r="B10" s="509">
        <f>'(JAP-13) Page 2'!D15</f>
        <v>352.58</v>
      </c>
      <c r="C10" s="44">
        <f>B10</f>
        <v>352.58</v>
      </c>
    </row>
    <row r="12" spans="1:3" ht="16" thickBot="1">
      <c r="A12" s="45" t="s">
        <v>243</v>
      </c>
      <c r="B12" s="46">
        <f>B8+B10</f>
        <v>352.58</v>
      </c>
      <c r="C12" s="46">
        <f>C8+C10</f>
        <v>490.82</v>
      </c>
    </row>
    <row r="13" spans="1:3" ht="16" thickTop="1"/>
    <row r="14" spans="1:3">
      <c r="A14" t="s">
        <v>244</v>
      </c>
      <c r="B14" s="506">
        <f>'Sch 85-87 Allowance'!B16</f>
        <v>9.3100000000000002E-2</v>
      </c>
      <c r="C14" s="47">
        <f>B14</f>
        <v>9.3100000000000002E-2</v>
      </c>
    </row>
    <row r="16" spans="1:3" ht="16" thickBot="1">
      <c r="A16" s="48" t="s">
        <v>245</v>
      </c>
      <c r="B16" s="49">
        <f>B12/B14</f>
        <v>3787.1106337271749</v>
      </c>
      <c r="C16" s="49">
        <f>C12/C14</f>
        <v>5271.9656283566055</v>
      </c>
    </row>
    <row r="18" spans="1:3">
      <c r="A18" t="s">
        <v>270</v>
      </c>
      <c r="B18" s="510">
        <f>'(JAP-13) Page 4'!Q10/'(JAP-13) Page 2'!D13</f>
        <v>794.77153103387536</v>
      </c>
      <c r="C18" s="42">
        <f>B18</f>
        <v>794.77153103387536</v>
      </c>
    </row>
    <row r="19" spans="1:3">
      <c r="B19" s="40"/>
    </row>
    <row r="20" spans="1:3" ht="16" thickBot="1">
      <c r="A20" s="48" t="s">
        <v>246</v>
      </c>
      <c r="B20" s="74">
        <f>ROUND(B16/B18,2)</f>
        <v>4.7699999999999996</v>
      </c>
      <c r="C20" s="74">
        <f>ROUND(C16/C18,2)</f>
        <v>6.63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34"/>
  <sheetViews>
    <sheetView view="pageLayout" zoomScale="64" zoomScaleNormal="100" zoomScalePageLayoutView="64" workbookViewId="0">
      <selection activeCell="D11" sqref="D11"/>
    </sheetView>
  </sheetViews>
  <sheetFormatPr baseColWidth="10" defaultColWidth="9.1640625" defaultRowHeight="11"/>
  <cols>
    <col min="1" max="1" width="5.33203125" style="353" customWidth="1"/>
    <col min="2" max="2" width="2.6640625" style="353" customWidth="1"/>
    <col min="3" max="3" width="43.1640625" style="353" customWidth="1"/>
    <col min="4" max="4" width="22.6640625" style="384" bestFit="1" customWidth="1"/>
    <col min="5" max="8" width="11.5" style="384" bestFit="1" customWidth="1"/>
    <col min="9" max="16" width="11.5" style="353" bestFit="1" customWidth="1"/>
    <col min="17" max="17" width="9.83203125" style="353" bestFit="1" customWidth="1"/>
    <col min="18" max="16384" width="9.1640625" style="353"/>
  </cols>
  <sheetData>
    <row r="1" spans="1:17">
      <c r="A1" s="522" t="s">
        <v>17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</row>
    <row r="2" spans="1:17">
      <c r="A2" s="523" t="s">
        <v>308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</row>
    <row r="3" spans="1:17">
      <c r="A3" s="522" t="s">
        <v>286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</row>
    <row r="4" spans="1:17">
      <c r="A4" s="522" t="s">
        <v>159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</row>
    <row r="5" spans="1:17">
      <c r="A5" s="352"/>
      <c r="B5" s="352"/>
      <c r="C5" s="352"/>
      <c r="D5" s="357"/>
      <c r="E5" s="357"/>
      <c r="F5" s="357"/>
      <c r="G5" s="357"/>
      <c r="H5" s="357"/>
      <c r="I5" s="352"/>
      <c r="J5" s="352"/>
      <c r="K5" s="352"/>
      <c r="L5" s="352"/>
      <c r="M5" s="352"/>
      <c r="N5" s="352"/>
      <c r="O5" s="352"/>
      <c r="P5" s="352"/>
      <c r="Q5" s="352"/>
    </row>
    <row r="6" spans="1:17" ht="24">
      <c r="A6" s="369" t="s">
        <v>16</v>
      </c>
      <c r="B6" s="369"/>
      <c r="C6" s="362"/>
      <c r="D6" s="369" t="s">
        <v>15</v>
      </c>
      <c r="E6" s="370" t="s">
        <v>142</v>
      </c>
      <c r="F6" s="370" t="s">
        <v>143</v>
      </c>
      <c r="G6" s="370" t="s">
        <v>144</v>
      </c>
      <c r="H6" s="370" t="s">
        <v>145</v>
      </c>
      <c r="I6" s="370" t="s">
        <v>146</v>
      </c>
      <c r="J6" s="370" t="s">
        <v>147</v>
      </c>
      <c r="K6" s="370" t="s">
        <v>148</v>
      </c>
      <c r="L6" s="370" t="s">
        <v>149</v>
      </c>
      <c r="M6" s="370" t="s">
        <v>150</v>
      </c>
      <c r="N6" s="370" t="s">
        <v>151</v>
      </c>
      <c r="O6" s="370" t="s">
        <v>152</v>
      </c>
      <c r="P6" s="370" t="s">
        <v>153</v>
      </c>
      <c r="Q6" s="369" t="s">
        <v>154</v>
      </c>
    </row>
    <row r="7" spans="1:17">
      <c r="A7" s="352"/>
      <c r="B7" s="352"/>
      <c r="C7" s="357" t="s">
        <v>14</v>
      </c>
      <c r="D7" s="357" t="s">
        <v>13</v>
      </c>
      <c r="E7" s="357" t="s">
        <v>12</v>
      </c>
      <c r="F7" s="357" t="s">
        <v>11</v>
      </c>
      <c r="G7" s="357" t="s">
        <v>10</v>
      </c>
      <c r="H7" s="357" t="s">
        <v>9</v>
      </c>
      <c r="I7" s="357" t="s">
        <v>8</v>
      </c>
      <c r="J7" s="357" t="s">
        <v>7</v>
      </c>
      <c r="K7" s="357" t="s">
        <v>6</v>
      </c>
      <c r="L7" s="357" t="s">
        <v>5</v>
      </c>
      <c r="M7" s="357" t="s">
        <v>4</v>
      </c>
      <c r="N7" s="357" t="s">
        <v>3</v>
      </c>
      <c r="O7" s="357" t="s">
        <v>2</v>
      </c>
      <c r="P7" s="357" t="s">
        <v>1</v>
      </c>
      <c r="Q7" s="357" t="s">
        <v>141</v>
      </c>
    </row>
    <row r="8" spans="1:17">
      <c r="A8" s="357"/>
      <c r="B8" s="371" t="s">
        <v>167</v>
      </c>
      <c r="C8" s="358"/>
      <c r="D8" s="357"/>
      <c r="E8" s="357"/>
      <c r="F8" s="357"/>
      <c r="G8" s="357"/>
      <c r="H8" s="357"/>
      <c r="I8" s="357"/>
      <c r="J8" s="357"/>
      <c r="K8" s="352"/>
      <c r="L8" s="352"/>
      <c r="M8" s="352"/>
      <c r="N8" s="352"/>
      <c r="O8" s="352"/>
      <c r="P8" s="352"/>
      <c r="Q8" s="352"/>
    </row>
    <row r="9" spans="1:17">
      <c r="A9" s="357">
        <v>1</v>
      </c>
      <c r="B9" s="372" t="s">
        <v>163</v>
      </c>
      <c r="D9" s="357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73"/>
    </row>
    <row r="10" spans="1:17">
      <c r="A10" s="357">
        <f t="shared" ref="A10:A32" si="0">A9+1</f>
        <v>2</v>
      </c>
      <c r="B10" s="357"/>
      <c r="C10" s="352" t="s">
        <v>289</v>
      </c>
      <c r="D10" s="357" t="s">
        <v>290</v>
      </c>
      <c r="E10" s="365">
        <v>97231172.010000005</v>
      </c>
      <c r="F10" s="365">
        <v>73373174.103999987</v>
      </c>
      <c r="G10" s="365">
        <v>75850006.523000002</v>
      </c>
      <c r="H10" s="365">
        <v>50273385.369000003</v>
      </c>
      <c r="I10" s="365">
        <v>30885641.842999998</v>
      </c>
      <c r="J10" s="365">
        <v>19280944.662999999</v>
      </c>
      <c r="K10" s="365">
        <v>13445152.333000001</v>
      </c>
      <c r="L10" s="365">
        <v>13243856.593</v>
      </c>
      <c r="M10" s="365">
        <v>21691921.379000001</v>
      </c>
      <c r="N10" s="365">
        <v>44274554.725000001</v>
      </c>
      <c r="O10" s="365">
        <v>77701213.745000005</v>
      </c>
      <c r="P10" s="365">
        <v>96411150.341000006</v>
      </c>
      <c r="Q10" s="374">
        <f>SUM(E10:P10)</f>
        <v>613662173.62800002</v>
      </c>
    </row>
    <row r="11" spans="1:17">
      <c r="A11" s="357">
        <f t="shared" si="0"/>
        <v>3</v>
      </c>
      <c r="B11" s="357"/>
      <c r="C11" s="352" t="s">
        <v>166</v>
      </c>
      <c r="D11" s="375" t="s">
        <v>225</v>
      </c>
      <c r="E11" s="376">
        <f t="shared" ref="E11:P11" si="1">E10/$Q10</f>
        <v>0.15844413455560521</v>
      </c>
      <c r="F11" s="376">
        <f t="shared" si="1"/>
        <v>0.11956606950403068</v>
      </c>
      <c r="G11" s="376">
        <f t="shared" si="1"/>
        <v>0.12360221923826777</v>
      </c>
      <c r="H11" s="376">
        <f t="shared" si="1"/>
        <v>8.1923552614920597E-2</v>
      </c>
      <c r="I11" s="376">
        <f t="shared" si="1"/>
        <v>5.0330040159396842E-2</v>
      </c>
      <c r="J11" s="376">
        <f t="shared" si="1"/>
        <v>3.141947718401826E-2</v>
      </c>
      <c r="K11" s="376">
        <f t="shared" si="1"/>
        <v>2.1909697078950817E-2</v>
      </c>
      <c r="L11" s="376">
        <f t="shared" si="1"/>
        <v>2.1581673373644149E-2</v>
      </c>
      <c r="M11" s="376">
        <f t="shared" si="1"/>
        <v>3.5348311027150865E-2</v>
      </c>
      <c r="N11" s="376">
        <f t="shared" si="1"/>
        <v>7.2148091617325411E-2</v>
      </c>
      <c r="O11" s="376">
        <f t="shared" si="1"/>
        <v>0.12661887449510978</v>
      </c>
      <c r="P11" s="376">
        <f t="shared" si="1"/>
        <v>0.1571078591515796</v>
      </c>
      <c r="Q11" s="376">
        <f>SUM(E11:P11)</f>
        <v>1</v>
      </c>
    </row>
    <row r="12" spans="1:17">
      <c r="A12" s="357">
        <f t="shared" si="0"/>
        <v>4</v>
      </c>
      <c r="B12" s="357"/>
      <c r="C12" s="352"/>
      <c r="D12" s="377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</row>
    <row r="13" spans="1:17">
      <c r="A13" s="357">
        <f t="shared" si="0"/>
        <v>5</v>
      </c>
      <c r="B13" s="372" t="s">
        <v>164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</row>
    <row r="14" spans="1:17">
      <c r="A14" s="357">
        <f t="shared" si="0"/>
        <v>6</v>
      </c>
      <c r="B14" s="357"/>
      <c r="C14" s="352" t="str">
        <f>C10</f>
        <v xml:space="preserve">Weather-Normalized Therm Sales </v>
      </c>
      <c r="D14" s="357" t="s">
        <v>290</v>
      </c>
      <c r="E14" s="365">
        <v>33824695.287</v>
      </c>
      <c r="F14" s="365">
        <v>26744447.717999998</v>
      </c>
      <c r="G14" s="365">
        <v>27371494.364999998</v>
      </c>
      <c r="H14" s="365">
        <v>19232155.868999999</v>
      </c>
      <c r="I14" s="365">
        <v>12821977.888</v>
      </c>
      <c r="J14" s="365">
        <v>9368749.004999999</v>
      </c>
      <c r="K14" s="365">
        <v>8114894.6409999998</v>
      </c>
      <c r="L14" s="365">
        <v>8198553.307</v>
      </c>
      <c r="M14" s="365">
        <v>10192052.229999999</v>
      </c>
      <c r="N14" s="365">
        <v>16642566.345000001</v>
      </c>
      <c r="O14" s="365">
        <v>26450306.603</v>
      </c>
      <c r="P14" s="365">
        <v>33314827.854999997</v>
      </c>
      <c r="Q14" s="374">
        <f>SUM(E14:P14)</f>
        <v>232276721.11299995</v>
      </c>
    </row>
    <row r="15" spans="1:17">
      <c r="A15" s="357">
        <f t="shared" si="0"/>
        <v>7</v>
      </c>
      <c r="B15" s="357"/>
      <c r="C15" s="352" t="s">
        <v>166</v>
      </c>
      <c r="D15" s="363" t="s">
        <v>226</v>
      </c>
      <c r="E15" s="378">
        <f t="shared" ref="E15:P15" si="2">E14/$Q14</f>
        <v>0.14562240729472273</v>
      </c>
      <c r="F15" s="378">
        <f t="shared" si="2"/>
        <v>0.11514045656339851</v>
      </c>
      <c r="G15" s="378">
        <f t="shared" si="2"/>
        <v>0.11784002388979858</v>
      </c>
      <c r="H15" s="378">
        <f t="shared" si="2"/>
        <v>8.2798464593633464E-2</v>
      </c>
      <c r="I15" s="378">
        <f t="shared" si="2"/>
        <v>5.5201303972954981E-2</v>
      </c>
      <c r="J15" s="378">
        <f t="shared" si="2"/>
        <v>4.0334429382797299E-2</v>
      </c>
      <c r="K15" s="378">
        <f t="shared" si="2"/>
        <v>3.4936323373758134E-2</v>
      </c>
      <c r="L15" s="378">
        <f t="shared" si="2"/>
        <v>3.5296491476696445E-2</v>
      </c>
      <c r="M15" s="378">
        <f t="shared" si="2"/>
        <v>4.3878922438558461E-2</v>
      </c>
      <c r="N15" s="378">
        <f t="shared" si="2"/>
        <v>7.1649738575841115E-2</v>
      </c>
      <c r="O15" s="378">
        <f t="shared" si="2"/>
        <v>0.11387411737283923</v>
      </c>
      <c r="P15" s="378">
        <f t="shared" si="2"/>
        <v>0.14342732106500125</v>
      </c>
      <c r="Q15" s="378">
        <f>SUM(E15:P15)</f>
        <v>1.0000000000000004</v>
      </c>
    </row>
    <row r="16" spans="1:17">
      <c r="A16" s="357">
        <f t="shared" si="0"/>
        <v>8</v>
      </c>
      <c r="B16" s="357"/>
      <c r="C16" s="352"/>
      <c r="D16" s="363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</row>
    <row r="17" spans="1:17">
      <c r="A17" s="357">
        <f t="shared" si="0"/>
        <v>9</v>
      </c>
      <c r="B17" s="372" t="s">
        <v>165</v>
      </c>
      <c r="D17" s="352"/>
      <c r="E17" s="353"/>
      <c r="F17" s="353"/>
      <c r="G17" s="353"/>
      <c r="H17" s="353"/>
    </row>
    <row r="18" spans="1:17">
      <c r="A18" s="357">
        <f t="shared" si="0"/>
        <v>10</v>
      </c>
      <c r="B18" s="357"/>
      <c r="C18" s="352" t="str">
        <f>C10</f>
        <v xml:space="preserve">Weather-Normalized Therm Sales </v>
      </c>
      <c r="D18" s="357" t="s">
        <v>290</v>
      </c>
      <c r="E18" s="365">
        <v>11422000.573000001</v>
      </c>
      <c r="F18" s="365">
        <v>9743348.9819999989</v>
      </c>
      <c r="G18" s="365">
        <v>10258491.901999999</v>
      </c>
      <c r="H18" s="365">
        <v>8334173.9120000014</v>
      </c>
      <c r="I18" s="365">
        <v>6630460.6320000002</v>
      </c>
      <c r="J18" s="365">
        <v>5512399.9450000003</v>
      </c>
      <c r="K18" s="365">
        <v>4698028.7229999993</v>
      </c>
      <c r="L18" s="365">
        <v>4792915.8919999991</v>
      </c>
      <c r="M18" s="365">
        <v>5473710.3930000002</v>
      </c>
      <c r="N18" s="365">
        <v>7606783.4979999997</v>
      </c>
      <c r="O18" s="365">
        <v>9662880.5700000003</v>
      </c>
      <c r="P18" s="365">
        <v>11083608.899</v>
      </c>
      <c r="Q18" s="374">
        <f>SUM(E18:P18)</f>
        <v>95218803.920999989</v>
      </c>
    </row>
    <row r="19" spans="1:17">
      <c r="A19" s="357">
        <f t="shared" si="0"/>
        <v>11</v>
      </c>
      <c r="B19" s="357"/>
      <c r="C19" s="352" t="s">
        <v>166</v>
      </c>
      <c r="D19" s="363" t="s">
        <v>227</v>
      </c>
      <c r="E19" s="378">
        <f t="shared" ref="E19:P19" si="3">E18/$Q18</f>
        <v>0.11995530402247513</v>
      </c>
      <c r="F19" s="378">
        <f t="shared" si="3"/>
        <v>0.10232589132377409</v>
      </c>
      <c r="G19" s="378">
        <f t="shared" si="3"/>
        <v>0.10773598784659323</v>
      </c>
      <c r="H19" s="378">
        <f t="shared" si="3"/>
        <v>8.7526555352602411E-2</v>
      </c>
      <c r="I19" s="378">
        <f t="shared" si="3"/>
        <v>6.963394160570513E-2</v>
      </c>
      <c r="J19" s="378">
        <f t="shared" si="3"/>
        <v>5.7891925943256574E-2</v>
      </c>
      <c r="K19" s="378">
        <f t="shared" si="3"/>
        <v>4.9339295701485646E-2</v>
      </c>
      <c r="L19" s="378">
        <f t="shared" si="3"/>
        <v>5.0335812829328634E-2</v>
      </c>
      <c r="M19" s="378">
        <f t="shared" si="3"/>
        <v>5.748560334302627E-2</v>
      </c>
      <c r="N19" s="378">
        <f t="shared" si="3"/>
        <v>7.9887408628983678E-2</v>
      </c>
      <c r="O19" s="378">
        <f t="shared" si="3"/>
        <v>0.10148080181743288</v>
      </c>
      <c r="P19" s="378">
        <f t="shared" si="3"/>
        <v>0.11640147158533642</v>
      </c>
      <c r="Q19" s="378">
        <f>SUM(E19:P19)</f>
        <v>1.0000000000000002</v>
      </c>
    </row>
    <row r="20" spans="1:17">
      <c r="A20" s="357">
        <f t="shared" si="0"/>
        <v>12</v>
      </c>
      <c r="B20" s="357"/>
      <c r="C20" s="352"/>
      <c r="D20" s="363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</row>
    <row r="21" spans="1:17">
      <c r="A21" s="357">
        <f t="shared" si="0"/>
        <v>13</v>
      </c>
      <c r="B21" s="371" t="s">
        <v>238</v>
      </c>
      <c r="D21" s="357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</row>
    <row r="22" spans="1:17">
      <c r="A22" s="357">
        <f t="shared" si="0"/>
        <v>14</v>
      </c>
      <c r="B22" s="372" t="s">
        <v>163</v>
      </c>
      <c r="D22" s="357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</row>
    <row r="23" spans="1:17">
      <c r="A23" s="357">
        <f t="shared" si="0"/>
        <v>15</v>
      </c>
      <c r="B23" s="357"/>
      <c r="C23" s="352" t="s">
        <v>237</v>
      </c>
      <c r="D23" s="357" t="s">
        <v>291</v>
      </c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79">
        <v>352.58</v>
      </c>
    </row>
    <row r="24" spans="1:17">
      <c r="A24" s="357">
        <f t="shared" si="0"/>
        <v>16</v>
      </c>
      <c r="B24" s="357"/>
      <c r="C24" s="352" t="s">
        <v>238</v>
      </c>
      <c r="D24" s="357" t="str">
        <f>"("&amp;A$11&amp;") x ("&amp;A23&amp;")"</f>
        <v>(3) x (15)</v>
      </c>
      <c r="E24" s="380">
        <f>$Q23*E$11</f>
        <v>55.864232961615286</v>
      </c>
      <c r="F24" s="380">
        <f t="shared" ref="F24:P24" si="4">$Q23*F$11</f>
        <v>42.156604785731133</v>
      </c>
      <c r="G24" s="380">
        <f t="shared" si="4"/>
        <v>43.579670459028449</v>
      </c>
      <c r="H24" s="380">
        <f t="shared" si="4"/>
        <v>28.884606180968703</v>
      </c>
      <c r="I24" s="380">
        <f t="shared" si="4"/>
        <v>17.745365559400138</v>
      </c>
      <c r="J24" s="380">
        <f t="shared" si="4"/>
        <v>11.077879265541158</v>
      </c>
      <c r="K24" s="380">
        <f t="shared" si="4"/>
        <v>7.7249209960964791</v>
      </c>
      <c r="L24" s="380">
        <f t="shared" si="4"/>
        <v>7.6092663980794537</v>
      </c>
      <c r="M24" s="380">
        <f t="shared" si="4"/>
        <v>12.463107501952852</v>
      </c>
      <c r="N24" s="380">
        <f t="shared" si="4"/>
        <v>25.437974142436591</v>
      </c>
      <c r="O24" s="380">
        <f t="shared" si="4"/>
        <v>44.643282769485801</v>
      </c>
      <c r="P24" s="380">
        <f t="shared" si="4"/>
        <v>55.393088979663929</v>
      </c>
      <c r="Q24" s="381">
        <f>SUM(E24:P24)</f>
        <v>352.57999999999993</v>
      </c>
    </row>
    <row r="25" spans="1:17">
      <c r="A25" s="357">
        <f t="shared" si="0"/>
        <v>17</v>
      </c>
      <c r="B25" s="357"/>
      <c r="C25" s="352"/>
      <c r="D25" s="38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81"/>
    </row>
    <row r="26" spans="1:17">
      <c r="A26" s="357">
        <f t="shared" si="0"/>
        <v>18</v>
      </c>
      <c r="B26" s="372" t="s">
        <v>164</v>
      </c>
      <c r="D26" s="357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81"/>
    </row>
    <row r="27" spans="1:17">
      <c r="A27" s="357">
        <f t="shared" si="0"/>
        <v>19</v>
      </c>
      <c r="B27" s="357"/>
      <c r="C27" s="352" t="s">
        <v>237</v>
      </c>
      <c r="D27" s="357" t="str">
        <f>$D$23</f>
        <v>JAP-13 Page 2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79">
        <v>1726.95</v>
      </c>
    </row>
    <row r="28" spans="1:17">
      <c r="A28" s="357">
        <f t="shared" si="0"/>
        <v>20</v>
      </c>
      <c r="B28" s="357"/>
      <c r="C28" s="352" t="s">
        <v>238</v>
      </c>
      <c r="D28" s="357" t="str">
        <f>"("&amp;A$15&amp;") x ("&amp;A27&amp;")"</f>
        <v>(7) x (19)</v>
      </c>
      <c r="E28" s="380">
        <f>$Q27*E$15</f>
        <v>251.48261627762142</v>
      </c>
      <c r="F28" s="380">
        <f t="shared" ref="F28:P28" si="5">$Q27*F$15</f>
        <v>198.84181146216108</v>
      </c>
      <c r="G28" s="380">
        <f t="shared" si="5"/>
        <v>203.50382925648768</v>
      </c>
      <c r="H28" s="380">
        <f t="shared" si="5"/>
        <v>142.98880842997531</v>
      </c>
      <c r="I28" s="380">
        <f t="shared" si="5"/>
        <v>95.329891896094608</v>
      </c>
      <c r="J28" s="380">
        <f t="shared" si="5"/>
        <v>69.655542822621797</v>
      </c>
      <c r="K28" s="380">
        <f t="shared" si="5"/>
        <v>60.333283650311614</v>
      </c>
      <c r="L28" s="380">
        <f t="shared" si="5"/>
        <v>60.955275955680925</v>
      </c>
      <c r="M28" s="380">
        <f t="shared" si="5"/>
        <v>75.776705105268533</v>
      </c>
      <c r="N28" s="380">
        <f t="shared" si="5"/>
        <v>123.73551603354882</v>
      </c>
      <c r="O28" s="380">
        <f t="shared" si="5"/>
        <v>196.65490699702471</v>
      </c>
      <c r="P28" s="380">
        <f t="shared" si="5"/>
        <v>247.69181211320392</v>
      </c>
      <c r="Q28" s="381">
        <f>SUM(E28:P28)</f>
        <v>1726.9500000000003</v>
      </c>
    </row>
    <row r="29" spans="1:17">
      <c r="A29" s="357">
        <f t="shared" si="0"/>
        <v>21</v>
      </c>
      <c r="B29" s="357"/>
      <c r="C29" s="352"/>
      <c r="D29" s="357"/>
      <c r="E29" s="357"/>
      <c r="F29" s="357"/>
      <c r="G29" s="357"/>
      <c r="H29" s="357"/>
      <c r="I29" s="352"/>
      <c r="J29" s="352"/>
      <c r="K29" s="352"/>
      <c r="L29" s="352"/>
      <c r="M29" s="352"/>
      <c r="N29" s="352"/>
      <c r="O29" s="352"/>
      <c r="P29" s="352"/>
      <c r="Q29" s="352"/>
    </row>
    <row r="30" spans="1:17">
      <c r="A30" s="357">
        <f t="shared" si="0"/>
        <v>22</v>
      </c>
      <c r="B30" s="372" t="s">
        <v>165</v>
      </c>
      <c r="D30" s="357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81"/>
    </row>
    <row r="31" spans="1:17">
      <c r="A31" s="357">
        <f t="shared" si="0"/>
        <v>23</v>
      </c>
      <c r="B31" s="357"/>
      <c r="C31" s="352" t="s">
        <v>237</v>
      </c>
      <c r="D31" s="357" t="str">
        <f>$D$23</f>
        <v>JAP-13 Page 2</v>
      </c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79">
        <v>11008.35</v>
      </c>
    </row>
    <row r="32" spans="1:17">
      <c r="A32" s="357">
        <f t="shared" si="0"/>
        <v>24</v>
      </c>
      <c r="B32" s="357"/>
      <c r="C32" s="352" t="s">
        <v>238</v>
      </c>
      <c r="D32" s="357" t="str">
        <f>"("&amp;A$19&amp;") x ("&amp;A31&amp;")"</f>
        <v>(11) x (23)</v>
      </c>
      <c r="E32" s="380">
        <f>$Q31*E$19</f>
        <v>1320.5099710358143</v>
      </c>
      <c r="F32" s="380">
        <f t="shared" ref="F32:P32" si="6">$Q31*F$19</f>
        <v>1126.4392257540685</v>
      </c>
      <c r="G32" s="380">
        <f t="shared" si="6"/>
        <v>1185.9954618110446</v>
      </c>
      <c r="H32" s="380">
        <f t="shared" si="6"/>
        <v>963.52295561582082</v>
      </c>
      <c r="I32" s="380">
        <f t="shared" si="6"/>
        <v>766.55480107516405</v>
      </c>
      <c r="J32" s="380">
        <f t="shared" si="6"/>
        <v>637.29458295744848</v>
      </c>
      <c r="K32" s="380">
        <f t="shared" si="6"/>
        <v>543.14423583544954</v>
      </c>
      <c r="L32" s="380">
        <f t="shared" si="6"/>
        <v>554.11424515973988</v>
      </c>
      <c r="M32" s="380">
        <f t="shared" si="6"/>
        <v>632.82164156120325</v>
      </c>
      <c r="N32" s="380">
        <f t="shared" si="6"/>
        <v>879.42855478087245</v>
      </c>
      <c r="O32" s="380">
        <f t="shared" si="6"/>
        <v>1117.1361846869372</v>
      </c>
      <c r="P32" s="380">
        <f t="shared" si="6"/>
        <v>1281.3881397264383</v>
      </c>
      <c r="Q32" s="381">
        <f>SUM(E32:P32)</f>
        <v>11008.35</v>
      </c>
    </row>
    <row r="33" spans="4:15">
      <c r="D33" s="353"/>
      <c r="E33" s="353"/>
      <c r="F33" s="353"/>
      <c r="G33" s="353"/>
      <c r="H33" s="353"/>
      <c r="J33" s="383"/>
      <c r="K33" s="383"/>
      <c r="L33" s="383"/>
      <c r="M33" s="383"/>
      <c r="N33" s="383"/>
      <c r="O33" s="383"/>
    </row>
    <row r="34" spans="4:15">
      <c r="D34" s="353"/>
      <c r="E34" s="353"/>
      <c r="F34" s="353"/>
      <c r="G34" s="353"/>
      <c r="H34" s="353"/>
      <c r="J34" s="383"/>
      <c r="K34" s="383"/>
      <c r="L34" s="383"/>
      <c r="M34" s="383"/>
      <c r="N34" s="383"/>
      <c r="O34" s="383"/>
    </row>
  </sheetData>
  <mergeCells count="4">
    <mergeCell ref="A1:Q1"/>
    <mergeCell ref="A2:Q2"/>
    <mergeCell ref="A3:Q3"/>
    <mergeCell ref="A4:Q4"/>
  </mergeCells>
  <printOptions horizontalCentered="1"/>
  <pageMargins left="0.7" right="0.7" top="0.75" bottom="0.75" header="0.3" footer="0.3"/>
  <pageSetup fitToWidth="2" fitToHeight="0" orientation="landscape" horizontalDpi="1200" verticalDpi="1200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55"/>
  <sheetViews>
    <sheetView view="pageBreakPreview" zoomScale="60" zoomScaleNormal="100" zoomScalePageLayoutView="61" workbookViewId="0">
      <selection activeCell="C11" sqref="C11"/>
    </sheetView>
  </sheetViews>
  <sheetFormatPr baseColWidth="10" defaultColWidth="9.1640625" defaultRowHeight="13"/>
  <cols>
    <col min="1" max="1" width="2.5" style="16" customWidth="1"/>
    <col min="2" max="2" width="31.6640625" style="28" customWidth="1"/>
    <col min="3" max="3" width="9.6640625" style="28" customWidth="1"/>
    <col min="4" max="4" width="12.6640625" style="25" customWidth="1"/>
    <col min="5" max="5" width="10.5" style="25" customWidth="1"/>
    <col min="6" max="6" width="13.33203125" style="28" customWidth="1"/>
    <col min="7" max="7" width="2.83203125" style="20" customWidth="1"/>
    <col min="8" max="8" width="10.5" style="16" bestFit="1" customWidth="1"/>
    <col min="9" max="9" width="13.33203125" style="34" customWidth="1"/>
    <col min="10" max="10" width="2.83203125" style="14" customWidth="1"/>
    <col min="11" max="11" width="13.33203125" style="16" customWidth="1"/>
    <col min="12" max="12" width="10.5" style="15" customWidth="1"/>
    <col min="13" max="13" width="2.83203125" style="15" customWidth="1"/>
    <col min="14" max="14" width="1.5" style="15" customWidth="1"/>
    <col min="15" max="15" width="14.5" style="16" customWidth="1"/>
    <col min="16" max="16" width="2.83203125" style="16" customWidth="1"/>
    <col min="17" max="17" width="8.83203125" style="19" customWidth="1"/>
    <col min="18" max="16384" width="9.1640625" style="16"/>
  </cols>
  <sheetData>
    <row r="1" spans="2:26">
      <c r="B1" s="77"/>
      <c r="C1" s="77"/>
      <c r="D1" s="259"/>
      <c r="E1" s="259"/>
      <c r="F1" s="77"/>
      <c r="G1" s="310"/>
      <c r="H1" s="3"/>
      <c r="I1" s="104"/>
      <c r="J1" s="311"/>
      <c r="K1" s="3"/>
      <c r="L1" s="312"/>
      <c r="M1" s="312"/>
      <c r="N1" s="312"/>
      <c r="O1" s="3"/>
      <c r="P1" s="3"/>
      <c r="Q1" s="261"/>
    </row>
    <row r="2" spans="2:26">
      <c r="B2" s="77" t="s">
        <v>17</v>
      </c>
      <c r="C2" s="77"/>
      <c r="D2" s="313"/>
      <c r="E2" s="313"/>
      <c r="F2" s="77"/>
      <c r="G2" s="77"/>
      <c r="H2" s="77"/>
      <c r="I2" s="77"/>
      <c r="J2" s="77"/>
      <c r="K2" s="77"/>
      <c r="L2" s="77"/>
      <c r="M2" s="312"/>
      <c r="N2" s="312"/>
      <c r="O2" s="3"/>
      <c r="P2" s="3"/>
      <c r="Q2" s="261"/>
    </row>
    <row r="3" spans="2:26">
      <c r="B3" s="351" t="s">
        <v>309</v>
      </c>
      <c r="C3" s="77"/>
      <c r="D3" s="313"/>
      <c r="E3" s="313"/>
      <c r="F3" s="77"/>
      <c r="G3" s="77"/>
      <c r="H3" s="77"/>
      <c r="I3" s="77"/>
      <c r="J3" s="77"/>
      <c r="K3" s="77"/>
      <c r="L3" s="77"/>
      <c r="M3" s="312"/>
      <c r="N3" s="312"/>
      <c r="O3" s="3"/>
      <c r="P3" s="3"/>
      <c r="Q3" s="261"/>
    </row>
    <row r="4" spans="2:26">
      <c r="B4" s="77" t="s">
        <v>285</v>
      </c>
      <c r="C4" s="77"/>
      <c r="D4" s="313"/>
      <c r="E4" s="313"/>
      <c r="F4" s="77"/>
      <c r="G4" s="77"/>
      <c r="H4" s="77"/>
      <c r="I4" s="77"/>
      <c r="J4" s="77"/>
      <c r="K4" s="77"/>
      <c r="L4" s="77"/>
      <c r="M4" s="312"/>
      <c r="N4" s="312"/>
      <c r="O4" s="3"/>
      <c r="P4" s="3"/>
      <c r="Q4" s="261"/>
    </row>
    <row r="5" spans="2:26">
      <c r="B5" s="351" t="s">
        <v>310</v>
      </c>
      <c r="C5" s="77"/>
      <c r="D5" s="313"/>
      <c r="E5" s="313"/>
      <c r="F5" s="77"/>
      <c r="G5" s="77"/>
      <c r="H5" s="77"/>
      <c r="I5" s="77"/>
      <c r="J5" s="77"/>
      <c r="K5" s="77"/>
      <c r="L5" s="77"/>
      <c r="M5" s="312"/>
      <c r="N5" s="314"/>
      <c r="O5" s="109"/>
      <c r="P5" s="3"/>
      <c r="Q5" s="261"/>
    </row>
    <row r="6" spans="2:26">
      <c r="N6" s="147"/>
      <c r="O6" s="18"/>
    </row>
    <row r="7" spans="2:26" ht="15" customHeight="1">
      <c r="B7" s="114"/>
      <c r="C7" s="115"/>
      <c r="D7" s="267" t="s">
        <v>19</v>
      </c>
      <c r="E7" s="268" t="s">
        <v>155</v>
      </c>
      <c r="F7" s="118"/>
      <c r="G7" s="315"/>
      <c r="H7" s="117" t="s">
        <v>156</v>
      </c>
      <c r="I7" s="118"/>
      <c r="J7" s="120"/>
      <c r="K7" s="118" t="s">
        <v>169</v>
      </c>
      <c r="L7" s="316"/>
      <c r="M7" s="269"/>
      <c r="N7" s="269"/>
      <c r="O7" s="121" t="s">
        <v>20</v>
      </c>
      <c r="Q7" s="122" t="s">
        <v>170</v>
      </c>
    </row>
    <row r="8" spans="2:26">
      <c r="B8" s="123" t="s">
        <v>21</v>
      </c>
      <c r="C8" s="78" t="s">
        <v>22</v>
      </c>
      <c r="D8" s="80" t="s">
        <v>23</v>
      </c>
      <c r="E8" s="80" t="s">
        <v>24</v>
      </c>
      <c r="F8" s="127" t="s">
        <v>25</v>
      </c>
      <c r="G8" s="78"/>
      <c r="H8" s="78" t="s">
        <v>24</v>
      </c>
      <c r="I8" s="127" t="s">
        <v>25</v>
      </c>
      <c r="J8" s="127"/>
      <c r="K8" s="127" t="s">
        <v>171</v>
      </c>
      <c r="L8" s="129" t="s">
        <v>172</v>
      </c>
      <c r="M8" s="130"/>
      <c r="N8" s="130"/>
      <c r="O8" s="78" t="s">
        <v>173</v>
      </c>
      <c r="Q8" s="131" t="s">
        <v>26</v>
      </c>
    </row>
    <row r="9" spans="2:26">
      <c r="B9" s="18"/>
      <c r="C9" s="18"/>
      <c r="D9" s="24"/>
      <c r="E9" s="24"/>
      <c r="F9" s="18"/>
      <c r="H9" s="18"/>
      <c r="I9" s="14"/>
      <c r="K9" s="18"/>
      <c r="L9" s="147"/>
      <c r="M9" s="147"/>
      <c r="N9" s="147"/>
      <c r="O9" s="18"/>
    </row>
    <row r="10" spans="2:26">
      <c r="B10" s="137" t="s">
        <v>157</v>
      </c>
      <c r="C10" s="317"/>
      <c r="D10" s="275"/>
      <c r="E10" s="275"/>
      <c r="F10" s="274"/>
      <c r="G10" s="33"/>
      <c r="H10" s="275"/>
      <c r="I10" s="140"/>
      <c r="J10" s="140"/>
      <c r="K10" s="140"/>
      <c r="L10" s="144"/>
      <c r="M10" s="147"/>
      <c r="N10" s="147"/>
      <c r="O10" s="18"/>
    </row>
    <row r="11" spans="2:26">
      <c r="B11" s="145"/>
      <c r="C11" s="18"/>
      <c r="D11" s="24"/>
      <c r="E11" s="24"/>
      <c r="F11" s="18"/>
      <c r="G11" s="318"/>
      <c r="H11" s="24"/>
      <c r="I11" s="146"/>
      <c r="J11" s="146"/>
      <c r="K11" s="146"/>
      <c r="L11" s="148"/>
      <c r="M11" s="147"/>
      <c r="N11" s="147"/>
      <c r="O11" s="217" t="s">
        <v>174</v>
      </c>
      <c r="P11" s="18"/>
    </row>
    <row r="12" spans="2:26">
      <c r="B12" s="231" t="s">
        <v>27</v>
      </c>
      <c r="C12" s="187" t="s">
        <v>28</v>
      </c>
      <c r="D12" s="21">
        <v>9401341.5170350727</v>
      </c>
      <c r="E12" s="150">
        <v>11</v>
      </c>
      <c r="F12" s="146">
        <f>SUM(+D12*E12)</f>
        <v>103414756.6873858</v>
      </c>
      <c r="H12" s="150">
        <v>11.52</v>
      </c>
      <c r="I12" s="146">
        <f>SUM(+D12*H12)</f>
        <v>108303454.27624403</v>
      </c>
      <c r="J12" s="146"/>
      <c r="K12" s="146">
        <f>I12-F12</f>
        <v>4888697.5888582319</v>
      </c>
      <c r="L12" s="163">
        <f>ROUND(K12/F12,5)</f>
        <v>4.727E-2</v>
      </c>
      <c r="M12" s="147"/>
      <c r="N12" s="147"/>
      <c r="O12" s="151">
        <v>64776318.709609985</v>
      </c>
      <c r="P12" s="18"/>
      <c r="Q12" s="152">
        <f>H12/E12-1</f>
        <v>4.7272727272727133E-2</v>
      </c>
    </row>
    <row r="13" spans="2:26">
      <c r="B13" s="145" t="s">
        <v>29</v>
      </c>
      <c r="C13" s="18" t="s">
        <v>30</v>
      </c>
      <c r="D13" s="294">
        <v>613662109.14999998</v>
      </c>
      <c r="E13" s="154">
        <v>0.34603</v>
      </c>
      <c r="F13" s="146">
        <f>ROUND(D13*E13,2)</f>
        <v>212345499.63</v>
      </c>
      <c r="H13" s="155">
        <f>ROUND(E13*(1+$O$16),5)</f>
        <v>0.44362000000000001</v>
      </c>
      <c r="I13" s="146">
        <f>ROUND(D13*H13,2)</f>
        <v>272232784.86000001</v>
      </c>
      <c r="J13" s="146"/>
      <c r="K13" s="146">
        <f>I13-F13</f>
        <v>59887285.230000019</v>
      </c>
      <c r="L13" s="163">
        <f>ROUND(K13/F13,5)</f>
        <v>0.28203</v>
      </c>
      <c r="M13" s="18"/>
      <c r="N13" s="18"/>
      <c r="O13" s="153" t="s">
        <v>175</v>
      </c>
      <c r="P13" s="18"/>
      <c r="Q13" s="152">
        <f>H13/E13-1</f>
        <v>0.28202756986388455</v>
      </c>
    </row>
    <row r="14" spans="2:26">
      <c r="B14" s="319"/>
      <c r="C14" s="133"/>
      <c r="D14" s="22"/>
      <c r="E14" s="278"/>
      <c r="F14" s="140">
        <f>SUM(F12:F13)</f>
        <v>315760256.31738579</v>
      </c>
      <c r="H14" s="24"/>
      <c r="I14" s="140">
        <f>SUM(I12:I13)</f>
        <v>380536239.13624406</v>
      </c>
      <c r="J14" s="146"/>
      <c r="K14" s="140">
        <f>SUM(K12:K13)</f>
        <v>64775982.818858251</v>
      </c>
      <c r="L14" s="206">
        <f>ROUND(K14/F14,5)</f>
        <v>0.20513999999999999</v>
      </c>
      <c r="M14" s="18"/>
      <c r="N14" s="18"/>
      <c r="O14" s="156">
        <f>(K14+K25)-O12</f>
        <v>-328.82831536978483</v>
      </c>
      <c r="P14" s="18"/>
      <c r="Q14" s="320"/>
    </row>
    <row r="15" spans="2:26">
      <c r="B15" s="319"/>
      <c r="C15" s="321"/>
      <c r="D15" s="24"/>
      <c r="E15" s="154"/>
      <c r="F15" s="322"/>
      <c r="H15" s="24"/>
      <c r="I15" s="146"/>
      <c r="J15" s="146"/>
      <c r="K15" s="146"/>
      <c r="L15" s="148"/>
      <c r="M15" s="152"/>
      <c r="N15" s="152"/>
      <c r="O15" s="323"/>
      <c r="Q15" s="273"/>
    </row>
    <row r="16" spans="2:26">
      <c r="B16" s="145" t="s">
        <v>176</v>
      </c>
      <c r="C16" s="18" t="s">
        <v>30</v>
      </c>
      <c r="D16" s="22">
        <f>D13</f>
        <v>613662109.14999998</v>
      </c>
      <c r="E16" s="154">
        <v>0.32665</v>
      </c>
      <c r="F16" s="140">
        <f>E16*D16</f>
        <v>200452727.9538475</v>
      </c>
      <c r="G16" s="18"/>
      <c r="H16" s="173">
        <f>E16</f>
        <v>0.32665</v>
      </c>
      <c r="I16" s="140">
        <f>H16*D16</f>
        <v>200452727.9538475</v>
      </c>
      <c r="J16" s="146"/>
      <c r="K16" s="140">
        <f>I16-F16</f>
        <v>0</v>
      </c>
      <c r="L16" s="206">
        <f>ROUND(K16/F16,5)</f>
        <v>0</v>
      </c>
      <c r="M16" s="152"/>
      <c r="N16" s="152"/>
      <c r="O16" s="160">
        <v>0.28204000000000001</v>
      </c>
      <c r="P16" s="121"/>
      <c r="Q16" s="324"/>
      <c r="R16" s="18"/>
      <c r="Z16" s="18"/>
    </row>
    <row r="17" spans="1:26" ht="14.25" customHeight="1">
      <c r="B17" s="145"/>
      <c r="C17" s="18"/>
      <c r="D17" s="24"/>
      <c r="E17" s="24"/>
      <c r="F17" s="146"/>
      <c r="H17" s="283"/>
      <c r="I17" s="146"/>
      <c r="J17" s="146"/>
      <c r="K17" s="146"/>
      <c r="L17" s="148"/>
      <c r="M17" s="18"/>
      <c r="N17" s="18"/>
      <c r="O17" s="121"/>
      <c r="P17" s="121"/>
      <c r="Q17" s="121"/>
      <c r="R17" s="18"/>
      <c r="Z17" s="18"/>
    </row>
    <row r="18" spans="1:26">
      <c r="B18" s="132" t="s">
        <v>177</v>
      </c>
      <c r="C18" s="133"/>
      <c r="D18" s="325"/>
      <c r="E18" s="24"/>
      <c r="F18" s="140">
        <f>F14+F16</f>
        <v>516212984.27123332</v>
      </c>
      <c r="H18" s="24"/>
      <c r="I18" s="140">
        <f>I14+I16</f>
        <v>580988967.09009159</v>
      </c>
      <c r="J18" s="146"/>
      <c r="K18" s="140">
        <f>K14+K16</f>
        <v>64775982.818858251</v>
      </c>
      <c r="L18" s="206">
        <f>ROUND(K18/F18,5)</f>
        <v>0.12548000000000001</v>
      </c>
      <c r="M18" s="152"/>
      <c r="N18" s="152"/>
      <c r="O18" s="152"/>
      <c r="P18" s="37"/>
      <c r="Q18" s="122"/>
      <c r="R18" s="18"/>
      <c r="Z18" s="18"/>
    </row>
    <row r="19" spans="1:26" s="25" customFormat="1">
      <c r="B19" s="300"/>
      <c r="C19" s="286"/>
      <c r="D19" s="286"/>
      <c r="E19" s="286"/>
      <c r="F19" s="199"/>
      <c r="G19" s="86"/>
      <c r="H19" s="286"/>
      <c r="I19" s="199"/>
      <c r="J19" s="199"/>
      <c r="K19" s="199"/>
      <c r="L19" s="205"/>
      <c r="M19" s="24"/>
      <c r="N19" s="24"/>
      <c r="Q19" s="24"/>
      <c r="R19" s="24"/>
      <c r="Z19" s="24"/>
    </row>
    <row r="20" spans="1:26" s="25" customFormat="1">
      <c r="B20" s="24"/>
      <c r="C20" s="24"/>
      <c r="D20" s="24"/>
      <c r="F20" s="326"/>
      <c r="G20" s="22"/>
      <c r="H20" s="24"/>
      <c r="I20" s="183"/>
      <c r="J20" s="183"/>
      <c r="K20" s="183"/>
      <c r="L20" s="2"/>
      <c r="M20" s="24"/>
      <c r="N20" s="24"/>
      <c r="O20" s="24"/>
      <c r="Q20" s="24"/>
      <c r="R20" s="24"/>
      <c r="Z20" s="24"/>
    </row>
    <row r="21" spans="1:26">
      <c r="A21" s="25"/>
      <c r="B21" s="196" t="s">
        <v>158</v>
      </c>
      <c r="C21" s="327"/>
      <c r="D21" s="275"/>
      <c r="E21" s="328"/>
      <c r="F21" s="329"/>
      <c r="G21" s="33"/>
      <c r="H21" s="275"/>
      <c r="I21" s="140"/>
      <c r="J21" s="140"/>
      <c r="K21" s="140"/>
      <c r="L21" s="206"/>
      <c r="M21" s="18"/>
      <c r="N21" s="18"/>
      <c r="O21" s="18"/>
      <c r="Q21" s="273"/>
      <c r="R21" s="18"/>
      <c r="Z21" s="18"/>
    </row>
    <row r="22" spans="1:26" s="25" customFormat="1">
      <c r="B22" s="209"/>
      <c r="C22" s="24"/>
      <c r="D22" s="24"/>
      <c r="E22" s="24"/>
      <c r="F22" s="183"/>
      <c r="G22" s="134"/>
      <c r="H22" s="24"/>
      <c r="I22" s="183"/>
      <c r="J22" s="183"/>
      <c r="K22" s="183"/>
      <c r="L22" s="197"/>
      <c r="M22" s="184"/>
      <c r="N22" s="184"/>
      <c r="O22" s="121"/>
      <c r="P22" s="24"/>
      <c r="Q22" s="330"/>
      <c r="R22" s="24"/>
      <c r="Z22" s="24"/>
    </row>
    <row r="23" spans="1:26" s="25" customFormat="1" ht="13.5" customHeight="1">
      <c r="B23" s="231" t="s">
        <v>27</v>
      </c>
      <c r="C23" s="187" t="s">
        <v>28</v>
      </c>
      <c r="D23" s="21">
        <v>1.4854545454545454</v>
      </c>
      <c r="E23" s="150">
        <v>11</v>
      </c>
      <c r="F23" s="183">
        <f>SUM(+D23*E23)</f>
        <v>16.34</v>
      </c>
      <c r="G23" s="22"/>
      <c r="H23" s="112">
        <f>H12</f>
        <v>11.52</v>
      </c>
      <c r="I23" s="183">
        <f>SUM(+D23*H23)</f>
        <v>17.112436363636363</v>
      </c>
      <c r="J23" s="183"/>
      <c r="K23" s="183">
        <f>I23-F23</f>
        <v>0.7724363636363627</v>
      </c>
      <c r="L23" s="197"/>
      <c r="M23" s="184"/>
      <c r="N23" s="184"/>
      <c r="O23" s="331"/>
      <c r="P23" s="24"/>
      <c r="Q23" s="152">
        <f>H23/E23-1</f>
        <v>4.7272727272727133E-2</v>
      </c>
      <c r="R23" s="24"/>
      <c r="Z23" s="24"/>
    </row>
    <row r="24" spans="1:26" s="25" customFormat="1" ht="13.5" customHeight="1">
      <c r="B24" s="145" t="s">
        <v>29</v>
      </c>
      <c r="C24" s="18" t="s">
        <v>30</v>
      </c>
      <c r="D24" s="21">
        <v>64.477999999999994</v>
      </c>
      <c r="E24" s="154">
        <v>0.34603</v>
      </c>
      <c r="F24" s="183">
        <f>ROUND(D24*E24,2)</f>
        <v>22.31</v>
      </c>
      <c r="G24" s="22"/>
      <c r="H24" s="155">
        <f>H13</f>
        <v>0.44362000000000001</v>
      </c>
      <c r="I24" s="183">
        <f>ROUND(D24*H24,2)</f>
        <v>28.6</v>
      </c>
      <c r="J24" s="183"/>
      <c r="K24" s="183">
        <f>I24-F24</f>
        <v>6.2900000000000027</v>
      </c>
      <c r="L24" s="200"/>
      <c r="M24" s="184"/>
      <c r="N24" s="184"/>
      <c r="O24" s="221"/>
      <c r="P24" s="24"/>
      <c r="Q24" s="152">
        <f>H24/E24-1</f>
        <v>0.28202756986388455</v>
      </c>
      <c r="R24" s="24"/>
      <c r="Z24" s="24"/>
    </row>
    <row r="25" spans="1:26" s="25" customFormat="1" ht="13.5" customHeight="1">
      <c r="B25" s="132" t="s">
        <v>178</v>
      </c>
      <c r="C25" s="187"/>
      <c r="D25" s="22"/>
      <c r="E25" s="24"/>
      <c r="F25" s="140">
        <f>SUM(F23:F24)</f>
        <v>38.65</v>
      </c>
      <c r="G25" s="22"/>
      <c r="H25" s="24"/>
      <c r="I25" s="140">
        <f>SUM(I23:I24)</f>
        <v>45.712436363636364</v>
      </c>
      <c r="J25" s="183"/>
      <c r="K25" s="140">
        <f>SUM(K23:K24)</f>
        <v>7.0624363636363654</v>
      </c>
      <c r="L25" s="206">
        <f>ROUND(K25/F25,5)</f>
        <v>0.18273</v>
      </c>
      <c r="M25" s="24"/>
      <c r="N25" s="24"/>
      <c r="O25" s="221"/>
      <c r="P25" s="24"/>
      <c r="Q25" s="320"/>
      <c r="R25" s="24"/>
      <c r="Z25" s="24"/>
    </row>
    <row r="26" spans="1:26" s="25" customFormat="1" ht="13.5" customHeight="1">
      <c r="B26" s="332"/>
      <c r="C26" s="333"/>
      <c r="D26" s="24"/>
      <c r="E26" s="24"/>
      <c r="F26" s="334"/>
      <c r="G26" s="22"/>
      <c r="H26" s="24"/>
      <c r="I26" s="183"/>
      <c r="J26" s="183"/>
      <c r="K26" s="183"/>
      <c r="L26" s="197"/>
      <c r="M26" s="24"/>
      <c r="N26" s="24"/>
      <c r="O26" s="4"/>
      <c r="Q26" s="330"/>
      <c r="R26" s="24"/>
      <c r="Z26" s="24"/>
    </row>
    <row r="27" spans="1:26" s="25" customFormat="1" ht="13.5" customHeight="1">
      <c r="B27" s="145" t="s">
        <v>179</v>
      </c>
      <c r="C27" s="18" t="s">
        <v>30</v>
      </c>
      <c r="D27" s="22">
        <f>D24</f>
        <v>64.477999999999994</v>
      </c>
      <c r="E27" s="154">
        <v>4.80769</v>
      </c>
      <c r="F27" s="140">
        <f>E27*D27</f>
        <v>309.99023581999995</v>
      </c>
      <c r="G27" s="24"/>
      <c r="H27" s="155">
        <f>E27</f>
        <v>4.80769</v>
      </c>
      <c r="I27" s="140">
        <f>F27</f>
        <v>309.99023581999995</v>
      </c>
      <c r="J27" s="183"/>
      <c r="K27" s="140">
        <f>I27-F27</f>
        <v>0</v>
      </c>
      <c r="L27" s="206">
        <f>ROUND(K27/F27,5)</f>
        <v>0</v>
      </c>
      <c r="M27" s="184"/>
      <c r="N27" s="184"/>
      <c r="O27" s="208"/>
      <c r="P27" s="121"/>
      <c r="Q27" s="121"/>
      <c r="R27" s="24"/>
      <c r="Z27" s="24"/>
    </row>
    <row r="28" spans="1:26" s="25" customFormat="1" ht="13.5" customHeight="1">
      <c r="B28" s="209"/>
      <c r="C28" s="24"/>
      <c r="D28" s="24"/>
      <c r="E28" s="157"/>
      <c r="F28" s="183"/>
      <c r="G28" s="22"/>
      <c r="H28" s="283"/>
      <c r="I28" s="183"/>
      <c r="J28" s="183"/>
      <c r="K28" s="183"/>
      <c r="L28" s="200"/>
      <c r="M28" s="295"/>
      <c r="N28" s="295"/>
      <c r="O28" s="4"/>
      <c r="P28" s="121"/>
      <c r="Q28" s="121"/>
      <c r="R28" s="24"/>
      <c r="Z28" s="24"/>
    </row>
    <row r="29" spans="1:26" s="25" customFormat="1" ht="13.5" customHeight="1">
      <c r="B29" s="231" t="s">
        <v>177</v>
      </c>
      <c r="C29" s="187"/>
      <c r="D29" s="24"/>
      <c r="E29" s="24"/>
      <c r="F29" s="140">
        <f>F25+F27</f>
        <v>348.64023581999993</v>
      </c>
      <c r="G29" s="22"/>
      <c r="H29" s="24"/>
      <c r="I29" s="140">
        <f>I25+I27</f>
        <v>355.70267218363631</v>
      </c>
      <c r="J29" s="183"/>
      <c r="K29" s="140">
        <f>K25+K27</f>
        <v>7.0624363636363654</v>
      </c>
      <c r="L29" s="206">
        <f>ROUND(K29/F29,5)</f>
        <v>2.026E-2</v>
      </c>
      <c r="M29" s="24"/>
      <c r="N29" s="24"/>
      <c r="O29" s="166"/>
      <c r="P29" s="121"/>
      <c r="Q29" s="320"/>
      <c r="R29" s="24"/>
      <c r="Z29" s="24"/>
    </row>
    <row r="30" spans="1:26" s="25" customFormat="1" ht="13.5" customHeight="1">
      <c r="B30" s="300"/>
      <c r="C30" s="286"/>
      <c r="D30" s="286"/>
      <c r="E30" s="286"/>
      <c r="F30" s="199"/>
      <c r="G30" s="286"/>
      <c r="H30" s="286"/>
      <c r="I30" s="199"/>
      <c r="J30" s="199"/>
      <c r="K30" s="199"/>
      <c r="L30" s="205"/>
      <c r="M30" s="24"/>
      <c r="N30" s="24"/>
      <c r="P30" s="121"/>
      <c r="Q30" s="330"/>
      <c r="R30" s="24"/>
      <c r="Z30" s="24"/>
    </row>
    <row r="31" spans="1:26" s="25" customFormat="1" ht="13.5" customHeight="1">
      <c r="B31" s="24"/>
      <c r="C31" s="24"/>
      <c r="D31" s="24"/>
      <c r="E31" s="335"/>
      <c r="F31" s="336"/>
      <c r="G31" s="22"/>
      <c r="H31" s="24"/>
      <c r="I31" s="183"/>
      <c r="J31" s="183"/>
      <c r="K31" s="183"/>
      <c r="L31" s="2"/>
      <c r="M31" s="24"/>
      <c r="N31" s="24"/>
      <c r="P31" s="121"/>
      <c r="Q31" s="330"/>
      <c r="R31" s="24"/>
      <c r="Z31" s="24"/>
    </row>
    <row r="32" spans="1:26" s="25" customFormat="1" ht="13.5" customHeight="1">
      <c r="B32" s="24"/>
      <c r="C32" s="24"/>
      <c r="D32" s="24"/>
      <c r="E32" s="335"/>
      <c r="F32" s="336"/>
      <c r="G32" s="22"/>
      <c r="H32" s="24"/>
      <c r="I32" s="183"/>
      <c r="J32" s="183"/>
      <c r="K32" s="183"/>
      <c r="L32" s="2"/>
      <c r="M32" s="24"/>
      <c r="N32" s="24"/>
      <c r="P32" s="121"/>
      <c r="Q32" s="330"/>
      <c r="R32" s="24"/>
      <c r="Z32" s="24"/>
    </row>
    <row r="33" spans="2:26" ht="13.5" customHeight="1">
      <c r="B33" s="196" t="s">
        <v>180</v>
      </c>
      <c r="C33" s="317"/>
      <c r="D33" s="275"/>
      <c r="E33" s="328"/>
      <c r="F33" s="329"/>
      <c r="G33" s="33"/>
      <c r="H33" s="274"/>
      <c r="I33" s="140"/>
      <c r="J33" s="140"/>
      <c r="K33" s="140"/>
      <c r="L33" s="206"/>
      <c r="M33" s="18"/>
      <c r="N33" s="18"/>
      <c r="P33" s="121"/>
      <c r="Q33" s="273"/>
      <c r="R33" s="18"/>
      <c r="Z33" s="18"/>
    </row>
    <row r="34" spans="2:26" ht="13.5" customHeight="1">
      <c r="B34" s="319"/>
      <c r="C34" s="321"/>
      <c r="D34" s="24"/>
      <c r="E34" s="24"/>
      <c r="F34" s="146"/>
      <c r="G34" s="337"/>
      <c r="H34" s="18"/>
      <c r="I34" s="146"/>
      <c r="J34" s="146"/>
      <c r="K34" s="146"/>
      <c r="L34" s="148"/>
      <c r="M34" s="147"/>
      <c r="N34" s="147"/>
      <c r="O34" s="338" t="s">
        <v>181</v>
      </c>
      <c r="P34" s="121"/>
      <c r="Q34" s="273"/>
      <c r="R34" s="18"/>
      <c r="Z34" s="18"/>
    </row>
    <row r="35" spans="2:26" ht="13.5" customHeight="1">
      <c r="B35" s="209" t="s">
        <v>182</v>
      </c>
      <c r="C35" s="339" t="s">
        <v>31</v>
      </c>
      <c r="D35" s="21">
        <v>491.79494736842105</v>
      </c>
      <c r="E35" s="150">
        <v>9.69</v>
      </c>
      <c r="F35" s="146">
        <f>ROUND(D35*E35,2)</f>
        <v>4765.49</v>
      </c>
      <c r="H35" s="112">
        <f>ROUND(E35*(1+$O$39),2)</f>
        <v>11.69</v>
      </c>
      <c r="I35" s="146">
        <f>ROUND(D35*H35,2)</f>
        <v>5749.08</v>
      </c>
      <c r="J35" s="146"/>
      <c r="K35" s="146">
        <f>I35-F35</f>
        <v>983.59000000000015</v>
      </c>
      <c r="L35" s="163">
        <f>ROUND(K35/F35,5)</f>
        <v>0.2064</v>
      </c>
      <c r="M35" s="340"/>
      <c r="N35" s="340"/>
      <c r="O35" s="151">
        <v>986.33529125899076</v>
      </c>
      <c r="P35" s="121"/>
      <c r="Q35" s="152">
        <f>H35/E35-1</f>
        <v>0.20639834881320951</v>
      </c>
      <c r="R35" s="18"/>
      <c r="Z35" s="18"/>
    </row>
    <row r="36" spans="2:26" ht="13.5" customHeight="1">
      <c r="B36" s="145"/>
      <c r="C36" s="18"/>
      <c r="D36" s="278"/>
      <c r="E36" s="278"/>
      <c r="F36" s="146"/>
      <c r="G36" s="18"/>
      <c r="H36" s="18"/>
      <c r="I36" s="146"/>
      <c r="J36" s="146"/>
      <c r="K36" s="146"/>
      <c r="L36" s="163"/>
      <c r="M36" s="340"/>
      <c r="N36" s="340"/>
      <c r="O36" s="153" t="s">
        <v>175</v>
      </c>
      <c r="P36" s="121"/>
      <c r="Q36" s="152"/>
      <c r="R36" s="18"/>
      <c r="Z36" s="18"/>
    </row>
    <row r="37" spans="2:26" ht="13.5" customHeight="1">
      <c r="B37" s="132" t="s">
        <v>183</v>
      </c>
      <c r="C37" s="133"/>
      <c r="D37" s="21">
        <v>9344.1039999999994</v>
      </c>
      <c r="E37" s="21"/>
      <c r="F37" s="322"/>
      <c r="H37" s="18"/>
      <c r="I37" s="146"/>
      <c r="J37" s="146"/>
      <c r="K37" s="146"/>
      <c r="L37" s="148"/>
      <c r="M37" s="340"/>
      <c r="N37" s="340"/>
      <c r="O37" s="156">
        <f>K35-O35</f>
        <v>-2.7452912589906191</v>
      </c>
      <c r="P37" s="121"/>
      <c r="Q37" s="152"/>
      <c r="R37" s="18"/>
      <c r="Z37" s="18"/>
    </row>
    <row r="38" spans="2:26" ht="13.5" customHeight="1">
      <c r="B38" s="145"/>
      <c r="C38" s="18"/>
      <c r="D38" s="24"/>
      <c r="E38" s="24"/>
      <c r="F38" s="183"/>
      <c r="G38" s="22"/>
      <c r="H38" s="24"/>
      <c r="I38" s="183"/>
      <c r="J38" s="146"/>
      <c r="K38" s="146"/>
      <c r="L38" s="148"/>
      <c r="M38" s="152"/>
      <c r="N38" s="152"/>
      <c r="P38" s="121"/>
      <c r="Q38" s="152"/>
      <c r="R38" s="18"/>
      <c r="Z38" s="18"/>
    </row>
    <row r="39" spans="2:26" ht="13.5" customHeight="1">
      <c r="B39" s="145" t="s">
        <v>176</v>
      </c>
      <c r="C39" s="133"/>
      <c r="D39" s="22">
        <f>D35</f>
        <v>491.79494736842105</v>
      </c>
      <c r="E39" s="150">
        <v>6.21</v>
      </c>
      <c r="F39" s="140">
        <f>D39*E39</f>
        <v>3054.0466231578948</v>
      </c>
      <c r="G39" s="341"/>
      <c r="H39" s="175">
        <f>E39</f>
        <v>6.21</v>
      </c>
      <c r="I39" s="140">
        <f>D39*H39</f>
        <v>3054.0466231578948</v>
      </c>
      <c r="J39" s="146"/>
      <c r="K39" s="140">
        <f>I39-F39</f>
        <v>0</v>
      </c>
      <c r="L39" s="206">
        <f>ROUND(K39/F39,5)</f>
        <v>0</v>
      </c>
      <c r="M39" s="18"/>
      <c r="N39" s="18"/>
      <c r="O39" s="160">
        <v>0.20671170154709984</v>
      </c>
      <c r="P39" s="121"/>
      <c r="Q39" s="121"/>
      <c r="R39" s="18"/>
      <c r="Z39" s="18"/>
    </row>
    <row r="40" spans="2:26" ht="13.5" customHeight="1">
      <c r="B40" s="145"/>
      <c r="C40" s="18"/>
      <c r="D40" s="24"/>
      <c r="E40" s="24"/>
      <c r="F40" s="146"/>
      <c r="H40" s="18"/>
      <c r="I40" s="146"/>
      <c r="J40" s="146"/>
      <c r="K40" s="146"/>
      <c r="L40" s="218"/>
      <c r="O40" s="208"/>
      <c r="P40" s="121"/>
      <c r="Q40" s="121"/>
      <c r="R40" s="18"/>
      <c r="Z40" s="18"/>
    </row>
    <row r="41" spans="2:26" ht="13.5" customHeight="1">
      <c r="B41" s="145" t="s">
        <v>177</v>
      </c>
      <c r="C41" s="18"/>
      <c r="D41" s="24"/>
      <c r="E41" s="24"/>
      <c r="F41" s="140">
        <f>F35+F39</f>
        <v>7819.5366231578946</v>
      </c>
      <c r="H41" s="18"/>
      <c r="I41" s="140">
        <f>I35+I39</f>
        <v>8803.1266231578957</v>
      </c>
      <c r="J41" s="146"/>
      <c r="K41" s="140">
        <f>K35+K39</f>
        <v>983.59000000000015</v>
      </c>
      <c r="L41" s="206">
        <f>ROUND(K41/F41,5)</f>
        <v>0.12579000000000001</v>
      </c>
      <c r="M41" s="147"/>
      <c r="N41" s="147"/>
      <c r="O41" s="121"/>
      <c r="P41" s="121"/>
      <c r="Q41" s="121"/>
      <c r="R41" s="18"/>
      <c r="Z41" s="18"/>
    </row>
    <row r="42" spans="2:26" ht="13.5" customHeight="1">
      <c r="B42" s="342"/>
      <c r="C42" s="343"/>
      <c r="D42" s="286"/>
      <c r="E42" s="286"/>
      <c r="F42" s="344"/>
      <c r="G42" s="90"/>
      <c r="H42" s="177"/>
      <c r="I42" s="235"/>
      <c r="J42" s="235"/>
      <c r="K42" s="177"/>
      <c r="L42" s="213"/>
      <c r="M42" s="221"/>
      <c r="N42" s="221"/>
      <c r="Q42" s="273"/>
      <c r="R42" s="18"/>
      <c r="Z42" s="18"/>
    </row>
    <row r="43" spans="2:26" ht="13.5" customHeight="1">
      <c r="B43" s="16"/>
      <c r="K43" s="18"/>
      <c r="M43" s="152"/>
      <c r="N43" s="152"/>
      <c r="Q43" s="273"/>
      <c r="R43" s="18"/>
      <c r="Z43" s="18"/>
    </row>
    <row r="44" spans="2:26">
      <c r="B44" s="28" t="s">
        <v>184</v>
      </c>
      <c r="K44" s="18"/>
      <c r="M44" s="221"/>
      <c r="N44" s="221"/>
      <c r="Q44" s="273"/>
      <c r="R44" s="18"/>
      <c r="Z44" s="18"/>
    </row>
    <row r="45" spans="2:26">
      <c r="B45" s="16"/>
      <c r="D45" s="125" t="s">
        <v>30</v>
      </c>
      <c r="F45" s="78" t="s">
        <v>155</v>
      </c>
      <c r="I45" s="127" t="s">
        <v>156</v>
      </c>
      <c r="K45" s="127" t="s">
        <v>32</v>
      </c>
      <c r="Q45" s="273"/>
      <c r="R45" s="18"/>
      <c r="Z45" s="18"/>
    </row>
    <row r="46" spans="2:26">
      <c r="B46" s="16" t="s">
        <v>185</v>
      </c>
      <c r="F46" s="226">
        <f>F16+F27+F39</f>
        <v>200456091.99070647</v>
      </c>
      <c r="I46" s="226">
        <f>I16+I27+I39</f>
        <v>200456091.99070647</v>
      </c>
      <c r="J46" s="226"/>
      <c r="K46" s="146">
        <f>I46-F46</f>
        <v>0</v>
      </c>
      <c r="Q46" s="273"/>
      <c r="R46" s="18"/>
      <c r="Z46" s="18"/>
    </row>
    <row r="47" spans="2:26">
      <c r="B47" s="16" t="s">
        <v>186</v>
      </c>
      <c r="F47" s="226">
        <f>F14+F25+F35</f>
        <v>315765060.45738578</v>
      </c>
      <c r="G47" s="226"/>
      <c r="H47" s="226"/>
      <c r="I47" s="226">
        <f>I14+I25+I35</f>
        <v>380542033.92868042</v>
      </c>
      <c r="J47" s="226"/>
      <c r="K47" s="146">
        <f>I47-F47</f>
        <v>64776973.471294641</v>
      </c>
      <c r="L47" s="27">
        <f>K47/F47</f>
        <v>0.20514294196281621</v>
      </c>
    </row>
    <row r="48" spans="2:26">
      <c r="B48" s="16" t="s">
        <v>187</v>
      </c>
      <c r="D48" s="26">
        <f>D13+D24+D37</f>
        <v>613671517.73199999</v>
      </c>
      <c r="F48" s="140">
        <f>F46+F47</f>
        <v>516221152.44809222</v>
      </c>
      <c r="I48" s="140">
        <f>I46+I47</f>
        <v>580998125.91938686</v>
      </c>
      <c r="K48" s="140">
        <f>K46+K47</f>
        <v>64776973.471294641</v>
      </c>
      <c r="L48" s="195">
        <f>K48/F48</f>
        <v>0.12548298953675321</v>
      </c>
    </row>
    <row r="49" spans="2:17">
      <c r="B49" s="16"/>
      <c r="D49" s="26"/>
      <c r="F49" s="146"/>
      <c r="I49" s="146"/>
      <c r="K49" s="146"/>
      <c r="L49" s="27"/>
    </row>
    <row r="50" spans="2:17">
      <c r="B50" s="16" t="s">
        <v>283</v>
      </c>
      <c r="F50" s="345"/>
      <c r="I50" s="146"/>
      <c r="K50" s="146"/>
      <c r="L50" s="27"/>
    </row>
    <row r="51" spans="2:17" ht="14" thickBot="1">
      <c r="B51" s="16"/>
      <c r="D51" s="16"/>
      <c r="E51" s="16"/>
      <c r="F51" s="16"/>
      <c r="I51" s="226"/>
      <c r="K51" s="146"/>
    </row>
    <row r="52" spans="2:17" ht="14" thickBot="1">
      <c r="B52" s="306" t="s">
        <v>55</v>
      </c>
      <c r="C52" s="346"/>
      <c r="D52" s="347">
        <v>0</v>
      </c>
      <c r="E52" s="348"/>
      <c r="F52" s="349">
        <v>-3.5368800163269043E-3</v>
      </c>
      <c r="K52" s="18"/>
      <c r="O52" s="350"/>
      <c r="P52" s="226"/>
    </row>
    <row r="53" spans="2:17">
      <c r="B53" s="16"/>
      <c r="F53" s="16"/>
    </row>
    <row r="55" spans="2:17">
      <c r="B55" s="16"/>
      <c r="C55" s="16"/>
      <c r="D55" s="16"/>
      <c r="F55" s="16"/>
      <c r="G55" s="16"/>
      <c r="I55" s="16"/>
      <c r="J55" s="16"/>
      <c r="L55" s="16"/>
      <c r="M55" s="16"/>
      <c r="N55" s="16"/>
      <c r="Q55" s="16"/>
    </row>
  </sheetData>
  <dataConsolidate/>
  <printOptions horizontalCentered="1"/>
  <pageMargins left="0.7" right="0.7" top="0.75" bottom="0.75" header="0.3" footer="0.3"/>
  <pageSetup scale="67" orientation="landscape" blackAndWhite="1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  <rowBreaks count="1" manualBreakCount="1">
    <brk id="46" min="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Q149"/>
  <sheetViews>
    <sheetView view="pageBreakPreview" zoomScale="60" zoomScaleNormal="100" zoomScalePageLayoutView="66" workbookViewId="0">
      <selection activeCell="B2" sqref="B2:Q126"/>
    </sheetView>
  </sheetViews>
  <sheetFormatPr baseColWidth="10" defaultColWidth="9.1640625" defaultRowHeight="13"/>
  <cols>
    <col min="1" max="1" width="2.5" style="16" customWidth="1"/>
    <col min="2" max="2" width="31.6640625" style="16" customWidth="1"/>
    <col min="3" max="3" width="9.6640625" style="16" customWidth="1"/>
    <col min="4" max="4" width="12.6640625" style="16" customWidth="1"/>
    <col min="5" max="5" width="10.5" style="16" customWidth="1"/>
    <col min="6" max="6" width="13.33203125" style="34" customWidth="1"/>
    <col min="7" max="7" width="2.83203125" style="26" customWidth="1"/>
    <col min="8" max="8" width="10.5" style="25" customWidth="1"/>
    <col min="9" max="9" width="13.33203125" style="34" customWidth="1"/>
    <col min="10" max="10" width="2.83203125" style="34" customWidth="1"/>
    <col min="11" max="11" width="13.33203125" style="34" customWidth="1"/>
    <col min="12" max="12" width="10.5" style="27" customWidth="1"/>
    <col min="13" max="13" width="2.83203125" style="17" customWidth="1"/>
    <col min="14" max="14" width="2" style="31" customWidth="1"/>
    <col min="15" max="15" width="14.5" style="16" customWidth="1"/>
    <col min="16" max="16" width="2.83203125" style="16" customWidth="1"/>
    <col min="17" max="17" width="8.83203125" style="19" customWidth="1"/>
    <col min="18" max="16384" width="9.1640625" style="16"/>
  </cols>
  <sheetData>
    <row r="2" spans="1:17">
      <c r="B2" s="77" t="s">
        <v>17</v>
      </c>
      <c r="C2" s="3"/>
      <c r="D2" s="3"/>
      <c r="E2" s="3"/>
      <c r="F2" s="104"/>
      <c r="G2" s="102"/>
      <c r="H2" s="259"/>
      <c r="I2" s="104"/>
      <c r="J2" s="104"/>
      <c r="K2" s="104"/>
      <c r="L2" s="260"/>
      <c r="M2" s="107"/>
      <c r="N2" s="107"/>
      <c r="O2" s="3"/>
      <c r="P2" s="3"/>
      <c r="Q2" s="261"/>
    </row>
    <row r="3" spans="1:17">
      <c r="B3" s="351" t="s">
        <v>309</v>
      </c>
      <c r="C3" s="3"/>
      <c r="D3" s="3"/>
      <c r="E3" s="3"/>
      <c r="F3" s="3"/>
      <c r="G3" s="259"/>
      <c r="H3" s="259"/>
      <c r="I3" s="3"/>
      <c r="J3" s="3"/>
      <c r="K3" s="3"/>
      <c r="L3" s="260"/>
      <c r="M3" s="3"/>
      <c r="N3" s="107"/>
      <c r="O3" s="3"/>
      <c r="P3" s="3"/>
      <c r="Q3" s="261"/>
    </row>
    <row r="4" spans="1:17">
      <c r="B4" s="77" t="s">
        <v>284</v>
      </c>
      <c r="C4" s="3"/>
      <c r="D4" s="3"/>
      <c r="E4" s="3"/>
      <c r="F4" s="3"/>
      <c r="G4" s="259"/>
      <c r="H4" s="259"/>
      <c r="I4" s="3"/>
      <c r="J4" s="3"/>
      <c r="K4" s="3"/>
      <c r="L4" s="260"/>
      <c r="M4" s="3"/>
      <c r="N4" s="107"/>
      <c r="O4" s="3"/>
      <c r="P4" s="3"/>
      <c r="Q4" s="261"/>
    </row>
    <row r="5" spans="1:17">
      <c r="B5" s="351" t="s">
        <v>310</v>
      </c>
      <c r="C5" s="3"/>
      <c r="D5" s="3"/>
      <c r="E5" s="3"/>
      <c r="F5" s="3"/>
      <c r="G5" s="259"/>
      <c r="H5" s="259"/>
      <c r="I5" s="3"/>
      <c r="J5" s="3"/>
      <c r="K5" s="3"/>
      <c r="L5" s="260"/>
      <c r="M5" s="3"/>
      <c r="N5" s="108"/>
      <c r="O5" s="109"/>
      <c r="P5" s="3"/>
      <c r="Q5" s="261"/>
    </row>
    <row r="6" spans="1:17" ht="13.5" customHeight="1">
      <c r="B6" s="262"/>
      <c r="C6" s="262"/>
      <c r="D6" s="262"/>
      <c r="E6" s="262"/>
      <c r="F6" s="263"/>
      <c r="G6" s="264"/>
      <c r="H6" s="265"/>
      <c r="I6" s="263"/>
      <c r="J6" s="263"/>
      <c r="K6" s="263"/>
      <c r="L6" s="266"/>
      <c r="N6" s="152"/>
      <c r="O6" s="18"/>
    </row>
    <row r="7" spans="1:17" ht="12" customHeight="1">
      <c r="B7" s="114"/>
      <c r="C7" s="115"/>
      <c r="D7" s="267" t="s">
        <v>19</v>
      </c>
      <c r="E7" s="117" t="s">
        <v>155</v>
      </c>
      <c r="F7" s="118"/>
      <c r="G7" s="4"/>
      <c r="H7" s="268" t="s">
        <v>156</v>
      </c>
      <c r="I7" s="118"/>
      <c r="J7" s="120"/>
      <c r="K7" s="524" t="s">
        <v>169</v>
      </c>
      <c r="L7" s="525"/>
      <c r="M7" s="269"/>
      <c r="N7" s="108"/>
      <c r="O7" s="121" t="s">
        <v>20</v>
      </c>
      <c r="Q7" s="122" t="s">
        <v>170</v>
      </c>
    </row>
    <row r="8" spans="1:17">
      <c r="B8" s="123" t="s">
        <v>21</v>
      </c>
      <c r="C8" s="78" t="s">
        <v>22</v>
      </c>
      <c r="D8" s="80" t="s">
        <v>23</v>
      </c>
      <c r="E8" s="78" t="s">
        <v>24</v>
      </c>
      <c r="F8" s="127" t="s">
        <v>25</v>
      </c>
      <c r="G8" s="80"/>
      <c r="H8" s="80" t="s">
        <v>24</v>
      </c>
      <c r="I8" s="127" t="s">
        <v>25</v>
      </c>
      <c r="J8" s="127"/>
      <c r="K8" s="127" t="s">
        <v>171</v>
      </c>
      <c r="L8" s="270" t="s">
        <v>172</v>
      </c>
      <c r="M8" s="113"/>
      <c r="N8" s="130"/>
      <c r="O8" s="78" t="s">
        <v>173</v>
      </c>
      <c r="Q8" s="131" t="s">
        <v>26</v>
      </c>
    </row>
    <row r="9" spans="1:17">
      <c r="A9" s="18"/>
      <c r="B9" s="121"/>
      <c r="C9" s="121"/>
      <c r="D9" s="121"/>
      <c r="E9" s="121"/>
      <c r="F9" s="271"/>
      <c r="G9" s="4"/>
      <c r="H9" s="4"/>
      <c r="I9" s="271"/>
      <c r="J9" s="271"/>
      <c r="K9" s="271"/>
      <c r="L9" s="272"/>
      <c r="M9" s="113"/>
      <c r="N9" s="130"/>
      <c r="O9" s="18"/>
      <c r="P9" s="18"/>
      <c r="Q9" s="273"/>
    </row>
    <row r="10" spans="1:17">
      <c r="B10" s="137" t="s">
        <v>188</v>
      </c>
      <c r="C10" s="138"/>
      <c r="D10" s="274"/>
      <c r="E10" s="274"/>
      <c r="F10" s="140"/>
      <c r="G10" s="87"/>
      <c r="H10" s="275"/>
      <c r="I10" s="140"/>
      <c r="J10" s="140"/>
      <c r="K10" s="140"/>
      <c r="L10" s="206"/>
      <c r="M10" s="276"/>
      <c r="N10" s="152"/>
      <c r="O10" s="18"/>
      <c r="P10" s="18"/>
      <c r="Q10" s="273"/>
    </row>
    <row r="11" spans="1:17">
      <c r="B11" s="145"/>
      <c r="C11" s="18"/>
      <c r="D11" s="20"/>
      <c r="E11" s="18"/>
      <c r="F11" s="146"/>
      <c r="G11" s="22"/>
      <c r="H11" s="24"/>
      <c r="I11" s="146"/>
      <c r="J11" s="146"/>
      <c r="K11" s="146"/>
      <c r="L11" s="163"/>
      <c r="M11" s="276"/>
      <c r="N11" s="152"/>
      <c r="O11" s="149" t="s">
        <v>189</v>
      </c>
      <c r="P11" s="18"/>
      <c r="Q11" s="273"/>
    </row>
    <row r="12" spans="1:17">
      <c r="B12" s="231" t="s">
        <v>27</v>
      </c>
      <c r="C12" s="187" t="s">
        <v>28</v>
      </c>
      <c r="D12" s="21">
        <v>692597.12096613029</v>
      </c>
      <c r="E12" s="150">
        <v>32.159999999999997</v>
      </c>
      <c r="F12" s="146">
        <f>ROUND(D12*E12,2)</f>
        <v>22273923.41</v>
      </c>
      <c r="G12" s="22"/>
      <c r="H12" s="150">
        <v>33.840000000000003</v>
      </c>
      <c r="I12" s="183">
        <f>ROUND(D12*H12,2)</f>
        <v>23437486.57</v>
      </c>
      <c r="J12" s="146"/>
      <c r="K12" s="146">
        <f>I12-F12</f>
        <v>1163563.1600000001</v>
      </c>
      <c r="L12" s="163"/>
      <c r="M12" s="276"/>
      <c r="N12" s="152"/>
      <c r="O12" s="151">
        <v>28555076.444440711</v>
      </c>
      <c r="P12" s="18"/>
      <c r="Q12" s="152">
        <f>H12/E12-1</f>
        <v>5.2238805970149516E-2</v>
      </c>
    </row>
    <row r="13" spans="1:17">
      <c r="B13" s="145" t="s">
        <v>29</v>
      </c>
      <c r="C13" s="18" t="s">
        <v>30</v>
      </c>
      <c r="D13" s="21">
        <v>232245222.90300003</v>
      </c>
      <c r="E13" s="154">
        <v>0.29475000000000001</v>
      </c>
      <c r="F13" s="146">
        <f>ROUND(D13*E13,2)</f>
        <v>68454279.450000003</v>
      </c>
      <c r="G13" s="22"/>
      <c r="H13" s="155">
        <f>ROUND(E13*(1+$O$16),5)</f>
        <v>0.40925</v>
      </c>
      <c r="I13" s="183">
        <f>ROUND(D13*H13,2)</f>
        <v>95046357.469999999</v>
      </c>
      <c r="J13" s="146"/>
      <c r="K13" s="146">
        <f>I13-F13</f>
        <v>26592078.019999996</v>
      </c>
      <c r="L13" s="163"/>
      <c r="M13" s="276"/>
      <c r="N13" s="152"/>
      <c r="O13" s="153" t="s">
        <v>175</v>
      </c>
      <c r="P13" s="18"/>
      <c r="Q13" s="152">
        <f>H13/E13-1</f>
        <v>0.38846480067854117</v>
      </c>
    </row>
    <row r="14" spans="1:17">
      <c r="B14" s="145" t="s">
        <v>33</v>
      </c>
      <c r="C14" s="18"/>
      <c r="D14" s="22">
        <f>D13</f>
        <v>232245222.90300003</v>
      </c>
      <c r="E14" s="154">
        <v>8.8199999999999997E-3</v>
      </c>
      <c r="F14" s="146">
        <f>ROUND(D14*E14,2)</f>
        <v>2048402.87</v>
      </c>
      <c r="G14" s="22"/>
      <c r="H14" s="155">
        <f>ROUND(E14*(1+$O$16),5)</f>
        <v>1.225E-2</v>
      </c>
      <c r="I14" s="146">
        <f>ROUND(D14*H14,2)</f>
        <v>2845003.98</v>
      </c>
      <c r="J14" s="135"/>
      <c r="K14" s="146">
        <f>I14-F14</f>
        <v>796601.10999999987</v>
      </c>
      <c r="L14" s="218"/>
      <c r="M14" s="113"/>
      <c r="N14" s="113"/>
      <c r="O14" s="277">
        <f>K15+K27-O12</f>
        <v>1090.75555928424</v>
      </c>
      <c r="P14" s="18"/>
      <c r="Q14" s="152">
        <f>H14/E14-1</f>
        <v>0.38888888888888906</v>
      </c>
    </row>
    <row r="15" spans="1:17">
      <c r="B15" s="132" t="s">
        <v>178</v>
      </c>
      <c r="C15" s="133"/>
      <c r="D15" s="22"/>
      <c r="E15" s="278"/>
      <c r="F15" s="140">
        <f>SUM(F12:F14)</f>
        <v>92776605.730000004</v>
      </c>
      <c r="G15" s="22"/>
      <c r="H15" s="22"/>
      <c r="I15" s="229">
        <f>SUM(I12:I14)</f>
        <v>121328848.02</v>
      </c>
      <c r="J15" s="146"/>
      <c r="K15" s="140">
        <f>SUM(K12:K14)</f>
        <v>28552242.289999995</v>
      </c>
      <c r="L15" s="206">
        <f>ROUND(K15/F15,5)</f>
        <v>0.30775000000000002</v>
      </c>
      <c r="M15" s="276"/>
      <c r="N15" s="152"/>
      <c r="O15" s="159"/>
      <c r="P15" s="279"/>
      <c r="Q15" s="280"/>
    </row>
    <row r="16" spans="1:17">
      <c r="B16" s="145"/>
      <c r="C16" s="18"/>
      <c r="D16" s="24"/>
      <c r="E16" s="278"/>
      <c r="F16" s="146"/>
      <c r="G16" s="22"/>
      <c r="H16" s="22"/>
      <c r="I16" s="183"/>
      <c r="J16" s="146"/>
      <c r="K16" s="146"/>
      <c r="L16" s="163"/>
      <c r="M16" s="276"/>
      <c r="N16" s="152"/>
      <c r="O16" s="160">
        <v>0.38845000000000002</v>
      </c>
      <c r="P16" s="18"/>
      <c r="Q16" s="273"/>
    </row>
    <row r="17" spans="1:17">
      <c r="B17" s="145" t="s">
        <v>176</v>
      </c>
      <c r="C17" s="18" t="s">
        <v>30</v>
      </c>
      <c r="D17" s="22">
        <f>D13</f>
        <v>232245222.90300003</v>
      </c>
      <c r="E17" s="281">
        <v>0.31873000000000001</v>
      </c>
      <c r="F17" s="146">
        <f>E17*D17</f>
        <v>74023519.895873204</v>
      </c>
      <c r="G17" s="24"/>
      <c r="H17" s="173">
        <f>E17</f>
        <v>0.31873000000000001</v>
      </c>
      <c r="I17" s="183">
        <f>H17*D17</f>
        <v>74023519.895873204</v>
      </c>
      <c r="J17" s="146"/>
      <c r="K17" s="146">
        <f>I17-F17</f>
        <v>0</v>
      </c>
      <c r="L17" s="163">
        <f>ROUND(K17/F17,5)</f>
        <v>0</v>
      </c>
      <c r="M17" s="276"/>
      <c r="N17" s="152"/>
      <c r="O17" s="121"/>
      <c r="P17" s="121"/>
      <c r="Q17" s="121"/>
    </row>
    <row r="18" spans="1:17">
      <c r="B18" s="145"/>
      <c r="C18" s="18"/>
      <c r="D18" s="24"/>
      <c r="E18" s="111"/>
      <c r="F18" s="146"/>
      <c r="G18" s="282"/>
      <c r="H18" s="283"/>
      <c r="I18" s="183"/>
      <c r="J18" s="146"/>
      <c r="K18" s="146"/>
      <c r="L18" s="163"/>
      <c r="M18" s="276"/>
      <c r="N18" s="152"/>
      <c r="O18" s="284"/>
      <c r="P18" s="121"/>
      <c r="Q18" s="121"/>
    </row>
    <row r="19" spans="1:17">
      <c r="B19" s="132" t="s">
        <v>177</v>
      </c>
      <c r="C19" s="18"/>
      <c r="D19" s="24"/>
      <c r="E19" s="18"/>
      <c r="F19" s="140">
        <f>F17+F15</f>
        <v>166800125.62587321</v>
      </c>
      <c r="G19" s="282"/>
      <c r="H19" s="11"/>
      <c r="I19" s="229">
        <f>I17+I15</f>
        <v>195352367.9158732</v>
      </c>
      <c r="J19" s="146"/>
      <c r="K19" s="140">
        <f>K15+K17</f>
        <v>28552242.289999995</v>
      </c>
      <c r="L19" s="206">
        <f>ROUND(K19/F19,5)</f>
        <v>0.17118</v>
      </c>
      <c r="M19" s="276"/>
      <c r="N19" s="152"/>
      <c r="O19" s="121"/>
      <c r="P19" s="121"/>
      <c r="Q19" s="121"/>
    </row>
    <row r="20" spans="1:17">
      <c r="B20" s="176"/>
      <c r="C20" s="285"/>
      <c r="D20" s="286"/>
      <c r="E20" s="128"/>
      <c r="F20" s="287"/>
      <c r="G20" s="286"/>
      <c r="H20" s="288"/>
      <c r="I20" s="199"/>
      <c r="J20" s="179"/>
      <c r="K20" s="179"/>
      <c r="L20" s="182"/>
      <c r="M20" s="276"/>
      <c r="N20" s="152"/>
      <c r="O20" s="18"/>
    </row>
    <row r="21" spans="1:17">
      <c r="A21" s="18"/>
      <c r="B21" s="18"/>
      <c r="C21" s="18"/>
      <c r="D21" s="24"/>
      <c r="E21" s="18"/>
      <c r="F21" s="147"/>
      <c r="G21" s="282"/>
      <c r="H21" s="11"/>
      <c r="I21" s="147"/>
      <c r="J21" s="147"/>
      <c r="K21" s="146"/>
      <c r="L21" s="195"/>
      <c r="M21" s="276"/>
      <c r="N21" s="152"/>
      <c r="O21" s="18"/>
    </row>
    <row r="22" spans="1:17">
      <c r="A22" s="18"/>
      <c r="B22" s="196" t="s">
        <v>190</v>
      </c>
      <c r="C22" s="138"/>
      <c r="D22" s="274"/>
      <c r="E22" s="274"/>
      <c r="F22" s="140"/>
      <c r="G22" s="87"/>
      <c r="H22" s="275"/>
      <c r="I22" s="140"/>
      <c r="J22" s="140"/>
      <c r="K22" s="140"/>
      <c r="L22" s="206"/>
      <c r="M22" s="276"/>
      <c r="N22" s="152"/>
      <c r="O22" s="18"/>
    </row>
    <row r="23" spans="1:17">
      <c r="A23" s="18"/>
      <c r="B23" s="145"/>
      <c r="C23" s="18"/>
      <c r="D23" s="20"/>
      <c r="E23" s="18"/>
      <c r="F23" s="146"/>
      <c r="G23" s="22"/>
      <c r="H23" s="24"/>
      <c r="I23" s="146"/>
      <c r="J23" s="146"/>
      <c r="K23" s="146"/>
      <c r="L23" s="163"/>
      <c r="M23" s="276"/>
      <c r="N23" s="152"/>
      <c r="O23" s="18"/>
    </row>
    <row r="24" spans="1:17">
      <c r="A24" s="18"/>
      <c r="B24" s="231" t="s">
        <v>27</v>
      </c>
      <c r="C24" s="187" t="s">
        <v>28</v>
      </c>
      <c r="D24" s="21">
        <v>31</v>
      </c>
      <c r="E24" s="150">
        <v>353.77</v>
      </c>
      <c r="F24" s="146">
        <f>ROUND(D24*E24,2)</f>
        <v>10966.87</v>
      </c>
      <c r="G24" s="22"/>
      <c r="H24" s="150">
        <v>364.04</v>
      </c>
      <c r="I24" s="183">
        <f>ROUND(D24*H24,2)</f>
        <v>11285.24</v>
      </c>
      <c r="J24" s="146"/>
      <c r="K24" s="146">
        <f>I24-F24</f>
        <v>318.36999999999898</v>
      </c>
      <c r="L24" s="163"/>
      <c r="M24" s="276"/>
      <c r="N24" s="152"/>
      <c r="O24" s="18"/>
      <c r="Q24" s="152">
        <f>H24/E24-1</f>
        <v>2.903016083896337E-2</v>
      </c>
    </row>
    <row r="25" spans="1:17">
      <c r="A25" s="18"/>
      <c r="B25" s="145" t="s">
        <v>29</v>
      </c>
      <c r="C25" s="18" t="s">
        <v>30</v>
      </c>
      <c r="D25" s="21">
        <v>31498.21</v>
      </c>
      <c r="E25" s="154">
        <v>0.29475000000000001</v>
      </c>
      <c r="F25" s="146">
        <f>ROUND(D25*E25,2)</f>
        <v>9284.1</v>
      </c>
      <c r="G25" s="22"/>
      <c r="H25" s="155">
        <f>H13</f>
        <v>0.40925</v>
      </c>
      <c r="I25" s="183">
        <f>ROUND(D25*H25,2)</f>
        <v>12890.64</v>
      </c>
      <c r="J25" s="146"/>
      <c r="K25" s="146">
        <f>I25-F25</f>
        <v>3606.5399999999991</v>
      </c>
      <c r="L25" s="163"/>
      <c r="M25" s="276"/>
      <c r="N25" s="152"/>
      <c r="O25" s="18"/>
      <c r="Q25" s="152">
        <f t="shared" ref="Q25" si="0">H25/E25-1</f>
        <v>0.38846480067854117</v>
      </c>
    </row>
    <row r="26" spans="1:17">
      <c r="A26" s="18"/>
      <c r="B26" s="231" t="s">
        <v>33</v>
      </c>
      <c r="C26" s="18"/>
      <c r="D26" s="22">
        <f>D25</f>
        <v>31498.21</v>
      </c>
      <c r="E26" s="191">
        <v>0</v>
      </c>
      <c r="F26" s="146">
        <f>ROUND(D26*E26,2)</f>
        <v>0</v>
      </c>
      <c r="G26" s="22"/>
      <c r="H26" s="191">
        <v>0</v>
      </c>
      <c r="I26" s="183">
        <f>ROUND(D26*H26,2)</f>
        <v>0</v>
      </c>
      <c r="J26" s="146"/>
      <c r="K26" s="146">
        <f>I26-F26</f>
        <v>0</v>
      </c>
      <c r="L26" s="163"/>
      <c r="M26" s="276"/>
      <c r="N26" s="152"/>
      <c r="O26" s="18"/>
      <c r="Q26" s="152"/>
    </row>
    <row r="27" spans="1:17">
      <c r="A27" s="18"/>
      <c r="B27" s="132" t="s">
        <v>178</v>
      </c>
      <c r="C27" s="133"/>
      <c r="D27" s="22"/>
      <c r="E27" s="278"/>
      <c r="F27" s="140">
        <f>SUM(F24:F26)</f>
        <v>20250.97</v>
      </c>
      <c r="G27" s="22"/>
      <c r="H27" s="22"/>
      <c r="I27" s="229">
        <f>SUM(I24:I26)</f>
        <v>24175.879999999997</v>
      </c>
      <c r="J27" s="146"/>
      <c r="K27" s="229">
        <f>SUM(K24:K26)</f>
        <v>3924.909999999998</v>
      </c>
      <c r="L27" s="206"/>
      <c r="M27" s="276"/>
      <c r="N27" s="152"/>
      <c r="O27" s="18"/>
    </row>
    <row r="28" spans="1:17">
      <c r="A28" s="18"/>
      <c r="B28" s="145"/>
      <c r="C28" s="18"/>
      <c r="D28" s="24"/>
      <c r="E28" s="278"/>
      <c r="F28" s="146"/>
      <c r="G28" s="22"/>
      <c r="H28" s="22"/>
      <c r="I28" s="183"/>
      <c r="J28" s="146"/>
      <c r="K28" s="146"/>
      <c r="L28" s="163"/>
      <c r="M28" s="276"/>
      <c r="N28" s="152"/>
      <c r="O28" s="18"/>
    </row>
    <row r="29" spans="1:17">
      <c r="A29" s="18"/>
      <c r="B29" s="209" t="s">
        <v>191</v>
      </c>
      <c r="C29" s="18" t="s">
        <v>30</v>
      </c>
      <c r="D29" s="22">
        <f>D25</f>
        <v>31498.21</v>
      </c>
      <c r="E29" s="154">
        <v>6.9999999999999999E-4</v>
      </c>
      <c r="F29" s="146">
        <f>E29*D29</f>
        <v>22.048746999999999</v>
      </c>
      <c r="G29" s="24"/>
      <c r="H29" s="191">
        <v>1E-3</v>
      </c>
      <c r="I29" s="183">
        <f>H29*D29</f>
        <v>31.49821</v>
      </c>
      <c r="J29" s="146"/>
      <c r="K29" s="146">
        <f>I29-F29</f>
        <v>9.4494630000000015</v>
      </c>
      <c r="L29" s="163"/>
      <c r="M29" s="276"/>
      <c r="N29" s="152"/>
      <c r="O29" s="18"/>
    </row>
    <row r="30" spans="1:17">
      <c r="A30" s="18"/>
      <c r="B30" s="132" t="s">
        <v>177</v>
      </c>
      <c r="C30" s="18"/>
      <c r="D30" s="24"/>
      <c r="E30" s="18"/>
      <c r="F30" s="140">
        <f>F29+F27</f>
        <v>20273.018747000002</v>
      </c>
      <c r="G30" s="282"/>
      <c r="H30" s="11"/>
      <c r="I30" s="229">
        <f>I29+I27</f>
        <v>24207.378209999999</v>
      </c>
      <c r="J30" s="146"/>
      <c r="K30" s="140">
        <f>K27+K29</f>
        <v>3934.359462999998</v>
      </c>
      <c r="L30" s="206"/>
      <c r="M30" s="276"/>
      <c r="N30" s="152"/>
      <c r="O30" s="18"/>
    </row>
    <row r="31" spans="1:17">
      <c r="A31" s="18"/>
      <c r="B31" s="176"/>
      <c r="C31" s="285"/>
      <c r="D31" s="286"/>
      <c r="E31" s="128"/>
      <c r="F31" s="287"/>
      <c r="G31" s="286"/>
      <c r="H31" s="288"/>
      <c r="I31" s="199"/>
      <c r="J31" s="179"/>
      <c r="K31" s="179"/>
      <c r="L31" s="182"/>
      <c r="M31" s="276"/>
      <c r="N31" s="152"/>
      <c r="O31" s="18"/>
    </row>
    <row r="32" spans="1:17">
      <c r="A32" s="18"/>
      <c r="B32" s="18"/>
      <c r="C32" s="18"/>
      <c r="D32" s="24"/>
      <c r="E32" s="18"/>
      <c r="F32" s="147"/>
      <c r="G32" s="282"/>
      <c r="H32" s="11"/>
      <c r="I32" s="147"/>
      <c r="J32" s="147"/>
      <c r="K32" s="146"/>
      <c r="L32" s="195"/>
      <c r="M32" s="276"/>
      <c r="N32" s="152"/>
      <c r="O32" s="18"/>
    </row>
    <row r="33" spans="1:17">
      <c r="A33" s="18"/>
      <c r="B33" s="137" t="s">
        <v>192</v>
      </c>
      <c r="C33" s="138"/>
      <c r="D33" s="274"/>
      <c r="E33" s="274"/>
      <c r="F33" s="140"/>
      <c r="G33" s="87"/>
      <c r="H33" s="275"/>
      <c r="I33" s="140"/>
      <c r="J33" s="140"/>
      <c r="K33" s="140"/>
      <c r="L33" s="206"/>
      <c r="M33" s="276"/>
      <c r="N33" s="152"/>
      <c r="O33" s="18"/>
    </row>
    <row r="34" spans="1:17">
      <c r="A34" s="18"/>
      <c r="B34" s="145"/>
      <c r="C34" s="18"/>
      <c r="D34" s="20"/>
      <c r="E34" s="18"/>
      <c r="F34" s="146"/>
      <c r="G34" s="22"/>
      <c r="H34" s="24"/>
      <c r="I34" s="146"/>
      <c r="J34" s="146"/>
      <c r="K34" s="146"/>
      <c r="L34" s="163"/>
      <c r="M34" s="276"/>
      <c r="N34" s="152"/>
      <c r="O34" s="18"/>
    </row>
    <row r="35" spans="1:17">
      <c r="A35" s="18"/>
      <c r="B35" s="231" t="s">
        <v>27</v>
      </c>
      <c r="C35" s="187" t="s">
        <v>28</v>
      </c>
      <c r="D35" s="22">
        <f>D12+D24</f>
        <v>692628.12096613029</v>
      </c>
      <c r="E35" s="192"/>
      <c r="F35" s="146">
        <f>F12+F24</f>
        <v>22284890.280000001</v>
      </c>
      <c r="G35" s="22"/>
      <c r="H35" s="192"/>
      <c r="I35" s="146">
        <f>I12+I24</f>
        <v>23448771.809999999</v>
      </c>
      <c r="J35" s="146"/>
      <c r="K35" s="146">
        <f>I35-F35</f>
        <v>1163881.5299999975</v>
      </c>
      <c r="L35" s="163"/>
      <c r="M35" s="276"/>
      <c r="N35" s="152"/>
      <c r="O35" s="18"/>
    </row>
    <row r="36" spans="1:17">
      <c r="A36" s="18"/>
      <c r="B36" s="145" t="s">
        <v>29</v>
      </c>
      <c r="C36" s="18" t="s">
        <v>30</v>
      </c>
      <c r="D36" s="22">
        <f>D13+D25</f>
        <v>232276721.11300004</v>
      </c>
      <c r="E36" s="157"/>
      <c r="F36" s="146">
        <f>F13+F25</f>
        <v>68463563.549999997</v>
      </c>
      <c r="G36" s="22"/>
      <c r="H36" s="157"/>
      <c r="I36" s="146">
        <f>I13+I25</f>
        <v>95059248.109999999</v>
      </c>
      <c r="J36" s="146"/>
      <c r="K36" s="146">
        <f>I36-F36</f>
        <v>26595684.560000002</v>
      </c>
      <c r="L36" s="163"/>
      <c r="M36" s="276"/>
      <c r="N36" s="152"/>
      <c r="O36" s="18"/>
    </row>
    <row r="37" spans="1:17">
      <c r="A37" s="18"/>
      <c r="B37" s="145" t="s">
        <v>33</v>
      </c>
      <c r="C37" s="18" t="s">
        <v>30</v>
      </c>
      <c r="D37" s="22">
        <f>D14+D26</f>
        <v>232276721.11300004</v>
      </c>
      <c r="E37" s="157"/>
      <c r="F37" s="146">
        <f>F14+F26</f>
        <v>2048402.87</v>
      </c>
      <c r="G37" s="22"/>
      <c r="H37" s="157"/>
      <c r="I37" s="146">
        <f>I14+I26</f>
        <v>2845003.98</v>
      </c>
      <c r="J37" s="146"/>
      <c r="K37" s="146">
        <f>I37-F37</f>
        <v>796601.10999999987</v>
      </c>
      <c r="L37" s="163"/>
      <c r="M37" s="276"/>
      <c r="N37" s="152"/>
      <c r="O37" s="18"/>
    </row>
    <row r="38" spans="1:17">
      <c r="A38" s="18"/>
      <c r="B38" s="132" t="s">
        <v>178</v>
      </c>
      <c r="C38" s="133"/>
      <c r="D38" s="22"/>
      <c r="E38" s="24"/>
      <c r="F38" s="140">
        <f>SUM(F35:F37)</f>
        <v>92796856.700000003</v>
      </c>
      <c r="G38" s="22"/>
      <c r="H38" s="22"/>
      <c r="I38" s="140">
        <f>SUM(I35:I37)</f>
        <v>121353023.90000001</v>
      </c>
      <c r="J38" s="146"/>
      <c r="K38" s="140">
        <f>SUM(K35:K37)</f>
        <v>28556167.199999999</v>
      </c>
      <c r="L38" s="206">
        <f>ROUND(K38/F38,5)</f>
        <v>0.30773</v>
      </c>
      <c r="M38" s="276"/>
      <c r="N38" s="152"/>
      <c r="O38" s="18"/>
    </row>
    <row r="39" spans="1:17">
      <c r="A39" s="18"/>
      <c r="B39" s="145"/>
      <c r="C39" s="18"/>
      <c r="D39" s="24"/>
      <c r="E39" s="24"/>
      <c r="F39" s="146"/>
      <c r="G39" s="22"/>
      <c r="H39" s="22"/>
      <c r="I39" s="146"/>
      <c r="J39" s="146"/>
      <c r="K39" s="146"/>
      <c r="L39" s="163"/>
      <c r="M39" s="276"/>
      <c r="N39" s="152"/>
      <c r="O39" s="18"/>
    </row>
    <row r="40" spans="1:17">
      <c r="A40" s="18"/>
      <c r="B40" s="145" t="s">
        <v>176</v>
      </c>
      <c r="C40" s="18" t="s">
        <v>30</v>
      </c>
      <c r="D40" s="22">
        <f>D36</f>
        <v>232276721.11300004</v>
      </c>
      <c r="E40" s="157"/>
      <c r="F40" s="146">
        <f>F17+F29</f>
        <v>74023541.944620207</v>
      </c>
      <c r="G40" s="24"/>
      <c r="H40" s="155"/>
      <c r="I40" s="146">
        <f>I17+I29</f>
        <v>74023551.394083202</v>
      </c>
      <c r="J40" s="146"/>
      <c r="K40" s="179">
        <f>I40-F40</f>
        <v>9.4494629949331284</v>
      </c>
      <c r="L40" s="182">
        <f>ROUND(K40/F40,5)</f>
        <v>0</v>
      </c>
      <c r="M40" s="276"/>
      <c r="N40" s="152"/>
      <c r="O40" s="18"/>
    </row>
    <row r="41" spans="1:17">
      <c r="A41" s="18"/>
      <c r="B41" s="132" t="s">
        <v>177</v>
      </c>
      <c r="C41" s="18"/>
      <c r="D41" s="24"/>
      <c r="E41" s="18"/>
      <c r="F41" s="140">
        <f>F40+F38</f>
        <v>166820398.64462021</v>
      </c>
      <c r="G41" s="282"/>
      <c r="H41" s="11"/>
      <c r="I41" s="140">
        <f>I40+I38</f>
        <v>195376575.29408321</v>
      </c>
      <c r="J41" s="146"/>
      <c r="K41" s="140">
        <f>K38+K40</f>
        <v>28556176.649462994</v>
      </c>
      <c r="L41" s="206">
        <f>ROUND(K41/F41,5)</f>
        <v>0.17118</v>
      </c>
      <c r="M41" s="276"/>
      <c r="N41" s="152"/>
      <c r="O41" s="18"/>
    </row>
    <row r="42" spans="1:17">
      <c r="A42" s="18"/>
      <c r="B42" s="176"/>
      <c r="C42" s="285"/>
      <c r="D42" s="286"/>
      <c r="E42" s="128"/>
      <c r="F42" s="287"/>
      <c r="G42" s="286"/>
      <c r="H42" s="288"/>
      <c r="I42" s="199"/>
      <c r="J42" s="179"/>
      <c r="K42" s="179"/>
      <c r="L42" s="182"/>
      <c r="M42" s="276"/>
      <c r="N42" s="152"/>
      <c r="O42" s="18"/>
    </row>
    <row r="43" spans="1:17">
      <c r="A43" s="18"/>
      <c r="B43" s="18"/>
      <c r="C43" s="18"/>
      <c r="D43" s="24"/>
      <c r="E43" s="18"/>
      <c r="F43" s="147"/>
      <c r="G43" s="282"/>
      <c r="H43" s="11"/>
      <c r="I43" s="147"/>
      <c r="J43" s="147"/>
      <c r="K43" s="146"/>
      <c r="L43" s="195"/>
      <c r="M43" s="276"/>
      <c r="N43" s="152"/>
      <c r="O43" s="18"/>
    </row>
    <row r="44" spans="1:17">
      <c r="A44" s="18"/>
      <c r="B44" s="18"/>
      <c r="C44" s="18"/>
      <c r="D44" s="24"/>
      <c r="E44" s="18"/>
      <c r="F44" s="147"/>
      <c r="G44" s="282"/>
      <c r="H44" s="11"/>
      <c r="I44" s="147"/>
      <c r="J44" s="147"/>
      <c r="K44" s="146"/>
      <c r="L44" s="195"/>
      <c r="M44" s="276"/>
      <c r="N44" s="152"/>
    </row>
    <row r="45" spans="1:17">
      <c r="B45" s="196" t="s">
        <v>193</v>
      </c>
      <c r="C45" s="138"/>
      <c r="D45" s="275"/>
      <c r="E45" s="274"/>
      <c r="F45" s="140"/>
      <c r="G45" s="275"/>
      <c r="H45" s="275"/>
      <c r="I45" s="140"/>
      <c r="J45" s="140"/>
      <c r="K45" s="140"/>
      <c r="L45" s="206"/>
      <c r="M45" s="276"/>
      <c r="N45" s="152"/>
    </row>
    <row r="46" spans="1:17">
      <c r="B46" s="209"/>
      <c r="C46" s="18"/>
      <c r="D46" s="24"/>
      <c r="E46" s="24"/>
      <c r="F46" s="146"/>
      <c r="G46" s="134"/>
      <c r="H46" s="24"/>
      <c r="I46" s="146"/>
      <c r="J46" s="146"/>
      <c r="K46" s="146"/>
      <c r="L46" s="163"/>
      <c r="M46" s="276"/>
      <c r="N46" s="152"/>
      <c r="O46" s="289" t="s">
        <v>194</v>
      </c>
    </row>
    <row r="47" spans="1:17">
      <c r="B47" s="231" t="s">
        <v>27</v>
      </c>
      <c r="C47" s="187" t="s">
        <v>28</v>
      </c>
      <c r="D47" s="21">
        <v>15978.11692331859</v>
      </c>
      <c r="E47" s="150">
        <v>106.43</v>
      </c>
      <c r="F47" s="146">
        <f>ROUND(D47*E47,2)</f>
        <v>1700550.98</v>
      </c>
      <c r="G47" s="22"/>
      <c r="H47" s="150">
        <v>113.4</v>
      </c>
      <c r="I47" s="146">
        <f>ROUND(D47*H47,2)</f>
        <v>1811918.46</v>
      </c>
      <c r="J47" s="146"/>
      <c r="K47" s="146">
        <f>I47-F47</f>
        <v>111367.47999999998</v>
      </c>
      <c r="L47" s="163"/>
      <c r="M47" s="276"/>
      <c r="N47" s="152"/>
      <c r="O47" s="151">
        <v>1995517.9469474866</v>
      </c>
      <c r="Q47" s="152">
        <f>H47/E47-1</f>
        <v>6.5489053838203581E-2</v>
      </c>
    </row>
    <row r="48" spans="1:17">
      <c r="B48" s="209" t="s">
        <v>35</v>
      </c>
      <c r="C48" s="187" t="s">
        <v>28</v>
      </c>
      <c r="D48" s="22">
        <f>D47</f>
        <v>15978.11692331859</v>
      </c>
      <c r="E48" s="150">
        <v>115.88</v>
      </c>
      <c r="F48" s="147">
        <f>D48*E48</f>
        <v>1851544.1890741582</v>
      </c>
      <c r="G48" s="22"/>
      <c r="H48" s="112">
        <f>ROUND(+H53*900,2)</f>
        <v>131.30000000000001</v>
      </c>
      <c r="I48" s="147">
        <f>ROUND(D48*H48,2)</f>
        <v>2097926.75</v>
      </c>
      <c r="J48" s="147"/>
      <c r="K48" s="146">
        <f>I48-F48</f>
        <v>246382.5609258418</v>
      </c>
      <c r="L48" s="218"/>
      <c r="M48" s="276"/>
      <c r="N48" s="130"/>
      <c r="O48" s="290" t="s">
        <v>175</v>
      </c>
      <c r="Q48" s="152">
        <f t="shared" ref="Q48:Q49" si="1">H48/E48-1</f>
        <v>0.13306869175008651</v>
      </c>
    </row>
    <row r="49" spans="1:17">
      <c r="B49" s="209" t="s">
        <v>36</v>
      </c>
      <c r="C49" s="18" t="s">
        <v>34</v>
      </c>
      <c r="D49" s="21">
        <v>4466417.6739999996</v>
      </c>
      <c r="E49" s="150">
        <v>1.17</v>
      </c>
      <c r="F49" s="147">
        <f>ROUND(D49*E49,2)</f>
        <v>5225708.68</v>
      </c>
      <c r="G49" s="22"/>
      <c r="H49" s="150">
        <v>1.25</v>
      </c>
      <c r="I49" s="147">
        <f>ROUND(D49*H49,2)</f>
        <v>5583022.0899999999</v>
      </c>
      <c r="J49" s="147"/>
      <c r="K49" s="146">
        <f>I49-F49</f>
        <v>357313.41000000015</v>
      </c>
      <c r="L49" s="218"/>
      <c r="M49" s="276"/>
      <c r="N49" s="130"/>
      <c r="O49" s="277">
        <f>K57+K79-O47</f>
        <v>12.790024357847869</v>
      </c>
      <c r="Q49" s="152">
        <f t="shared" si="1"/>
        <v>6.8376068376068355E-2</v>
      </c>
    </row>
    <row r="50" spans="1:17">
      <c r="B50" s="209"/>
      <c r="C50" s="18"/>
      <c r="D50" s="22"/>
      <c r="E50" s="150"/>
      <c r="F50" s="135"/>
      <c r="G50" s="22"/>
      <c r="H50" s="112"/>
      <c r="I50" s="147"/>
      <c r="J50" s="147"/>
      <c r="K50" s="221"/>
      <c r="L50" s="218"/>
      <c r="M50" s="276"/>
      <c r="N50" s="130"/>
      <c r="O50" s="291"/>
      <c r="P50" s="25"/>
      <c r="Q50" s="292"/>
    </row>
    <row r="51" spans="1:17">
      <c r="B51" s="209" t="s">
        <v>37</v>
      </c>
      <c r="C51" s="18"/>
      <c r="D51" s="22"/>
      <c r="E51" s="150"/>
      <c r="F51" s="147"/>
      <c r="G51" s="22"/>
      <c r="H51" s="112"/>
      <c r="I51" s="147"/>
      <c r="J51" s="147"/>
      <c r="K51" s="221"/>
      <c r="L51" s="218"/>
      <c r="M51" s="276"/>
      <c r="N51" s="130"/>
      <c r="O51" s="160">
        <v>0.13305</v>
      </c>
      <c r="P51" s="25"/>
      <c r="Q51" s="23"/>
    </row>
    <row r="52" spans="1:17">
      <c r="B52" s="209" t="s">
        <v>38</v>
      </c>
      <c r="C52" s="18" t="s">
        <v>30</v>
      </c>
      <c r="D52" s="21">
        <v>13387853.839</v>
      </c>
      <c r="E52" s="154">
        <v>0.12876000000000001</v>
      </c>
      <c r="F52" s="146" t="s">
        <v>39</v>
      </c>
      <c r="G52" s="22"/>
      <c r="H52" s="155">
        <f>H53</f>
        <v>0.14588999999999999</v>
      </c>
      <c r="I52" s="146" t="s">
        <v>39</v>
      </c>
      <c r="J52" s="146"/>
      <c r="K52" s="146"/>
      <c r="L52" s="163"/>
      <c r="M52" s="276"/>
      <c r="N52" s="152"/>
      <c r="P52" s="4"/>
      <c r="Q52" s="152">
        <f>H52/E52-1</f>
        <v>0.13303821062441723</v>
      </c>
    </row>
    <row r="53" spans="1:17">
      <c r="B53" s="209" t="s">
        <v>40</v>
      </c>
      <c r="C53" s="18" t="s">
        <v>30</v>
      </c>
      <c r="D53" s="21">
        <v>29572063.337000005</v>
      </c>
      <c r="E53" s="154">
        <v>0.12876000000000001</v>
      </c>
      <c r="F53" s="146">
        <f>ROUND(D53*E53,2)</f>
        <v>3807698.88</v>
      </c>
      <c r="G53" s="22"/>
      <c r="H53" s="155">
        <f>ROUND(E53*(1+$O$51),5)</f>
        <v>0.14588999999999999</v>
      </c>
      <c r="I53" s="146">
        <f>ROUND(D53*H53,2)</f>
        <v>4314268.32</v>
      </c>
      <c r="J53" s="146"/>
      <c r="K53" s="146">
        <f>I53-F53</f>
        <v>506569.44000000041</v>
      </c>
      <c r="L53" s="163"/>
      <c r="M53" s="276"/>
      <c r="N53" s="152"/>
      <c r="O53" s="293"/>
      <c r="P53" s="4"/>
      <c r="Q53" s="152">
        <f>H53/E53-1</f>
        <v>0.13303821062441723</v>
      </c>
    </row>
    <row r="54" spans="1:17">
      <c r="B54" s="209" t="s">
        <v>41</v>
      </c>
      <c r="C54" s="18" t="s">
        <v>30</v>
      </c>
      <c r="D54" s="21">
        <v>22537947.381999999</v>
      </c>
      <c r="E54" s="154">
        <v>0.10364</v>
      </c>
      <c r="F54" s="146">
        <f>ROUND(D54*E54,2)</f>
        <v>2335832.87</v>
      </c>
      <c r="G54" s="22"/>
      <c r="H54" s="155">
        <f>ROUND(E54*(1+$O$51),5)</f>
        <v>0.11743000000000001</v>
      </c>
      <c r="I54" s="146">
        <f>ROUND(D54*H54,2)</f>
        <v>2646631.16</v>
      </c>
      <c r="J54" s="146"/>
      <c r="K54" s="146">
        <f>I54-F54</f>
        <v>310798.29000000004</v>
      </c>
      <c r="L54" s="163"/>
      <c r="M54" s="276"/>
      <c r="N54" s="152"/>
      <c r="O54" s="183"/>
      <c r="P54" s="4"/>
      <c r="Q54" s="152">
        <f>H54/E54-1</f>
        <v>0.1330567348514089</v>
      </c>
    </row>
    <row r="55" spans="1:17" s="25" customFormat="1">
      <c r="A55" s="24"/>
      <c r="B55" s="231" t="s">
        <v>42</v>
      </c>
      <c r="C55" s="133"/>
      <c r="D55" s="87">
        <f>SUM(D52:D54)</f>
        <v>65497864.558000006</v>
      </c>
      <c r="E55" s="294"/>
      <c r="F55" s="147"/>
      <c r="G55" s="22"/>
      <c r="H55" s="22"/>
      <c r="I55" s="24"/>
      <c r="J55" s="24"/>
      <c r="K55" s="24"/>
      <c r="L55" s="200"/>
      <c r="M55" s="174"/>
      <c r="N55" s="295"/>
      <c r="O55" s="24"/>
      <c r="Q55" s="152"/>
    </row>
    <row r="56" spans="1:17" s="25" customFormat="1">
      <c r="A56" s="24"/>
      <c r="B56" s="231" t="s">
        <v>33</v>
      </c>
      <c r="C56" s="18" t="s">
        <v>30</v>
      </c>
      <c r="D56" s="22">
        <f>D55</f>
        <v>65497864.558000006</v>
      </c>
      <c r="E56" s="296">
        <v>6.0899999999999999E-3</v>
      </c>
      <c r="F56" s="147">
        <f>D56*E56</f>
        <v>398881.99515822006</v>
      </c>
      <c r="G56" s="22"/>
      <c r="H56" s="155">
        <f>ROUND(E56*(1+$O$51),5)</f>
        <v>6.8999999999999999E-3</v>
      </c>
      <c r="I56" s="147">
        <f>D56*H56</f>
        <v>451935.26545020001</v>
      </c>
      <c r="J56" s="147"/>
      <c r="K56" s="146">
        <f>I56-F56</f>
        <v>53053.270291979949</v>
      </c>
      <c r="L56" s="163"/>
      <c r="M56" s="174"/>
      <c r="N56" s="295"/>
      <c r="O56" s="24"/>
      <c r="Q56" s="152">
        <f>H56/E56-1</f>
        <v>0.13300492610837433</v>
      </c>
    </row>
    <row r="57" spans="1:17">
      <c r="B57" s="132" t="s">
        <v>178</v>
      </c>
      <c r="C57" s="133"/>
      <c r="D57" s="87"/>
      <c r="E57" s="294"/>
      <c r="F57" s="164">
        <f>SUM(F47:F56)</f>
        <v>15320217.594232379</v>
      </c>
      <c r="G57" s="22"/>
      <c r="H57" s="22"/>
      <c r="I57" s="164">
        <f>SUM(I47:I49,I53:I56)</f>
        <v>16905702.045450199</v>
      </c>
      <c r="J57" s="147"/>
      <c r="K57" s="164">
        <f>SUM(K47:K56)</f>
        <v>1585484.4512178223</v>
      </c>
      <c r="L57" s="206">
        <f>ROUND(K57/F57,5)</f>
        <v>0.10349</v>
      </c>
      <c r="M57" s="276"/>
      <c r="N57" s="152"/>
      <c r="O57" s="166"/>
      <c r="P57" s="1"/>
      <c r="Q57" s="167"/>
    </row>
    <row r="58" spans="1:17">
      <c r="B58" s="231"/>
      <c r="C58" s="133"/>
      <c r="D58" s="22"/>
      <c r="E58" s="297"/>
      <c r="F58" s="146"/>
      <c r="G58" s="22"/>
      <c r="H58" s="22"/>
      <c r="I58" s="147"/>
      <c r="J58" s="147"/>
      <c r="K58" s="146"/>
      <c r="L58" s="163"/>
      <c r="M58" s="276"/>
      <c r="N58" s="152"/>
      <c r="O58" s="298"/>
      <c r="P58" s="1"/>
      <c r="Q58" s="167"/>
    </row>
    <row r="59" spans="1:17">
      <c r="B59" s="145" t="s">
        <v>176</v>
      </c>
      <c r="C59" s="133"/>
      <c r="D59" s="24"/>
      <c r="E59" s="297"/>
      <c r="F59" s="146"/>
      <c r="G59" s="22"/>
      <c r="H59" s="22"/>
      <c r="I59" s="147"/>
      <c r="J59" s="147"/>
      <c r="K59" s="146"/>
      <c r="L59" s="163"/>
      <c r="M59" s="276"/>
      <c r="N59" s="152"/>
      <c r="O59" s="25"/>
      <c r="P59" s="25"/>
      <c r="Q59" s="23"/>
    </row>
    <row r="60" spans="1:17">
      <c r="B60" s="209" t="s">
        <v>195</v>
      </c>
      <c r="C60" s="18" t="s">
        <v>30</v>
      </c>
      <c r="D60" s="22">
        <f>D55</f>
        <v>65497864.558000006</v>
      </c>
      <c r="E60" s="154">
        <v>0.2271</v>
      </c>
      <c r="F60" s="146">
        <f>E60*D60</f>
        <v>14874565.041121801</v>
      </c>
      <c r="G60" s="24"/>
      <c r="H60" s="173">
        <f>E60</f>
        <v>0.2271</v>
      </c>
      <c r="I60" s="146">
        <f>H60*D60</f>
        <v>14874565.041121801</v>
      </c>
      <c r="J60" s="146"/>
      <c r="K60" s="146">
        <f>I60-F60</f>
        <v>0</v>
      </c>
      <c r="L60" s="163"/>
      <c r="M60" s="276"/>
      <c r="N60" s="18"/>
      <c r="O60" s="25"/>
      <c r="P60" s="299"/>
      <c r="Q60" s="23"/>
    </row>
    <row r="61" spans="1:17">
      <c r="B61" s="209" t="s">
        <v>36</v>
      </c>
      <c r="C61" s="18" t="s">
        <v>34</v>
      </c>
      <c r="D61" s="22">
        <f>D49</f>
        <v>4466417.6739999996</v>
      </c>
      <c r="E61" s="150">
        <v>1.05</v>
      </c>
      <c r="F61" s="146">
        <f>E61*D61</f>
        <v>4689738.5576999998</v>
      </c>
      <c r="G61" s="24"/>
      <c r="H61" s="175">
        <f>E61</f>
        <v>1.05</v>
      </c>
      <c r="I61" s="146">
        <f>H61*D61</f>
        <v>4689738.5576999998</v>
      </c>
      <c r="J61" s="146"/>
      <c r="K61" s="146">
        <f>I61-F61</f>
        <v>0</v>
      </c>
      <c r="L61" s="163"/>
      <c r="M61" s="276"/>
      <c r="N61" s="152"/>
      <c r="O61" s="298"/>
      <c r="P61" s="1"/>
      <c r="Q61" s="23"/>
    </row>
    <row r="62" spans="1:17">
      <c r="B62" s="132" t="s">
        <v>196</v>
      </c>
      <c r="C62" s="133"/>
      <c r="D62" s="24"/>
      <c r="E62" s="14"/>
      <c r="F62" s="164">
        <f>SUM(F60:F61)</f>
        <v>19564303.5988218</v>
      </c>
      <c r="G62" s="24"/>
      <c r="H62" s="112"/>
      <c r="I62" s="164">
        <f>SUM(I60:I61)</f>
        <v>19564303.5988218</v>
      </c>
      <c r="J62" s="146"/>
      <c r="K62" s="164">
        <f>SUM(K60:K61)</f>
        <v>0</v>
      </c>
      <c r="L62" s="206">
        <f>ROUND(K62/F62,5)</f>
        <v>0</v>
      </c>
      <c r="M62" s="276"/>
      <c r="N62" s="152"/>
      <c r="O62" s="24"/>
      <c r="P62" s="25"/>
      <c r="Q62" s="292"/>
    </row>
    <row r="63" spans="1:17">
      <c r="B63" s="209"/>
      <c r="C63" s="18"/>
      <c r="D63" s="24"/>
      <c r="E63" s="18"/>
      <c r="F63" s="146"/>
      <c r="G63" s="24"/>
      <c r="H63" s="24"/>
      <c r="I63" s="147"/>
      <c r="J63" s="147"/>
      <c r="K63" s="146"/>
      <c r="L63" s="163"/>
      <c r="M63" s="276"/>
      <c r="N63" s="152"/>
      <c r="O63" s="183"/>
      <c r="P63" s="25"/>
      <c r="Q63" s="23"/>
    </row>
    <row r="64" spans="1:17">
      <c r="B64" s="231" t="s">
        <v>177</v>
      </c>
      <c r="C64" s="133"/>
      <c r="D64" s="24"/>
      <c r="E64" s="22"/>
      <c r="F64" s="164">
        <f>+F62+F57</f>
        <v>34884521.193054177</v>
      </c>
      <c r="G64" s="22"/>
      <c r="H64" s="22"/>
      <c r="I64" s="164">
        <f>+I62+I57</f>
        <v>36470005.644272</v>
      </c>
      <c r="J64" s="147"/>
      <c r="K64" s="164">
        <f>K62+K57</f>
        <v>1585484.4512178223</v>
      </c>
      <c r="L64" s="206">
        <f>ROUND(K64/F64,5)</f>
        <v>4.5449999999999997E-2</v>
      </c>
      <c r="M64" s="276"/>
      <c r="N64" s="152"/>
      <c r="O64" s="24"/>
      <c r="P64" s="25"/>
      <c r="Q64" s="292"/>
    </row>
    <row r="65" spans="1:17" s="25" customFormat="1">
      <c r="B65" s="300"/>
      <c r="C65" s="286"/>
      <c r="D65" s="286"/>
      <c r="E65" s="286"/>
      <c r="F65" s="199"/>
      <c r="G65" s="286"/>
      <c r="H65" s="286"/>
      <c r="I65" s="287"/>
      <c r="J65" s="287"/>
      <c r="K65" s="199"/>
      <c r="L65" s="205"/>
      <c r="M65" s="174"/>
      <c r="N65" s="295"/>
      <c r="O65" s="24"/>
      <c r="Q65" s="292"/>
    </row>
    <row r="66" spans="1:17" s="25" customFormat="1">
      <c r="A66" s="24"/>
      <c r="B66" s="24"/>
      <c r="C66" s="24"/>
      <c r="D66" s="24"/>
      <c r="E66" s="24"/>
      <c r="F66" s="183"/>
      <c r="G66" s="24"/>
      <c r="H66" s="24"/>
      <c r="I66" s="223"/>
      <c r="J66" s="223"/>
      <c r="K66" s="183"/>
      <c r="L66" s="2"/>
      <c r="M66" s="174"/>
      <c r="N66" s="295"/>
      <c r="O66" s="24"/>
      <c r="Q66" s="292"/>
    </row>
    <row r="67" spans="1:17" s="25" customFormat="1">
      <c r="A67" s="24"/>
      <c r="B67" s="196" t="s">
        <v>197</v>
      </c>
      <c r="C67" s="138"/>
      <c r="D67" s="275"/>
      <c r="E67" s="274"/>
      <c r="F67" s="140"/>
      <c r="G67" s="275"/>
      <c r="H67" s="275"/>
      <c r="I67" s="140"/>
      <c r="J67" s="140"/>
      <c r="K67" s="140"/>
      <c r="L67" s="206"/>
      <c r="M67" s="174"/>
      <c r="N67" s="295"/>
      <c r="O67" s="24"/>
      <c r="Q67" s="292"/>
    </row>
    <row r="68" spans="1:17" s="25" customFormat="1">
      <c r="A68" s="24"/>
      <c r="B68" s="209"/>
      <c r="C68" s="18"/>
      <c r="D68" s="24"/>
      <c r="E68" s="24"/>
      <c r="F68" s="146"/>
      <c r="G68" s="134"/>
      <c r="H68" s="24"/>
      <c r="I68" s="146"/>
      <c r="J68" s="146"/>
      <c r="K68" s="146"/>
      <c r="L68" s="163"/>
      <c r="M68" s="174"/>
      <c r="N68" s="295"/>
      <c r="O68" s="24"/>
    </row>
    <row r="69" spans="1:17" s="25" customFormat="1">
      <c r="A69" s="24"/>
      <c r="B69" s="231" t="s">
        <v>27</v>
      </c>
      <c r="C69" s="187" t="s">
        <v>28</v>
      </c>
      <c r="D69" s="21">
        <v>1233.3356387208999</v>
      </c>
      <c r="E69" s="150">
        <v>410.51</v>
      </c>
      <c r="F69" s="146">
        <f>ROUND(D69*E69,2)</f>
        <v>506296.61</v>
      </c>
      <c r="G69" s="22"/>
      <c r="H69" s="150">
        <v>422.79</v>
      </c>
      <c r="I69" s="146">
        <f>ROUND(D69*H69,2)</f>
        <v>521441.97</v>
      </c>
      <c r="J69" s="146"/>
      <c r="K69" s="146">
        <f>I69-F69</f>
        <v>15145.359999999986</v>
      </c>
      <c r="L69" s="163"/>
      <c r="M69" s="174"/>
      <c r="N69" s="295"/>
      <c r="O69" s="187"/>
      <c r="Q69" s="152">
        <f>H69/E69-1</f>
        <v>2.991400940293798E-2</v>
      </c>
    </row>
    <row r="70" spans="1:17" s="25" customFormat="1">
      <c r="A70" s="24"/>
      <c r="B70" s="209" t="s">
        <v>35</v>
      </c>
      <c r="C70" s="187" t="s">
        <v>28</v>
      </c>
      <c r="D70" s="22">
        <f>D69</f>
        <v>1233.3356387208999</v>
      </c>
      <c r="E70" s="150">
        <v>115.88</v>
      </c>
      <c r="F70" s="147">
        <f>D70*E70</f>
        <v>142918.93381497788</v>
      </c>
      <c r="G70" s="22"/>
      <c r="H70" s="112">
        <f>H48</f>
        <v>131.30000000000001</v>
      </c>
      <c r="I70" s="147">
        <f>ROUND(D70*H70,2)</f>
        <v>161936.97</v>
      </c>
      <c r="J70" s="147"/>
      <c r="K70" s="146">
        <f>I70-F70</f>
        <v>19018.036185022123</v>
      </c>
      <c r="L70" s="218"/>
      <c r="M70" s="174"/>
      <c r="N70" s="295"/>
      <c r="O70" s="24"/>
      <c r="Q70" s="152">
        <f t="shared" ref="Q70:Q71" si="2">H70/E70-1</f>
        <v>0.13306869175008651</v>
      </c>
    </row>
    <row r="71" spans="1:17" s="25" customFormat="1">
      <c r="A71" s="24"/>
      <c r="B71" s="209" t="s">
        <v>36</v>
      </c>
      <c r="C71" s="18" t="s">
        <v>34</v>
      </c>
      <c r="D71" s="21">
        <v>1160980.7009999999</v>
      </c>
      <c r="E71" s="150">
        <v>1.17</v>
      </c>
      <c r="F71" s="147">
        <f>ROUND(D71*E71,2)</f>
        <v>1358347.42</v>
      </c>
      <c r="G71" s="22"/>
      <c r="H71" s="112">
        <f>H49</f>
        <v>1.25</v>
      </c>
      <c r="I71" s="147">
        <f>ROUND(D71*H71,2)</f>
        <v>1451225.88</v>
      </c>
      <c r="J71" s="24"/>
      <c r="K71" s="146">
        <f>I71-F71</f>
        <v>92878.459999999963</v>
      </c>
      <c r="L71" s="218"/>
      <c r="M71" s="174"/>
      <c r="N71" s="295"/>
      <c r="O71" s="24"/>
      <c r="Q71" s="152">
        <f t="shared" si="2"/>
        <v>6.8376068376068355E-2</v>
      </c>
    </row>
    <row r="72" spans="1:17" s="25" customFormat="1">
      <c r="A72" s="24"/>
      <c r="B72" s="209"/>
      <c r="C72" s="18"/>
      <c r="D72" s="22"/>
      <c r="E72" s="150"/>
      <c r="F72" s="147"/>
      <c r="G72" s="22"/>
      <c r="H72" s="112"/>
      <c r="I72" s="147"/>
      <c r="J72" s="147"/>
      <c r="K72" s="221"/>
      <c r="L72" s="218"/>
      <c r="M72" s="174"/>
      <c r="N72" s="295"/>
      <c r="O72" s="24"/>
      <c r="Q72" s="292"/>
    </row>
    <row r="73" spans="1:17" s="25" customFormat="1">
      <c r="A73" s="24"/>
      <c r="B73" s="209" t="s">
        <v>37</v>
      </c>
      <c r="C73" s="18"/>
      <c r="D73" s="22"/>
      <c r="E73" s="150"/>
      <c r="F73" s="146"/>
      <c r="G73" s="22"/>
      <c r="H73" s="112"/>
      <c r="I73" s="147"/>
      <c r="J73" s="147"/>
      <c r="K73" s="221"/>
      <c r="L73" s="218"/>
      <c r="M73" s="174"/>
      <c r="N73" s="295"/>
      <c r="O73" s="24"/>
      <c r="Q73" s="292"/>
    </row>
    <row r="74" spans="1:17" s="25" customFormat="1">
      <c r="A74" s="24"/>
      <c r="B74" s="209" t="s">
        <v>38</v>
      </c>
      <c r="C74" s="18" t="s">
        <v>30</v>
      </c>
      <c r="D74" s="21">
        <v>1129776.96</v>
      </c>
      <c r="E74" s="154">
        <v>0.12876000000000001</v>
      </c>
      <c r="F74" s="146" t="s">
        <v>39</v>
      </c>
      <c r="G74" s="22"/>
      <c r="H74" s="155">
        <f>H52</f>
        <v>0.14588999999999999</v>
      </c>
      <c r="I74" s="146" t="s">
        <v>39</v>
      </c>
      <c r="J74" s="146"/>
      <c r="K74" s="146"/>
      <c r="L74" s="163"/>
      <c r="M74" s="174"/>
      <c r="N74" s="295"/>
      <c r="O74" s="24"/>
      <c r="Q74" s="152">
        <f>H74/E74-1</f>
        <v>0.13303821062441723</v>
      </c>
    </row>
    <row r="75" spans="1:17" s="25" customFormat="1">
      <c r="A75" s="24"/>
      <c r="B75" s="209" t="s">
        <v>40</v>
      </c>
      <c r="C75" s="18" t="s">
        <v>30</v>
      </c>
      <c r="D75" s="21">
        <v>4274079.3400000008</v>
      </c>
      <c r="E75" s="154">
        <v>0.12876000000000001</v>
      </c>
      <c r="F75" s="146">
        <f>D75*E75</f>
        <v>550330.45581840014</v>
      </c>
      <c r="G75" s="22"/>
      <c r="H75" s="155">
        <f>H53</f>
        <v>0.14588999999999999</v>
      </c>
      <c r="I75" s="146">
        <f>H75*D75</f>
        <v>623545.43491260009</v>
      </c>
      <c r="J75" s="146"/>
      <c r="K75" s="146">
        <f>I75-F75</f>
        <v>73214.979094199953</v>
      </c>
      <c r="L75" s="163"/>
      <c r="M75" s="174"/>
      <c r="N75" s="295"/>
      <c r="O75" s="24"/>
      <c r="Q75" s="152">
        <f t="shared" ref="Q75:Q76" si="3">H75/E75-1</f>
        <v>0.13303821062441723</v>
      </c>
    </row>
    <row r="76" spans="1:17" s="25" customFormat="1">
      <c r="A76" s="24"/>
      <c r="B76" s="209" t="s">
        <v>41</v>
      </c>
      <c r="C76" s="18" t="s">
        <v>30</v>
      </c>
      <c r="D76" s="21">
        <v>15213158.119999997</v>
      </c>
      <c r="E76" s="154">
        <v>0.10364</v>
      </c>
      <c r="F76" s="146">
        <f>D76*E76</f>
        <v>1576691.7075567998</v>
      </c>
      <c r="G76" s="22"/>
      <c r="H76" s="155">
        <f>H54</f>
        <v>0.11743000000000001</v>
      </c>
      <c r="I76" s="146">
        <f>H76*D76</f>
        <v>1786481.1580315998</v>
      </c>
      <c r="J76" s="146"/>
      <c r="K76" s="146">
        <f>I76-F76</f>
        <v>209789.45047480008</v>
      </c>
      <c r="L76" s="163"/>
      <c r="M76" s="174"/>
      <c r="N76" s="295"/>
      <c r="O76" s="24"/>
      <c r="Q76" s="152">
        <f t="shared" si="3"/>
        <v>0.1330567348514089</v>
      </c>
    </row>
    <row r="77" spans="1:17" s="25" customFormat="1">
      <c r="A77" s="24"/>
      <c r="B77" s="231" t="s">
        <v>42</v>
      </c>
      <c r="C77" s="133"/>
      <c r="D77" s="87">
        <f>SUM(D74:D76)</f>
        <v>20617014.419999998</v>
      </c>
      <c r="E77" s="294"/>
      <c r="F77" s="147"/>
      <c r="G77" s="22"/>
      <c r="H77" s="22"/>
      <c r="I77" s="24"/>
      <c r="J77" s="24"/>
      <c r="K77" s="24"/>
      <c r="L77" s="200"/>
      <c r="M77" s="174"/>
      <c r="N77" s="295"/>
      <c r="O77" s="24"/>
      <c r="Q77" s="152"/>
    </row>
    <row r="78" spans="1:17" s="25" customFormat="1">
      <c r="A78" s="24"/>
      <c r="B78" s="231" t="s">
        <v>33</v>
      </c>
      <c r="C78" s="18" t="s">
        <v>30</v>
      </c>
      <c r="D78" s="22">
        <f>D77</f>
        <v>20617014.419999998</v>
      </c>
      <c r="E78" s="191">
        <v>0</v>
      </c>
      <c r="F78" s="147">
        <f>D78*E78</f>
        <v>0</v>
      </c>
      <c r="G78" s="22"/>
      <c r="H78" s="191">
        <v>0</v>
      </c>
      <c r="I78" s="147">
        <f>D78*H78</f>
        <v>0</v>
      </c>
      <c r="J78" s="147"/>
      <c r="K78" s="146">
        <f>I78-F78</f>
        <v>0</v>
      </c>
      <c r="L78" s="163"/>
      <c r="M78" s="174"/>
      <c r="N78" s="295"/>
      <c r="O78" s="24"/>
      <c r="Q78" s="292"/>
    </row>
    <row r="79" spans="1:17" s="25" customFormat="1">
      <c r="A79" s="24"/>
      <c r="B79" s="132" t="s">
        <v>178</v>
      </c>
      <c r="C79" s="133"/>
      <c r="D79" s="22"/>
      <c r="E79" s="294"/>
      <c r="F79" s="164">
        <f>SUM(F69:F78)</f>
        <v>4134585.1271901773</v>
      </c>
      <c r="G79" s="22"/>
      <c r="H79" s="22"/>
      <c r="I79" s="164">
        <f>SUM(I69:I78)</f>
        <v>4544631.4129441995</v>
      </c>
      <c r="J79" s="147"/>
      <c r="K79" s="164">
        <f>SUM(K69:K78)</f>
        <v>410046.28575402207</v>
      </c>
      <c r="L79" s="206">
        <f>ROUND(K79/F79,5)</f>
        <v>9.9169999999999994E-2</v>
      </c>
      <c r="M79" s="174"/>
      <c r="N79" s="295"/>
      <c r="O79" s="24"/>
      <c r="Q79" s="292"/>
    </row>
    <row r="80" spans="1:17" s="25" customFormat="1">
      <c r="A80" s="24"/>
      <c r="B80" s="231"/>
      <c r="C80" s="133"/>
      <c r="D80" s="22"/>
      <c r="E80" s="294"/>
      <c r="F80" s="147"/>
      <c r="G80" s="22"/>
      <c r="H80" s="22"/>
      <c r="I80" s="147"/>
      <c r="J80" s="147"/>
      <c r="K80" s="146"/>
      <c r="L80" s="163"/>
      <c r="M80" s="174"/>
      <c r="N80" s="295"/>
      <c r="O80" s="301"/>
      <c r="P80" s="18"/>
      <c r="Q80" s="152"/>
    </row>
    <row r="81" spans="1:17" s="25" customFormat="1">
      <c r="A81" s="24"/>
      <c r="B81" s="209" t="s">
        <v>191</v>
      </c>
      <c r="C81" s="18" t="s">
        <v>30</v>
      </c>
      <c r="D81" s="22">
        <f>D77</f>
        <v>20617014.419999998</v>
      </c>
      <c r="E81" s="154">
        <v>6.9999999999999999E-4</v>
      </c>
      <c r="F81" s="146">
        <f>E81*D81</f>
        <v>14431.910093999999</v>
      </c>
      <c r="G81" s="24"/>
      <c r="H81" s="191">
        <v>1E-3</v>
      </c>
      <c r="I81" s="146">
        <f>H81*D81</f>
        <v>20617.01442</v>
      </c>
      <c r="J81" s="146"/>
      <c r="K81" s="146">
        <f>I81-F81</f>
        <v>6185.1043260000006</v>
      </c>
      <c r="L81" s="163"/>
      <c r="M81" s="174"/>
      <c r="N81" s="295"/>
      <c r="O81" s="146"/>
      <c r="P81" s="18"/>
      <c r="Q81" s="189"/>
    </row>
    <row r="82" spans="1:17" s="25" customFormat="1">
      <c r="A82" s="24"/>
      <c r="B82" s="209" t="s">
        <v>177</v>
      </c>
      <c r="C82" s="18"/>
      <c r="D82" s="22"/>
      <c r="E82" s="155"/>
      <c r="F82" s="164">
        <f>F79+F81</f>
        <v>4149017.0372841773</v>
      </c>
      <c r="G82" s="24"/>
      <c r="H82" s="112"/>
      <c r="I82" s="164">
        <f>I79+SUM(I81:I81)</f>
        <v>4565248.4273641994</v>
      </c>
      <c r="J82" s="146"/>
      <c r="K82" s="164">
        <f>K79+SUM(K81:K81)</f>
        <v>416231.39008002204</v>
      </c>
      <c r="L82" s="206">
        <f>ROUND(K82/F82,5)</f>
        <v>0.10032000000000001</v>
      </c>
      <c r="M82" s="174"/>
      <c r="N82" s="295"/>
      <c r="O82" s="183"/>
      <c r="P82" s="18"/>
      <c r="Q82" s="189"/>
    </row>
    <row r="83" spans="1:17" s="25" customFormat="1">
      <c r="A83" s="24"/>
      <c r="B83" s="300"/>
      <c r="C83" s="286"/>
      <c r="D83" s="286"/>
      <c r="E83" s="286"/>
      <c r="F83" s="199"/>
      <c r="G83" s="286"/>
      <c r="H83" s="286"/>
      <c r="I83" s="287"/>
      <c r="J83" s="287"/>
      <c r="K83" s="199"/>
      <c r="L83" s="205"/>
      <c r="M83" s="174"/>
      <c r="N83" s="295"/>
      <c r="O83" s="301"/>
      <c r="P83" s="18"/>
      <c r="Q83" s="189"/>
    </row>
    <row r="84" spans="1:17" s="25" customFormat="1">
      <c r="A84" s="24"/>
      <c r="B84" s="24"/>
      <c r="C84" s="24"/>
      <c r="D84" s="24"/>
      <c r="E84" s="24"/>
      <c r="F84" s="183"/>
      <c r="G84" s="24"/>
      <c r="H84" s="24"/>
      <c r="I84" s="223"/>
      <c r="J84" s="223"/>
      <c r="K84" s="183"/>
      <c r="L84" s="2"/>
      <c r="M84" s="174"/>
      <c r="N84" s="295"/>
      <c r="O84" s="301"/>
      <c r="P84" s="18"/>
      <c r="Q84" s="189"/>
    </row>
    <row r="85" spans="1:17" s="25" customFormat="1">
      <c r="A85" s="24"/>
      <c r="B85" s="196" t="s">
        <v>198</v>
      </c>
      <c r="C85" s="138"/>
      <c r="D85" s="275"/>
      <c r="E85" s="274"/>
      <c r="F85" s="140"/>
      <c r="G85" s="275"/>
      <c r="H85" s="275"/>
      <c r="I85" s="140"/>
      <c r="J85" s="140"/>
      <c r="K85" s="140"/>
      <c r="L85" s="206"/>
      <c r="M85" s="174"/>
      <c r="N85" s="295"/>
      <c r="O85" s="301"/>
      <c r="P85" s="18"/>
      <c r="Q85" s="189"/>
    </row>
    <row r="86" spans="1:17" s="25" customFormat="1">
      <c r="A86" s="24"/>
      <c r="B86" s="145"/>
      <c r="C86" s="18"/>
      <c r="D86" s="24"/>
      <c r="E86" s="24"/>
      <c r="F86" s="146"/>
      <c r="G86" s="134"/>
      <c r="H86" s="24"/>
      <c r="I86" s="146"/>
      <c r="J86" s="146"/>
      <c r="K86" s="146"/>
      <c r="L86" s="163"/>
      <c r="M86" s="174"/>
      <c r="N86" s="295"/>
      <c r="O86" s="301"/>
      <c r="P86" s="18"/>
      <c r="Q86" s="189"/>
    </row>
    <row r="87" spans="1:17" s="25" customFormat="1">
      <c r="A87" s="24"/>
      <c r="B87" s="231" t="s">
        <v>27</v>
      </c>
      <c r="C87" s="187" t="s">
        <v>28</v>
      </c>
      <c r="D87" s="22">
        <f>D69+D47</f>
        <v>17211.452562039489</v>
      </c>
      <c r="E87" s="192"/>
      <c r="F87" s="146">
        <f>F69+F47</f>
        <v>2206847.59</v>
      </c>
      <c r="G87" s="22"/>
      <c r="H87" s="192"/>
      <c r="I87" s="146">
        <f>I69+I47</f>
        <v>2333360.4299999997</v>
      </c>
      <c r="J87" s="146"/>
      <c r="K87" s="146">
        <f>K69+K47</f>
        <v>126512.83999999997</v>
      </c>
      <c r="L87" s="163"/>
      <c r="M87" s="174"/>
      <c r="N87" s="295"/>
      <c r="O87" s="301"/>
      <c r="P87" s="18"/>
      <c r="Q87" s="189"/>
    </row>
    <row r="88" spans="1:17" s="25" customFormat="1">
      <c r="A88" s="24"/>
      <c r="B88" s="209" t="s">
        <v>35</v>
      </c>
      <c r="C88" s="187" t="s">
        <v>28</v>
      </c>
      <c r="D88" s="22">
        <f>D87</f>
        <v>17211.452562039489</v>
      </c>
      <c r="E88" s="192"/>
      <c r="F88" s="146">
        <f>F70+F48</f>
        <v>1994463.122889136</v>
      </c>
      <c r="G88" s="22"/>
      <c r="H88" s="112"/>
      <c r="I88" s="146">
        <f>I70+I48</f>
        <v>2259863.7200000002</v>
      </c>
      <c r="J88" s="147"/>
      <c r="K88" s="146">
        <f>K70+K48</f>
        <v>265400.59711086389</v>
      </c>
      <c r="L88" s="218"/>
      <c r="M88" s="174"/>
      <c r="N88" s="295"/>
      <c r="O88" s="301"/>
      <c r="P88" s="18"/>
      <c r="Q88" s="189"/>
    </row>
    <row r="89" spans="1:17" s="25" customFormat="1">
      <c r="A89" s="24"/>
      <c r="B89" s="145" t="s">
        <v>36</v>
      </c>
      <c r="C89" s="18" t="s">
        <v>34</v>
      </c>
      <c r="D89" s="22">
        <f>D71+D49</f>
        <v>5627398.375</v>
      </c>
      <c r="E89" s="192"/>
      <c r="F89" s="146">
        <f>F71+F49</f>
        <v>6584056.0999999996</v>
      </c>
      <c r="G89" s="22"/>
      <c r="H89" s="192"/>
      <c r="I89" s="146">
        <f>I71+I49</f>
        <v>7034247.9699999997</v>
      </c>
      <c r="J89" s="147"/>
      <c r="K89" s="146">
        <f>K71+K49</f>
        <v>450191.87000000011</v>
      </c>
      <c r="L89" s="218"/>
      <c r="M89" s="174"/>
      <c r="N89" s="295"/>
      <c r="O89" s="301"/>
      <c r="P89" s="18"/>
      <c r="Q89" s="189"/>
    </row>
    <row r="90" spans="1:17" s="25" customFormat="1">
      <c r="A90" s="24"/>
      <c r="B90" s="145"/>
      <c r="C90" s="18"/>
      <c r="D90" s="22"/>
      <c r="E90" s="112"/>
      <c r="F90" s="147"/>
      <c r="G90" s="22"/>
      <c r="H90" s="112"/>
      <c r="I90" s="147"/>
      <c r="J90" s="147"/>
      <c r="K90" s="221"/>
      <c r="L90" s="218"/>
      <c r="M90" s="174"/>
      <c r="N90" s="295"/>
      <c r="O90" s="301"/>
      <c r="P90" s="18"/>
      <c r="Q90" s="189"/>
    </row>
    <row r="91" spans="1:17" s="25" customFormat="1">
      <c r="A91" s="24"/>
      <c r="B91" s="145" t="s">
        <v>37</v>
      </c>
      <c r="C91" s="18"/>
      <c r="D91" s="22"/>
      <c r="E91" s="112"/>
      <c r="F91" s="146"/>
      <c r="G91" s="22"/>
      <c r="H91" s="112"/>
      <c r="I91" s="147"/>
      <c r="J91" s="147"/>
      <c r="K91" s="221"/>
      <c r="L91" s="218"/>
      <c r="M91" s="174"/>
      <c r="N91" s="295"/>
      <c r="O91" s="301"/>
      <c r="P91" s="18"/>
      <c r="Q91" s="189"/>
    </row>
    <row r="92" spans="1:17" s="25" customFormat="1">
      <c r="A92" s="24"/>
      <c r="B92" s="209" t="s">
        <v>38</v>
      </c>
      <c r="C92" s="18" t="s">
        <v>30</v>
      </c>
      <c r="D92" s="22">
        <f>D74+D52</f>
        <v>14517630.798999999</v>
      </c>
      <c r="E92" s="157"/>
      <c r="F92" s="146" t="s">
        <v>39</v>
      </c>
      <c r="G92" s="22"/>
      <c r="H92" s="155"/>
      <c r="I92" s="146" t="s">
        <v>39</v>
      </c>
      <c r="J92" s="146"/>
      <c r="K92" s="146"/>
      <c r="L92" s="163"/>
      <c r="M92" s="174"/>
      <c r="N92" s="295"/>
      <c r="O92" s="301"/>
      <c r="P92" s="18"/>
      <c r="Q92" s="189"/>
    </row>
    <row r="93" spans="1:17" s="25" customFormat="1">
      <c r="A93" s="24"/>
      <c r="B93" s="209" t="s">
        <v>40</v>
      </c>
      <c r="C93" s="18" t="s">
        <v>30</v>
      </c>
      <c r="D93" s="22">
        <f>D75+D53</f>
        <v>33846142.677000009</v>
      </c>
      <c r="E93" s="157"/>
      <c r="F93" s="146">
        <f>F75+F53</f>
        <v>4358029.3358183997</v>
      </c>
      <c r="G93" s="22"/>
      <c r="H93" s="155"/>
      <c r="I93" s="146">
        <f>I75+I53</f>
        <v>4937813.7549125999</v>
      </c>
      <c r="J93" s="146"/>
      <c r="K93" s="146">
        <f>K75+K53</f>
        <v>579784.41909420036</v>
      </c>
      <c r="L93" s="163"/>
      <c r="M93" s="174"/>
      <c r="N93" s="295"/>
      <c r="O93" s="301"/>
      <c r="P93" s="18"/>
      <c r="Q93" s="189"/>
    </row>
    <row r="94" spans="1:17" s="25" customFormat="1">
      <c r="A94" s="24"/>
      <c r="B94" s="209" t="s">
        <v>41</v>
      </c>
      <c r="C94" s="18" t="s">
        <v>30</v>
      </c>
      <c r="D94" s="86">
        <f>D76+D54</f>
        <v>37751105.501999997</v>
      </c>
      <c r="E94" s="157"/>
      <c r="F94" s="146">
        <f>F76+F54</f>
        <v>3912524.5775568001</v>
      </c>
      <c r="G94" s="22"/>
      <c r="H94" s="155"/>
      <c r="I94" s="146">
        <f>I76+I54</f>
        <v>4433112.3180315997</v>
      </c>
      <c r="J94" s="146"/>
      <c r="K94" s="146">
        <f>K76+K54</f>
        <v>520587.74047480011</v>
      </c>
      <c r="L94" s="163"/>
      <c r="M94" s="174"/>
      <c r="N94" s="295"/>
      <c r="O94" s="301"/>
      <c r="P94" s="18"/>
      <c r="Q94" s="189"/>
    </row>
    <row r="95" spans="1:17" s="25" customFormat="1">
      <c r="A95" s="24"/>
      <c r="B95" s="132" t="s">
        <v>42</v>
      </c>
      <c r="C95" s="133"/>
      <c r="D95" s="87">
        <f>SUM(D92:D94)</f>
        <v>86114878.978000015</v>
      </c>
      <c r="E95" s="20"/>
      <c r="F95" s="147"/>
      <c r="G95" s="22"/>
      <c r="H95" s="22"/>
      <c r="I95" s="24"/>
      <c r="J95" s="24"/>
      <c r="K95" s="24"/>
      <c r="L95" s="200"/>
      <c r="M95" s="174"/>
      <c r="N95" s="295"/>
      <c r="O95" s="301"/>
      <c r="P95" s="18"/>
      <c r="Q95" s="189"/>
    </row>
    <row r="96" spans="1:17" s="25" customFormat="1">
      <c r="A96" s="24"/>
      <c r="B96" s="231" t="s">
        <v>33</v>
      </c>
      <c r="C96" s="18" t="s">
        <v>30</v>
      </c>
      <c r="D96" s="22">
        <f>D78+D56</f>
        <v>86114878.978</v>
      </c>
      <c r="E96" s="302"/>
      <c r="F96" s="147">
        <f>F56+F78</f>
        <v>398881.99515822006</v>
      </c>
      <c r="G96" s="22"/>
      <c r="H96" s="22"/>
      <c r="I96" s="147">
        <f>I78+I56</f>
        <v>451935.26545020001</v>
      </c>
      <c r="J96" s="147"/>
      <c r="K96" s="147">
        <f>K78</f>
        <v>0</v>
      </c>
      <c r="L96" s="163"/>
      <c r="M96" s="174"/>
      <c r="N96" s="295"/>
      <c r="O96" s="301"/>
      <c r="P96" s="18"/>
      <c r="Q96" s="189"/>
    </row>
    <row r="97" spans="1:17" s="25" customFormat="1">
      <c r="A97" s="24"/>
      <c r="B97" s="132" t="s">
        <v>178</v>
      </c>
      <c r="C97" s="133"/>
      <c r="D97" s="22"/>
      <c r="E97" s="20"/>
      <c r="F97" s="164">
        <f>SUM(F87:F96)</f>
        <v>19454802.721422557</v>
      </c>
      <c r="G97" s="22"/>
      <c r="H97" s="22"/>
      <c r="I97" s="164">
        <f>SUM(I87:I89,I93:I96)</f>
        <v>21450333.458394397</v>
      </c>
      <c r="J97" s="147"/>
      <c r="K97" s="164">
        <f>SUM(K87:K96)</f>
        <v>1942477.4666798646</v>
      </c>
      <c r="L97" s="206">
        <f>ROUND(K97/F97,5)</f>
        <v>9.9849999999999994E-2</v>
      </c>
      <c r="M97" s="174"/>
      <c r="N97" s="295"/>
      <c r="O97" s="301"/>
      <c r="P97" s="18"/>
      <c r="Q97" s="189"/>
    </row>
    <row r="98" spans="1:17" s="25" customFormat="1">
      <c r="A98" s="24"/>
      <c r="B98" s="132"/>
      <c r="C98" s="133"/>
      <c r="D98" s="22"/>
      <c r="E98" s="20"/>
      <c r="F98" s="147"/>
      <c r="G98" s="22"/>
      <c r="H98" s="22"/>
      <c r="I98" s="147"/>
      <c r="J98" s="147"/>
      <c r="K98" s="146"/>
      <c r="L98" s="163"/>
      <c r="M98" s="174"/>
      <c r="N98" s="295"/>
      <c r="O98" s="301"/>
      <c r="P98" s="18"/>
      <c r="Q98" s="189"/>
    </row>
    <row r="99" spans="1:17" s="25" customFormat="1">
      <c r="A99" s="24"/>
      <c r="B99" s="145" t="s">
        <v>176</v>
      </c>
      <c r="C99" s="133"/>
      <c r="D99" s="22"/>
      <c r="E99" s="20"/>
      <c r="F99" s="147"/>
      <c r="G99" s="22"/>
      <c r="H99" s="22"/>
      <c r="I99" s="147"/>
      <c r="J99" s="147"/>
      <c r="K99" s="146"/>
      <c r="L99" s="163"/>
      <c r="M99" s="174"/>
      <c r="N99" s="295"/>
      <c r="O99" s="301"/>
      <c r="P99" s="18"/>
      <c r="Q99" s="189"/>
    </row>
    <row r="100" spans="1:17" s="25" customFormat="1">
      <c r="A100" s="24"/>
      <c r="B100" s="209" t="s">
        <v>195</v>
      </c>
      <c r="C100" s="133"/>
      <c r="D100" s="22"/>
      <c r="E100" s="20"/>
      <c r="F100" s="147">
        <f>F60</f>
        <v>14874565.041121801</v>
      </c>
      <c r="G100" s="22"/>
      <c r="H100" s="22"/>
      <c r="I100" s="147">
        <f>I60</f>
        <v>14874565.041121801</v>
      </c>
      <c r="J100" s="147"/>
      <c r="K100" s="147">
        <f>K60</f>
        <v>0</v>
      </c>
      <c r="L100" s="163"/>
      <c r="M100" s="174"/>
      <c r="N100" s="295"/>
      <c r="O100" s="301"/>
      <c r="P100" s="18"/>
      <c r="Q100" s="189"/>
    </row>
    <row r="101" spans="1:17" s="25" customFormat="1">
      <c r="A101" s="24"/>
      <c r="B101" s="209" t="s">
        <v>36</v>
      </c>
      <c r="C101" s="133"/>
      <c r="D101" s="22"/>
      <c r="E101" s="20"/>
      <c r="F101" s="147">
        <f>F61</f>
        <v>4689738.5576999998</v>
      </c>
      <c r="G101" s="22"/>
      <c r="H101" s="22"/>
      <c r="I101" s="147">
        <f>I61</f>
        <v>4689738.5576999998</v>
      </c>
      <c r="J101" s="147"/>
      <c r="K101" s="147">
        <f>K61</f>
        <v>0</v>
      </c>
      <c r="L101" s="163"/>
      <c r="M101" s="174"/>
      <c r="N101" s="295"/>
      <c r="O101" s="301"/>
      <c r="P101" s="18"/>
      <c r="Q101" s="189"/>
    </row>
    <row r="102" spans="1:17" s="25" customFormat="1">
      <c r="A102" s="24"/>
      <c r="B102" s="209" t="s">
        <v>191</v>
      </c>
      <c r="C102" s="133"/>
      <c r="D102" s="22"/>
      <c r="E102" s="20"/>
      <c r="F102" s="147">
        <f>F81</f>
        <v>14431.910093999999</v>
      </c>
      <c r="G102" s="22"/>
      <c r="H102" s="22"/>
      <c r="I102" s="147">
        <f>I81</f>
        <v>20617.01442</v>
      </c>
      <c r="J102" s="147"/>
      <c r="K102" s="147">
        <f>K81</f>
        <v>6185.1043260000006</v>
      </c>
      <c r="L102" s="163"/>
      <c r="M102" s="174"/>
      <c r="N102" s="295"/>
      <c r="O102" s="301"/>
      <c r="P102" s="18"/>
      <c r="Q102" s="189"/>
    </row>
    <row r="103" spans="1:17" s="25" customFormat="1">
      <c r="A103" s="24"/>
      <c r="B103" s="132" t="s">
        <v>196</v>
      </c>
      <c r="C103" s="133"/>
      <c r="D103" s="22"/>
      <c r="E103" s="20"/>
      <c r="F103" s="164">
        <f>SUM(F100:F102)</f>
        <v>19578735.508915801</v>
      </c>
      <c r="G103" s="22"/>
      <c r="H103" s="22"/>
      <c r="I103" s="164">
        <f>SUM(I100:I102)</f>
        <v>19584920.613241799</v>
      </c>
      <c r="J103" s="147"/>
      <c r="K103" s="164">
        <f>SUM(K100:K102)</f>
        <v>6185.1043260000006</v>
      </c>
      <c r="L103" s="206">
        <f>ROUND(K103/F103,5)</f>
        <v>3.2000000000000003E-4</v>
      </c>
      <c r="M103" s="174"/>
      <c r="N103" s="295"/>
      <c r="O103" s="301"/>
      <c r="P103" s="18"/>
      <c r="Q103" s="189"/>
    </row>
    <row r="104" spans="1:17" s="25" customFormat="1">
      <c r="A104" s="24"/>
      <c r="B104" s="145"/>
      <c r="C104" s="133"/>
      <c r="D104" s="24"/>
      <c r="E104" s="18"/>
      <c r="F104" s="146"/>
      <c r="G104" s="22"/>
      <c r="H104" s="22"/>
      <c r="I104" s="147"/>
      <c r="J104" s="147"/>
      <c r="K104" s="146"/>
      <c r="L104" s="163"/>
      <c r="M104" s="174"/>
      <c r="N104" s="295"/>
      <c r="O104" s="146"/>
      <c r="P104" s="18"/>
      <c r="Q104" s="189"/>
    </row>
    <row r="105" spans="1:17" s="25" customFormat="1">
      <c r="A105" s="24"/>
      <c r="B105" s="145" t="s">
        <v>177</v>
      </c>
      <c r="C105" s="18"/>
      <c r="D105" s="22"/>
      <c r="E105" s="155"/>
      <c r="F105" s="164">
        <f>F97+F103</f>
        <v>39033538.230338357</v>
      </c>
      <c r="G105" s="24"/>
      <c r="H105" s="112"/>
      <c r="I105" s="164">
        <f>I97+I103</f>
        <v>41035254.0716362</v>
      </c>
      <c r="J105" s="146"/>
      <c r="K105" s="164">
        <f>K97+K103</f>
        <v>1948662.5710058645</v>
      </c>
      <c r="L105" s="206">
        <f>ROUND(K105/F105,5)</f>
        <v>4.9919999999999999E-2</v>
      </c>
      <c r="M105" s="174"/>
      <c r="N105" s="295"/>
      <c r="O105" s="18"/>
      <c r="P105" s="18"/>
      <c r="Q105" s="22"/>
    </row>
    <row r="106" spans="1:17" s="25" customFormat="1">
      <c r="A106" s="24"/>
      <c r="B106" s="300"/>
      <c r="C106" s="286"/>
      <c r="D106" s="286"/>
      <c r="E106" s="286"/>
      <c r="F106" s="199"/>
      <c r="G106" s="286"/>
      <c r="H106" s="286"/>
      <c r="I106" s="287"/>
      <c r="J106" s="287"/>
      <c r="K106" s="199"/>
      <c r="L106" s="205"/>
      <c r="M106" s="174"/>
      <c r="N106" s="295"/>
      <c r="O106" s="18"/>
      <c r="P106" s="18"/>
      <c r="Q106" s="22"/>
    </row>
    <row r="107" spans="1:17" s="24" customFormat="1">
      <c r="F107" s="183"/>
      <c r="I107" s="223"/>
      <c r="J107" s="223"/>
      <c r="K107" s="183"/>
      <c r="L107" s="2"/>
      <c r="M107" s="174"/>
      <c r="N107" s="295"/>
      <c r="O107" s="121"/>
      <c r="P107" s="121"/>
      <c r="Q107" s="121"/>
    </row>
    <row r="108" spans="1:17">
      <c r="B108" s="18"/>
      <c r="F108" s="226"/>
      <c r="I108" s="226"/>
      <c r="J108" s="226"/>
      <c r="K108" s="226"/>
      <c r="M108" s="276"/>
      <c r="N108" s="152"/>
      <c r="O108" s="121"/>
      <c r="P108" s="121"/>
      <c r="Q108" s="121"/>
    </row>
    <row r="109" spans="1:17">
      <c r="B109" s="28" t="s">
        <v>199</v>
      </c>
      <c r="F109" s="226"/>
      <c r="I109" s="226"/>
      <c r="J109" s="226"/>
      <c r="K109" s="226"/>
      <c r="M109" s="276"/>
      <c r="N109" s="152"/>
      <c r="O109" s="211"/>
      <c r="P109" s="169"/>
      <c r="Q109" s="170"/>
    </row>
    <row r="110" spans="1:17">
      <c r="D110" s="125" t="s">
        <v>30</v>
      </c>
      <c r="F110" s="236" t="s">
        <v>155</v>
      </c>
      <c r="I110" s="236" t="s">
        <v>156</v>
      </c>
      <c r="J110" s="226"/>
      <c r="K110" s="236" t="s">
        <v>32</v>
      </c>
      <c r="M110" s="276"/>
      <c r="N110" s="152"/>
    </row>
    <row r="111" spans="1:17">
      <c r="B111" s="28" t="s">
        <v>200</v>
      </c>
      <c r="C111" s="23"/>
      <c r="D111" s="29"/>
      <c r="E111" s="23"/>
      <c r="F111" s="23"/>
      <c r="G111" s="30"/>
      <c r="H111" s="30"/>
      <c r="I111" s="23"/>
      <c r="J111" s="23"/>
      <c r="K111" s="23"/>
      <c r="M111" s="303"/>
    </row>
    <row r="112" spans="1:17">
      <c r="B112" s="16" t="s">
        <v>201</v>
      </c>
      <c r="C112" s="23"/>
      <c r="D112" s="29"/>
      <c r="E112" s="23"/>
      <c r="F112" s="23">
        <f>F17+F29</f>
        <v>74023541.944620207</v>
      </c>
      <c r="G112" s="30"/>
      <c r="H112" s="30"/>
      <c r="I112" s="23">
        <f>I17+I29</f>
        <v>74023551.394083202</v>
      </c>
      <c r="J112" s="23"/>
      <c r="K112" s="304">
        <f>I112-F112</f>
        <v>9.4494629949331284</v>
      </c>
      <c r="M112" s="303"/>
    </row>
    <row r="113" spans="2:13">
      <c r="B113" s="16" t="s">
        <v>202</v>
      </c>
      <c r="C113" s="23"/>
      <c r="D113" s="29"/>
      <c r="E113" s="23"/>
      <c r="F113" s="23">
        <f>F62+F81</f>
        <v>19578735.508915801</v>
      </c>
      <c r="G113" s="30"/>
      <c r="H113" s="30"/>
      <c r="I113" s="23">
        <f>I62+I81</f>
        <v>19584920.613241799</v>
      </c>
      <c r="J113" s="23"/>
      <c r="K113" s="304">
        <f>I113-F113</f>
        <v>6185.1043259985745</v>
      </c>
      <c r="M113" s="32"/>
    </row>
    <row r="114" spans="2:13">
      <c r="B114" s="16" t="s">
        <v>43</v>
      </c>
      <c r="C114" s="23"/>
      <c r="D114" s="29"/>
      <c r="E114" s="23"/>
      <c r="F114" s="305">
        <f>SUM(F112:F113)</f>
        <v>93602277.453536004</v>
      </c>
      <c r="G114" s="30"/>
      <c r="H114" s="30"/>
      <c r="I114" s="305">
        <f>SUM(I112:I113)</f>
        <v>93608472.007324994</v>
      </c>
      <c r="J114" s="23"/>
      <c r="K114" s="305">
        <f>SUM(K112:K113)</f>
        <v>6194.5537889935076</v>
      </c>
      <c r="M114" s="32"/>
    </row>
    <row r="115" spans="2:13">
      <c r="C115" s="23"/>
      <c r="D115" s="29"/>
      <c r="E115" s="23"/>
      <c r="F115" s="23"/>
      <c r="G115" s="30"/>
      <c r="H115" s="30"/>
      <c r="I115" s="23"/>
      <c r="J115" s="23"/>
      <c r="K115" s="304"/>
      <c r="M115" s="32"/>
    </row>
    <row r="116" spans="2:13">
      <c r="B116" s="28" t="s">
        <v>203</v>
      </c>
      <c r="C116" s="23"/>
      <c r="D116" s="29"/>
      <c r="E116" s="23"/>
      <c r="F116" s="23"/>
      <c r="G116" s="30"/>
      <c r="H116" s="30"/>
      <c r="I116" s="23"/>
      <c r="J116" s="23"/>
      <c r="K116" s="304"/>
      <c r="M116" s="32"/>
    </row>
    <row r="117" spans="2:13">
      <c r="B117" s="16" t="s">
        <v>204</v>
      </c>
      <c r="C117" s="23"/>
      <c r="D117" s="29"/>
      <c r="E117" s="23"/>
      <c r="F117" s="23">
        <f>F15+F27</f>
        <v>92796856.700000003</v>
      </c>
      <c r="G117" s="23"/>
      <c r="H117" s="30"/>
      <c r="I117" s="23">
        <f>I15+I27</f>
        <v>121353023.89999999</v>
      </c>
      <c r="J117" s="23"/>
      <c r="K117" s="304">
        <f>I117-F117</f>
        <v>28556167.199999988</v>
      </c>
      <c r="L117" s="27">
        <f>K117/F117</f>
        <v>0.30772774224797622</v>
      </c>
      <c r="M117" s="32"/>
    </row>
    <row r="118" spans="2:13">
      <c r="B118" s="16" t="s">
        <v>202</v>
      </c>
      <c r="C118" s="23"/>
      <c r="D118" s="29"/>
      <c r="E118" s="23"/>
      <c r="F118" s="23">
        <f>F57+F79</f>
        <v>19454802.721422557</v>
      </c>
      <c r="G118" s="23"/>
      <c r="H118" s="30"/>
      <c r="I118" s="23">
        <f>I57+I79</f>
        <v>21450333.458394401</v>
      </c>
      <c r="J118" s="23"/>
      <c r="K118" s="304">
        <f>I118-F118</f>
        <v>1995530.736971844</v>
      </c>
      <c r="L118" s="27">
        <f>K118/F118</f>
        <v>0.1025726534237469</v>
      </c>
      <c r="M118" s="32"/>
    </row>
    <row r="119" spans="2:13">
      <c r="B119" s="16" t="s">
        <v>43</v>
      </c>
      <c r="C119" s="23"/>
      <c r="D119" s="29"/>
      <c r="E119" s="23"/>
      <c r="F119" s="305">
        <f>SUM(F117:F118)</f>
        <v>112251659.42142256</v>
      </c>
      <c r="G119" s="23"/>
      <c r="H119" s="30"/>
      <c r="I119" s="305">
        <f>SUM(I117:I118)</f>
        <v>142803357.35839438</v>
      </c>
      <c r="J119" s="23"/>
      <c r="K119" s="305">
        <f>SUM(K117:K118)</f>
        <v>30551697.936971832</v>
      </c>
      <c r="L119" s="27">
        <f>K119/F119</f>
        <v>0.27217145915208824</v>
      </c>
      <c r="M119" s="32"/>
    </row>
    <row r="120" spans="2:13">
      <c r="C120" s="23"/>
      <c r="D120" s="29"/>
      <c r="E120" s="23"/>
      <c r="F120" s="23"/>
      <c r="G120" s="23"/>
      <c r="H120" s="30"/>
      <c r="I120" s="23"/>
      <c r="J120" s="23"/>
      <c r="K120" s="304"/>
      <c r="M120" s="32"/>
    </row>
    <row r="121" spans="2:13">
      <c r="B121" s="28" t="s">
        <v>205</v>
      </c>
      <c r="C121" s="23"/>
      <c r="D121" s="29"/>
      <c r="E121" s="23"/>
      <c r="F121" s="23"/>
      <c r="G121" s="23"/>
      <c r="H121" s="30"/>
      <c r="I121" s="23"/>
      <c r="J121" s="23"/>
      <c r="K121" s="304"/>
      <c r="M121" s="32"/>
    </row>
    <row r="122" spans="2:13">
      <c r="B122" s="16" t="s">
        <v>204</v>
      </c>
      <c r="C122" s="23"/>
      <c r="D122" s="29">
        <f>D36</f>
        <v>232276721.11300004</v>
      </c>
      <c r="E122" s="23"/>
      <c r="F122" s="23">
        <f>F112+F117</f>
        <v>166820398.64462021</v>
      </c>
      <c r="G122" s="30"/>
      <c r="H122" s="30"/>
      <c r="I122" s="23">
        <f>I112+I117</f>
        <v>195376575.29408318</v>
      </c>
      <c r="J122" s="23"/>
      <c r="K122" s="304">
        <f>I122-F122</f>
        <v>28556176.649462968</v>
      </c>
      <c r="L122" s="27">
        <f>K122/F122</f>
        <v>0.17117916562648064</v>
      </c>
      <c r="M122" s="32"/>
    </row>
    <row r="123" spans="2:13">
      <c r="B123" s="16" t="s">
        <v>202</v>
      </c>
      <c r="C123" s="23"/>
      <c r="D123" s="29">
        <f>D95</f>
        <v>86114878.978000015</v>
      </c>
      <c r="E123" s="23"/>
      <c r="F123" s="23">
        <f>F113+F118</f>
        <v>39033538.230338357</v>
      </c>
      <c r="G123" s="30"/>
      <c r="H123" s="30"/>
      <c r="I123" s="23">
        <f>I113+I118</f>
        <v>41035254.0716362</v>
      </c>
      <c r="J123" s="23"/>
      <c r="K123" s="304">
        <f>I123-F123</f>
        <v>2001715.8412978426</v>
      </c>
      <c r="L123" s="27">
        <f>K123/F123</f>
        <v>5.1281947065255601E-2</v>
      </c>
      <c r="M123" s="32"/>
    </row>
    <row r="124" spans="2:13">
      <c r="B124" s="16" t="s">
        <v>43</v>
      </c>
      <c r="C124" s="23"/>
      <c r="D124" s="33">
        <f>SUM(D122:D123)</f>
        <v>318391600.09100008</v>
      </c>
      <c r="E124" s="23"/>
      <c r="F124" s="305">
        <f>SUM(F122:F123)</f>
        <v>205853936.87495857</v>
      </c>
      <c r="G124" s="30"/>
      <c r="H124" s="30"/>
      <c r="I124" s="305">
        <f>SUM(I122:I123)</f>
        <v>236411829.36571938</v>
      </c>
      <c r="J124" s="23"/>
      <c r="K124" s="305">
        <f>SUM(K122:K123)</f>
        <v>30557892.490760811</v>
      </c>
      <c r="L124" s="27">
        <f>K124/F124</f>
        <v>0.14844453768849963</v>
      </c>
      <c r="M124" s="32"/>
    </row>
    <row r="125" spans="2:13">
      <c r="C125" s="23"/>
      <c r="D125" s="20"/>
      <c r="E125" s="23"/>
      <c r="F125" s="304"/>
      <c r="G125" s="30"/>
      <c r="H125" s="30"/>
      <c r="I125" s="304"/>
      <c r="J125" s="23"/>
      <c r="K125" s="304"/>
      <c r="M125" s="32"/>
    </row>
    <row r="126" spans="2:13">
      <c r="B126" s="16" t="s">
        <v>283</v>
      </c>
      <c r="F126" s="16"/>
      <c r="G126" s="30"/>
      <c r="H126" s="30"/>
      <c r="I126" s="304"/>
      <c r="J126" s="23"/>
      <c r="K126" s="304"/>
      <c r="M126" s="32"/>
    </row>
    <row r="127" spans="2:13" ht="14" thickBot="1">
      <c r="C127" s="23"/>
      <c r="D127" s="29"/>
      <c r="E127" s="23"/>
      <c r="F127" s="23"/>
      <c r="G127" s="30"/>
      <c r="H127" s="30"/>
      <c r="I127" s="23"/>
      <c r="J127" s="23"/>
      <c r="K127" s="23"/>
      <c r="M127" s="32"/>
    </row>
    <row r="128" spans="2:13" ht="14" thickBot="1">
      <c r="B128" s="306" t="s">
        <v>55</v>
      </c>
      <c r="C128" s="307"/>
      <c r="D128" s="308">
        <v>0</v>
      </c>
      <c r="E128" s="308"/>
      <c r="F128" s="309">
        <v>7.7753663063049316E-3</v>
      </c>
      <c r="G128" s="30"/>
      <c r="H128" s="30"/>
      <c r="I128" s="23"/>
      <c r="J128" s="23"/>
      <c r="K128" s="23"/>
      <c r="M128" s="32"/>
    </row>
    <row r="129" spans="3:13">
      <c r="C129" s="23"/>
      <c r="D129" s="23"/>
      <c r="E129" s="23"/>
      <c r="F129" s="23"/>
      <c r="G129" s="30"/>
      <c r="H129" s="30"/>
      <c r="I129" s="23"/>
      <c r="J129" s="23"/>
      <c r="K129" s="23"/>
      <c r="M129" s="32"/>
    </row>
    <row r="130" spans="3:13">
      <c r="F130" s="16"/>
      <c r="G130" s="30"/>
      <c r="H130" s="30"/>
      <c r="I130" s="23"/>
      <c r="J130" s="23"/>
      <c r="K130" s="23"/>
      <c r="M130" s="32"/>
    </row>
    <row r="131" spans="3:13">
      <c r="C131" s="23"/>
      <c r="D131" s="23"/>
      <c r="E131" s="23"/>
      <c r="F131" s="23"/>
      <c r="G131" s="30"/>
      <c r="H131" s="30"/>
      <c r="I131" s="23"/>
      <c r="J131" s="23"/>
      <c r="K131" s="23"/>
      <c r="M131" s="32"/>
    </row>
    <row r="132" spans="3:13">
      <c r="C132" s="23"/>
      <c r="D132" s="23"/>
      <c r="E132" s="23"/>
      <c r="F132" s="23"/>
      <c r="G132" s="30"/>
      <c r="H132" s="30"/>
      <c r="I132" s="23"/>
      <c r="J132" s="23"/>
      <c r="K132" s="23"/>
      <c r="M132" s="32"/>
    </row>
    <row r="133" spans="3:13">
      <c r="C133" s="23"/>
      <c r="D133" s="23"/>
      <c r="E133" s="23"/>
      <c r="F133" s="23"/>
      <c r="G133" s="30"/>
      <c r="H133" s="30"/>
      <c r="I133" s="23"/>
      <c r="J133" s="23"/>
      <c r="K133" s="23"/>
      <c r="M133" s="32"/>
    </row>
    <row r="134" spans="3:13">
      <c r="C134" s="23"/>
      <c r="D134" s="23"/>
      <c r="E134" s="23"/>
      <c r="F134" s="23"/>
      <c r="G134" s="30"/>
      <c r="H134" s="30"/>
      <c r="I134" s="23"/>
      <c r="J134" s="23"/>
      <c r="K134" s="23"/>
      <c r="M134" s="32"/>
    </row>
    <row r="135" spans="3:13">
      <c r="C135" s="23"/>
      <c r="D135" s="23"/>
      <c r="E135" s="23"/>
      <c r="F135" s="23"/>
      <c r="G135" s="30"/>
      <c r="H135" s="30"/>
      <c r="I135" s="23"/>
      <c r="J135" s="23"/>
      <c r="K135" s="23"/>
      <c r="M135" s="32"/>
    </row>
    <row r="136" spans="3:13">
      <c r="C136" s="23"/>
      <c r="D136" s="23"/>
      <c r="E136" s="23"/>
      <c r="F136" s="23"/>
      <c r="G136" s="30"/>
      <c r="H136" s="30"/>
      <c r="I136" s="23"/>
      <c r="J136" s="23"/>
      <c r="K136" s="23"/>
      <c r="M136" s="32"/>
    </row>
    <row r="137" spans="3:13">
      <c r="C137" s="23"/>
      <c r="D137" s="23"/>
      <c r="E137" s="23"/>
      <c r="F137" s="23"/>
      <c r="G137" s="30"/>
      <c r="H137" s="30"/>
      <c r="I137" s="23"/>
      <c r="J137" s="23"/>
      <c r="K137" s="23"/>
      <c r="M137" s="32"/>
    </row>
    <row r="138" spans="3:13">
      <c r="C138" s="23"/>
      <c r="D138" s="23"/>
      <c r="E138" s="23"/>
      <c r="F138" s="23"/>
      <c r="G138" s="30"/>
      <c r="H138" s="30"/>
      <c r="I138" s="23"/>
      <c r="J138" s="23"/>
      <c r="K138" s="23"/>
      <c r="M138" s="32"/>
    </row>
    <row r="139" spans="3:13">
      <c r="C139" s="23"/>
      <c r="D139" s="23"/>
      <c r="E139" s="23"/>
      <c r="F139" s="23"/>
      <c r="G139" s="30"/>
      <c r="H139" s="30"/>
      <c r="I139" s="23"/>
      <c r="J139" s="23"/>
      <c r="K139" s="23"/>
      <c r="M139" s="32"/>
    </row>
    <row r="140" spans="3:13">
      <c r="C140" s="23"/>
      <c r="D140" s="23"/>
      <c r="E140" s="23"/>
      <c r="F140" s="23"/>
      <c r="G140" s="30"/>
      <c r="H140" s="30"/>
      <c r="I140" s="23"/>
      <c r="J140" s="23"/>
      <c r="K140" s="23"/>
      <c r="M140" s="32"/>
    </row>
    <row r="141" spans="3:13">
      <c r="C141" s="23"/>
      <c r="D141" s="23"/>
      <c r="E141" s="23"/>
      <c r="F141" s="23"/>
      <c r="G141" s="30"/>
      <c r="H141" s="30"/>
      <c r="I141" s="23"/>
      <c r="J141" s="23"/>
      <c r="K141" s="23"/>
      <c r="M141" s="32"/>
    </row>
    <row r="142" spans="3:13">
      <c r="C142" s="23"/>
      <c r="D142" s="23"/>
      <c r="E142" s="23"/>
      <c r="F142" s="23"/>
      <c r="G142" s="30"/>
      <c r="H142" s="30"/>
      <c r="I142" s="23"/>
      <c r="J142" s="23"/>
      <c r="K142" s="23"/>
      <c r="M142" s="32"/>
    </row>
    <row r="143" spans="3:13">
      <c r="C143" s="23"/>
      <c r="D143" s="23"/>
      <c r="E143" s="23"/>
      <c r="F143" s="23"/>
      <c r="G143" s="30"/>
      <c r="H143" s="30"/>
      <c r="I143" s="23"/>
      <c r="J143" s="23"/>
      <c r="K143" s="23"/>
      <c r="M143" s="32"/>
    </row>
    <row r="144" spans="3:13">
      <c r="C144" s="23"/>
      <c r="D144" s="23"/>
      <c r="E144" s="23"/>
      <c r="F144" s="23"/>
      <c r="G144" s="30"/>
      <c r="H144" s="30"/>
      <c r="I144" s="23"/>
      <c r="J144" s="23"/>
      <c r="K144" s="23"/>
      <c r="M144" s="32"/>
    </row>
    <row r="145" spans="3:13">
      <c r="C145" s="23"/>
      <c r="D145" s="23"/>
      <c r="E145" s="23"/>
      <c r="F145" s="23"/>
      <c r="G145" s="30"/>
      <c r="H145" s="30"/>
      <c r="I145" s="23"/>
      <c r="J145" s="23"/>
      <c r="K145" s="23"/>
      <c r="M145" s="32"/>
    </row>
    <row r="146" spans="3:13">
      <c r="C146" s="23"/>
      <c r="D146" s="23"/>
      <c r="E146" s="23"/>
      <c r="F146" s="23"/>
      <c r="G146" s="30"/>
      <c r="H146" s="30"/>
      <c r="I146" s="23"/>
      <c r="J146" s="23"/>
      <c r="K146" s="23"/>
      <c r="M146" s="32"/>
    </row>
    <row r="147" spans="3:13">
      <c r="C147" s="23"/>
      <c r="D147" s="23"/>
      <c r="E147" s="23"/>
      <c r="F147" s="23"/>
      <c r="G147" s="30"/>
      <c r="H147" s="30"/>
      <c r="I147" s="23"/>
      <c r="J147" s="23"/>
      <c r="K147" s="23"/>
      <c r="M147" s="32"/>
    </row>
    <row r="148" spans="3:13">
      <c r="M148" s="32"/>
    </row>
    <row r="149" spans="3:13">
      <c r="M149" s="32"/>
    </row>
  </sheetData>
  <mergeCells count="1">
    <mergeCell ref="K7:L7"/>
  </mergeCells>
  <printOptions horizontalCentered="1"/>
  <pageMargins left="0.7" right="0.7" top="0.75" bottom="0.75" header="0.3" footer="0.3"/>
  <pageSetup scale="71" fitToHeight="0" orientation="landscape" blackAndWhite="1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  <rowBreaks count="2" manualBreakCount="2">
    <brk id="44" min="1" max="16" man="1"/>
    <brk id="85" min="1" max="16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26"/>
  <sheetViews>
    <sheetView view="pageBreakPreview" topLeftCell="A160" zoomScale="60" zoomScaleNormal="100" zoomScalePageLayoutView="50" workbookViewId="0">
      <selection activeCell="F184" sqref="F184"/>
    </sheetView>
  </sheetViews>
  <sheetFormatPr baseColWidth="10" defaultColWidth="9.1640625" defaultRowHeight="13"/>
  <cols>
    <col min="1" max="1" width="2.5" style="16" customWidth="1"/>
    <col min="2" max="2" width="31.6640625" style="16" customWidth="1"/>
    <col min="3" max="3" width="9.6640625" style="16" customWidth="1"/>
    <col min="4" max="4" width="12.6640625" style="26" bestFit="1" customWidth="1"/>
    <col min="5" max="5" width="10.5" style="37" customWidth="1"/>
    <col min="6" max="6" width="13.33203125" style="34" customWidth="1"/>
    <col min="7" max="7" width="3" style="22" customWidth="1"/>
    <col min="8" max="8" width="10.5" style="38" customWidth="1"/>
    <col min="9" max="9" width="13.33203125" style="34" customWidth="1"/>
    <col min="10" max="10" width="2.83203125" style="34" customWidth="1"/>
    <col min="11" max="11" width="13.1640625" style="34" customWidth="1"/>
    <col min="12" max="12" width="10.5" style="36" customWidth="1"/>
    <col min="13" max="13" width="2.83203125" style="17" customWidth="1"/>
    <col min="14" max="14" width="2.1640625" style="35" customWidth="1"/>
    <col min="15" max="15" width="14.5" style="16" bestFit="1" customWidth="1"/>
    <col min="16" max="16" width="2.83203125" style="16" customWidth="1"/>
    <col min="17" max="17" width="8.83203125" style="16" customWidth="1"/>
    <col min="18" max="16384" width="9.1640625" style="16"/>
  </cols>
  <sheetData>
    <row r="1" spans="1:17">
      <c r="B1" s="3"/>
      <c r="C1" s="3"/>
      <c r="D1" s="102"/>
      <c r="E1" s="103"/>
      <c r="F1" s="104"/>
      <c r="G1" s="105"/>
      <c r="H1" s="106"/>
      <c r="I1" s="104"/>
      <c r="J1" s="104"/>
      <c r="K1" s="104"/>
      <c r="L1" s="107"/>
      <c r="M1" s="107"/>
      <c r="N1" s="108"/>
      <c r="O1" s="3"/>
      <c r="P1" s="3"/>
      <c r="Q1" s="3"/>
    </row>
    <row r="2" spans="1:17">
      <c r="B2" s="77" t="s">
        <v>17</v>
      </c>
      <c r="C2" s="77"/>
      <c r="D2" s="106"/>
      <c r="E2" s="104"/>
      <c r="F2" s="104"/>
      <c r="G2" s="106"/>
      <c r="H2" s="106"/>
      <c r="I2" s="104"/>
      <c r="J2" s="104"/>
      <c r="K2" s="104"/>
      <c r="L2" s="104"/>
      <c r="M2" s="107"/>
      <c r="N2" s="108"/>
      <c r="O2" s="3"/>
      <c r="P2" s="3"/>
      <c r="Q2" s="3"/>
    </row>
    <row r="3" spans="1:17">
      <c r="B3" s="351" t="s">
        <v>309</v>
      </c>
      <c r="C3" s="77"/>
      <c r="D3" s="106"/>
      <c r="E3" s="104"/>
      <c r="F3" s="104"/>
      <c r="G3" s="106"/>
      <c r="H3" s="106"/>
      <c r="I3" s="104"/>
      <c r="J3" s="104"/>
      <c r="K3" s="104"/>
      <c r="L3" s="104"/>
      <c r="M3" s="107"/>
      <c r="N3" s="108"/>
      <c r="O3" s="3"/>
      <c r="P3" s="3"/>
      <c r="Q3" s="3"/>
    </row>
    <row r="4" spans="1:17">
      <c r="B4" s="77" t="s">
        <v>282</v>
      </c>
      <c r="C4" s="77"/>
      <c r="D4" s="106"/>
      <c r="E4" s="104"/>
      <c r="F4" s="104"/>
      <c r="G4" s="106"/>
      <c r="H4" s="106"/>
      <c r="I4" s="104"/>
      <c r="J4" s="104"/>
      <c r="K4" s="104"/>
      <c r="L4" s="104"/>
      <c r="M4" s="107"/>
      <c r="N4" s="108"/>
      <c r="O4" s="3"/>
      <c r="P4" s="3"/>
      <c r="Q4" s="3"/>
    </row>
    <row r="5" spans="1:17">
      <c r="B5" s="351" t="s">
        <v>310</v>
      </c>
      <c r="C5" s="77"/>
      <c r="D5" s="102"/>
      <c r="E5" s="103"/>
      <c r="F5" s="104"/>
      <c r="G5" s="105"/>
      <c r="H5" s="106"/>
      <c r="I5" s="104"/>
      <c r="J5" s="104"/>
      <c r="K5" s="104"/>
      <c r="L5" s="107"/>
      <c r="M5" s="107"/>
      <c r="N5" s="108"/>
      <c r="O5" s="109"/>
      <c r="P5" s="3"/>
      <c r="Q5" s="3"/>
    </row>
    <row r="6" spans="1:17" s="18" customFormat="1">
      <c r="B6" s="110"/>
      <c r="C6" s="109"/>
      <c r="D6" s="22"/>
      <c r="E6" s="111"/>
      <c r="F6" s="14"/>
      <c r="G6" s="22"/>
      <c r="H6" s="112"/>
      <c r="I6" s="14"/>
      <c r="J6" s="14"/>
      <c r="K6" s="14"/>
      <c r="L6" s="35"/>
      <c r="M6" s="113"/>
      <c r="N6" s="113"/>
    </row>
    <row r="7" spans="1:17">
      <c r="B7" s="114"/>
      <c r="C7" s="115"/>
      <c r="D7" s="116" t="s">
        <v>19</v>
      </c>
      <c r="E7" s="117" t="s">
        <v>155</v>
      </c>
      <c r="F7" s="118"/>
      <c r="G7" s="116"/>
      <c r="H7" s="119" t="s">
        <v>156</v>
      </c>
      <c r="I7" s="118"/>
      <c r="J7" s="120"/>
      <c r="K7" s="524" t="s">
        <v>169</v>
      </c>
      <c r="L7" s="525"/>
      <c r="M7" s="113"/>
      <c r="N7" s="108"/>
      <c r="O7" s="121" t="s">
        <v>20</v>
      </c>
      <c r="Q7" s="122" t="s">
        <v>170</v>
      </c>
    </row>
    <row r="8" spans="1:17">
      <c r="B8" s="123" t="s">
        <v>21</v>
      </c>
      <c r="C8" s="124" t="s">
        <v>22</v>
      </c>
      <c r="D8" s="125" t="s">
        <v>23</v>
      </c>
      <c r="E8" s="126" t="s">
        <v>24</v>
      </c>
      <c r="F8" s="127" t="s">
        <v>25</v>
      </c>
      <c r="G8" s="125"/>
      <c r="H8" s="128" t="s">
        <v>24</v>
      </c>
      <c r="I8" s="127" t="s">
        <v>25</v>
      </c>
      <c r="J8" s="127"/>
      <c r="K8" s="127" t="s">
        <v>171</v>
      </c>
      <c r="L8" s="129" t="s">
        <v>172</v>
      </c>
      <c r="M8" s="113"/>
      <c r="N8" s="130"/>
      <c r="O8" s="78" t="s">
        <v>173</v>
      </c>
      <c r="Q8" s="131" t="s">
        <v>26</v>
      </c>
    </row>
    <row r="9" spans="1:17">
      <c r="A9" s="18"/>
      <c r="B9" s="132"/>
      <c r="C9" s="133"/>
      <c r="D9" s="22"/>
      <c r="E9" s="111"/>
      <c r="F9" s="14"/>
      <c r="G9" s="134"/>
      <c r="H9" s="112"/>
      <c r="I9" s="135"/>
      <c r="J9" s="135"/>
      <c r="K9" s="14"/>
      <c r="L9" s="136"/>
      <c r="M9" s="113"/>
      <c r="O9" s="18"/>
    </row>
    <row r="10" spans="1:17">
      <c r="B10" s="137" t="s">
        <v>206</v>
      </c>
      <c r="C10" s="138"/>
      <c r="D10" s="87"/>
      <c r="E10" s="139"/>
      <c r="F10" s="140"/>
      <c r="G10" s="141"/>
      <c r="H10" s="142"/>
      <c r="I10" s="143"/>
      <c r="J10" s="143"/>
      <c r="K10" s="140"/>
      <c r="L10" s="144"/>
      <c r="M10" s="113"/>
      <c r="N10" s="113"/>
    </row>
    <row r="11" spans="1:17">
      <c r="B11" s="145"/>
      <c r="C11" s="18"/>
      <c r="D11" s="22"/>
      <c r="E11" s="111"/>
      <c r="F11" s="146"/>
      <c r="G11" s="134"/>
      <c r="H11" s="112"/>
      <c r="I11" s="147"/>
      <c r="J11" s="135"/>
      <c r="K11" s="146"/>
      <c r="L11" s="148"/>
      <c r="M11" s="113"/>
      <c r="N11" s="113"/>
      <c r="O11" s="149" t="s">
        <v>207</v>
      </c>
    </row>
    <row r="12" spans="1:17">
      <c r="B12" s="132" t="s">
        <v>27</v>
      </c>
      <c r="C12" s="133" t="s">
        <v>28</v>
      </c>
      <c r="D12" s="21">
        <v>329.5178182456545</v>
      </c>
      <c r="E12" s="150">
        <v>548.57000000000005</v>
      </c>
      <c r="F12" s="146">
        <f>ROUND(D12*E12,2)</f>
        <v>180763.59</v>
      </c>
      <c r="H12" s="150">
        <v>595.08000000000004</v>
      </c>
      <c r="I12" s="147">
        <f>ROUND(D12*H12,2)</f>
        <v>196089.46</v>
      </c>
      <c r="J12" s="135"/>
      <c r="K12" s="146">
        <f>I12-F12</f>
        <v>15325.869999999995</v>
      </c>
      <c r="L12" s="148"/>
      <c r="M12" s="113"/>
      <c r="N12" s="113"/>
      <c r="O12" s="151">
        <v>1742261.9338037565</v>
      </c>
      <c r="Q12" s="152">
        <f>H12/E12-1</f>
        <v>8.4784074958528466E-2</v>
      </c>
    </row>
    <row r="13" spans="1:17">
      <c r="B13" s="145" t="s">
        <v>36</v>
      </c>
      <c r="C13" s="18" t="s">
        <v>34</v>
      </c>
      <c r="D13" s="21">
        <v>86412.906999999992</v>
      </c>
      <c r="E13" s="150">
        <v>1.21</v>
      </c>
      <c r="F13" s="146">
        <f>ROUND(D13*E13,2)</f>
        <v>104559.62</v>
      </c>
      <c r="H13" s="150">
        <v>1.3</v>
      </c>
      <c r="I13" s="147">
        <f>ROUND(D13*H13,2)</f>
        <v>112336.78</v>
      </c>
      <c r="J13" s="135"/>
      <c r="K13" s="146">
        <f>I13-F13</f>
        <v>7777.1600000000035</v>
      </c>
      <c r="L13" s="148"/>
      <c r="M13" s="113"/>
      <c r="N13" s="113"/>
      <c r="O13" s="153" t="s">
        <v>175</v>
      </c>
      <c r="Q13" s="152">
        <f>H13/E13-1</f>
        <v>7.4380165289256173E-2</v>
      </c>
    </row>
    <row r="14" spans="1:17">
      <c r="B14" s="145" t="s">
        <v>33</v>
      </c>
      <c r="C14" s="18" t="s">
        <v>30</v>
      </c>
      <c r="D14" s="22">
        <f>D21</f>
        <v>15787998.554</v>
      </c>
      <c r="E14" s="154">
        <v>7.4700000000000001E-3</v>
      </c>
      <c r="F14" s="146">
        <f>E14*D14</f>
        <v>117936.34919838</v>
      </c>
      <c r="H14" s="155">
        <f>ROUND(E14*(1+$O$16),5)</f>
        <v>9.4000000000000004E-3</v>
      </c>
      <c r="I14" s="147">
        <f>ROUND(D14*H14,2)</f>
        <v>148407.19</v>
      </c>
      <c r="J14" s="14"/>
      <c r="K14" s="146">
        <f>I14-F14</f>
        <v>30470.840801619997</v>
      </c>
      <c r="L14" s="148"/>
      <c r="M14" s="113"/>
      <c r="N14" s="113"/>
      <c r="O14" s="156">
        <f>K21+K42-O12</f>
        <v>11.546997863566503</v>
      </c>
      <c r="Q14" s="152">
        <f>H14/E14-1</f>
        <v>0.25836680053547534</v>
      </c>
    </row>
    <row r="15" spans="1:17">
      <c r="B15" s="145" t="s">
        <v>44</v>
      </c>
      <c r="C15" s="18"/>
      <c r="D15" s="22"/>
      <c r="E15" s="157"/>
      <c r="F15" s="158">
        <v>0</v>
      </c>
      <c r="H15" s="155"/>
      <c r="I15" s="146">
        <f>F15</f>
        <v>0</v>
      </c>
      <c r="J15" s="14"/>
      <c r="K15" s="146">
        <f>I15-F15</f>
        <v>0</v>
      </c>
      <c r="L15" s="148"/>
      <c r="M15" s="113"/>
      <c r="N15" s="113"/>
      <c r="O15" s="159"/>
    </row>
    <row r="16" spans="1:17">
      <c r="B16" s="145"/>
      <c r="C16" s="18"/>
      <c r="D16" s="22"/>
      <c r="E16" s="157"/>
      <c r="F16" s="146"/>
      <c r="H16" s="155"/>
      <c r="I16" s="147"/>
      <c r="J16" s="135"/>
      <c r="K16" s="146"/>
      <c r="L16" s="148"/>
      <c r="M16" s="113"/>
      <c r="N16" s="113"/>
      <c r="O16" s="160">
        <v>0.25814999999999999</v>
      </c>
    </row>
    <row r="17" spans="2:17">
      <c r="B17" s="145" t="s">
        <v>37</v>
      </c>
      <c r="C17" s="18"/>
      <c r="D17" s="22"/>
      <c r="E17" s="157"/>
      <c r="F17" s="146"/>
      <c r="H17" s="155"/>
      <c r="I17" s="147"/>
      <c r="J17" s="135"/>
      <c r="K17" s="146"/>
      <c r="L17" s="148"/>
      <c r="M17" s="113"/>
      <c r="N17" s="113"/>
      <c r="O17" s="161"/>
    </row>
    <row r="18" spans="2:17">
      <c r="B18" s="145" t="s">
        <v>45</v>
      </c>
      <c r="C18" s="18" t="s">
        <v>30</v>
      </c>
      <c r="D18" s="21">
        <v>7617621.6729999995</v>
      </c>
      <c r="E18" s="154">
        <v>9.9360000000000004E-2</v>
      </c>
      <c r="F18" s="146">
        <f>ROUND(D18*E18,2)</f>
        <v>756886.89</v>
      </c>
      <c r="H18" s="155">
        <f>ROUND(E18*(1+$O$16),5)</f>
        <v>0.12501000000000001</v>
      </c>
      <c r="I18" s="147">
        <f>ROUND(D18*H18,2)</f>
        <v>952278.89</v>
      </c>
      <c r="J18" s="135"/>
      <c r="K18" s="146">
        <f>I18-F18</f>
        <v>195392</v>
      </c>
      <c r="L18" s="148"/>
      <c r="M18" s="113"/>
      <c r="N18" s="113"/>
      <c r="P18" s="162"/>
      <c r="Q18" s="152">
        <f>H18/E18-1</f>
        <v>0.25815217391304346</v>
      </c>
    </row>
    <row r="19" spans="2:17">
      <c r="B19" s="145" t="s">
        <v>46</v>
      </c>
      <c r="C19" s="18" t="s">
        <v>30</v>
      </c>
      <c r="D19" s="21">
        <v>4021281.8230000003</v>
      </c>
      <c r="E19" s="154">
        <v>4.9169999999999998E-2</v>
      </c>
      <c r="F19" s="146">
        <f>ROUND(D19*E19,2)</f>
        <v>197726.43</v>
      </c>
      <c r="H19" s="155">
        <f>ROUND(E19*(1+$O$16),5)</f>
        <v>6.1859999999999998E-2</v>
      </c>
      <c r="I19" s="147">
        <f>ROUND(D19*H19,2)</f>
        <v>248756.49</v>
      </c>
      <c r="J19" s="135"/>
      <c r="K19" s="146">
        <f>I19-F19</f>
        <v>51030.06</v>
      </c>
      <c r="L19" s="148"/>
      <c r="M19" s="113"/>
      <c r="N19" s="113"/>
      <c r="O19" s="157"/>
      <c r="P19" s="157"/>
      <c r="Q19" s="152">
        <f>H19/E19-1</f>
        <v>0.25808419768151314</v>
      </c>
    </row>
    <row r="20" spans="2:17">
      <c r="B20" s="145" t="s">
        <v>47</v>
      </c>
      <c r="C20" s="18" t="s">
        <v>30</v>
      </c>
      <c r="D20" s="21">
        <v>4149095.0580000002</v>
      </c>
      <c r="E20" s="154">
        <v>4.7039999999999998E-2</v>
      </c>
      <c r="F20" s="146">
        <f>ROUND(D20*E20,2)</f>
        <v>195173.43</v>
      </c>
      <c r="H20" s="155">
        <f>ROUND(E20*(1+$O$16),5)</f>
        <v>5.9180000000000003E-2</v>
      </c>
      <c r="I20" s="147">
        <f>ROUND(D20*H20,2)</f>
        <v>245543.45</v>
      </c>
      <c r="J20" s="135"/>
      <c r="K20" s="146">
        <f>I20-F20</f>
        <v>50370.020000000019</v>
      </c>
      <c r="L20" s="163"/>
      <c r="M20" s="113"/>
      <c r="N20" s="113"/>
      <c r="O20" s="157"/>
      <c r="P20" s="157"/>
      <c r="Q20" s="152">
        <f>H20/E20-1</f>
        <v>0.25807823129251717</v>
      </c>
    </row>
    <row r="21" spans="2:17">
      <c r="B21" s="132" t="s">
        <v>178</v>
      </c>
      <c r="C21" s="133"/>
      <c r="D21" s="87">
        <f>SUM(D18:D20)</f>
        <v>15787998.554</v>
      </c>
      <c r="E21" s="14"/>
      <c r="F21" s="164">
        <f>SUM(F12:F20)</f>
        <v>1553046.30919838</v>
      </c>
      <c r="H21" s="112"/>
      <c r="I21" s="164">
        <f>SUM(I12:I20)</f>
        <v>1903412.26</v>
      </c>
      <c r="J21" s="135"/>
      <c r="K21" s="164">
        <f>SUM(K12:K20)</f>
        <v>350365.95080162003</v>
      </c>
      <c r="L21" s="165">
        <f>K21/F21</f>
        <v>0.22559916515462108</v>
      </c>
      <c r="M21" s="113"/>
      <c r="N21" s="113"/>
      <c r="O21" s="166"/>
      <c r="P21" s="1"/>
      <c r="Q21" s="167"/>
    </row>
    <row r="22" spans="2:17" ht="12.75" customHeight="1">
      <c r="B22" s="132"/>
      <c r="C22" s="133"/>
      <c r="D22" s="22"/>
      <c r="E22" s="14"/>
      <c r="F22" s="147"/>
      <c r="H22" s="112"/>
      <c r="I22" s="147"/>
      <c r="J22" s="135"/>
      <c r="K22" s="146"/>
      <c r="L22" s="148"/>
      <c r="M22" s="113"/>
      <c r="N22" s="113"/>
      <c r="O22" s="168"/>
      <c r="P22" s="169"/>
      <c r="Q22" s="170"/>
    </row>
    <row r="23" spans="2:17" ht="12.75" customHeight="1">
      <c r="B23" s="145" t="s">
        <v>176</v>
      </c>
      <c r="C23" s="133"/>
      <c r="D23" s="22"/>
      <c r="E23" s="14"/>
      <c r="F23" s="147"/>
      <c r="H23" s="112"/>
      <c r="I23" s="147"/>
      <c r="J23" s="135"/>
      <c r="K23" s="146"/>
      <c r="L23" s="148"/>
      <c r="M23" s="113"/>
      <c r="N23" s="113"/>
      <c r="O23" s="168"/>
      <c r="P23" s="169"/>
      <c r="Q23" s="170"/>
    </row>
    <row r="24" spans="2:17">
      <c r="B24" s="145" t="s">
        <v>195</v>
      </c>
      <c r="C24" s="18" t="s">
        <v>30</v>
      </c>
      <c r="D24" s="171">
        <f>D21</f>
        <v>15787998.554</v>
      </c>
      <c r="E24" s="154">
        <v>0.2702</v>
      </c>
      <c r="F24" s="147">
        <f>D24*E24</f>
        <v>4265917.2092907997</v>
      </c>
      <c r="G24" s="172"/>
      <c r="H24" s="173">
        <f>E24</f>
        <v>0.2702</v>
      </c>
      <c r="I24" s="147">
        <f>$D24*H24</f>
        <v>4265917.2092907997</v>
      </c>
      <c r="J24" s="135"/>
      <c r="K24" s="146">
        <f>I24-F24</f>
        <v>0</v>
      </c>
      <c r="L24" s="148"/>
      <c r="M24" s="113"/>
      <c r="N24" s="174"/>
    </row>
    <row r="25" spans="2:17">
      <c r="B25" s="145" t="s">
        <v>36</v>
      </c>
      <c r="C25" s="18" t="s">
        <v>34</v>
      </c>
      <c r="D25" s="171">
        <f>D13</f>
        <v>86412.906999999992</v>
      </c>
      <c r="E25" s="150">
        <v>1.05</v>
      </c>
      <c r="F25" s="147">
        <f>D25*E25</f>
        <v>90733.552349999998</v>
      </c>
      <c r="G25" s="172"/>
      <c r="H25" s="175">
        <f>E25</f>
        <v>1.05</v>
      </c>
      <c r="I25" s="147">
        <f>$D25*H25</f>
        <v>90733.552349999998</v>
      </c>
      <c r="J25" s="135"/>
      <c r="K25" s="146">
        <f>I25-F25</f>
        <v>0</v>
      </c>
      <c r="L25" s="163"/>
      <c r="M25" s="113"/>
      <c r="N25" s="113"/>
    </row>
    <row r="26" spans="2:17">
      <c r="B26" s="132" t="s">
        <v>196</v>
      </c>
      <c r="C26" s="133"/>
      <c r="D26" s="24"/>
      <c r="E26" s="14"/>
      <c r="F26" s="164">
        <f>SUM(F24:F25)</f>
        <v>4356650.7616407992</v>
      </c>
      <c r="G26" s="24"/>
      <c r="H26" s="112"/>
      <c r="I26" s="164">
        <f>SUM(I24:I25)</f>
        <v>4356650.7616407992</v>
      </c>
      <c r="J26" s="14"/>
      <c r="K26" s="164">
        <f>SUM(K24:K25)</f>
        <v>0</v>
      </c>
      <c r="L26" s="165">
        <f>ROUND(K26/F26,5)</f>
        <v>0</v>
      </c>
      <c r="M26" s="113"/>
      <c r="N26" s="113"/>
      <c r="O26" s="168"/>
      <c r="P26" s="169"/>
      <c r="Q26" s="170"/>
    </row>
    <row r="27" spans="2:17">
      <c r="B27" s="145"/>
      <c r="C27" s="18"/>
      <c r="D27" s="22"/>
      <c r="E27" s="112"/>
      <c r="F27" s="147"/>
      <c r="H27" s="112"/>
      <c r="I27" s="147"/>
      <c r="J27" s="135"/>
      <c r="K27" s="146"/>
      <c r="L27" s="163"/>
      <c r="M27" s="113"/>
      <c r="N27" s="113"/>
    </row>
    <row r="28" spans="2:17">
      <c r="B28" s="145" t="s">
        <v>177</v>
      </c>
      <c r="C28" s="18"/>
      <c r="D28" s="22"/>
      <c r="E28" s="155"/>
      <c r="F28" s="164">
        <f>F21+F26</f>
        <v>5909697.0708391797</v>
      </c>
      <c r="H28" s="112"/>
      <c r="I28" s="164">
        <f>I21+I26</f>
        <v>6260063.021640799</v>
      </c>
      <c r="J28" s="135"/>
      <c r="K28" s="164">
        <f>K21+K26</f>
        <v>350365.95080162003</v>
      </c>
      <c r="L28" s="165">
        <f>K28/F28</f>
        <v>5.92866176729204E-2</v>
      </c>
      <c r="M28" s="113"/>
      <c r="N28" s="113"/>
    </row>
    <row r="29" spans="2:17">
      <c r="B29" s="176"/>
      <c r="C29" s="177"/>
      <c r="D29" s="86"/>
      <c r="E29" s="178"/>
      <c r="F29" s="179"/>
      <c r="G29" s="86"/>
      <c r="H29" s="180"/>
      <c r="I29" s="179"/>
      <c r="J29" s="181"/>
      <c r="K29" s="179"/>
      <c r="L29" s="182"/>
      <c r="M29" s="113"/>
      <c r="N29" s="113"/>
    </row>
    <row r="30" spans="2:17">
      <c r="B30" s="24"/>
      <c r="C30" s="24"/>
      <c r="D30" s="22"/>
      <c r="E30" s="155"/>
      <c r="F30" s="183"/>
      <c r="H30" s="112"/>
      <c r="I30" s="184"/>
      <c r="J30" s="185"/>
      <c r="K30" s="183"/>
      <c r="L30" s="2"/>
      <c r="M30" s="113"/>
      <c r="N30" s="113"/>
    </row>
    <row r="31" spans="2:17">
      <c r="B31" s="137" t="s">
        <v>208</v>
      </c>
      <c r="C31" s="138"/>
      <c r="D31" s="87"/>
      <c r="E31" s="139"/>
      <c r="F31" s="140"/>
      <c r="G31" s="141"/>
      <c r="H31" s="142"/>
      <c r="I31" s="143"/>
      <c r="J31" s="143"/>
      <c r="K31" s="140"/>
      <c r="L31" s="144"/>
      <c r="M31" s="113"/>
      <c r="N31" s="113"/>
      <c r="O31" s="186"/>
      <c r="P31" s="187"/>
      <c r="Q31" s="22"/>
    </row>
    <row r="32" spans="2:17">
      <c r="B32" s="145"/>
      <c r="C32" s="18"/>
      <c r="D32" s="22"/>
      <c r="E32" s="111"/>
      <c r="F32" s="146"/>
      <c r="G32" s="134"/>
      <c r="H32" s="112"/>
      <c r="I32" s="147"/>
      <c r="J32" s="135"/>
      <c r="K32" s="146"/>
      <c r="L32" s="148"/>
      <c r="M32" s="113"/>
      <c r="N32" s="113"/>
      <c r="O32" s="24"/>
      <c r="P32" s="24"/>
      <c r="Q32" s="22"/>
    </row>
    <row r="33" spans="2:17">
      <c r="B33" s="132" t="s">
        <v>27</v>
      </c>
      <c r="C33" s="133" t="s">
        <v>28</v>
      </c>
      <c r="D33" s="21">
        <v>1199.4001036779719</v>
      </c>
      <c r="E33" s="150">
        <v>877.69</v>
      </c>
      <c r="F33" s="146">
        <f>ROUND(D33*E33,2)</f>
        <v>1052701.48</v>
      </c>
      <c r="H33" s="150">
        <v>903.09</v>
      </c>
      <c r="I33" s="147">
        <f>ROUND(D33*H33,2)</f>
        <v>1083166.24</v>
      </c>
      <c r="J33" s="135"/>
      <c r="K33" s="146">
        <f>I33-F33</f>
        <v>30464.760000000009</v>
      </c>
      <c r="L33" s="148"/>
      <c r="M33" s="113"/>
      <c r="N33" s="113"/>
      <c r="O33" s="187"/>
      <c r="P33" s="187"/>
      <c r="Q33" s="152">
        <f>H33/E33-1</f>
        <v>2.8939602821041577E-2</v>
      </c>
    </row>
    <row r="34" spans="2:17">
      <c r="B34" s="145" t="s">
        <v>36</v>
      </c>
      <c r="C34" s="18" t="s">
        <v>34</v>
      </c>
      <c r="D34" s="21">
        <v>697056</v>
      </c>
      <c r="E34" s="150">
        <v>1.21</v>
      </c>
      <c r="F34" s="146">
        <f>ROUND(D34*E34,2)</f>
        <v>843437.76</v>
      </c>
      <c r="H34" s="112">
        <f>$H$13</f>
        <v>1.3</v>
      </c>
      <c r="I34" s="147">
        <f>ROUND(D34*H34,2)</f>
        <v>906172.8</v>
      </c>
      <c r="J34" s="135"/>
      <c r="K34" s="146">
        <f>I34-F34</f>
        <v>62735.040000000037</v>
      </c>
      <c r="L34" s="148"/>
      <c r="M34" s="113"/>
      <c r="N34" s="113"/>
      <c r="O34" s="24"/>
      <c r="P34" s="24"/>
      <c r="Q34" s="152">
        <f>H34/E34-1</f>
        <v>7.4380165289256173E-2</v>
      </c>
    </row>
    <row r="35" spans="2:17">
      <c r="B35" s="145" t="s">
        <v>44</v>
      </c>
      <c r="C35" s="18"/>
      <c r="D35" s="21"/>
      <c r="E35" s="150"/>
      <c r="F35" s="188">
        <v>12284.61</v>
      </c>
      <c r="H35" s="112"/>
      <c r="I35" s="147">
        <f>F35</f>
        <v>12284.61</v>
      </c>
      <c r="J35" s="135"/>
      <c r="K35" s="146">
        <f>I35-F35</f>
        <v>0</v>
      </c>
      <c r="L35" s="148"/>
      <c r="M35" s="113"/>
      <c r="N35" s="113"/>
      <c r="O35" s="24"/>
      <c r="P35" s="24"/>
      <c r="Q35" s="189"/>
    </row>
    <row r="36" spans="2:17">
      <c r="B36" s="145"/>
      <c r="C36" s="18"/>
      <c r="D36" s="21"/>
      <c r="E36" s="154"/>
      <c r="F36" s="18"/>
      <c r="H36" s="155"/>
      <c r="I36" s="18"/>
      <c r="J36" s="14"/>
      <c r="K36" s="146"/>
      <c r="L36" s="148"/>
      <c r="M36" s="113"/>
      <c r="N36" s="113"/>
      <c r="O36" s="24"/>
      <c r="P36" s="24"/>
      <c r="Q36" s="22"/>
    </row>
    <row r="37" spans="2:17">
      <c r="B37" s="145"/>
      <c r="C37" s="18"/>
      <c r="D37" s="21"/>
      <c r="E37" s="154"/>
      <c r="F37" s="146"/>
      <c r="H37" s="155"/>
      <c r="I37" s="147"/>
      <c r="J37" s="135"/>
      <c r="K37" s="146"/>
      <c r="L37" s="148"/>
      <c r="M37" s="113"/>
      <c r="N37" s="113"/>
      <c r="O37" s="18"/>
      <c r="P37" s="24"/>
      <c r="Q37" s="22"/>
    </row>
    <row r="38" spans="2:17">
      <c r="B38" s="145" t="s">
        <v>37</v>
      </c>
      <c r="C38" s="18"/>
      <c r="D38" s="21"/>
      <c r="E38" s="154"/>
      <c r="F38" s="146"/>
      <c r="H38" s="155"/>
      <c r="I38" s="147"/>
      <c r="J38" s="135"/>
      <c r="K38" s="146"/>
      <c r="L38" s="148"/>
      <c r="M38" s="113"/>
      <c r="N38" s="113"/>
      <c r="O38" s="24"/>
      <c r="P38" s="24"/>
      <c r="Q38" s="22"/>
    </row>
    <row r="39" spans="2:17">
      <c r="B39" s="145" t="s">
        <v>45</v>
      </c>
      <c r="C39" s="18" t="s">
        <v>30</v>
      </c>
      <c r="D39" s="21">
        <v>28123063.680000003</v>
      </c>
      <c r="E39" s="154">
        <v>9.9360000000000004E-2</v>
      </c>
      <c r="F39" s="146">
        <f>ROUND(D39*E39,2)</f>
        <v>2794307.61</v>
      </c>
      <c r="H39" s="155">
        <f>H18</f>
        <v>0.12501000000000001</v>
      </c>
      <c r="I39" s="147">
        <f>ROUND(D39*H39,2)</f>
        <v>3515664.19</v>
      </c>
      <c r="J39" s="135"/>
      <c r="K39" s="146">
        <f>I39-F39</f>
        <v>721356.58000000007</v>
      </c>
      <c r="L39" s="148"/>
      <c r="M39" s="113"/>
      <c r="N39" s="113"/>
      <c r="O39" s="24"/>
      <c r="P39" s="24"/>
      <c r="Q39" s="152">
        <f>H39/E39-1</f>
        <v>0.25815217391304346</v>
      </c>
    </row>
    <row r="40" spans="2:17">
      <c r="B40" s="145" t="s">
        <v>46</v>
      </c>
      <c r="C40" s="18" t="s">
        <v>30</v>
      </c>
      <c r="D40" s="21">
        <v>18732272.719999999</v>
      </c>
      <c r="E40" s="154">
        <v>4.9169999999999998E-2</v>
      </c>
      <c r="F40" s="146">
        <f>ROUND(D40*E40,2)</f>
        <v>921065.85</v>
      </c>
      <c r="H40" s="155">
        <f>H19</f>
        <v>6.1859999999999998E-2</v>
      </c>
      <c r="I40" s="147">
        <f>ROUND(D40*H40,2)</f>
        <v>1158778.3899999999</v>
      </c>
      <c r="J40" s="135"/>
      <c r="K40" s="146">
        <f>I40-F40</f>
        <v>237712.53999999992</v>
      </c>
      <c r="L40" s="148"/>
      <c r="M40" s="113"/>
      <c r="N40" s="113"/>
      <c r="O40" s="24"/>
      <c r="P40" s="24"/>
      <c r="Q40" s="152">
        <f>H40/E40-1</f>
        <v>0.25808419768151314</v>
      </c>
    </row>
    <row r="41" spans="2:17">
      <c r="B41" s="145" t="s">
        <v>48</v>
      </c>
      <c r="C41" s="18" t="s">
        <v>30</v>
      </c>
      <c r="D41" s="21">
        <v>27976821.809999999</v>
      </c>
      <c r="E41" s="154">
        <v>4.7039999999999998E-2</v>
      </c>
      <c r="F41" s="179">
        <f>ROUND(D41*E41,2)</f>
        <v>1316029.7</v>
      </c>
      <c r="H41" s="155">
        <f>H20</f>
        <v>5.9180000000000003E-2</v>
      </c>
      <c r="I41" s="147">
        <f>ROUND(D41*H41,2)</f>
        <v>1655668.31</v>
      </c>
      <c r="J41" s="135"/>
      <c r="K41" s="146">
        <f>I41-F41</f>
        <v>339638.6100000001</v>
      </c>
      <c r="L41" s="163"/>
      <c r="M41" s="113"/>
      <c r="N41" s="113"/>
      <c r="O41" s="24"/>
      <c r="P41" s="24"/>
      <c r="Q41" s="152">
        <f>H41/E41-1</f>
        <v>0.25807823129251717</v>
      </c>
    </row>
    <row r="42" spans="2:17">
      <c r="B42" s="132" t="s">
        <v>178</v>
      </c>
      <c r="C42" s="133"/>
      <c r="D42" s="87">
        <f>SUM(D39:D41)</f>
        <v>74832158.210000008</v>
      </c>
      <c r="E42" s="190"/>
      <c r="F42" s="164">
        <f>SUM(F33:F41)</f>
        <v>6939827.0099999998</v>
      </c>
      <c r="H42" s="112"/>
      <c r="I42" s="164">
        <f>SUM(I33:I41)</f>
        <v>8331734.5399999991</v>
      </c>
      <c r="J42" s="135"/>
      <c r="K42" s="164">
        <f>SUM(K33:K41)</f>
        <v>1391907.53</v>
      </c>
      <c r="L42" s="165">
        <f>K42/F42</f>
        <v>0.20056804413054094</v>
      </c>
      <c r="M42" s="113"/>
      <c r="N42" s="113"/>
      <c r="O42" s="24"/>
      <c r="P42" s="24"/>
      <c r="Q42" s="22"/>
    </row>
    <row r="43" spans="2:17">
      <c r="B43" s="132"/>
      <c r="C43" s="133"/>
      <c r="D43" s="22"/>
      <c r="E43" s="190"/>
      <c r="F43" s="147"/>
      <c r="H43" s="112"/>
      <c r="I43" s="147"/>
      <c r="J43" s="135"/>
      <c r="K43" s="146"/>
      <c r="L43" s="148"/>
      <c r="M43" s="113"/>
      <c r="N43" s="113"/>
      <c r="O43" s="187"/>
      <c r="P43" s="24"/>
      <c r="Q43" s="22"/>
    </row>
    <row r="44" spans="2:17">
      <c r="B44" s="145" t="s">
        <v>191</v>
      </c>
      <c r="C44" s="18" t="s">
        <v>30</v>
      </c>
      <c r="D44" s="171">
        <f>D42</f>
        <v>74832158.210000008</v>
      </c>
      <c r="E44" s="154">
        <v>6.9999999999999999E-4</v>
      </c>
      <c r="F44" s="147">
        <f>E44*D44</f>
        <v>52382.510747000008</v>
      </c>
      <c r="G44" s="172"/>
      <c r="H44" s="191">
        <v>1E-3</v>
      </c>
      <c r="I44" s="146">
        <f>H44*D44</f>
        <v>74832.158210000009</v>
      </c>
      <c r="J44" s="135"/>
      <c r="K44" s="146">
        <f>I44-F44</f>
        <v>22449.647463000001</v>
      </c>
      <c r="L44" s="148"/>
      <c r="M44" s="113"/>
      <c r="N44" s="113"/>
      <c r="O44" s="187"/>
      <c r="P44" s="187"/>
      <c r="Q44" s="22"/>
    </row>
    <row r="45" spans="2:17">
      <c r="B45" s="132" t="s">
        <v>177</v>
      </c>
      <c r="C45" s="18"/>
      <c r="D45" s="22"/>
      <c r="E45" s="192"/>
      <c r="F45" s="164">
        <f>F44+F42</f>
        <v>6992209.5207469994</v>
      </c>
      <c r="G45" s="24"/>
      <c r="H45" s="112"/>
      <c r="I45" s="164">
        <f>I44+I42</f>
        <v>8406566.6982099991</v>
      </c>
      <c r="J45" s="14"/>
      <c r="K45" s="164">
        <f>K44+K42</f>
        <v>1414357.1774629999</v>
      </c>
      <c r="L45" s="165">
        <f>ROUND(K45/F45,5)</f>
        <v>0.20227999999999999</v>
      </c>
      <c r="M45" s="113"/>
      <c r="N45" s="113"/>
      <c r="O45" s="193"/>
      <c r="P45" s="24"/>
      <c r="Q45" s="172"/>
    </row>
    <row r="46" spans="2:17">
      <c r="B46" s="176"/>
      <c r="C46" s="177"/>
      <c r="D46" s="86"/>
      <c r="E46" s="178"/>
      <c r="F46" s="179"/>
      <c r="G46" s="86"/>
      <c r="H46" s="180"/>
      <c r="I46" s="194"/>
      <c r="J46" s="181"/>
      <c r="K46" s="179"/>
      <c r="L46" s="182"/>
      <c r="M46" s="113"/>
      <c r="N46" s="113"/>
      <c r="O46" s="24"/>
      <c r="P46" s="24"/>
      <c r="Q46" s="22"/>
    </row>
    <row r="47" spans="2:17">
      <c r="B47" s="18"/>
      <c r="C47" s="18"/>
      <c r="D47" s="22"/>
      <c r="E47" s="111"/>
      <c r="F47" s="146"/>
      <c r="H47" s="112"/>
      <c r="I47" s="147"/>
      <c r="J47" s="135"/>
      <c r="K47" s="146"/>
      <c r="L47" s="195"/>
      <c r="M47" s="113"/>
      <c r="N47" s="113"/>
      <c r="O47" s="24"/>
      <c r="P47" s="24"/>
      <c r="Q47" s="22"/>
    </row>
    <row r="48" spans="2:17">
      <c r="B48" s="196" t="s">
        <v>209</v>
      </c>
      <c r="C48" s="138"/>
      <c r="D48" s="87"/>
      <c r="E48" s="139"/>
      <c r="F48" s="140"/>
      <c r="G48" s="141"/>
      <c r="H48" s="142"/>
      <c r="I48" s="143"/>
      <c r="J48" s="143"/>
      <c r="K48" s="140"/>
      <c r="L48" s="144"/>
      <c r="M48" s="113"/>
      <c r="N48" s="113"/>
      <c r="O48" s="24"/>
      <c r="P48" s="24"/>
      <c r="Q48" s="22"/>
    </row>
    <row r="49" spans="2:17">
      <c r="B49" s="145"/>
      <c r="C49" s="18"/>
      <c r="D49" s="22"/>
      <c r="E49" s="155"/>
      <c r="F49" s="183"/>
      <c r="G49" s="134"/>
      <c r="H49" s="112"/>
      <c r="I49" s="184"/>
      <c r="J49" s="185"/>
      <c r="K49" s="183"/>
      <c r="L49" s="197"/>
      <c r="M49" s="198"/>
      <c r="N49" s="113"/>
      <c r="O49" s="24"/>
      <c r="P49" s="24"/>
      <c r="Q49" s="22"/>
    </row>
    <row r="50" spans="2:17">
      <c r="B50" s="132" t="s">
        <v>27</v>
      </c>
      <c r="C50" s="133" t="s">
        <v>28</v>
      </c>
      <c r="D50" s="22">
        <f>D33+D12</f>
        <v>1528.9179219236264</v>
      </c>
      <c r="E50" s="192"/>
      <c r="F50" s="183">
        <f>F12+F33</f>
        <v>1233465.07</v>
      </c>
      <c r="H50" s="112"/>
      <c r="I50" s="183">
        <f>I12+I33</f>
        <v>1279255.7</v>
      </c>
      <c r="J50" s="185"/>
      <c r="K50" s="183">
        <f>I50-F50</f>
        <v>45790.629999999888</v>
      </c>
      <c r="L50" s="197"/>
      <c r="M50" s="198"/>
      <c r="N50" s="113"/>
      <c r="O50" s="24"/>
      <c r="P50" s="24"/>
      <c r="Q50" s="152"/>
    </row>
    <row r="51" spans="2:17">
      <c r="B51" s="145" t="s">
        <v>36</v>
      </c>
      <c r="C51" s="18" t="s">
        <v>34</v>
      </c>
      <c r="D51" s="22">
        <f>D34+D13</f>
        <v>783468.90700000001</v>
      </c>
      <c r="E51" s="192"/>
      <c r="F51" s="183">
        <f>F13+F34</f>
        <v>947997.38</v>
      </c>
      <c r="H51" s="112"/>
      <c r="I51" s="183">
        <f>I13+I34</f>
        <v>1018509.5800000001</v>
      </c>
      <c r="J51" s="185"/>
      <c r="K51" s="183">
        <f>I51-F51</f>
        <v>70512.20000000007</v>
      </c>
      <c r="L51" s="197"/>
      <c r="M51" s="198"/>
      <c r="N51" s="113"/>
      <c r="O51" s="24"/>
      <c r="P51" s="24"/>
      <c r="Q51" s="152"/>
    </row>
    <row r="52" spans="2:17">
      <c r="B52" s="145" t="s">
        <v>33</v>
      </c>
      <c r="C52" s="18" t="s">
        <v>30</v>
      </c>
      <c r="D52" s="22">
        <f>D35+D14</f>
        <v>15787998.554</v>
      </c>
      <c r="E52" s="192"/>
      <c r="F52" s="183">
        <f>F14</f>
        <v>117936.34919838</v>
      </c>
      <c r="H52" s="112"/>
      <c r="I52" s="183">
        <f>I14</f>
        <v>148407.19</v>
      </c>
      <c r="J52" s="185"/>
      <c r="K52" s="183">
        <f>I52-F52</f>
        <v>30470.840801619997</v>
      </c>
      <c r="L52" s="197"/>
      <c r="M52" s="198"/>
      <c r="N52" s="113"/>
      <c r="O52" s="24"/>
      <c r="P52" s="24"/>
      <c r="Q52" s="152"/>
    </row>
    <row r="53" spans="2:17">
      <c r="B53" s="145" t="s">
        <v>44</v>
      </c>
      <c r="C53" s="18"/>
      <c r="D53" s="189"/>
      <c r="E53" s="192"/>
      <c r="F53" s="184">
        <f>F15+F35</f>
        <v>12284.61</v>
      </c>
      <c r="H53" s="112"/>
      <c r="I53" s="184">
        <f>I15+I35</f>
        <v>12284.61</v>
      </c>
      <c r="J53" s="185"/>
      <c r="K53" s="183">
        <f>I53-F53</f>
        <v>0</v>
      </c>
      <c r="L53" s="197"/>
      <c r="M53" s="198"/>
      <c r="N53" s="113"/>
      <c r="O53" s="24"/>
      <c r="P53" s="24"/>
      <c r="Q53" s="22"/>
    </row>
    <row r="54" spans="2:17">
      <c r="B54" s="145"/>
      <c r="C54" s="18"/>
      <c r="D54" s="22"/>
      <c r="E54" s="157"/>
      <c r="F54" s="24"/>
      <c r="H54" s="155"/>
      <c r="I54" s="24"/>
      <c r="J54" s="112"/>
      <c r="K54" s="183"/>
      <c r="L54" s="197"/>
      <c r="M54" s="198"/>
      <c r="N54" s="113"/>
      <c r="O54" s="24"/>
      <c r="P54" s="24"/>
      <c r="Q54" s="22"/>
    </row>
    <row r="55" spans="2:17">
      <c r="B55" s="145" t="s">
        <v>37</v>
      </c>
      <c r="C55" s="18"/>
      <c r="D55" s="22"/>
      <c r="E55" s="157"/>
      <c r="F55" s="183"/>
      <c r="H55" s="155"/>
      <c r="I55" s="183"/>
      <c r="J55" s="185"/>
      <c r="K55" s="183"/>
      <c r="L55" s="197"/>
      <c r="M55" s="198"/>
      <c r="N55" s="113"/>
      <c r="O55" s="24"/>
      <c r="P55" s="24"/>
      <c r="Q55" s="22"/>
    </row>
    <row r="56" spans="2:17">
      <c r="B56" s="145" t="s">
        <v>45</v>
      </c>
      <c r="C56" s="18" t="s">
        <v>30</v>
      </c>
      <c r="D56" s="22">
        <f>D39+D18</f>
        <v>35740685.353</v>
      </c>
      <c r="E56" s="157"/>
      <c r="F56" s="183">
        <f>F18+F39</f>
        <v>3551194.5</v>
      </c>
      <c r="H56" s="157"/>
      <c r="I56" s="183">
        <f>I18+I39</f>
        <v>4467943.08</v>
      </c>
      <c r="J56" s="185"/>
      <c r="K56" s="183">
        <f>I56-F56</f>
        <v>916748.58000000007</v>
      </c>
      <c r="L56" s="197"/>
      <c r="M56" s="198"/>
      <c r="N56" s="113"/>
      <c r="O56" s="24"/>
      <c r="P56" s="24"/>
      <c r="Q56" s="22"/>
    </row>
    <row r="57" spans="2:17">
      <c r="B57" s="145" t="s">
        <v>46</v>
      </c>
      <c r="C57" s="18" t="s">
        <v>30</v>
      </c>
      <c r="D57" s="22">
        <f>D40+D19</f>
        <v>22753554.542999998</v>
      </c>
      <c r="E57" s="157"/>
      <c r="F57" s="183">
        <f>F19+F40</f>
        <v>1118792.28</v>
      </c>
      <c r="H57" s="157"/>
      <c r="I57" s="183">
        <f>I19+I40</f>
        <v>1407534.88</v>
      </c>
      <c r="J57" s="185"/>
      <c r="K57" s="183">
        <f>I57-F57</f>
        <v>288742.59999999986</v>
      </c>
      <c r="L57" s="197"/>
      <c r="M57" s="198"/>
      <c r="N57" s="113"/>
      <c r="O57" s="24"/>
      <c r="P57" s="24"/>
      <c r="Q57" s="22"/>
    </row>
    <row r="58" spans="2:17">
      <c r="B58" s="145" t="s">
        <v>47</v>
      </c>
      <c r="C58" s="18" t="s">
        <v>30</v>
      </c>
      <c r="D58" s="22">
        <f>D41+D20</f>
        <v>32125916.868000001</v>
      </c>
      <c r="E58" s="157"/>
      <c r="F58" s="199">
        <f>F20+F41</f>
        <v>1511203.13</v>
      </c>
      <c r="H58" s="155"/>
      <c r="I58" s="199">
        <f>I20+I41</f>
        <v>1901211.76</v>
      </c>
      <c r="J58" s="185"/>
      <c r="K58" s="183">
        <f>I58-F58</f>
        <v>390008.63000000012</v>
      </c>
      <c r="L58" s="200"/>
      <c r="M58" s="198"/>
      <c r="N58" s="113"/>
      <c r="O58" s="24"/>
      <c r="P58" s="24"/>
      <c r="Q58" s="22"/>
    </row>
    <row r="59" spans="2:17">
      <c r="B59" s="132" t="s">
        <v>178</v>
      </c>
      <c r="C59" s="133"/>
      <c r="D59" s="87">
        <f>SUM(D56:D58)</f>
        <v>90620156.763999999</v>
      </c>
      <c r="E59" s="112"/>
      <c r="F59" s="201">
        <f>SUM(F50:F58)</f>
        <v>8492873.3191983812</v>
      </c>
      <c r="H59" s="112"/>
      <c r="I59" s="201">
        <f>SUM(I50:I58)</f>
        <v>10235146.800000001</v>
      </c>
      <c r="J59" s="185"/>
      <c r="K59" s="201">
        <f>SUM(K50:K58)</f>
        <v>1742273.4808016201</v>
      </c>
      <c r="L59" s="165">
        <f>K59/F59</f>
        <v>0.20514535132216813</v>
      </c>
      <c r="M59" s="198"/>
      <c r="N59" s="113"/>
      <c r="O59" s="24"/>
      <c r="P59" s="24"/>
      <c r="Q59" s="22"/>
    </row>
    <row r="60" spans="2:17">
      <c r="B60" s="132"/>
      <c r="C60" s="133"/>
      <c r="D60" s="22"/>
      <c r="E60" s="112"/>
      <c r="F60" s="184"/>
      <c r="H60" s="112"/>
      <c r="I60" s="184"/>
      <c r="J60" s="185"/>
      <c r="K60" s="183"/>
      <c r="L60" s="197"/>
      <c r="M60" s="198"/>
      <c r="N60" s="113"/>
      <c r="O60" s="24"/>
      <c r="P60" s="24"/>
      <c r="Q60" s="22"/>
    </row>
    <row r="61" spans="2:17">
      <c r="B61" s="145" t="s">
        <v>176</v>
      </c>
      <c r="C61" s="133"/>
      <c r="D61" s="22"/>
      <c r="E61" s="112"/>
      <c r="F61" s="184"/>
      <c r="H61" s="112"/>
      <c r="I61" s="184"/>
      <c r="J61" s="185"/>
      <c r="K61" s="183"/>
      <c r="L61" s="197"/>
      <c r="M61" s="198"/>
      <c r="N61" s="113"/>
      <c r="O61" s="24"/>
      <c r="P61" s="24"/>
      <c r="Q61" s="22"/>
    </row>
    <row r="62" spans="2:17">
      <c r="B62" s="145" t="s">
        <v>195</v>
      </c>
      <c r="C62" s="133"/>
      <c r="D62" s="22">
        <f>D24</f>
        <v>15787998.554</v>
      </c>
      <c r="E62" s="112"/>
      <c r="F62" s="184">
        <f>F24</f>
        <v>4265917.2092907997</v>
      </c>
      <c r="H62" s="112"/>
      <c r="I62" s="184">
        <f>I24</f>
        <v>4265917.2092907997</v>
      </c>
      <c r="J62" s="185"/>
      <c r="K62" s="183">
        <f>I62-F62</f>
        <v>0</v>
      </c>
      <c r="L62" s="197"/>
      <c r="M62" s="198"/>
      <c r="N62" s="113"/>
      <c r="O62" s="24"/>
      <c r="P62" s="24"/>
      <c r="Q62" s="22"/>
    </row>
    <row r="63" spans="2:17">
      <c r="B63" s="145" t="s">
        <v>36</v>
      </c>
      <c r="C63" s="133"/>
      <c r="D63" s="22">
        <f>D25</f>
        <v>86412.906999999992</v>
      </c>
      <c r="E63" s="112"/>
      <c r="F63" s="184">
        <f>F25</f>
        <v>90733.552349999998</v>
      </c>
      <c r="H63" s="112"/>
      <c r="I63" s="184">
        <f>I25</f>
        <v>90733.552349999998</v>
      </c>
      <c r="J63" s="185"/>
      <c r="K63" s="183">
        <f>I63-F63</f>
        <v>0</v>
      </c>
      <c r="L63" s="197"/>
      <c r="M63" s="198"/>
      <c r="N63" s="113"/>
      <c r="O63" s="24"/>
      <c r="P63" s="24"/>
      <c r="Q63" s="22"/>
    </row>
    <row r="64" spans="2:17">
      <c r="B64" s="145" t="s">
        <v>191</v>
      </c>
      <c r="C64" s="18" t="s">
        <v>30</v>
      </c>
      <c r="D64" s="22">
        <f>D44</f>
        <v>74832158.210000008</v>
      </c>
      <c r="E64" s="112"/>
      <c r="F64" s="184">
        <f>F44</f>
        <v>52382.510747000008</v>
      </c>
      <c r="H64" s="112"/>
      <c r="I64" s="184">
        <f>I44</f>
        <v>74832.158210000009</v>
      </c>
      <c r="J64" s="185"/>
      <c r="K64" s="183">
        <f>I64-F64</f>
        <v>22449.647463000001</v>
      </c>
      <c r="L64" s="197"/>
      <c r="M64" s="198"/>
      <c r="N64" s="113"/>
      <c r="O64" s="24"/>
      <c r="P64" s="24"/>
      <c r="Q64" s="22"/>
    </row>
    <row r="65" spans="1:17">
      <c r="B65" s="132" t="s">
        <v>196</v>
      </c>
      <c r="C65" s="133"/>
      <c r="D65" s="22"/>
      <c r="E65" s="112"/>
      <c r="F65" s="201">
        <f>SUM(F62:F64)</f>
        <v>4409033.2723877989</v>
      </c>
      <c r="H65" s="112"/>
      <c r="I65" s="201">
        <f>SUM(I62:I64)</f>
        <v>4431482.9198507993</v>
      </c>
      <c r="J65" s="185"/>
      <c r="K65" s="201">
        <f>SUM(K62:K64)</f>
        <v>22449.647463000001</v>
      </c>
      <c r="L65" s="165">
        <f>K65/F65</f>
        <v>5.0917391809207086E-3</v>
      </c>
      <c r="M65" s="198"/>
      <c r="N65" s="113"/>
      <c r="O65" s="24"/>
      <c r="P65" s="24"/>
      <c r="Q65" s="22"/>
    </row>
    <row r="66" spans="1:17">
      <c r="B66" s="132"/>
      <c r="C66" s="133"/>
      <c r="D66" s="22"/>
      <c r="E66" s="112"/>
      <c r="F66" s="184"/>
      <c r="H66" s="112"/>
      <c r="I66" s="184"/>
      <c r="J66" s="185"/>
      <c r="K66" s="183"/>
      <c r="L66" s="197"/>
      <c r="M66" s="198"/>
      <c r="N66" s="113"/>
      <c r="O66" s="24"/>
      <c r="P66" s="24"/>
      <c r="Q66" s="22"/>
    </row>
    <row r="67" spans="1:17">
      <c r="B67" s="145" t="s">
        <v>177</v>
      </c>
      <c r="C67" s="18"/>
      <c r="D67" s="22"/>
      <c r="E67" s="112"/>
      <c r="F67" s="201">
        <f>F59+F65</f>
        <v>12901906.59158618</v>
      </c>
      <c r="H67" s="112"/>
      <c r="I67" s="201">
        <f>I59+I65</f>
        <v>14666629.719850801</v>
      </c>
      <c r="J67" s="185"/>
      <c r="K67" s="201">
        <f>K59+K65</f>
        <v>1764723.12826462</v>
      </c>
      <c r="L67" s="165">
        <f>K67/F67</f>
        <v>0.1367800267144596</v>
      </c>
      <c r="M67" s="198"/>
      <c r="N67" s="113"/>
    </row>
    <row r="68" spans="1:17">
      <c r="B68" s="176"/>
      <c r="C68" s="177"/>
      <c r="D68" s="86"/>
      <c r="E68" s="202"/>
      <c r="F68" s="199"/>
      <c r="G68" s="86"/>
      <c r="H68" s="180"/>
      <c r="I68" s="203"/>
      <c r="J68" s="204"/>
      <c r="K68" s="199"/>
      <c r="L68" s="205"/>
      <c r="M68" s="198"/>
      <c r="N68" s="113"/>
    </row>
    <row r="69" spans="1:17">
      <c r="A69" s="18"/>
      <c r="B69" s="18"/>
      <c r="C69" s="18"/>
      <c r="D69" s="22"/>
      <c r="E69" s="111"/>
      <c r="F69" s="146"/>
      <c r="H69" s="112"/>
      <c r="I69" s="147"/>
      <c r="J69" s="135"/>
      <c r="K69" s="146"/>
      <c r="L69" s="195"/>
      <c r="M69" s="113"/>
      <c r="N69" s="113"/>
      <c r="O69" s="18"/>
    </row>
    <row r="70" spans="1:17">
      <c r="B70" s="137" t="s">
        <v>210</v>
      </c>
      <c r="C70" s="138"/>
      <c r="D70" s="87"/>
      <c r="E70" s="139"/>
      <c r="F70" s="140"/>
      <c r="G70" s="87"/>
      <c r="H70" s="142"/>
      <c r="I70" s="164"/>
      <c r="J70" s="143"/>
      <c r="K70" s="140"/>
      <c r="L70" s="206"/>
      <c r="M70" s="113"/>
      <c r="N70" s="113"/>
      <c r="O70" s="18"/>
    </row>
    <row r="71" spans="1:17">
      <c r="B71" s="145"/>
      <c r="C71" s="18"/>
      <c r="D71" s="22"/>
      <c r="E71" s="111"/>
      <c r="F71" s="146"/>
      <c r="G71" s="134"/>
      <c r="H71" s="112"/>
      <c r="I71" s="147"/>
      <c r="J71" s="135"/>
      <c r="K71" s="146"/>
      <c r="L71" s="148"/>
      <c r="M71" s="113"/>
      <c r="N71" s="113"/>
      <c r="O71" s="149" t="s">
        <v>211</v>
      </c>
    </row>
    <row r="72" spans="1:17">
      <c r="B72" s="132" t="s">
        <v>27</v>
      </c>
      <c r="C72" s="133" t="s">
        <v>28</v>
      </c>
      <c r="D72" s="21">
        <v>2661.5565121011946</v>
      </c>
      <c r="E72" s="150">
        <v>139.36000000000001</v>
      </c>
      <c r="F72" s="146">
        <f>ROUND(D72*E72,2)</f>
        <v>370914.52</v>
      </c>
      <c r="H72" s="150">
        <v>148.82</v>
      </c>
      <c r="I72" s="147">
        <f>ROUND(D72*H72,2)</f>
        <v>396092.84</v>
      </c>
      <c r="J72" s="135"/>
      <c r="K72" s="146">
        <f>I72-F72</f>
        <v>25178.320000000007</v>
      </c>
      <c r="L72" s="148"/>
      <c r="M72" s="113"/>
      <c r="N72" s="113"/>
      <c r="O72" s="151">
        <v>0</v>
      </c>
      <c r="Q72" s="152">
        <f>H72/E72-1</f>
        <v>6.7881745120550896E-2</v>
      </c>
    </row>
    <row r="73" spans="1:17">
      <c r="B73" s="145" t="s">
        <v>36</v>
      </c>
      <c r="C73" s="18" t="s">
        <v>34</v>
      </c>
      <c r="D73" s="21">
        <v>82401.308999999994</v>
      </c>
      <c r="E73" s="150">
        <v>1.22</v>
      </c>
      <c r="F73" s="146">
        <f>ROUND(D73*E73,2)</f>
        <v>100529.60000000001</v>
      </c>
      <c r="H73" s="150">
        <v>1.35</v>
      </c>
      <c r="I73" s="147">
        <f>ROUND(D73*H73,2)</f>
        <v>111241.77</v>
      </c>
      <c r="J73" s="135"/>
      <c r="K73" s="146">
        <f>I73-F73</f>
        <v>10712.169999999998</v>
      </c>
      <c r="L73" s="148"/>
      <c r="M73" s="113"/>
      <c r="N73" s="113"/>
      <c r="O73" s="153" t="s">
        <v>175</v>
      </c>
      <c r="Q73" s="152">
        <f>H73/E73-1</f>
        <v>0.10655737704918034</v>
      </c>
    </row>
    <row r="74" spans="1:17">
      <c r="B74" s="145" t="s">
        <v>33</v>
      </c>
      <c r="C74" s="18" t="s">
        <v>30</v>
      </c>
      <c r="D74" s="22">
        <f>D80</f>
        <v>8752636.7930000015</v>
      </c>
      <c r="E74" s="154">
        <v>9.0699999999999999E-3</v>
      </c>
      <c r="F74" s="146">
        <f>ROUND(D74*E74,2)</f>
        <v>79386.42</v>
      </c>
      <c r="H74" s="155">
        <f>ROUND(E74*(1+$O$76),5)</f>
        <v>8.8299999999999993E-3</v>
      </c>
      <c r="I74" s="147">
        <f>ROUND(D80*H74,2)</f>
        <v>77285.78</v>
      </c>
      <c r="J74" s="135"/>
      <c r="K74" s="146">
        <f>I74-F74</f>
        <v>-2100.6399999999994</v>
      </c>
      <c r="L74" s="148"/>
      <c r="M74" s="113"/>
      <c r="N74" s="113"/>
      <c r="O74" s="156">
        <f>K80+K99-O72</f>
        <v>21.129999999994652</v>
      </c>
      <c r="Q74" s="152">
        <f>H74/E74-1</f>
        <v>-2.6460859977949336E-2</v>
      </c>
    </row>
    <row r="75" spans="1:17">
      <c r="B75" s="145" t="s">
        <v>44</v>
      </c>
      <c r="C75" s="18"/>
      <c r="D75" s="22"/>
      <c r="E75" s="154"/>
      <c r="F75" s="188">
        <v>35297.54</v>
      </c>
      <c r="H75" s="155"/>
      <c r="I75" s="147">
        <f>F75</f>
        <v>35297.54</v>
      </c>
      <c r="J75" s="207"/>
      <c r="K75" s="146">
        <f>I75-F75</f>
        <v>0</v>
      </c>
      <c r="L75" s="148"/>
      <c r="M75" s="113"/>
      <c r="N75" s="113"/>
      <c r="O75" s="161"/>
    </row>
    <row r="76" spans="1:17">
      <c r="B76" s="145"/>
      <c r="C76" s="18"/>
      <c r="D76" s="22"/>
      <c r="E76" s="154"/>
      <c r="F76" s="146"/>
      <c r="H76" s="155"/>
      <c r="I76" s="147"/>
      <c r="J76" s="135"/>
      <c r="K76" s="146"/>
      <c r="L76" s="148"/>
      <c r="M76" s="113"/>
      <c r="N76" s="113"/>
      <c r="O76" s="160">
        <v>-2.6009999999999998E-2</v>
      </c>
      <c r="P76" s="169"/>
      <c r="Q76" s="169"/>
    </row>
    <row r="77" spans="1:17">
      <c r="B77" s="145" t="s">
        <v>37</v>
      </c>
      <c r="C77" s="18"/>
      <c r="D77" s="22"/>
      <c r="E77" s="154"/>
      <c r="F77" s="146"/>
      <c r="H77" s="155"/>
      <c r="I77" s="147"/>
      <c r="J77" s="135"/>
      <c r="K77" s="146"/>
      <c r="L77" s="148"/>
      <c r="M77" s="113"/>
      <c r="N77" s="113"/>
      <c r="O77" s="208"/>
      <c r="P77" s="121"/>
      <c r="Q77" s="169"/>
    </row>
    <row r="78" spans="1:17">
      <c r="B78" s="209" t="s">
        <v>49</v>
      </c>
      <c r="C78" s="24" t="s">
        <v>30</v>
      </c>
      <c r="D78" s="21">
        <v>2054251.2670000002</v>
      </c>
      <c r="E78" s="154">
        <v>0.19273999999999999</v>
      </c>
      <c r="F78" s="146">
        <f>ROUND(D78*E78,2)</f>
        <v>395936.39</v>
      </c>
      <c r="H78" s="155">
        <f>ROUND(E78*(1+$O$76),5)</f>
        <v>0.18773000000000001</v>
      </c>
      <c r="I78" s="147">
        <f>ROUND(D78*H78,2)</f>
        <v>385644.59</v>
      </c>
      <c r="J78" s="135"/>
      <c r="K78" s="146">
        <f>I78-F78</f>
        <v>-10291.799999999988</v>
      </c>
      <c r="L78" s="148"/>
      <c r="M78" s="113"/>
      <c r="N78" s="113"/>
      <c r="P78" s="169"/>
      <c r="Q78" s="152">
        <f>H78/E78-1</f>
        <v>-2.5993566462591988E-2</v>
      </c>
    </row>
    <row r="79" spans="1:17" ht="12.75" customHeight="1">
      <c r="B79" s="209" t="s">
        <v>50</v>
      </c>
      <c r="C79" s="24" t="s">
        <v>30</v>
      </c>
      <c r="D79" s="21">
        <v>6698385.5260000005</v>
      </c>
      <c r="E79" s="154">
        <v>0.13664000000000001</v>
      </c>
      <c r="F79" s="146">
        <f>ROUND(D79*E79,2)</f>
        <v>915267.4</v>
      </c>
      <c r="H79" s="155">
        <f>ROUND(E79*(1+$O$76),5)</f>
        <v>0.13309000000000001</v>
      </c>
      <c r="I79" s="147">
        <f>ROUND(D79*H79,2)</f>
        <v>891488.13</v>
      </c>
      <c r="J79" s="135"/>
      <c r="K79" s="146">
        <f>I79-F79</f>
        <v>-23779.270000000019</v>
      </c>
      <c r="L79" s="148"/>
      <c r="M79" s="113"/>
      <c r="N79" s="113"/>
      <c r="O79" s="208"/>
      <c r="P79" s="169"/>
      <c r="Q79" s="152">
        <f>H79/E79-1</f>
        <v>-2.5980679156908604E-2</v>
      </c>
    </row>
    <row r="80" spans="1:17" ht="12.75" customHeight="1">
      <c r="B80" s="132" t="s">
        <v>178</v>
      </c>
      <c r="C80" s="18" t="s">
        <v>30</v>
      </c>
      <c r="D80" s="87">
        <f>SUM(D78:D79)</f>
        <v>8752636.7930000015</v>
      </c>
      <c r="E80" s="210"/>
      <c r="F80" s="164">
        <f>SUM(F72:F79)</f>
        <v>1897331.87</v>
      </c>
      <c r="H80" s="112"/>
      <c r="I80" s="164">
        <f>SUM(I72:I79)</f>
        <v>1897050.65</v>
      </c>
      <c r="J80" s="135"/>
      <c r="K80" s="164">
        <f>SUM(K72:K79)</f>
        <v>-281.22000000000116</v>
      </c>
      <c r="L80" s="144">
        <f>K80/F80</f>
        <v>-1.4821866666900037E-4</v>
      </c>
      <c r="M80" s="113"/>
      <c r="N80" s="113"/>
      <c r="O80" s="211"/>
      <c r="P80" s="169"/>
      <c r="Q80" s="170"/>
    </row>
    <row r="81" spans="1:17">
      <c r="B81" s="132"/>
      <c r="C81" s="133"/>
      <c r="D81" s="22"/>
      <c r="E81" s="210"/>
      <c r="F81" s="147"/>
      <c r="H81" s="112"/>
      <c r="I81" s="147"/>
      <c r="J81" s="135"/>
      <c r="K81" s="146"/>
      <c r="L81" s="163"/>
      <c r="M81" s="113"/>
      <c r="N81" s="174"/>
      <c r="O81" s="168"/>
      <c r="P81" s="169"/>
      <c r="Q81" s="170"/>
    </row>
    <row r="82" spans="1:17">
      <c r="B82" s="145" t="s">
        <v>176</v>
      </c>
      <c r="C82" s="133"/>
      <c r="D82" s="22"/>
      <c r="E82" s="210"/>
      <c r="F82" s="147"/>
      <c r="H82" s="112"/>
      <c r="I82" s="147"/>
      <c r="J82" s="135"/>
      <c r="K82" s="146"/>
      <c r="L82" s="163"/>
      <c r="M82" s="113"/>
      <c r="N82" s="113"/>
    </row>
    <row r="83" spans="1:17">
      <c r="B83" s="145" t="s">
        <v>195</v>
      </c>
      <c r="C83" s="18" t="s">
        <v>30</v>
      </c>
      <c r="D83" s="171">
        <f>D80</f>
        <v>8752636.7930000015</v>
      </c>
      <c r="E83" s="154">
        <v>0.26795999999999998</v>
      </c>
      <c r="F83" s="147">
        <f>+D83*E83</f>
        <v>2345356.55505228</v>
      </c>
      <c r="G83" s="172"/>
      <c r="H83" s="173">
        <f>E83</f>
        <v>0.26795999999999998</v>
      </c>
      <c r="I83" s="147">
        <f>+D83*H83</f>
        <v>2345356.55505228</v>
      </c>
      <c r="J83" s="135"/>
      <c r="K83" s="146">
        <f>I83-F83</f>
        <v>0</v>
      </c>
      <c r="L83" s="148"/>
      <c r="M83" s="113"/>
      <c r="N83" s="113"/>
      <c r="O83" s="168"/>
      <c r="P83" s="169"/>
      <c r="Q83" s="170"/>
    </row>
    <row r="84" spans="1:17">
      <c r="B84" s="145" t="s">
        <v>36</v>
      </c>
      <c r="C84" s="18" t="s">
        <v>34</v>
      </c>
      <c r="D84" s="171">
        <f>D73</f>
        <v>82401.308999999994</v>
      </c>
      <c r="E84" s="150">
        <v>1.05</v>
      </c>
      <c r="F84" s="147">
        <f>D84*E84</f>
        <v>86521.374450000003</v>
      </c>
      <c r="G84" s="172"/>
      <c r="H84" s="175">
        <f>E84</f>
        <v>1.05</v>
      </c>
      <c r="I84" s="147">
        <f>D84*H84</f>
        <v>86521.374450000003</v>
      </c>
      <c r="J84" s="135"/>
      <c r="K84" s="146">
        <f>I84-F84</f>
        <v>0</v>
      </c>
      <c r="L84" s="163"/>
      <c r="M84" s="113"/>
      <c r="N84" s="113"/>
    </row>
    <row r="85" spans="1:17">
      <c r="B85" s="132" t="s">
        <v>196</v>
      </c>
      <c r="C85" s="133"/>
      <c r="D85" s="24"/>
      <c r="E85" s="14"/>
      <c r="F85" s="164">
        <f>SUM(F83:F84)</f>
        <v>2431877.92950228</v>
      </c>
      <c r="G85" s="24"/>
      <c r="H85" s="112"/>
      <c r="I85" s="164">
        <f>SUM(I83:I84)</f>
        <v>2431877.92950228</v>
      </c>
      <c r="J85" s="14"/>
      <c r="K85" s="164">
        <f>SUM(K83:K84)</f>
        <v>0</v>
      </c>
      <c r="L85" s="144">
        <f>ROUND(K85/F85,5)</f>
        <v>0</v>
      </c>
      <c r="M85" s="113"/>
      <c r="N85" s="113"/>
    </row>
    <row r="86" spans="1:17">
      <c r="B86" s="145"/>
      <c r="C86" s="18"/>
      <c r="D86" s="22"/>
      <c r="E86" s="111"/>
      <c r="F86" s="147"/>
      <c r="H86" s="112"/>
      <c r="I86" s="147"/>
      <c r="J86" s="135"/>
      <c r="K86" s="146"/>
      <c r="L86" s="163"/>
      <c r="M86" s="113"/>
      <c r="N86" s="113"/>
    </row>
    <row r="87" spans="1:17" s="18" customFormat="1">
      <c r="B87" s="145" t="s">
        <v>177</v>
      </c>
      <c r="D87" s="22"/>
      <c r="E87" s="14"/>
      <c r="F87" s="164">
        <f>F85+F80</f>
        <v>4329209.7995022796</v>
      </c>
      <c r="G87" s="22"/>
      <c r="H87" s="112"/>
      <c r="I87" s="164">
        <f>I85+I80</f>
        <v>4328928.5795022799</v>
      </c>
      <c r="J87" s="135"/>
      <c r="K87" s="164">
        <f>K85+K80</f>
        <v>-281.22000000000116</v>
      </c>
      <c r="L87" s="144">
        <f>K87/F87</f>
        <v>-6.4958736818976164E-5</v>
      </c>
      <c r="M87" s="113"/>
      <c r="N87" s="113"/>
    </row>
    <row r="88" spans="1:17">
      <c r="A88" s="18"/>
      <c r="B88" s="176"/>
      <c r="C88" s="177"/>
      <c r="D88" s="86"/>
      <c r="E88" s="212"/>
      <c r="F88" s="199"/>
      <c r="G88" s="86"/>
      <c r="H88" s="180"/>
      <c r="I88" s="203"/>
      <c r="J88" s="181"/>
      <c r="K88" s="179"/>
      <c r="L88" s="213"/>
      <c r="M88" s="113"/>
      <c r="N88" s="113"/>
    </row>
    <row r="89" spans="1:17" s="18" customFormat="1">
      <c r="D89" s="22"/>
      <c r="E89" s="214"/>
      <c r="F89" s="183"/>
      <c r="G89" s="22"/>
      <c r="H89" s="112"/>
      <c r="I89" s="184"/>
      <c r="J89" s="135"/>
      <c r="K89" s="146"/>
      <c r="L89" s="215"/>
      <c r="M89" s="113"/>
      <c r="N89" s="113"/>
    </row>
    <row r="90" spans="1:17">
      <c r="A90" s="18"/>
      <c r="B90" s="137" t="s">
        <v>212</v>
      </c>
      <c r="C90" s="138"/>
      <c r="D90" s="87"/>
      <c r="E90" s="139"/>
      <c r="F90" s="140"/>
      <c r="G90" s="87"/>
      <c r="H90" s="142"/>
      <c r="I90" s="164"/>
      <c r="J90" s="143"/>
      <c r="K90" s="140"/>
      <c r="L90" s="206"/>
      <c r="M90" s="113"/>
      <c r="N90" s="113"/>
    </row>
    <row r="91" spans="1:17">
      <c r="A91" s="18"/>
      <c r="B91" s="145"/>
      <c r="C91" s="18"/>
      <c r="D91" s="22"/>
      <c r="E91" s="111"/>
      <c r="F91" s="146"/>
      <c r="G91" s="134"/>
      <c r="H91" s="112"/>
      <c r="I91" s="147"/>
      <c r="J91" s="135"/>
      <c r="K91" s="146"/>
      <c r="L91" s="148"/>
      <c r="M91" s="113"/>
      <c r="N91" s="113"/>
    </row>
    <row r="92" spans="1:17">
      <c r="A92" s="18"/>
      <c r="B92" s="132" t="s">
        <v>27</v>
      </c>
      <c r="C92" s="133" t="s">
        <v>28</v>
      </c>
      <c r="D92" s="21">
        <v>22.033330326537975</v>
      </c>
      <c r="E92" s="150">
        <v>443.44</v>
      </c>
      <c r="F92" s="146">
        <f>ROUND(D92*E92,2)</f>
        <v>9770.4599999999991</v>
      </c>
      <c r="H92" s="150">
        <v>457.76</v>
      </c>
      <c r="I92" s="147">
        <f>ROUND(D92*H92,2)</f>
        <v>10085.98</v>
      </c>
      <c r="J92" s="135"/>
      <c r="K92" s="146">
        <f>I92-F92</f>
        <v>315.52000000000044</v>
      </c>
      <c r="L92" s="148"/>
      <c r="M92" s="113"/>
      <c r="N92" s="113"/>
      <c r="Q92" s="152">
        <f>H92/E92-1</f>
        <v>3.2292982139635606E-2</v>
      </c>
    </row>
    <row r="93" spans="1:17">
      <c r="A93" s="18"/>
      <c r="B93" s="145" t="s">
        <v>36</v>
      </c>
      <c r="C93" s="18" t="s">
        <v>34</v>
      </c>
      <c r="D93" s="21">
        <v>9750</v>
      </c>
      <c r="E93" s="150">
        <v>1.22</v>
      </c>
      <c r="F93" s="146">
        <f>ROUND(D93*E93,2)</f>
        <v>11895</v>
      </c>
      <c r="H93" s="112">
        <f>H73</f>
        <v>1.35</v>
      </c>
      <c r="I93" s="147">
        <f>ROUND(D93*H93,2)</f>
        <v>13162.5</v>
      </c>
      <c r="J93" s="135"/>
      <c r="K93" s="146">
        <f>I93-F93</f>
        <v>1267.5</v>
      </c>
      <c r="L93" s="148"/>
      <c r="M93" s="113"/>
      <c r="N93" s="113"/>
      <c r="Q93" s="152">
        <f>H93/E93-1</f>
        <v>0.10655737704918034</v>
      </c>
    </row>
    <row r="94" spans="1:17">
      <c r="A94" s="18"/>
      <c r="B94" s="145" t="s">
        <v>44</v>
      </c>
      <c r="C94" s="18"/>
      <c r="D94" s="21"/>
      <c r="E94" s="154"/>
      <c r="F94" s="188">
        <v>0</v>
      </c>
      <c r="H94" s="155"/>
      <c r="I94" s="147">
        <f>F94</f>
        <v>0</v>
      </c>
      <c r="J94" s="207"/>
      <c r="K94" s="146">
        <f>I94-F94</f>
        <v>0</v>
      </c>
      <c r="L94" s="148"/>
      <c r="M94" s="113"/>
      <c r="N94" s="113"/>
    </row>
    <row r="95" spans="1:17">
      <c r="A95" s="18"/>
      <c r="B95" s="145"/>
      <c r="C95" s="18"/>
      <c r="D95" s="21"/>
      <c r="E95" s="154"/>
      <c r="F95" s="146"/>
      <c r="H95" s="155"/>
      <c r="I95" s="147"/>
      <c r="J95" s="135"/>
      <c r="K95" s="146"/>
      <c r="L95" s="148"/>
      <c r="M95" s="113"/>
      <c r="N95" s="113"/>
    </row>
    <row r="96" spans="1:17">
      <c r="A96" s="18"/>
      <c r="B96" s="145" t="s">
        <v>37</v>
      </c>
      <c r="C96" s="18"/>
      <c r="D96" s="21"/>
      <c r="E96" s="154"/>
      <c r="F96" s="146"/>
      <c r="H96" s="155"/>
      <c r="I96" s="147"/>
      <c r="J96" s="135"/>
      <c r="K96" s="146"/>
      <c r="L96" s="148"/>
      <c r="M96" s="113"/>
      <c r="N96" s="113"/>
    </row>
    <row r="97" spans="1:17">
      <c r="A97" s="18"/>
      <c r="B97" s="209" t="s">
        <v>49</v>
      </c>
      <c r="C97" s="24" t="s">
        <v>30</v>
      </c>
      <c r="D97" s="21">
        <v>23011.74</v>
      </c>
      <c r="E97" s="154">
        <v>0.19273999999999999</v>
      </c>
      <c r="F97" s="146">
        <f>ROUND(D97*E97,2)</f>
        <v>4435.28</v>
      </c>
      <c r="H97" s="155">
        <f>H78</f>
        <v>0.18773000000000001</v>
      </c>
      <c r="I97" s="147">
        <f>ROUND(D97*H97,2)</f>
        <v>4319.99</v>
      </c>
      <c r="J97" s="135"/>
      <c r="K97" s="146">
        <f>I97-F97</f>
        <v>-115.28999999999996</v>
      </c>
      <c r="L97" s="148"/>
      <c r="M97" s="113"/>
      <c r="N97" s="113"/>
      <c r="Q97" s="152">
        <f>H97/E97-1</f>
        <v>-2.5993566462591988E-2</v>
      </c>
    </row>
    <row r="98" spans="1:17">
      <c r="A98" s="18"/>
      <c r="B98" s="209" t="s">
        <v>50</v>
      </c>
      <c r="C98" s="24" t="s">
        <v>30</v>
      </c>
      <c r="D98" s="21">
        <v>328276.40999999997</v>
      </c>
      <c r="E98" s="154">
        <v>0.13664000000000001</v>
      </c>
      <c r="F98" s="146">
        <f>ROUND(D98*E98,2)</f>
        <v>44855.69</v>
      </c>
      <c r="H98" s="155">
        <f>H79</f>
        <v>0.13309000000000001</v>
      </c>
      <c r="I98" s="147">
        <f>ROUND(D98*H98,2)</f>
        <v>43690.31</v>
      </c>
      <c r="J98" s="135"/>
      <c r="K98" s="146">
        <f>I98-F98</f>
        <v>-1165.3800000000047</v>
      </c>
      <c r="L98" s="148"/>
      <c r="M98" s="113"/>
      <c r="N98" s="113"/>
      <c r="Q98" s="152">
        <f>H98/E98-1</f>
        <v>-2.5980679156908604E-2</v>
      </c>
    </row>
    <row r="99" spans="1:17">
      <c r="A99" s="18"/>
      <c r="B99" s="132" t="s">
        <v>178</v>
      </c>
      <c r="C99" s="18" t="s">
        <v>30</v>
      </c>
      <c r="D99" s="87">
        <f>SUM(D97:D98)</f>
        <v>351288.14999999997</v>
      </c>
      <c r="E99" s="210"/>
      <c r="F99" s="164">
        <f>SUM(F92:F98)</f>
        <v>70956.429999999993</v>
      </c>
      <c r="H99" s="112"/>
      <c r="I99" s="164">
        <f>SUM(I92:I98)</f>
        <v>71258.78</v>
      </c>
      <c r="J99" s="135"/>
      <c r="K99" s="164">
        <f>SUM(K92:K98)</f>
        <v>302.34999999999582</v>
      </c>
      <c r="L99" s="144"/>
      <c r="M99" s="113"/>
      <c r="N99" s="113"/>
    </row>
    <row r="100" spans="1:17">
      <c r="A100" s="18"/>
      <c r="B100" s="132"/>
      <c r="C100" s="133"/>
      <c r="D100" s="22"/>
      <c r="E100" s="210"/>
      <c r="F100" s="147"/>
      <c r="H100" s="112"/>
      <c r="I100" s="147"/>
      <c r="J100" s="135"/>
      <c r="K100" s="146"/>
      <c r="L100" s="163"/>
      <c r="M100" s="113"/>
      <c r="N100" s="113"/>
    </row>
    <row r="101" spans="1:17">
      <c r="A101" s="18"/>
      <c r="B101" s="145" t="s">
        <v>191</v>
      </c>
      <c r="C101" s="18" t="s">
        <v>30</v>
      </c>
      <c r="D101" s="171">
        <f>D99</f>
        <v>351288.14999999997</v>
      </c>
      <c r="E101" s="154">
        <v>6.9999999999999999E-4</v>
      </c>
      <c r="F101" s="147">
        <f>E101*D101</f>
        <v>245.90170499999996</v>
      </c>
      <c r="G101" s="172"/>
      <c r="H101" s="191">
        <v>1E-3</v>
      </c>
      <c r="I101" s="146">
        <f>H101*D101</f>
        <v>351.28814999999997</v>
      </c>
      <c r="J101" s="135"/>
      <c r="K101" s="146">
        <f>I101-F101</f>
        <v>105.38644500000001</v>
      </c>
      <c r="L101" s="148"/>
      <c r="M101" s="113"/>
      <c r="N101" s="113"/>
    </row>
    <row r="102" spans="1:17">
      <c r="A102" s="18"/>
      <c r="B102" s="132" t="s">
        <v>177</v>
      </c>
      <c r="C102" s="18"/>
      <c r="D102" s="22"/>
      <c r="E102" s="192"/>
      <c r="F102" s="164">
        <f>F101+F99</f>
        <v>71202.33170499999</v>
      </c>
      <c r="G102" s="164"/>
      <c r="H102" s="112"/>
      <c r="I102" s="164">
        <f>I101+I99</f>
        <v>71610.068149999992</v>
      </c>
      <c r="J102" s="14"/>
      <c r="K102" s="164">
        <f>K101+K99</f>
        <v>407.7364449999958</v>
      </c>
      <c r="L102" s="206"/>
      <c r="M102" s="113"/>
      <c r="N102" s="113"/>
    </row>
    <row r="103" spans="1:17">
      <c r="A103" s="18"/>
      <c r="B103" s="176"/>
      <c r="C103" s="177"/>
      <c r="D103" s="86"/>
      <c r="E103" s="178"/>
      <c r="F103" s="179"/>
      <c r="G103" s="86"/>
      <c r="H103" s="180"/>
      <c r="I103" s="194"/>
      <c r="J103" s="181"/>
      <c r="K103" s="179"/>
      <c r="L103" s="182"/>
      <c r="M103" s="113"/>
      <c r="N103" s="113"/>
    </row>
    <row r="104" spans="1:17" s="18" customFormat="1">
      <c r="D104" s="22"/>
      <c r="E104" s="214"/>
      <c r="F104" s="183"/>
      <c r="G104" s="22"/>
      <c r="H104" s="112"/>
      <c r="I104" s="184"/>
      <c r="J104" s="135"/>
      <c r="K104" s="146"/>
      <c r="L104" s="215"/>
      <c r="M104" s="113"/>
      <c r="N104" s="113"/>
    </row>
    <row r="105" spans="1:17">
      <c r="A105" s="18"/>
      <c r="B105" s="137" t="s">
        <v>213</v>
      </c>
      <c r="C105" s="138"/>
      <c r="D105" s="87"/>
      <c r="E105" s="139"/>
      <c r="F105" s="140"/>
      <c r="G105" s="87"/>
      <c r="H105" s="142"/>
      <c r="I105" s="164"/>
      <c r="J105" s="143"/>
      <c r="K105" s="140"/>
      <c r="L105" s="206"/>
      <c r="M105" s="113"/>
      <c r="N105" s="113"/>
    </row>
    <row r="106" spans="1:17">
      <c r="A106" s="18"/>
      <c r="B106" s="145"/>
      <c r="C106" s="18"/>
      <c r="D106" s="22"/>
      <c r="E106" s="111"/>
      <c r="F106" s="146"/>
      <c r="G106" s="134"/>
      <c r="H106" s="112"/>
      <c r="I106" s="147"/>
      <c r="J106" s="135"/>
      <c r="K106" s="146"/>
      <c r="L106" s="148"/>
      <c r="M106" s="113"/>
      <c r="N106" s="113"/>
    </row>
    <row r="107" spans="1:17">
      <c r="A107" s="18"/>
      <c r="B107" s="132" t="s">
        <v>27</v>
      </c>
      <c r="C107" s="133" t="s">
        <v>28</v>
      </c>
      <c r="D107" s="22">
        <f>D72+D92</f>
        <v>2683.5898424277325</v>
      </c>
      <c r="E107" s="192"/>
      <c r="F107" s="146">
        <f>F72+F92</f>
        <v>380684.98000000004</v>
      </c>
      <c r="H107" s="192"/>
      <c r="I107" s="146">
        <f>I72+I92</f>
        <v>406178.82</v>
      </c>
      <c r="J107" s="135"/>
      <c r="K107" s="146">
        <f>I107-F107</f>
        <v>25493.839999999967</v>
      </c>
      <c r="L107" s="148"/>
      <c r="M107" s="113"/>
      <c r="N107" s="113"/>
    </row>
    <row r="108" spans="1:17">
      <c r="A108" s="18"/>
      <c r="B108" s="145" t="s">
        <v>36</v>
      </c>
      <c r="C108" s="18" t="s">
        <v>34</v>
      </c>
      <c r="D108" s="22">
        <f>D73+D93</f>
        <v>92151.308999999994</v>
      </c>
      <c r="E108" s="192"/>
      <c r="F108" s="146">
        <f>F73+F93</f>
        <v>112424.6</v>
      </c>
      <c r="H108" s="192"/>
      <c r="I108" s="146">
        <f>I73+I93</f>
        <v>124404.27</v>
      </c>
      <c r="J108" s="135"/>
      <c r="K108" s="146">
        <f>I108-F108</f>
        <v>11979.669999999998</v>
      </c>
      <c r="L108" s="148"/>
      <c r="M108" s="113"/>
      <c r="N108" s="113"/>
    </row>
    <row r="109" spans="1:17">
      <c r="A109" s="18"/>
      <c r="B109" s="145" t="s">
        <v>33</v>
      </c>
      <c r="C109" s="18" t="s">
        <v>30</v>
      </c>
      <c r="D109" s="22">
        <f>D74</f>
        <v>8752636.7930000015</v>
      </c>
      <c r="E109" s="157"/>
      <c r="F109" s="146">
        <f>F74</f>
        <v>79386.42</v>
      </c>
      <c r="H109" s="157"/>
      <c r="I109" s="146">
        <f>I74</f>
        <v>77285.78</v>
      </c>
      <c r="J109" s="135"/>
      <c r="K109" s="146">
        <f>I109-F109</f>
        <v>-2100.6399999999994</v>
      </c>
      <c r="L109" s="148"/>
      <c r="M109" s="113"/>
      <c r="N109" s="113"/>
    </row>
    <row r="110" spans="1:17">
      <c r="A110" s="18"/>
      <c r="B110" s="145" t="s">
        <v>44</v>
      </c>
      <c r="C110" s="18"/>
      <c r="D110" s="22"/>
      <c r="E110" s="157"/>
      <c r="F110" s="147">
        <f>F75+F94</f>
        <v>35297.54</v>
      </c>
      <c r="H110" s="155"/>
      <c r="I110" s="147">
        <f>I75+I94</f>
        <v>35297.54</v>
      </c>
      <c r="J110" s="207"/>
      <c r="K110" s="146">
        <f>I110-F110</f>
        <v>0</v>
      </c>
      <c r="L110" s="148"/>
      <c r="M110" s="113"/>
      <c r="N110" s="113"/>
    </row>
    <row r="111" spans="1:17">
      <c r="A111" s="18"/>
      <c r="B111" s="145"/>
      <c r="C111" s="18"/>
      <c r="D111" s="22"/>
      <c r="E111" s="157"/>
      <c r="F111" s="146"/>
      <c r="H111" s="155"/>
      <c r="I111" s="146"/>
      <c r="J111" s="135"/>
      <c r="K111" s="146"/>
      <c r="L111" s="148"/>
      <c r="M111" s="113"/>
      <c r="N111" s="113"/>
    </row>
    <row r="112" spans="1:17">
      <c r="A112" s="18"/>
      <c r="B112" s="145" t="s">
        <v>37</v>
      </c>
      <c r="C112" s="18"/>
      <c r="D112" s="22"/>
      <c r="E112" s="157"/>
      <c r="F112" s="146"/>
      <c r="H112" s="155"/>
      <c r="I112" s="146"/>
      <c r="J112" s="135"/>
      <c r="K112" s="146"/>
      <c r="L112" s="148"/>
      <c r="M112" s="113"/>
      <c r="N112" s="113"/>
    </row>
    <row r="113" spans="1:15">
      <c r="A113" s="18"/>
      <c r="B113" s="209" t="s">
        <v>49</v>
      </c>
      <c r="C113" s="24" t="s">
        <v>30</v>
      </c>
      <c r="D113" s="22">
        <f>D78+D97</f>
        <v>2077263.0070000002</v>
      </c>
      <c r="E113" s="157"/>
      <c r="F113" s="146">
        <f>F78+F97</f>
        <v>400371.67000000004</v>
      </c>
      <c r="H113" s="155"/>
      <c r="I113" s="146">
        <f>I78+I97</f>
        <v>389964.58</v>
      </c>
      <c r="J113" s="135"/>
      <c r="K113" s="146">
        <f>I113-F113</f>
        <v>-10407.090000000026</v>
      </c>
      <c r="L113" s="148"/>
      <c r="M113" s="113"/>
      <c r="N113" s="113"/>
    </row>
    <row r="114" spans="1:15">
      <c r="A114" s="18"/>
      <c r="B114" s="209" t="s">
        <v>50</v>
      </c>
      <c r="C114" s="24" t="s">
        <v>30</v>
      </c>
      <c r="D114" s="22">
        <f>D79+D98</f>
        <v>7026661.9360000007</v>
      </c>
      <c r="E114" s="157"/>
      <c r="F114" s="146">
        <f>F79+F98</f>
        <v>960123.09000000008</v>
      </c>
      <c r="H114" s="155"/>
      <c r="I114" s="146">
        <f>I79+I98</f>
        <v>935178.44</v>
      </c>
      <c r="J114" s="135"/>
      <c r="K114" s="146">
        <f>I114-F114</f>
        <v>-24944.65000000014</v>
      </c>
      <c r="L114" s="148"/>
      <c r="M114" s="113"/>
      <c r="N114" s="113"/>
    </row>
    <row r="115" spans="1:15">
      <c r="A115" s="18"/>
      <c r="B115" s="132" t="s">
        <v>178</v>
      </c>
      <c r="C115" s="18" t="s">
        <v>30</v>
      </c>
      <c r="D115" s="87">
        <f>SUM(D113:D114)</f>
        <v>9103924.943</v>
      </c>
      <c r="E115" s="111"/>
      <c r="F115" s="164">
        <f>SUM(F107:F114)</f>
        <v>1968288.3000000003</v>
      </c>
      <c r="H115" s="112"/>
      <c r="I115" s="164">
        <f>SUM(I107:I114)</f>
        <v>1968309.43</v>
      </c>
      <c r="J115" s="135"/>
      <c r="K115" s="164">
        <f>SUM(K107:K114)</f>
        <v>21.12999999980093</v>
      </c>
      <c r="L115" s="144">
        <f>K115/F115</f>
        <v>1.0735215974103452E-5</v>
      </c>
      <c r="M115" s="113"/>
      <c r="N115" s="113"/>
    </row>
    <row r="116" spans="1:15">
      <c r="A116" s="18"/>
      <c r="B116" s="132"/>
      <c r="C116" s="133"/>
      <c r="D116" s="22"/>
      <c r="E116" s="111"/>
      <c r="F116" s="147"/>
      <c r="H116" s="112"/>
      <c r="I116" s="147"/>
      <c r="J116" s="135"/>
      <c r="K116" s="146"/>
      <c r="L116" s="163"/>
      <c r="M116" s="113"/>
      <c r="N116" s="113"/>
    </row>
    <row r="117" spans="1:15">
      <c r="A117" s="18"/>
      <c r="B117" s="145" t="s">
        <v>176</v>
      </c>
      <c r="C117" s="133"/>
      <c r="D117" s="22"/>
      <c r="E117" s="111"/>
      <c r="F117" s="147"/>
      <c r="H117" s="112"/>
      <c r="I117" s="147"/>
      <c r="J117" s="135"/>
      <c r="K117" s="146"/>
      <c r="L117" s="163"/>
      <c r="M117" s="113"/>
      <c r="N117" s="113"/>
    </row>
    <row r="118" spans="1:15">
      <c r="A118" s="18"/>
      <c r="B118" s="145" t="s">
        <v>195</v>
      </c>
      <c r="C118" s="18" t="s">
        <v>30</v>
      </c>
      <c r="D118" s="171">
        <f>D115</f>
        <v>9103924.943</v>
      </c>
      <c r="E118" s="157"/>
      <c r="F118" s="147">
        <f>F83</f>
        <v>2345356.55505228</v>
      </c>
      <c r="G118" s="172"/>
      <c r="H118" s="157"/>
      <c r="I118" s="147">
        <f>I83</f>
        <v>2345356.55505228</v>
      </c>
      <c r="J118" s="135"/>
      <c r="K118" s="146">
        <f>I118-F118</f>
        <v>0</v>
      </c>
      <c r="L118" s="148"/>
      <c r="M118" s="113"/>
      <c r="N118" s="113"/>
    </row>
    <row r="119" spans="1:15">
      <c r="A119" s="18"/>
      <c r="B119" s="145" t="s">
        <v>36</v>
      </c>
      <c r="C119" s="18" t="s">
        <v>34</v>
      </c>
      <c r="D119" s="171">
        <f>D108</f>
        <v>92151.308999999994</v>
      </c>
      <c r="E119" s="192"/>
      <c r="F119" s="147">
        <f>F84</f>
        <v>86521.374450000003</v>
      </c>
      <c r="G119" s="172"/>
      <c r="H119" s="192"/>
      <c r="I119" s="147">
        <f>I84</f>
        <v>86521.374450000003</v>
      </c>
      <c r="J119" s="135"/>
      <c r="K119" s="146">
        <f>I119-F119</f>
        <v>0</v>
      </c>
      <c r="L119" s="163"/>
      <c r="M119" s="113"/>
      <c r="N119" s="113"/>
    </row>
    <row r="120" spans="1:15">
      <c r="A120" s="18"/>
      <c r="B120" s="145" t="s">
        <v>191</v>
      </c>
      <c r="C120" s="18" t="s">
        <v>30</v>
      </c>
      <c r="D120" s="171">
        <f>D118</f>
        <v>9103924.943</v>
      </c>
      <c r="E120" s="192"/>
      <c r="F120" s="147">
        <f>F101</f>
        <v>245.90170499999996</v>
      </c>
      <c r="G120" s="172"/>
      <c r="H120" s="192"/>
      <c r="I120" s="147">
        <f>I101</f>
        <v>351.28814999999997</v>
      </c>
      <c r="J120" s="135"/>
      <c r="K120" s="146">
        <f>I120-F120</f>
        <v>105.38644500000001</v>
      </c>
      <c r="L120" s="163"/>
      <c r="M120" s="113"/>
      <c r="N120" s="113"/>
    </row>
    <row r="121" spans="1:15">
      <c r="A121" s="18"/>
      <c r="B121" s="132" t="s">
        <v>196</v>
      </c>
      <c r="C121" s="133"/>
      <c r="D121" s="24"/>
      <c r="E121" s="14"/>
      <c r="F121" s="164">
        <f>SUM(F118:F120)</f>
        <v>2432123.83120728</v>
      </c>
      <c r="G121" s="24"/>
      <c r="H121" s="112"/>
      <c r="I121" s="164">
        <f>SUM(I118:I120)</f>
        <v>2432229.2176522799</v>
      </c>
      <c r="J121" s="14"/>
      <c r="K121" s="164">
        <f>SUM(K118:K120)</f>
        <v>105.38644500000001</v>
      </c>
      <c r="L121" s="144">
        <f>ROUND(K121/F121,5)</f>
        <v>4.0000000000000003E-5</v>
      </c>
      <c r="M121" s="113"/>
      <c r="N121" s="113"/>
    </row>
    <row r="122" spans="1:15">
      <c r="A122" s="18"/>
      <c r="B122" s="132"/>
      <c r="C122" s="133"/>
      <c r="D122" s="24"/>
      <c r="E122" s="14"/>
      <c r="F122" s="147"/>
      <c r="G122" s="24"/>
      <c r="H122" s="112"/>
      <c r="I122" s="147"/>
      <c r="J122" s="14"/>
      <c r="K122" s="147"/>
      <c r="L122" s="148"/>
      <c r="M122" s="113"/>
      <c r="N122" s="113"/>
    </row>
    <row r="123" spans="1:15">
      <c r="A123" s="18"/>
      <c r="B123" s="132" t="s">
        <v>177</v>
      </c>
      <c r="C123" s="133"/>
      <c r="D123" s="24"/>
      <c r="E123" s="14"/>
      <c r="F123" s="164">
        <f>F115+F121</f>
        <v>4400412.1312072799</v>
      </c>
      <c r="G123" s="24"/>
      <c r="H123" s="112"/>
      <c r="I123" s="164">
        <f>I115+I121</f>
        <v>4400538.6476522796</v>
      </c>
      <c r="J123" s="14"/>
      <c r="K123" s="164">
        <f>K115+K121</f>
        <v>126.51644499980094</v>
      </c>
      <c r="L123" s="144">
        <f>ROUND(K123/F123,5)</f>
        <v>3.0000000000000001E-5</v>
      </c>
      <c r="M123" s="113"/>
      <c r="N123" s="113"/>
    </row>
    <row r="124" spans="1:15">
      <c r="A124" s="18"/>
      <c r="B124" s="176"/>
      <c r="C124" s="177"/>
      <c r="D124" s="86"/>
      <c r="E124" s="178"/>
      <c r="F124" s="179"/>
      <c r="G124" s="86"/>
      <c r="H124" s="180"/>
      <c r="I124" s="194"/>
      <c r="J124" s="181"/>
      <c r="K124" s="179"/>
      <c r="L124" s="213"/>
      <c r="M124" s="113"/>
      <c r="N124" s="113"/>
    </row>
    <row r="125" spans="1:15" s="18" customFormat="1">
      <c r="B125" s="24"/>
      <c r="C125" s="24"/>
      <c r="D125" s="22"/>
      <c r="E125" s="214"/>
      <c r="F125" s="183"/>
      <c r="G125" s="22"/>
      <c r="H125" s="112"/>
      <c r="I125" s="184"/>
      <c r="J125" s="185"/>
      <c r="K125" s="183"/>
      <c r="L125" s="216"/>
      <c r="M125" s="113"/>
      <c r="N125" s="113"/>
    </row>
    <row r="126" spans="1:15" s="18" customFormat="1">
      <c r="B126" s="24"/>
      <c r="C126" s="24"/>
      <c r="D126" s="22"/>
      <c r="E126" s="155"/>
      <c r="F126" s="183"/>
      <c r="G126" s="22"/>
      <c r="H126" s="112"/>
      <c r="I126" s="184"/>
      <c r="J126" s="185"/>
      <c r="K126" s="183"/>
      <c r="L126" s="216"/>
      <c r="M126" s="113"/>
      <c r="N126" s="113"/>
    </row>
    <row r="127" spans="1:15">
      <c r="B127" s="137" t="s">
        <v>214</v>
      </c>
      <c r="C127" s="138"/>
      <c r="D127" s="87"/>
      <c r="E127" s="139"/>
      <c r="F127" s="140"/>
      <c r="G127" s="87"/>
      <c r="H127" s="142"/>
      <c r="I127" s="164"/>
      <c r="J127" s="143"/>
      <c r="K127" s="140"/>
      <c r="L127" s="144"/>
      <c r="M127" s="113"/>
      <c r="N127" s="113"/>
      <c r="O127" s="18"/>
    </row>
    <row r="128" spans="1:15">
      <c r="B128" s="145"/>
      <c r="C128" s="18"/>
      <c r="D128" s="22"/>
      <c r="E128" s="111"/>
      <c r="F128" s="146"/>
      <c r="H128" s="112"/>
      <c r="I128" s="147"/>
      <c r="J128" s="135"/>
      <c r="K128" s="146"/>
      <c r="L128" s="148"/>
      <c r="M128" s="113"/>
      <c r="N128" s="113"/>
      <c r="O128" s="217" t="s">
        <v>215</v>
      </c>
    </row>
    <row r="129" spans="2:17">
      <c r="B129" s="132" t="s">
        <v>27</v>
      </c>
      <c r="C129" s="133" t="s">
        <v>28</v>
      </c>
      <c r="D129" s="21">
        <v>60.025001175986063</v>
      </c>
      <c r="E129" s="150">
        <v>557.39</v>
      </c>
      <c r="F129" s="146">
        <f>ROUND(D129*E129,2)</f>
        <v>33457.339999999997</v>
      </c>
      <c r="H129" s="150">
        <v>606.5</v>
      </c>
      <c r="I129" s="147">
        <f>ROUND(D129*H129,2)</f>
        <v>36405.160000000003</v>
      </c>
      <c r="J129" s="135"/>
      <c r="K129" s="146">
        <f>I129-F129</f>
        <v>2947.820000000007</v>
      </c>
      <c r="L129" s="218"/>
      <c r="M129" s="113"/>
      <c r="N129" s="113"/>
      <c r="O129" s="219">
        <v>1416494.3019428777</v>
      </c>
      <c r="Q129" s="152">
        <f>H129/E129-1</f>
        <v>8.8107070453363079E-2</v>
      </c>
    </row>
    <row r="130" spans="2:17">
      <c r="B130" s="145" t="s">
        <v>36</v>
      </c>
      <c r="C130" s="18" t="s">
        <v>34</v>
      </c>
      <c r="D130" s="21">
        <v>0</v>
      </c>
      <c r="E130" s="150">
        <v>1.38</v>
      </c>
      <c r="F130" s="146">
        <f>ROUND(D130*E130,2)</f>
        <v>0</v>
      </c>
      <c r="H130" s="150">
        <v>1.45</v>
      </c>
      <c r="I130" s="147">
        <f>ROUND(D130*H130,2)</f>
        <v>0</v>
      </c>
      <c r="J130" s="135"/>
      <c r="K130" s="146">
        <f>I130-F130</f>
        <v>0</v>
      </c>
      <c r="L130" s="218"/>
      <c r="M130" s="113"/>
      <c r="N130" s="113"/>
      <c r="O130" s="153" t="s">
        <v>175</v>
      </c>
      <c r="Q130" s="152">
        <f>H130/E130-1</f>
        <v>5.0724637681159424E-2</v>
      </c>
    </row>
    <row r="131" spans="2:17">
      <c r="B131" s="145" t="s">
        <v>33</v>
      </c>
      <c r="C131" s="18"/>
      <c r="D131" s="22">
        <f>D141</f>
        <v>22881723.659000002</v>
      </c>
      <c r="E131" s="154">
        <v>5.94E-3</v>
      </c>
      <c r="F131" s="146">
        <f>ROUND(D131*E131,2)</f>
        <v>135917.44</v>
      </c>
      <c r="H131" s="155">
        <f>ROUND(E131*(1+$O$133),5)</f>
        <v>8.0000000000000002E-3</v>
      </c>
      <c r="I131" s="146">
        <f>ROUND(D131*H131,2)</f>
        <v>183053.79</v>
      </c>
      <c r="J131" s="135"/>
      <c r="K131" s="146">
        <f>I131-F131</f>
        <v>47136.350000000006</v>
      </c>
      <c r="L131" s="218"/>
      <c r="M131" s="113"/>
      <c r="N131" s="113"/>
      <c r="O131" s="156">
        <f>+K141+K164-O129</f>
        <v>-56.211942877387628</v>
      </c>
      <c r="Q131" s="152">
        <f>H131/E131-1</f>
        <v>0.34680134680134689</v>
      </c>
    </row>
    <row r="132" spans="2:17">
      <c r="B132" s="209" t="s">
        <v>44</v>
      </c>
      <c r="C132" s="24"/>
      <c r="D132" s="22"/>
      <c r="E132" s="150"/>
      <c r="F132" s="158">
        <v>34827.85</v>
      </c>
      <c r="H132" s="155" t="s">
        <v>51</v>
      </c>
      <c r="I132" s="147">
        <f>F132</f>
        <v>34827.85</v>
      </c>
      <c r="J132" s="135"/>
      <c r="K132" s="146">
        <f>I132-F132</f>
        <v>0</v>
      </c>
      <c r="L132" s="218"/>
      <c r="M132" s="113"/>
      <c r="N132" s="113"/>
      <c r="O132" s="220"/>
    </row>
    <row r="133" spans="2:17">
      <c r="B133" s="145"/>
      <c r="C133" s="18"/>
      <c r="D133" s="22"/>
      <c r="E133" s="190"/>
      <c r="F133" s="146"/>
      <c r="H133" s="155"/>
      <c r="I133" s="147"/>
      <c r="J133" s="135"/>
      <c r="K133" s="221"/>
      <c r="L133" s="218"/>
      <c r="M133" s="113"/>
      <c r="N133" s="113"/>
      <c r="O133" s="160">
        <v>0.34699999999999998</v>
      </c>
    </row>
    <row r="134" spans="2:17">
      <c r="B134" s="145" t="s">
        <v>37</v>
      </c>
      <c r="C134" s="18"/>
      <c r="D134" s="22"/>
      <c r="E134" s="190"/>
      <c r="F134" s="146"/>
      <c r="H134" s="155"/>
      <c r="I134" s="147"/>
      <c r="J134" s="135"/>
      <c r="K134" s="221"/>
      <c r="L134" s="218"/>
      <c r="M134" s="113"/>
      <c r="N134" s="113"/>
      <c r="O134" s="222"/>
      <c r="P134" s="169"/>
      <c r="Q134" s="169"/>
    </row>
    <row r="135" spans="2:17">
      <c r="B135" s="145" t="s">
        <v>45</v>
      </c>
      <c r="C135" s="18" t="s">
        <v>30</v>
      </c>
      <c r="D135" s="21">
        <v>1500625.1839999999</v>
      </c>
      <c r="E135" s="154">
        <v>0.1391</v>
      </c>
      <c r="F135" s="146">
        <f t="shared" ref="F135:F140" si="0">ROUND(D135*E135,2)</f>
        <v>208736.96</v>
      </c>
      <c r="H135" s="155">
        <f t="shared" ref="H135:H140" si="1">ROUND(E135*(1+$O$133),5)</f>
        <v>0.18737000000000001</v>
      </c>
      <c r="I135" s="147">
        <f t="shared" ref="I135:I140" si="2">ROUND(D135*H135,2)</f>
        <v>281172.14</v>
      </c>
      <c r="J135" s="135"/>
      <c r="K135" s="146">
        <f t="shared" ref="K135:K140" si="3">I135-F135</f>
        <v>72435.180000000022</v>
      </c>
      <c r="L135" s="218"/>
      <c r="M135" s="113"/>
      <c r="N135" s="113"/>
      <c r="O135" s="221"/>
      <c r="P135" s="121"/>
      <c r="Q135" s="152">
        <f t="shared" ref="Q135:Q140" si="4">H135/E135-1</f>
        <v>0.34701653486700224</v>
      </c>
    </row>
    <row r="136" spans="2:17">
      <c r="B136" s="145" t="s">
        <v>46</v>
      </c>
      <c r="C136" s="18" t="s">
        <v>30</v>
      </c>
      <c r="D136" s="21">
        <v>1470839.4029999999</v>
      </c>
      <c r="E136" s="154">
        <v>8.4059999999999996E-2</v>
      </c>
      <c r="F136" s="146">
        <f t="shared" si="0"/>
        <v>123638.76</v>
      </c>
      <c r="H136" s="155">
        <f t="shared" si="1"/>
        <v>0.11323</v>
      </c>
      <c r="I136" s="147">
        <f t="shared" si="2"/>
        <v>166543.15</v>
      </c>
      <c r="J136" s="135"/>
      <c r="K136" s="146">
        <f t="shared" si="3"/>
        <v>42904.39</v>
      </c>
      <c r="L136" s="218"/>
      <c r="M136" s="113"/>
      <c r="N136" s="113"/>
      <c r="O136" s="223"/>
      <c r="P136" s="18"/>
      <c r="Q136" s="152">
        <f t="shared" si="4"/>
        <v>0.34701403759219618</v>
      </c>
    </row>
    <row r="137" spans="2:17">
      <c r="B137" s="145" t="s">
        <v>48</v>
      </c>
      <c r="C137" s="18" t="s">
        <v>30</v>
      </c>
      <c r="D137" s="21">
        <v>2603460.2510000002</v>
      </c>
      <c r="E137" s="154">
        <v>5.3490000000000003E-2</v>
      </c>
      <c r="F137" s="146">
        <f t="shared" si="0"/>
        <v>139259.09</v>
      </c>
      <c r="H137" s="155">
        <f t="shared" si="1"/>
        <v>7.2050000000000003E-2</v>
      </c>
      <c r="I137" s="147">
        <f t="shared" si="2"/>
        <v>187579.31</v>
      </c>
      <c r="J137" s="135"/>
      <c r="K137" s="146">
        <f t="shared" si="3"/>
        <v>48320.22</v>
      </c>
      <c r="L137" s="148"/>
      <c r="M137" s="113"/>
      <c r="N137" s="113"/>
      <c r="O137" s="133"/>
      <c r="P137" s="133"/>
      <c r="Q137" s="152">
        <f t="shared" si="4"/>
        <v>0.34698074406431112</v>
      </c>
    </row>
    <row r="138" spans="2:17">
      <c r="B138" s="145" t="s">
        <v>52</v>
      </c>
      <c r="C138" s="18" t="s">
        <v>30</v>
      </c>
      <c r="D138" s="21">
        <v>3197116.5289999996</v>
      </c>
      <c r="E138" s="154">
        <v>3.4299999999999997E-2</v>
      </c>
      <c r="F138" s="146">
        <f t="shared" si="0"/>
        <v>109661.1</v>
      </c>
      <c r="H138" s="155">
        <f t="shared" si="1"/>
        <v>4.6199999999999998E-2</v>
      </c>
      <c r="I138" s="147">
        <f t="shared" si="2"/>
        <v>147706.78</v>
      </c>
      <c r="J138" s="135"/>
      <c r="K138" s="146">
        <f t="shared" si="3"/>
        <v>38045.679999999993</v>
      </c>
      <c r="L138" s="148"/>
      <c r="M138" s="113"/>
      <c r="N138" s="113"/>
      <c r="O138" s="18"/>
      <c r="P138" s="18"/>
      <c r="Q138" s="152">
        <f t="shared" si="4"/>
        <v>0.34693877551020424</v>
      </c>
    </row>
    <row r="139" spans="2:17">
      <c r="B139" s="145" t="s">
        <v>53</v>
      </c>
      <c r="C139" s="18" t="s">
        <v>30</v>
      </c>
      <c r="D139" s="21">
        <v>3739136.7420000001</v>
      </c>
      <c r="E139" s="154">
        <v>2.4680000000000001E-2</v>
      </c>
      <c r="F139" s="146">
        <f t="shared" si="0"/>
        <v>92281.89</v>
      </c>
      <c r="H139" s="155">
        <f t="shared" si="1"/>
        <v>3.3239999999999999E-2</v>
      </c>
      <c r="I139" s="147">
        <f t="shared" si="2"/>
        <v>124288.91</v>
      </c>
      <c r="J139" s="135"/>
      <c r="K139" s="146">
        <f t="shared" si="3"/>
        <v>32007.020000000004</v>
      </c>
      <c r="L139" s="148"/>
      <c r="M139" s="113"/>
      <c r="N139" s="113"/>
      <c r="P139" s="18"/>
      <c r="Q139" s="152">
        <f t="shared" si="4"/>
        <v>0.3468395461912479</v>
      </c>
    </row>
    <row r="140" spans="2:17">
      <c r="B140" s="145" t="s">
        <v>54</v>
      </c>
      <c r="C140" s="18" t="s">
        <v>30</v>
      </c>
      <c r="D140" s="21">
        <v>10370545.550000001</v>
      </c>
      <c r="E140" s="154">
        <v>1.9029999999999998E-2</v>
      </c>
      <c r="F140" s="146">
        <f t="shared" si="0"/>
        <v>197351.48</v>
      </c>
      <c r="H140" s="155">
        <f t="shared" si="1"/>
        <v>2.563E-2</v>
      </c>
      <c r="I140" s="147">
        <f t="shared" si="2"/>
        <v>265797.08</v>
      </c>
      <c r="J140" s="135"/>
      <c r="K140" s="146">
        <f t="shared" si="3"/>
        <v>68445.600000000006</v>
      </c>
      <c r="L140" s="148"/>
      <c r="M140" s="113"/>
      <c r="N140" s="113"/>
      <c r="O140" s="18"/>
      <c r="P140" s="133"/>
      <c r="Q140" s="152">
        <f t="shared" si="4"/>
        <v>0.34682080924855496</v>
      </c>
    </row>
    <row r="141" spans="2:17">
      <c r="B141" s="132" t="s">
        <v>178</v>
      </c>
      <c r="C141" s="18" t="s">
        <v>30</v>
      </c>
      <c r="D141" s="87">
        <f>SUM(D135:D140)</f>
        <v>22881723.659000002</v>
      </c>
      <c r="E141" s="210"/>
      <c r="F141" s="164">
        <f>SUM(F129:F140)</f>
        <v>1075131.9099999999</v>
      </c>
      <c r="H141" s="112"/>
      <c r="I141" s="164">
        <f>SUM(I129:I140)</f>
        <v>1427374.1700000002</v>
      </c>
      <c r="J141" s="135"/>
      <c r="K141" s="164">
        <f>I141-F141</f>
        <v>352242.26000000024</v>
      </c>
      <c r="L141" s="144">
        <f>K141/F141</f>
        <v>0.32762701648395892</v>
      </c>
      <c r="M141" s="113"/>
      <c r="N141" s="113"/>
      <c r="O141" s="18"/>
      <c r="P141" s="195"/>
      <c r="Q141" s="27"/>
    </row>
    <row r="142" spans="2:17">
      <c r="B142" s="132"/>
      <c r="C142" s="133"/>
      <c r="D142" s="22"/>
      <c r="E142" s="210"/>
      <c r="F142" s="146"/>
      <c r="H142" s="112"/>
      <c r="I142" s="147"/>
      <c r="J142" s="135"/>
      <c r="K142" s="146"/>
      <c r="L142" s="163"/>
      <c r="M142" s="113"/>
      <c r="N142" s="174"/>
      <c r="O142" s="224"/>
      <c r="P142" s="18"/>
      <c r="Q142" s="22"/>
    </row>
    <row r="143" spans="2:17">
      <c r="B143" s="145" t="s">
        <v>176</v>
      </c>
      <c r="C143" s="133"/>
      <c r="D143" s="22"/>
      <c r="E143" s="210"/>
      <c r="F143" s="146"/>
      <c r="H143" s="112"/>
      <c r="I143" s="147"/>
      <c r="J143" s="135"/>
      <c r="K143" s="146"/>
      <c r="L143" s="163"/>
      <c r="M143" s="113"/>
      <c r="N143" s="113"/>
      <c r="O143" s="133"/>
      <c r="P143" s="133"/>
      <c r="Q143" s="24"/>
    </row>
    <row r="144" spans="2:17">
      <c r="B144" s="145" t="s">
        <v>195</v>
      </c>
      <c r="C144" s="18" t="s">
        <v>30</v>
      </c>
      <c r="D144" s="171">
        <f>D141</f>
        <v>22881723.659000002</v>
      </c>
      <c r="E144" s="154">
        <v>0.27044000000000001</v>
      </c>
      <c r="F144" s="147">
        <f>+E144*D144</f>
        <v>6188133.3463399606</v>
      </c>
      <c r="G144" s="172"/>
      <c r="H144" s="173">
        <f>E144</f>
        <v>0.27044000000000001</v>
      </c>
      <c r="I144" s="147">
        <f>+H144*D144</f>
        <v>6188133.3463399606</v>
      </c>
      <c r="J144" s="135"/>
      <c r="K144" s="146">
        <f>I144-F144</f>
        <v>0</v>
      </c>
      <c r="L144" s="148"/>
      <c r="M144" s="113"/>
      <c r="N144" s="113"/>
      <c r="O144" s="18"/>
      <c r="P144" s="18"/>
      <c r="Q144" s="24"/>
    </row>
    <row r="145" spans="1:17">
      <c r="B145" s="145" t="s">
        <v>36</v>
      </c>
      <c r="C145" s="18" t="s">
        <v>34</v>
      </c>
      <c r="D145" s="171">
        <f>D130</f>
        <v>0</v>
      </c>
      <c r="E145" s="150">
        <v>1.05</v>
      </c>
      <c r="F145" s="147">
        <f>D145*E145</f>
        <v>0</v>
      </c>
      <c r="G145" s="172"/>
      <c r="H145" s="175">
        <f>E145</f>
        <v>1.05</v>
      </c>
      <c r="I145" s="147">
        <f>D145*H145</f>
        <v>0</v>
      </c>
      <c r="J145" s="135"/>
      <c r="K145" s="146">
        <f>I145-F145</f>
        <v>0</v>
      </c>
      <c r="L145" s="163"/>
      <c r="M145" s="113"/>
      <c r="N145" s="113"/>
      <c r="O145" s="133"/>
      <c r="P145" s="133"/>
      <c r="Q145" s="24"/>
    </row>
    <row r="146" spans="1:17">
      <c r="B146" s="132" t="s">
        <v>196</v>
      </c>
      <c r="C146" s="133"/>
      <c r="D146" s="24"/>
      <c r="E146" s="14"/>
      <c r="F146" s="164">
        <f>SUM(F144:F145)</f>
        <v>6188133.3463399606</v>
      </c>
      <c r="G146" s="24"/>
      <c r="H146" s="112"/>
      <c r="I146" s="164">
        <f>SUM(I144:I145)</f>
        <v>6188133.3463399606</v>
      </c>
      <c r="J146" s="164"/>
      <c r="K146" s="164">
        <f>I146-F146</f>
        <v>0</v>
      </c>
      <c r="L146" s="144">
        <f>ROUND(K146/F146,5)</f>
        <v>0</v>
      </c>
      <c r="M146" s="113"/>
      <c r="N146" s="113"/>
      <c r="O146" s="18"/>
      <c r="P146" s="18"/>
      <c r="Q146" s="24"/>
    </row>
    <row r="147" spans="1:17">
      <c r="B147" s="145"/>
      <c r="C147" s="18"/>
      <c r="D147" s="22"/>
      <c r="E147" s="14"/>
      <c r="F147" s="147"/>
      <c r="H147" s="112"/>
      <c r="I147" s="147"/>
      <c r="J147" s="147"/>
      <c r="K147" s="146"/>
      <c r="L147" s="163"/>
      <c r="M147" s="113"/>
      <c r="N147" s="113"/>
      <c r="O147" s="133"/>
      <c r="P147" s="18"/>
      <c r="Q147" s="22"/>
    </row>
    <row r="148" spans="1:17">
      <c r="B148" s="145" t="s">
        <v>177</v>
      </c>
      <c r="C148" s="18"/>
      <c r="D148" s="22"/>
      <c r="E148" s="14"/>
      <c r="F148" s="164">
        <f>F141+F146</f>
        <v>7263265.2563399607</v>
      </c>
      <c r="H148" s="112"/>
      <c r="I148" s="164">
        <f>I141+I146</f>
        <v>7615507.5163399605</v>
      </c>
      <c r="J148" s="135"/>
      <c r="K148" s="164">
        <f>K141+K146</f>
        <v>352242.26000000024</v>
      </c>
      <c r="L148" s="144">
        <f>K148/F148</f>
        <v>4.8496405895755344E-2</v>
      </c>
      <c r="M148" s="113"/>
      <c r="N148" s="113"/>
      <c r="O148" s="18"/>
      <c r="P148" s="18"/>
      <c r="Q148" s="22"/>
    </row>
    <row r="149" spans="1:17">
      <c r="A149" s="18"/>
      <c r="B149" s="176"/>
      <c r="C149" s="177"/>
      <c r="D149" s="86"/>
      <c r="E149" s="202"/>
      <c r="F149" s="199"/>
      <c r="G149" s="86"/>
      <c r="H149" s="180"/>
      <c r="I149" s="194"/>
      <c r="J149" s="181"/>
      <c r="K149" s="179"/>
      <c r="L149" s="213"/>
      <c r="M149" s="113"/>
      <c r="N149" s="113"/>
      <c r="O149" s="133"/>
      <c r="P149" s="18"/>
      <c r="Q149" s="22"/>
    </row>
    <row r="150" spans="1:17">
      <c r="A150" s="18"/>
      <c r="B150" s="18"/>
      <c r="C150" s="18"/>
      <c r="D150" s="22"/>
      <c r="E150" s="155"/>
      <c r="F150" s="183"/>
      <c r="H150" s="112"/>
      <c r="I150" s="147"/>
      <c r="J150" s="135"/>
      <c r="K150" s="146"/>
      <c r="L150" s="215"/>
      <c r="M150" s="113"/>
      <c r="N150" s="113"/>
      <c r="O150" s="18"/>
      <c r="P150" s="18"/>
      <c r="Q150" s="22"/>
    </row>
    <row r="151" spans="1:17">
      <c r="A151" s="18"/>
      <c r="B151" s="137" t="s">
        <v>216</v>
      </c>
      <c r="C151" s="138"/>
      <c r="D151" s="87"/>
      <c r="E151" s="139"/>
      <c r="F151" s="140"/>
      <c r="G151" s="87"/>
      <c r="H151" s="142"/>
      <c r="I151" s="164"/>
      <c r="J151" s="143"/>
      <c r="K151" s="140"/>
      <c r="L151" s="144"/>
      <c r="M151" s="113"/>
      <c r="N151" s="113"/>
      <c r="O151" s="18"/>
      <c r="P151" s="18"/>
      <c r="Q151" s="22"/>
    </row>
    <row r="152" spans="1:17">
      <c r="A152" s="18"/>
      <c r="B152" s="145"/>
      <c r="C152" s="18"/>
      <c r="D152" s="22"/>
      <c r="E152" s="111"/>
      <c r="F152" s="146"/>
      <c r="H152" s="112"/>
      <c r="I152" s="147"/>
      <c r="J152" s="135"/>
      <c r="K152" s="146"/>
      <c r="L152" s="148"/>
      <c r="M152" s="113"/>
      <c r="N152" s="113"/>
      <c r="O152" s="18"/>
      <c r="P152" s="18"/>
      <c r="Q152" s="22"/>
    </row>
    <row r="153" spans="1:17">
      <c r="A153" s="18"/>
      <c r="B153" s="132" t="s">
        <v>27</v>
      </c>
      <c r="C153" s="133" t="s">
        <v>28</v>
      </c>
      <c r="D153" s="21">
        <v>118.76667017913593</v>
      </c>
      <c r="E153" s="150">
        <v>891.83</v>
      </c>
      <c r="F153" s="146">
        <f>ROUND(D153*E153,2)</f>
        <v>105919.67999999999</v>
      </c>
      <c r="H153" s="150">
        <v>918.31</v>
      </c>
      <c r="I153" s="147">
        <f>ROUND(D153*H153,2)</f>
        <v>109064.62</v>
      </c>
      <c r="J153" s="135"/>
      <c r="K153" s="146">
        <f>I153-F153</f>
        <v>3144.9400000000023</v>
      </c>
      <c r="L153" s="218"/>
      <c r="M153" s="113"/>
      <c r="N153" s="113"/>
      <c r="O153" s="18"/>
      <c r="P153" s="18"/>
      <c r="Q153" s="152">
        <f>H153/E153-1</f>
        <v>2.9691757397710239E-2</v>
      </c>
    </row>
    <row r="154" spans="1:17">
      <c r="A154" s="18"/>
      <c r="B154" s="145" t="s">
        <v>36</v>
      </c>
      <c r="C154" s="18" t="s">
        <v>34</v>
      </c>
      <c r="D154" s="21">
        <v>308558</v>
      </c>
      <c r="E154" s="150">
        <v>1.38</v>
      </c>
      <c r="F154" s="146">
        <f>ROUND(D154*E154,2)</f>
        <v>425810.04</v>
      </c>
      <c r="H154" s="112">
        <f>H130</f>
        <v>1.45</v>
      </c>
      <c r="I154" s="147">
        <f>ROUND(D154*H154,2)</f>
        <v>447409.1</v>
      </c>
      <c r="J154" s="135"/>
      <c r="K154" s="146">
        <f>I154-F154</f>
        <v>21599.059999999998</v>
      </c>
      <c r="L154" s="218"/>
      <c r="M154" s="113"/>
      <c r="N154" s="113"/>
      <c r="Q154" s="152">
        <f>H154/E154-1</f>
        <v>5.0724637681159424E-2</v>
      </c>
    </row>
    <row r="155" spans="1:17">
      <c r="A155" s="18"/>
      <c r="B155" s="145" t="s">
        <v>44</v>
      </c>
      <c r="C155" s="18"/>
      <c r="D155" s="21"/>
      <c r="E155" s="150"/>
      <c r="F155" s="158">
        <v>0</v>
      </c>
      <c r="H155" s="112"/>
      <c r="I155" s="147">
        <f>F155</f>
        <v>0</v>
      </c>
      <c r="J155" s="135"/>
      <c r="K155" s="221"/>
      <c r="L155" s="218"/>
      <c r="M155" s="113"/>
      <c r="N155" s="113"/>
    </row>
    <row r="156" spans="1:17">
      <c r="A156" s="18"/>
      <c r="B156" s="209"/>
      <c r="C156" s="18"/>
      <c r="D156" s="21"/>
      <c r="E156" s="154"/>
      <c r="F156" s="146"/>
      <c r="H156" s="157"/>
      <c r="I156" s="147"/>
      <c r="J156" s="135"/>
      <c r="K156" s="221"/>
      <c r="L156" s="218"/>
      <c r="M156" s="113"/>
      <c r="N156" s="113"/>
    </row>
    <row r="157" spans="1:17">
      <c r="A157" s="18"/>
      <c r="B157" s="145" t="s">
        <v>37</v>
      </c>
      <c r="C157" s="18"/>
      <c r="D157" s="21"/>
      <c r="E157" s="190"/>
      <c r="F157" s="146"/>
      <c r="H157" s="155"/>
      <c r="I157" s="147"/>
      <c r="J157" s="135"/>
      <c r="K157" s="221"/>
      <c r="L157" s="218"/>
      <c r="M157" s="113"/>
      <c r="N157" s="113"/>
    </row>
    <row r="158" spans="1:17">
      <c r="A158" s="18"/>
      <c r="B158" s="145" t="s">
        <v>45</v>
      </c>
      <c r="C158" s="18" t="s">
        <v>30</v>
      </c>
      <c r="D158" s="21">
        <v>3000000</v>
      </c>
      <c r="E158" s="154">
        <v>0.1391</v>
      </c>
      <c r="F158" s="183">
        <f t="shared" ref="F158:F163" si="5">ROUND(D158*E158,2)</f>
        <v>417300</v>
      </c>
      <c r="H158" s="155">
        <f t="shared" ref="H158:H163" si="6">H135</f>
        <v>0.18737000000000001</v>
      </c>
      <c r="I158" s="147">
        <f t="shared" ref="I158:I163" si="7">ROUND(D158*H158,2)</f>
        <v>562110</v>
      </c>
      <c r="J158" s="135"/>
      <c r="K158" s="146">
        <f t="shared" ref="K158:K163" si="8">I158-F158</f>
        <v>144810</v>
      </c>
      <c r="L158" s="225"/>
      <c r="M158" s="113"/>
      <c r="N158" s="113"/>
      <c r="Q158" s="152">
        <f t="shared" ref="Q158:Q163" si="9">H158/E158-1</f>
        <v>0.34701653486700224</v>
      </c>
    </row>
    <row r="159" spans="1:17">
      <c r="A159" s="18"/>
      <c r="B159" s="145" t="s">
        <v>46</v>
      </c>
      <c r="C159" s="18" t="s">
        <v>30</v>
      </c>
      <c r="D159" s="21">
        <v>3000000</v>
      </c>
      <c r="E159" s="154">
        <v>8.4059999999999996E-2</v>
      </c>
      <c r="F159" s="183">
        <f t="shared" si="5"/>
        <v>252180</v>
      </c>
      <c r="H159" s="155">
        <f t="shared" si="6"/>
        <v>0.11323</v>
      </c>
      <c r="I159" s="147">
        <f t="shared" si="7"/>
        <v>339690</v>
      </c>
      <c r="J159" s="135"/>
      <c r="K159" s="146">
        <f t="shared" si="8"/>
        <v>87510</v>
      </c>
      <c r="L159" s="225"/>
      <c r="M159" s="113"/>
      <c r="N159" s="113"/>
      <c r="Q159" s="152">
        <f t="shared" si="9"/>
        <v>0.34701403759219618</v>
      </c>
    </row>
    <row r="160" spans="1:17">
      <c r="A160" s="18"/>
      <c r="B160" s="145" t="s">
        <v>48</v>
      </c>
      <c r="C160" s="18" t="s">
        <v>30</v>
      </c>
      <c r="D160" s="21">
        <v>5983755.4799999995</v>
      </c>
      <c r="E160" s="154">
        <v>5.3490000000000003E-2</v>
      </c>
      <c r="F160" s="183">
        <f t="shared" si="5"/>
        <v>320071.08</v>
      </c>
      <c r="H160" s="155">
        <f t="shared" si="6"/>
        <v>7.2050000000000003E-2</v>
      </c>
      <c r="I160" s="147">
        <f t="shared" si="7"/>
        <v>431129.58</v>
      </c>
      <c r="J160" s="135"/>
      <c r="K160" s="146">
        <f t="shared" si="8"/>
        <v>111058.5</v>
      </c>
      <c r="L160" s="225"/>
      <c r="M160" s="113"/>
      <c r="N160" s="113"/>
      <c r="Q160" s="152">
        <f t="shared" si="9"/>
        <v>0.34698074406431112</v>
      </c>
    </row>
    <row r="161" spans="1:17">
      <c r="A161" s="18"/>
      <c r="B161" s="145" t="s">
        <v>52</v>
      </c>
      <c r="C161" s="18" t="s">
        <v>30</v>
      </c>
      <c r="D161" s="21">
        <v>11737512.85</v>
      </c>
      <c r="E161" s="154">
        <v>3.4299999999999997E-2</v>
      </c>
      <c r="F161" s="183">
        <f t="shared" si="5"/>
        <v>402596.69</v>
      </c>
      <c r="H161" s="155">
        <f t="shared" si="6"/>
        <v>4.6199999999999998E-2</v>
      </c>
      <c r="I161" s="147">
        <f t="shared" si="7"/>
        <v>542273.09</v>
      </c>
      <c r="J161" s="135"/>
      <c r="K161" s="146">
        <f t="shared" si="8"/>
        <v>139676.39999999997</v>
      </c>
      <c r="L161" s="225"/>
      <c r="M161" s="113"/>
      <c r="N161" s="113"/>
      <c r="Q161" s="152">
        <f t="shared" si="9"/>
        <v>0.34693877551020424</v>
      </c>
    </row>
    <row r="162" spans="1:17">
      <c r="A162" s="18"/>
      <c r="B162" s="145" t="s">
        <v>53</v>
      </c>
      <c r="C162" s="18" t="s">
        <v>30</v>
      </c>
      <c r="D162" s="21">
        <v>26253607.010000002</v>
      </c>
      <c r="E162" s="154">
        <v>2.4680000000000001E-2</v>
      </c>
      <c r="F162" s="183">
        <f t="shared" si="5"/>
        <v>647939.02</v>
      </c>
      <c r="H162" s="155">
        <f t="shared" si="6"/>
        <v>3.3239999999999999E-2</v>
      </c>
      <c r="I162" s="147">
        <f t="shared" si="7"/>
        <v>872669.9</v>
      </c>
      <c r="J162" s="135"/>
      <c r="K162" s="146">
        <f t="shared" si="8"/>
        <v>224730.88</v>
      </c>
      <c r="L162" s="225"/>
      <c r="M162" s="113"/>
      <c r="N162" s="113"/>
      <c r="Q162" s="152">
        <f t="shared" si="9"/>
        <v>0.3468395461912479</v>
      </c>
    </row>
    <row r="163" spans="1:17">
      <c r="A163" s="18"/>
      <c r="B163" s="145" t="s">
        <v>54</v>
      </c>
      <c r="C163" s="18" t="s">
        <v>30</v>
      </c>
      <c r="D163" s="21">
        <v>50252432.390000001</v>
      </c>
      <c r="E163" s="154">
        <v>1.9029999999999998E-2</v>
      </c>
      <c r="F163" s="183">
        <f t="shared" si="5"/>
        <v>956303.79</v>
      </c>
      <c r="H163" s="155">
        <f t="shared" si="6"/>
        <v>2.563E-2</v>
      </c>
      <c r="I163" s="147">
        <f t="shared" si="7"/>
        <v>1287969.8400000001</v>
      </c>
      <c r="J163" s="135"/>
      <c r="K163" s="146">
        <f t="shared" si="8"/>
        <v>331666.05000000005</v>
      </c>
      <c r="L163" s="225"/>
      <c r="M163" s="113"/>
      <c r="N163" s="113"/>
      <c r="Q163" s="152">
        <f t="shared" si="9"/>
        <v>0.34682080924855496</v>
      </c>
    </row>
    <row r="164" spans="1:17">
      <c r="A164" s="18"/>
      <c r="B164" s="132" t="s">
        <v>178</v>
      </c>
      <c r="C164" s="18"/>
      <c r="D164" s="87">
        <f>SUM(D158:D163)</f>
        <v>100227307.73</v>
      </c>
      <c r="E164" s="154"/>
      <c r="F164" s="201">
        <f>SUM(F153:F163)</f>
        <v>3528120.3</v>
      </c>
      <c r="H164" s="155"/>
      <c r="I164" s="201">
        <f>SUM(I153:I163)</f>
        <v>4592316.13</v>
      </c>
      <c r="J164" s="135"/>
      <c r="K164" s="201">
        <f>SUM(K153:K163)</f>
        <v>1064195.83</v>
      </c>
      <c r="L164" s="144">
        <f>K164/F164</f>
        <v>0.30163252369824239</v>
      </c>
      <c r="M164" s="113"/>
      <c r="N164" s="113"/>
    </row>
    <row r="165" spans="1:17">
      <c r="A165" s="18"/>
      <c r="B165" s="145"/>
      <c r="C165" s="133"/>
      <c r="D165" s="22"/>
      <c r="E165" s="154"/>
      <c r="F165" s="146"/>
      <c r="H165" s="112"/>
      <c r="I165" s="147"/>
      <c r="J165" s="135"/>
      <c r="K165" s="146"/>
      <c r="L165" s="163"/>
      <c r="M165" s="113"/>
      <c r="N165" s="113"/>
    </row>
    <row r="166" spans="1:17">
      <c r="A166" s="18"/>
      <c r="B166" s="132" t="s">
        <v>191</v>
      </c>
      <c r="C166" s="18" t="s">
        <v>30</v>
      </c>
      <c r="D166" s="171">
        <f>D164</f>
        <v>100227307.73</v>
      </c>
      <c r="E166" s="154">
        <v>6.9999999999999999E-4</v>
      </c>
      <c r="F166" s="147">
        <f>+E166*D166</f>
        <v>70159.115411000006</v>
      </c>
      <c r="G166" s="172"/>
      <c r="H166" s="191">
        <v>1E-3</v>
      </c>
      <c r="I166" s="147">
        <f>+H166*D166</f>
        <v>100227.30773</v>
      </c>
      <c r="J166" s="135"/>
      <c r="K166" s="146">
        <f>I166-F166</f>
        <v>30068.192318999994</v>
      </c>
      <c r="L166" s="148"/>
      <c r="M166" s="113"/>
      <c r="N166" s="113"/>
    </row>
    <row r="167" spans="1:17">
      <c r="A167" s="18"/>
      <c r="B167" s="145" t="s">
        <v>177</v>
      </c>
      <c r="C167" s="18"/>
      <c r="D167" s="22"/>
      <c r="E167" s="14"/>
      <c r="F167" s="164">
        <f>F166+F164</f>
        <v>3598279.4154109997</v>
      </c>
      <c r="H167" s="112"/>
      <c r="I167" s="164">
        <f>I166+I164</f>
        <v>4692543.4377299994</v>
      </c>
      <c r="J167" s="135"/>
      <c r="K167" s="164">
        <f>K166+K164</f>
        <v>1094264.022319</v>
      </c>
      <c r="L167" s="144">
        <f>K167/F167</f>
        <v>0.30410757364544794</v>
      </c>
      <c r="M167" s="113"/>
      <c r="N167" s="113"/>
      <c r="O167" s="226"/>
    </row>
    <row r="168" spans="1:17" s="18" customFormat="1">
      <c r="B168" s="176"/>
      <c r="C168" s="177"/>
      <c r="D168" s="86"/>
      <c r="E168" s="202"/>
      <c r="F168" s="199"/>
      <c r="G168" s="86"/>
      <c r="H168" s="180"/>
      <c r="I168" s="194"/>
      <c r="J168" s="181"/>
      <c r="K168" s="179"/>
      <c r="L168" s="213"/>
      <c r="M168" s="113"/>
      <c r="N168" s="113"/>
    </row>
    <row r="169" spans="1:17" s="18" customFormat="1">
      <c r="D169" s="22"/>
      <c r="E169" s="155"/>
      <c r="F169" s="183"/>
      <c r="G169" s="22"/>
      <c r="H169" s="112"/>
      <c r="I169" s="147"/>
      <c r="J169" s="135"/>
      <c r="K169" s="146"/>
      <c r="L169" s="215"/>
      <c r="M169" s="113"/>
      <c r="N169" s="113"/>
    </row>
    <row r="170" spans="1:17">
      <c r="A170" s="18"/>
      <c r="B170" s="196" t="s">
        <v>217</v>
      </c>
      <c r="C170" s="227"/>
      <c r="D170" s="87"/>
      <c r="E170" s="228"/>
      <c r="F170" s="229"/>
      <c r="G170" s="87"/>
      <c r="H170" s="142"/>
      <c r="I170" s="201"/>
      <c r="J170" s="230"/>
      <c r="K170" s="229"/>
      <c r="L170" s="165"/>
      <c r="M170" s="113"/>
      <c r="N170" s="113"/>
    </row>
    <row r="171" spans="1:17">
      <c r="A171" s="18"/>
      <c r="B171" s="209"/>
      <c r="C171" s="24"/>
      <c r="D171" s="22"/>
      <c r="E171" s="155"/>
      <c r="F171" s="183"/>
      <c r="H171" s="112"/>
      <c r="I171" s="184"/>
      <c r="J171" s="185"/>
      <c r="K171" s="183"/>
      <c r="L171" s="197"/>
      <c r="M171" s="113"/>
      <c r="N171" s="113"/>
    </row>
    <row r="172" spans="1:17">
      <c r="A172" s="18"/>
      <c r="B172" s="231" t="s">
        <v>27</v>
      </c>
      <c r="C172" s="187" t="s">
        <v>28</v>
      </c>
      <c r="D172" s="22">
        <f>D153+D129</f>
        <v>178.79167135512199</v>
      </c>
      <c r="E172" s="192"/>
      <c r="F172" s="183">
        <f>F153+F129</f>
        <v>139377.01999999999</v>
      </c>
      <c r="H172" s="192"/>
      <c r="I172" s="183">
        <f>I153+I129</f>
        <v>145469.78</v>
      </c>
      <c r="J172" s="185"/>
      <c r="K172" s="184">
        <f>I172-F172</f>
        <v>6092.7600000000093</v>
      </c>
      <c r="L172" s="232"/>
      <c r="M172" s="113"/>
      <c r="N172" s="113"/>
    </row>
    <row r="173" spans="1:17">
      <c r="A173" s="18"/>
      <c r="B173" s="209" t="s">
        <v>36</v>
      </c>
      <c r="C173" s="24" t="s">
        <v>34</v>
      </c>
      <c r="D173" s="22">
        <f>D154+D130</f>
        <v>308558</v>
      </c>
      <c r="E173" s="192"/>
      <c r="F173" s="183">
        <f>F154+F130</f>
        <v>425810.04</v>
      </c>
      <c r="H173" s="192"/>
      <c r="I173" s="183">
        <f>I154+I130</f>
        <v>447409.1</v>
      </c>
      <c r="J173" s="185"/>
      <c r="K173" s="184">
        <f>I173-F173</f>
        <v>21599.059999999998</v>
      </c>
      <c r="L173" s="232"/>
      <c r="M173" s="113"/>
      <c r="N173" s="113"/>
    </row>
    <row r="174" spans="1:17">
      <c r="A174" s="18"/>
      <c r="B174" s="209" t="s">
        <v>33</v>
      </c>
      <c r="C174" s="24"/>
      <c r="D174" s="189"/>
      <c r="E174" s="192"/>
      <c r="F174" s="183">
        <f>F131</f>
        <v>135917.44</v>
      </c>
      <c r="H174" s="192"/>
      <c r="I174" s="183">
        <f>I131</f>
        <v>183053.79</v>
      </c>
      <c r="J174" s="185"/>
      <c r="K174" s="184">
        <f>I174-F174</f>
        <v>47136.350000000006</v>
      </c>
      <c r="L174" s="232"/>
      <c r="M174" s="113"/>
      <c r="N174" s="113"/>
    </row>
    <row r="175" spans="1:17">
      <c r="A175" s="18"/>
      <c r="B175" s="209" t="s">
        <v>44</v>
      </c>
      <c r="C175" s="24"/>
      <c r="D175" s="189"/>
      <c r="E175" s="192"/>
      <c r="F175" s="184">
        <f>F155+F132</f>
        <v>34827.85</v>
      </c>
      <c r="H175" s="112"/>
      <c r="I175" s="184">
        <f>I155+I132</f>
        <v>34827.85</v>
      </c>
      <c r="J175" s="185"/>
      <c r="K175" s="184">
        <f>I175-F175</f>
        <v>0</v>
      </c>
      <c r="L175" s="232"/>
      <c r="M175" s="113"/>
      <c r="N175" s="113"/>
    </row>
    <row r="176" spans="1:17">
      <c r="A176" s="18"/>
      <c r="B176" s="209"/>
      <c r="C176" s="24"/>
      <c r="D176" s="22"/>
      <c r="E176" s="112"/>
      <c r="F176" s="233"/>
      <c r="H176" s="155"/>
      <c r="I176" s="233"/>
      <c r="J176" s="185"/>
      <c r="K176" s="184"/>
      <c r="L176" s="232"/>
      <c r="M176" s="113"/>
      <c r="N176" s="113"/>
    </row>
    <row r="177" spans="1:16" ht="12" customHeight="1">
      <c r="A177" s="18"/>
      <c r="B177" s="209" t="s">
        <v>37</v>
      </c>
      <c r="C177" s="24"/>
      <c r="D177" s="22"/>
      <c r="E177" s="112"/>
      <c r="F177" s="183"/>
      <c r="H177" s="155"/>
      <c r="I177" s="183"/>
      <c r="J177" s="185"/>
      <c r="K177" s="184"/>
      <c r="L177" s="232"/>
      <c r="M177" s="113"/>
      <c r="N177" s="113"/>
    </row>
    <row r="178" spans="1:16">
      <c r="A178" s="18"/>
      <c r="B178" s="209" t="s">
        <v>45</v>
      </c>
      <c r="C178" s="24" t="s">
        <v>30</v>
      </c>
      <c r="D178" s="22">
        <f t="shared" ref="D178:D183" si="10">D158+D135</f>
        <v>4500625.1840000004</v>
      </c>
      <c r="E178" s="157"/>
      <c r="F178" s="183">
        <f t="shared" ref="F178:F183" si="11">F158+F135</f>
        <v>626036.96</v>
      </c>
      <c r="H178" s="157"/>
      <c r="I178" s="183">
        <f t="shared" ref="I178:I183" si="12">I158+I135</f>
        <v>843282.14</v>
      </c>
      <c r="J178" s="185"/>
      <c r="K178" s="184">
        <f t="shared" ref="K178:K183" si="13">I178-F178</f>
        <v>217245.18000000005</v>
      </c>
      <c r="L178" s="232"/>
      <c r="M178" s="113"/>
      <c r="N178" s="113"/>
    </row>
    <row r="179" spans="1:16">
      <c r="A179" s="18"/>
      <c r="B179" s="209" t="s">
        <v>46</v>
      </c>
      <c r="C179" s="24" t="s">
        <v>30</v>
      </c>
      <c r="D179" s="22">
        <f t="shared" si="10"/>
        <v>4470839.4029999999</v>
      </c>
      <c r="E179" s="157"/>
      <c r="F179" s="183">
        <f t="shared" si="11"/>
        <v>375818.76</v>
      </c>
      <c r="H179" s="157"/>
      <c r="I179" s="183">
        <f t="shared" si="12"/>
        <v>506233.15</v>
      </c>
      <c r="J179" s="185"/>
      <c r="K179" s="184">
        <f t="shared" si="13"/>
        <v>130414.39000000001</v>
      </c>
      <c r="L179" s="232"/>
      <c r="M179" s="113"/>
      <c r="N179" s="113"/>
    </row>
    <row r="180" spans="1:16">
      <c r="A180" s="18"/>
      <c r="B180" s="209" t="s">
        <v>48</v>
      </c>
      <c r="C180" s="24" t="s">
        <v>30</v>
      </c>
      <c r="D180" s="22">
        <f t="shared" si="10"/>
        <v>8587215.7309999987</v>
      </c>
      <c r="E180" s="157"/>
      <c r="F180" s="183">
        <f t="shared" si="11"/>
        <v>459330.17000000004</v>
      </c>
      <c r="H180" s="157"/>
      <c r="I180" s="183">
        <f t="shared" si="12"/>
        <v>618708.89</v>
      </c>
      <c r="J180" s="185"/>
      <c r="K180" s="184">
        <f t="shared" si="13"/>
        <v>159378.71999999997</v>
      </c>
      <c r="L180" s="197"/>
      <c r="M180" s="113"/>
      <c r="N180" s="113"/>
    </row>
    <row r="181" spans="1:16">
      <c r="A181" s="18"/>
      <c r="B181" s="209" t="s">
        <v>52</v>
      </c>
      <c r="C181" s="24" t="s">
        <v>30</v>
      </c>
      <c r="D181" s="22">
        <f t="shared" si="10"/>
        <v>14934629.378999999</v>
      </c>
      <c r="E181" s="157"/>
      <c r="F181" s="183">
        <f t="shared" si="11"/>
        <v>512257.79000000004</v>
      </c>
      <c r="H181" s="157"/>
      <c r="I181" s="183">
        <f t="shared" si="12"/>
        <v>689979.87</v>
      </c>
      <c r="J181" s="185"/>
      <c r="K181" s="184">
        <f t="shared" si="13"/>
        <v>177722.07999999996</v>
      </c>
      <c r="L181" s="197"/>
      <c r="M181" s="113"/>
      <c r="N181" s="113"/>
    </row>
    <row r="182" spans="1:16">
      <c r="A182" s="18"/>
      <c r="B182" s="209" t="s">
        <v>53</v>
      </c>
      <c r="C182" s="24" t="s">
        <v>30</v>
      </c>
      <c r="D182" s="22">
        <f t="shared" si="10"/>
        <v>29992743.752</v>
      </c>
      <c r="E182" s="157"/>
      <c r="F182" s="183">
        <f t="shared" si="11"/>
        <v>740220.91</v>
      </c>
      <c r="H182" s="157"/>
      <c r="I182" s="183">
        <f t="shared" si="12"/>
        <v>996958.81</v>
      </c>
      <c r="J182" s="185"/>
      <c r="K182" s="184">
        <f t="shared" si="13"/>
        <v>256737.90000000002</v>
      </c>
      <c r="L182" s="197"/>
      <c r="M182" s="113"/>
      <c r="N182" s="113"/>
    </row>
    <row r="183" spans="1:16">
      <c r="A183" s="18"/>
      <c r="B183" s="209" t="s">
        <v>54</v>
      </c>
      <c r="C183" s="24" t="s">
        <v>30</v>
      </c>
      <c r="D183" s="22">
        <f t="shared" si="10"/>
        <v>60622977.939999998</v>
      </c>
      <c r="E183" s="157"/>
      <c r="F183" s="183">
        <f t="shared" si="11"/>
        <v>1153655.27</v>
      </c>
      <c r="H183" s="157"/>
      <c r="I183" s="183">
        <f t="shared" si="12"/>
        <v>1553766.9200000002</v>
      </c>
      <c r="J183" s="185"/>
      <c r="K183" s="184">
        <f t="shared" si="13"/>
        <v>400111.65000000014</v>
      </c>
      <c r="L183" s="197"/>
      <c r="M183" s="113"/>
      <c r="N183" s="113"/>
    </row>
    <row r="184" spans="1:16">
      <c r="A184" s="18"/>
      <c r="B184" s="132" t="s">
        <v>178</v>
      </c>
      <c r="C184" s="24" t="s">
        <v>30</v>
      </c>
      <c r="D184" s="87">
        <f>SUM(D178:D183)</f>
        <v>123109031.389</v>
      </c>
      <c r="E184" s="155"/>
      <c r="F184" s="229">
        <f>SUM(F172:F183)</f>
        <v>4603252.2100000009</v>
      </c>
      <c r="H184" s="112"/>
      <c r="I184" s="229">
        <f>SUM(I172:I183)</f>
        <v>6019690.3000000007</v>
      </c>
      <c r="J184" s="185"/>
      <c r="K184" s="229">
        <f>SUM(K172:K183)</f>
        <v>1416438.0900000003</v>
      </c>
      <c r="L184" s="165">
        <f>K184/F184</f>
        <v>0.30770377667401372</v>
      </c>
      <c r="M184" s="113"/>
      <c r="N184" s="113"/>
      <c r="P184" s="195"/>
    </row>
    <row r="185" spans="1:16">
      <c r="A185" s="18"/>
      <c r="B185" s="231"/>
      <c r="C185" s="187"/>
      <c r="D185" s="22"/>
      <c r="E185" s="155"/>
      <c r="F185" s="183"/>
      <c r="H185" s="112"/>
      <c r="I185" s="184"/>
      <c r="J185" s="185"/>
      <c r="K185" s="183"/>
      <c r="L185" s="200"/>
      <c r="M185" s="113"/>
      <c r="N185" s="113"/>
    </row>
    <row r="186" spans="1:16">
      <c r="A186" s="18"/>
      <c r="B186" s="209" t="s">
        <v>176</v>
      </c>
      <c r="C186" s="187"/>
      <c r="D186" s="22"/>
      <c r="E186" s="155"/>
      <c r="F186" s="183"/>
      <c r="H186" s="112"/>
      <c r="I186" s="184"/>
      <c r="J186" s="185"/>
      <c r="K186" s="183"/>
      <c r="L186" s="200"/>
      <c r="M186" s="113"/>
      <c r="N186" s="113"/>
    </row>
    <row r="187" spans="1:16">
      <c r="A187" s="18"/>
      <c r="B187" s="209" t="s">
        <v>195</v>
      </c>
      <c r="C187" s="187"/>
      <c r="D187" s="22"/>
      <c r="E187" s="155"/>
      <c r="F187" s="183">
        <f>F144</f>
        <v>6188133.3463399606</v>
      </c>
      <c r="H187" s="112"/>
      <c r="I187" s="183">
        <f>I144</f>
        <v>6188133.3463399606</v>
      </c>
      <c r="J187" s="185"/>
      <c r="K187" s="184">
        <f>I187-F187</f>
        <v>0</v>
      </c>
      <c r="L187" s="200"/>
      <c r="M187" s="113"/>
      <c r="N187" s="113"/>
    </row>
    <row r="188" spans="1:16">
      <c r="A188" s="18"/>
      <c r="B188" s="209" t="s">
        <v>36</v>
      </c>
      <c r="C188" s="187"/>
      <c r="D188" s="22"/>
      <c r="E188" s="155"/>
      <c r="F188" s="183">
        <f>F145</f>
        <v>0</v>
      </c>
      <c r="H188" s="112"/>
      <c r="I188" s="183">
        <f>I145</f>
        <v>0</v>
      </c>
      <c r="J188" s="185"/>
      <c r="K188" s="184">
        <f>I188-F188</f>
        <v>0</v>
      </c>
      <c r="L188" s="200"/>
      <c r="M188" s="113"/>
      <c r="N188" s="113"/>
    </row>
    <row r="189" spans="1:16">
      <c r="A189" s="18"/>
      <c r="B189" s="209" t="s">
        <v>191</v>
      </c>
      <c r="C189" s="24" t="s">
        <v>30</v>
      </c>
      <c r="D189" s="22">
        <f>D166</f>
        <v>100227307.73</v>
      </c>
      <c r="E189" s="157"/>
      <c r="F189" s="184">
        <f>F166</f>
        <v>70159.115411000006</v>
      </c>
      <c r="G189" s="172"/>
      <c r="H189" s="157"/>
      <c r="I189" s="184">
        <f>I166</f>
        <v>100227.30773</v>
      </c>
      <c r="J189" s="185"/>
      <c r="K189" s="184">
        <f>I189-F189</f>
        <v>30068.192318999994</v>
      </c>
      <c r="L189" s="197"/>
      <c r="M189" s="113"/>
      <c r="N189" s="113"/>
    </row>
    <row r="190" spans="1:16">
      <c r="A190" s="18"/>
      <c r="B190" s="132" t="s">
        <v>196</v>
      </c>
      <c r="C190" s="24"/>
      <c r="D190" s="172"/>
      <c r="E190" s="157"/>
      <c r="F190" s="201">
        <f>SUM(F187:F189)</f>
        <v>6258292.4617509609</v>
      </c>
      <c r="G190" s="172"/>
      <c r="H190" s="157"/>
      <c r="I190" s="201">
        <f>SUM(I187:I189)</f>
        <v>6288360.6540699601</v>
      </c>
      <c r="J190" s="201"/>
      <c r="K190" s="201">
        <f>SUM(K187:K189)</f>
        <v>30068.192318999994</v>
      </c>
      <c r="L190" s="165">
        <f>K190/F190</f>
        <v>4.8045361418899623E-3</v>
      </c>
      <c r="M190" s="113"/>
      <c r="N190" s="113"/>
    </row>
    <row r="191" spans="1:16">
      <c r="A191" s="18"/>
      <c r="B191" s="231"/>
      <c r="C191" s="24"/>
      <c r="D191" s="172"/>
      <c r="E191" s="157"/>
      <c r="F191" s="184"/>
      <c r="G191" s="172"/>
      <c r="H191" s="157"/>
      <c r="I191" s="184"/>
      <c r="J191" s="185"/>
      <c r="K191" s="183"/>
      <c r="L191" s="197"/>
      <c r="M191" s="113"/>
      <c r="N191" s="113"/>
    </row>
    <row r="192" spans="1:16">
      <c r="A192" s="18"/>
      <c r="B192" s="231" t="s">
        <v>177</v>
      </c>
      <c r="C192" s="187"/>
      <c r="D192" s="183"/>
      <c r="E192" s="112"/>
      <c r="F192" s="229">
        <f>F184+F190</f>
        <v>10861544.671750963</v>
      </c>
      <c r="G192" s="24"/>
      <c r="H192" s="112"/>
      <c r="I192" s="229">
        <f>I184+I190</f>
        <v>12308050.954069961</v>
      </c>
      <c r="J192" s="112"/>
      <c r="K192" s="229">
        <f>K184+K190</f>
        <v>1446506.2823190002</v>
      </c>
      <c r="L192" s="234">
        <f>ROUND(K192/F192,5)</f>
        <v>0.13317999999999999</v>
      </c>
      <c r="M192" s="113"/>
      <c r="N192" s="113"/>
    </row>
    <row r="193" spans="1:15">
      <c r="A193" s="18"/>
      <c r="B193" s="176"/>
      <c r="C193" s="177"/>
      <c r="D193" s="86"/>
      <c r="E193" s="235"/>
      <c r="F193" s="194"/>
      <c r="G193" s="86"/>
      <c r="H193" s="180"/>
      <c r="I193" s="203"/>
      <c r="J193" s="181"/>
      <c r="K193" s="179"/>
      <c r="L193" s="182"/>
      <c r="M193" s="113"/>
      <c r="N193" s="113"/>
    </row>
    <row r="194" spans="1:15">
      <c r="A194" s="18"/>
      <c r="B194" s="18"/>
      <c r="C194" s="18"/>
      <c r="D194" s="22"/>
      <c r="E194" s="155"/>
      <c r="F194" s="183"/>
      <c r="H194" s="112"/>
      <c r="I194" s="147"/>
      <c r="J194" s="135"/>
      <c r="K194" s="146"/>
      <c r="L194" s="215"/>
      <c r="M194" s="113"/>
      <c r="N194" s="113"/>
    </row>
    <row r="195" spans="1:15">
      <c r="B195" s="28" t="s">
        <v>218</v>
      </c>
      <c r="C195" s="18"/>
      <c r="D195" s="22"/>
      <c r="E195" s="111"/>
      <c r="F195" s="14"/>
      <c r="H195" s="155"/>
      <c r="I195" s="14"/>
      <c r="J195" s="14"/>
      <c r="K195" s="14"/>
      <c r="L195" s="152"/>
      <c r="M195" s="113"/>
      <c r="N195" s="113"/>
      <c r="O195" s="159"/>
    </row>
    <row r="196" spans="1:15">
      <c r="C196" s="18"/>
      <c r="D196" s="125" t="s">
        <v>30</v>
      </c>
      <c r="E196" s="111"/>
      <c r="F196" s="236" t="s">
        <v>155</v>
      </c>
      <c r="G196" s="26"/>
      <c r="H196" s="25"/>
      <c r="I196" s="236" t="s">
        <v>156</v>
      </c>
      <c r="J196" s="226"/>
      <c r="K196" s="236" t="s">
        <v>32</v>
      </c>
      <c r="L196" s="152"/>
      <c r="M196" s="113"/>
      <c r="N196" s="113"/>
      <c r="O196" s="159"/>
    </row>
    <row r="197" spans="1:15">
      <c r="B197" s="28" t="s">
        <v>200</v>
      </c>
      <c r="C197" s="18"/>
      <c r="D197" s="22"/>
      <c r="E197" s="111"/>
      <c r="F197" s="237"/>
      <c r="G197" s="238"/>
      <c r="H197" s="238"/>
      <c r="I197" s="237"/>
      <c r="J197" s="237"/>
      <c r="K197" s="237"/>
      <c r="L197" s="152"/>
      <c r="M197" s="113"/>
      <c r="N197" s="113"/>
      <c r="O197" s="159"/>
    </row>
    <row r="198" spans="1:15">
      <c r="B198" s="16" t="s">
        <v>219</v>
      </c>
      <c r="C198" s="18"/>
      <c r="D198" s="20"/>
      <c r="E198" s="111"/>
      <c r="F198" s="237">
        <f>F26+F44</f>
        <v>4409033.2723877989</v>
      </c>
      <c r="G198" s="238"/>
      <c r="H198" s="238"/>
      <c r="I198" s="237">
        <f>I26+I44</f>
        <v>4431482.9198507993</v>
      </c>
      <c r="J198" s="237"/>
      <c r="K198" s="237">
        <f>I198-F198</f>
        <v>22449.64746300038</v>
      </c>
      <c r="L198" s="152"/>
      <c r="M198" s="113"/>
      <c r="N198" s="113"/>
      <c r="O198" s="159"/>
    </row>
    <row r="199" spans="1:15">
      <c r="B199" s="16" t="s">
        <v>220</v>
      </c>
      <c r="C199" s="18"/>
      <c r="D199" s="20"/>
      <c r="E199" s="111"/>
      <c r="F199" s="237">
        <f>F85+F101</f>
        <v>2432123.83120728</v>
      </c>
      <c r="G199" s="238"/>
      <c r="H199" s="238"/>
      <c r="I199" s="237">
        <f>I85+I101</f>
        <v>2432229.2176522799</v>
      </c>
      <c r="J199" s="237"/>
      <c r="K199" s="237">
        <f>I199-F199</f>
        <v>105.38644499983639</v>
      </c>
      <c r="L199" s="152"/>
      <c r="M199" s="113"/>
      <c r="N199" s="113"/>
      <c r="O199" s="159"/>
    </row>
    <row r="200" spans="1:15">
      <c r="B200" s="16" t="s">
        <v>221</v>
      </c>
      <c r="C200" s="18"/>
      <c r="D200" s="20"/>
      <c r="E200" s="111"/>
      <c r="F200" s="237">
        <f>F146+F166</f>
        <v>6258292.4617509609</v>
      </c>
      <c r="G200" s="238"/>
      <c r="H200" s="238"/>
      <c r="I200" s="237">
        <f>I146+I166</f>
        <v>6288360.6540699601</v>
      </c>
      <c r="J200" s="237"/>
      <c r="K200" s="237">
        <f>I200-F200</f>
        <v>30068.192318999209</v>
      </c>
      <c r="L200" s="152"/>
      <c r="M200" s="113"/>
      <c r="N200" s="113"/>
      <c r="O200" s="159"/>
    </row>
    <row r="201" spans="1:15">
      <c r="B201" s="16" t="s">
        <v>43</v>
      </c>
      <c r="C201" s="18"/>
      <c r="D201" s="20"/>
      <c r="E201" s="111"/>
      <c r="F201" s="239">
        <f>SUM(F198:F200)</f>
        <v>13099449.56534604</v>
      </c>
      <c r="G201" s="238"/>
      <c r="H201" s="238"/>
      <c r="I201" s="239">
        <f>SUM(I198:I200)</f>
        <v>13152072.79157304</v>
      </c>
      <c r="J201" s="237"/>
      <c r="K201" s="239">
        <f>SUM(K198:K200)</f>
        <v>52623.226226999424</v>
      </c>
      <c r="L201" s="152"/>
      <c r="M201" s="113"/>
      <c r="N201" s="113"/>
      <c r="O201" s="159"/>
    </row>
    <row r="202" spans="1:15">
      <c r="C202" s="18"/>
      <c r="D202" s="20"/>
      <c r="E202" s="111"/>
      <c r="F202" s="237"/>
      <c r="G202" s="238"/>
      <c r="H202" s="238"/>
      <c r="I202" s="237"/>
      <c r="J202" s="237"/>
      <c r="K202" s="237"/>
      <c r="L202" s="152"/>
      <c r="M202" s="113"/>
      <c r="N202" s="113"/>
      <c r="O202" s="159"/>
    </row>
    <row r="203" spans="1:15">
      <c r="B203" s="28" t="s">
        <v>203</v>
      </c>
      <c r="C203" s="18"/>
      <c r="D203" s="20"/>
      <c r="E203" s="111"/>
      <c r="F203" s="237"/>
      <c r="G203" s="238"/>
      <c r="H203" s="238"/>
      <c r="I203" s="237"/>
      <c r="J203" s="237"/>
      <c r="K203" s="237"/>
      <c r="L203" s="152"/>
      <c r="M203" s="113"/>
      <c r="N203" s="113"/>
      <c r="O203" s="159"/>
    </row>
    <row r="204" spans="1:15">
      <c r="B204" s="16" t="s">
        <v>219</v>
      </c>
      <c r="C204" s="18"/>
      <c r="D204" s="20"/>
      <c r="E204" s="111"/>
      <c r="F204" s="237">
        <f>F21+F42</f>
        <v>8492873.3191983793</v>
      </c>
      <c r="G204" s="238"/>
      <c r="H204" s="238"/>
      <c r="I204" s="237">
        <f>I21+I42</f>
        <v>10235146.799999999</v>
      </c>
      <c r="J204" s="237"/>
      <c r="K204" s="237">
        <f>I204-F204</f>
        <v>1742273.4808016196</v>
      </c>
      <c r="L204" s="152"/>
      <c r="M204" s="113"/>
      <c r="N204" s="113"/>
      <c r="O204" s="159"/>
    </row>
    <row r="205" spans="1:15">
      <c r="B205" s="16" t="s">
        <v>220</v>
      </c>
      <c r="C205" s="18"/>
      <c r="D205" s="20"/>
      <c r="E205" s="111"/>
      <c r="F205" s="237">
        <f>F80+F99</f>
        <v>1968288.3</v>
      </c>
      <c r="G205" s="238"/>
      <c r="H205" s="238"/>
      <c r="I205" s="237">
        <f>I80+I99</f>
        <v>1968309.43</v>
      </c>
      <c r="J205" s="237"/>
      <c r="K205" s="237">
        <f>I205-F205</f>
        <v>21.129999999888241</v>
      </c>
      <c r="L205" s="152"/>
      <c r="M205" s="113"/>
      <c r="N205" s="113"/>
      <c r="O205" s="159"/>
    </row>
    <row r="206" spans="1:15">
      <c r="B206" s="16" t="s">
        <v>221</v>
      </c>
      <c r="C206" s="18"/>
      <c r="D206" s="20"/>
      <c r="E206" s="111"/>
      <c r="F206" s="237">
        <f>F141+F164</f>
        <v>4603252.21</v>
      </c>
      <c r="G206" s="238"/>
      <c r="H206" s="238"/>
      <c r="I206" s="237">
        <f>I141+I164</f>
        <v>6019690.2999999998</v>
      </c>
      <c r="J206" s="237"/>
      <c r="K206" s="237">
        <f>I206-F206</f>
        <v>1416438.0899999999</v>
      </c>
      <c r="L206" s="152"/>
      <c r="M206" s="113"/>
      <c r="N206" s="113"/>
      <c r="O206" s="159"/>
    </row>
    <row r="207" spans="1:15">
      <c r="B207" s="16" t="s">
        <v>43</v>
      </c>
      <c r="C207" s="18"/>
      <c r="D207" s="20"/>
      <c r="E207" s="111"/>
      <c r="F207" s="239">
        <f>SUM(F204:F206)</f>
        <v>15064413.829198379</v>
      </c>
      <c r="G207" s="238"/>
      <c r="H207" s="238"/>
      <c r="I207" s="239">
        <f>SUM(I204:I206)</f>
        <v>18223146.529999997</v>
      </c>
      <c r="J207" s="237"/>
      <c r="K207" s="239">
        <f>SUM(K204:K206)</f>
        <v>3158732.7008016193</v>
      </c>
      <c r="L207" s="152"/>
      <c r="M207" s="113"/>
      <c r="N207" s="113"/>
      <c r="O207" s="159"/>
    </row>
    <row r="208" spans="1:15">
      <c r="C208" s="18"/>
      <c r="D208" s="20"/>
      <c r="E208" s="111"/>
      <c r="F208" s="237"/>
      <c r="G208" s="238"/>
      <c r="H208" s="238"/>
      <c r="I208" s="237"/>
      <c r="J208" s="237"/>
      <c r="K208" s="237"/>
      <c r="L208" s="152"/>
      <c r="M208" s="113"/>
      <c r="N208" s="113"/>
      <c r="O208" s="159"/>
    </row>
    <row r="209" spans="2:15">
      <c r="B209" s="28" t="s">
        <v>205</v>
      </c>
      <c r="C209" s="18"/>
      <c r="D209" s="20"/>
      <c r="E209" s="111"/>
      <c r="F209" s="237"/>
      <c r="G209" s="238"/>
      <c r="H209" s="238"/>
      <c r="I209" s="237"/>
      <c r="J209" s="237"/>
      <c r="K209" s="237"/>
      <c r="L209" s="152"/>
      <c r="M209" s="113"/>
      <c r="N209" s="113"/>
      <c r="O209" s="159"/>
    </row>
    <row r="210" spans="2:15">
      <c r="B210" s="16" t="s">
        <v>219</v>
      </c>
      <c r="C210" s="18"/>
      <c r="D210" s="20">
        <f>D59</f>
        <v>90620156.763999999</v>
      </c>
      <c r="E210" s="111"/>
      <c r="F210" s="237">
        <f>F198+F204</f>
        <v>12901906.591586178</v>
      </c>
      <c r="G210" s="238"/>
      <c r="H210" s="238"/>
      <c r="I210" s="237">
        <f>I198+I204</f>
        <v>14666629.719850797</v>
      </c>
      <c r="J210" s="237"/>
      <c r="K210" s="237">
        <f>I210-F210</f>
        <v>1764723.128264619</v>
      </c>
      <c r="L210" s="152"/>
      <c r="M210" s="113"/>
      <c r="N210" s="113"/>
      <c r="O210" s="159"/>
    </row>
    <row r="211" spans="2:15">
      <c r="B211" s="16" t="s">
        <v>220</v>
      </c>
      <c r="C211" s="18"/>
      <c r="D211" s="20">
        <f>D115</f>
        <v>9103924.943</v>
      </c>
      <c r="E211" s="111"/>
      <c r="F211" s="237">
        <f>F199+F205</f>
        <v>4400412.1312072799</v>
      </c>
      <c r="G211" s="238"/>
      <c r="H211" s="238"/>
      <c r="I211" s="237">
        <f>I199+I205</f>
        <v>4400538.6476522796</v>
      </c>
      <c r="J211" s="237"/>
      <c r="K211" s="237">
        <f>I211-F211</f>
        <v>126.51644499972463</v>
      </c>
      <c r="L211" s="152"/>
      <c r="M211" s="113"/>
      <c r="N211" s="113"/>
      <c r="O211" s="159"/>
    </row>
    <row r="212" spans="2:15">
      <c r="B212" s="16" t="s">
        <v>221</v>
      </c>
      <c r="C212" s="18"/>
      <c r="D212" s="20">
        <f>D184</f>
        <v>123109031.389</v>
      </c>
      <c r="E212" s="111"/>
      <c r="F212" s="237">
        <f>F200+F206</f>
        <v>10861544.671750961</v>
      </c>
      <c r="G212" s="238"/>
      <c r="H212" s="238"/>
      <c r="I212" s="237">
        <f>I200+I206</f>
        <v>12308050.954069961</v>
      </c>
      <c r="J212" s="237"/>
      <c r="K212" s="237">
        <f>I212-F212</f>
        <v>1446506.282319</v>
      </c>
      <c r="L212" s="152"/>
      <c r="M212" s="113"/>
      <c r="N212" s="113"/>
      <c r="O212" s="159"/>
    </row>
    <row r="213" spans="2:15">
      <c r="B213" s="16" t="s">
        <v>43</v>
      </c>
      <c r="C213" s="18"/>
      <c r="D213" s="33">
        <f>SUM(D210:D212)</f>
        <v>222833113.09600002</v>
      </c>
      <c r="E213" s="111"/>
      <c r="F213" s="239">
        <f>SUM(F210:F212)</f>
        <v>28163863.394544423</v>
      </c>
      <c r="G213" s="238"/>
      <c r="H213" s="238"/>
      <c r="I213" s="239">
        <f>SUM(I210:I212)</f>
        <v>31375219.321573038</v>
      </c>
      <c r="J213" s="237"/>
      <c r="K213" s="239">
        <f>SUM(K210:K212)</f>
        <v>3211355.9270286188</v>
      </c>
      <c r="L213" s="152"/>
      <c r="M213" s="113"/>
      <c r="N213" s="113"/>
      <c r="O213" s="159"/>
    </row>
    <row r="214" spans="2:15">
      <c r="C214" s="18"/>
      <c r="D214" s="20"/>
      <c r="E214" s="111"/>
      <c r="F214" s="237"/>
      <c r="G214" s="238"/>
      <c r="H214" s="238"/>
      <c r="I214" s="237"/>
      <c r="J214" s="237"/>
      <c r="K214" s="237"/>
      <c r="L214" s="152"/>
      <c r="M214" s="113"/>
      <c r="N214" s="113"/>
      <c r="O214" s="159"/>
    </row>
    <row r="215" spans="2:15">
      <c r="B215" s="28" t="s">
        <v>222</v>
      </c>
      <c r="E215" s="29"/>
      <c r="F215" s="240"/>
      <c r="G215" s="241"/>
      <c r="H215" s="242"/>
      <c r="I215" s="240"/>
      <c r="J215" s="240"/>
      <c r="K215" s="240"/>
      <c r="O215" s="226"/>
    </row>
    <row r="216" spans="2:15">
      <c r="B216" s="34" t="s">
        <v>43</v>
      </c>
      <c r="D216" s="243">
        <v>1154896230.9190001</v>
      </c>
      <c r="E216" s="22"/>
      <c r="F216" s="244">
        <v>750238952.71759534</v>
      </c>
      <c r="G216" s="238"/>
      <c r="H216" s="242"/>
      <c r="I216" s="244">
        <v>848785174.60667944</v>
      </c>
      <c r="J216" s="240"/>
      <c r="K216" s="240">
        <f>I216-F216</f>
        <v>98546221.889084101</v>
      </c>
      <c r="L216" s="245">
        <f>K216/F216</f>
        <v>0.13135311294104299</v>
      </c>
      <c r="O216" s="226"/>
    </row>
    <row r="217" spans="2:15">
      <c r="B217" s="34" t="s">
        <v>223</v>
      </c>
      <c r="D217" s="246">
        <v>37090866.750000007</v>
      </c>
      <c r="E217" s="22"/>
      <c r="F217" s="247">
        <v>1719215.5127806603</v>
      </c>
      <c r="G217" s="238"/>
      <c r="H217" s="242"/>
      <c r="I217" s="247">
        <v>1757818.4509374714</v>
      </c>
      <c r="J217" s="240"/>
      <c r="K217" s="240">
        <f>I217-F217</f>
        <v>38602.938156811055</v>
      </c>
      <c r="L217" s="245">
        <f>K217/F217</f>
        <v>2.2453809816068166E-2</v>
      </c>
      <c r="O217" s="226"/>
    </row>
    <row r="218" spans="2:15">
      <c r="B218" s="34" t="s">
        <v>224</v>
      </c>
      <c r="E218" s="22"/>
      <c r="F218" s="247">
        <v>5310380.6899999985</v>
      </c>
      <c r="G218" s="238"/>
      <c r="H218" s="242"/>
      <c r="I218" s="247">
        <v>4665849.629999999</v>
      </c>
      <c r="J218" s="240"/>
      <c r="K218" s="240">
        <f>I218-F218</f>
        <v>-644531.05999999959</v>
      </c>
      <c r="L218" s="245">
        <f>K218/F218</f>
        <v>-0.12137191241556729</v>
      </c>
      <c r="O218" s="226"/>
    </row>
    <row r="219" spans="2:15">
      <c r="B219" s="34" t="s">
        <v>168</v>
      </c>
      <c r="D219" s="87">
        <f>SUM(D216:D218)</f>
        <v>1191987097.6690001</v>
      </c>
      <c r="E219" s="22"/>
      <c r="F219" s="239">
        <f>SUM(F216:F218)</f>
        <v>757268548.92037606</v>
      </c>
      <c r="G219" s="238"/>
      <c r="H219" s="242"/>
      <c r="I219" s="239">
        <f>SUM(I216:I218)</f>
        <v>855208842.68761694</v>
      </c>
      <c r="J219" s="240"/>
      <c r="K219" s="239">
        <f>SUM(K216:K218)</f>
        <v>97940293.767240912</v>
      </c>
      <c r="L219" s="245">
        <f>K219/F219</f>
        <v>0.12933363455655539</v>
      </c>
      <c r="O219" s="226"/>
    </row>
    <row r="220" spans="2:15">
      <c r="B220" s="38"/>
      <c r="C220" s="25"/>
      <c r="D220" s="246"/>
      <c r="E220" s="22"/>
      <c r="F220" s="248"/>
      <c r="G220" s="238"/>
      <c r="H220" s="242"/>
      <c r="I220" s="248"/>
      <c r="J220" s="240"/>
      <c r="K220" s="248"/>
      <c r="L220" s="245"/>
    </row>
    <row r="221" spans="2:15">
      <c r="B221" s="16" t="s">
        <v>283</v>
      </c>
      <c r="E221" s="22"/>
      <c r="F221" s="237"/>
      <c r="G221" s="238"/>
      <c r="H221" s="242"/>
      <c r="I221" s="237"/>
      <c r="J221" s="240"/>
      <c r="K221" s="237"/>
    </row>
    <row r="222" spans="2:15" ht="14" thickBot="1">
      <c r="F222" s="237"/>
      <c r="G222" s="238"/>
      <c r="H222" s="242"/>
      <c r="I222" s="237"/>
      <c r="J222" s="240"/>
      <c r="K222" s="237"/>
    </row>
    <row r="223" spans="2:15">
      <c r="B223" s="249" t="s">
        <v>55</v>
      </c>
      <c r="C223" s="250"/>
      <c r="D223" s="251">
        <v>0</v>
      </c>
      <c r="E223" s="252"/>
      <c r="F223" s="253">
        <v>2.5965768843889236E-2</v>
      </c>
      <c r="G223" s="238"/>
      <c r="H223" s="242"/>
      <c r="I223" s="240"/>
      <c r="J223" s="240"/>
      <c r="K223" s="240"/>
    </row>
    <row r="224" spans="2:15" ht="14" thickBot="1">
      <c r="B224" s="254" t="s">
        <v>55</v>
      </c>
      <c r="C224" s="255"/>
      <c r="D224" s="256">
        <v>0</v>
      </c>
      <c r="E224" s="257"/>
      <c r="F224" s="258">
        <v>3.0204296112060547E-2</v>
      </c>
    </row>
    <row r="226" spans="4:4">
      <c r="D226" s="37"/>
    </row>
  </sheetData>
  <mergeCells count="1">
    <mergeCell ref="K7:L7"/>
  </mergeCells>
  <printOptions horizontalCentered="1"/>
  <pageMargins left="0.7" right="0.7" top="0.75" bottom="0.75" header="0.3" footer="0.3"/>
  <pageSetup scale="70" fitToHeight="0"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  <rowBreaks count="5" manualBreakCount="5">
    <brk id="47" max="16383" man="1"/>
    <brk id="89" min="1" max="16" man="1"/>
    <brk id="126" min="1" max="16" man="1"/>
    <brk id="169" max="16383" man="1"/>
    <brk id="21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N340"/>
  <sheetViews>
    <sheetView view="pageBreakPreview" topLeftCell="B232" zoomScale="60" zoomScaleNormal="100" workbookViewId="0">
      <selection activeCell="N1" sqref="N1"/>
    </sheetView>
  </sheetViews>
  <sheetFormatPr baseColWidth="10" defaultColWidth="9.1640625" defaultRowHeight="13"/>
  <cols>
    <col min="1" max="1" width="2.33203125" style="16" customWidth="1"/>
    <col min="2" max="2" width="41.5" style="16" customWidth="1"/>
    <col min="3" max="3" width="9.33203125" style="16" bestFit="1" customWidth="1"/>
    <col min="4" max="9" width="11.6640625" style="16" bestFit="1" customWidth="1"/>
    <col min="10" max="11" width="10.1640625" style="16" bestFit="1" customWidth="1"/>
    <col min="12" max="15" width="11.6640625" style="16" bestFit="1" customWidth="1"/>
    <col min="16" max="16" width="12.6640625" style="16" bestFit="1" customWidth="1"/>
    <col min="17" max="17" width="12.6640625" style="16" customWidth="1"/>
    <col min="18" max="18" width="10.6640625" style="16" bestFit="1" customWidth="1"/>
    <col min="19" max="16384" width="9.1640625" style="16"/>
  </cols>
  <sheetData>
    <row r="1" spans="2:19">
      <c r="D1" s="262" t="s">
        <v>17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3"/>
    </row>
    <row r="2" spans="2:19">
      <c r="D2" s="262" t="s">
        <v>292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3"/>
    </row>
    <row r="3" spans="2:19">
      <c r="D3" s="262" t="s">
        <v>280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3"/>
    </row>
    <row r="4" spans="2:19">
      <c r="B4" s="7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>
      <c r="B5" s="7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9">
      <c r="B6" s="78" t="s">
        <v>63</v>
      </c>
      <c r="C6" s="78" t="s">
        <v>64</v>
      </c>
      <c r="D6" s="79">
        <v>43101</v>
      </c>
      <c r="E6" s="79">
        <f>EDATE(D6,1)</f>
        <v>43132</v>
      </c>
      <c r="F6" s="79">
        <f t="shared" ref="F6:O6" si="0">EDATE(E6,1)</f>
        <v>43160</v>
      </c>
      <c r="G6" s="79">
        <f t="shared" si="0"/>
        <v>43191</v>
      </c>
      <c r="H6" s="79">
        <f t="shared" si="0"/>
        <v>43221</v>
      </c>
      <c r="I6" s="79">
        <f t="shared" si="0"/>
        <v>43252</v>
      </c>
      <c r="J6" s="79">
        <f t="shared" si="0"/>
        <v>43282</v>
      </c>
      <c r="K6" s="79">
        <f t="shared" si="0"/>
        <v>43313</v>
      </c>
      <c r="L6" s="79">
        <f t="shared" si="0"/>
        <v>43344</v>
      </c>
      <c r="M6" s="79">
        <f t="shared" si="0"/>
        <v>43374</v>
      </c>
      <c r="N6" s="79">
        <f t="shared" si="0"/>
        <v>43405</v>
      </c>
      <c r="O6" s="79">
        <f t="shared" si="0"/>
        <v>43435</v>
      </c>
      <c r="P6" s="80" t="s">
        <v>43</v>
      </c>
      <c r="Q6" s="4"/>
    </row>
    <row r="7" spans="2:19">
      <c r="B7" s="28" t="s">
        <v>293</v>
      </c>
      <c r="C7" s="8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9" s="25" customFormat="1">
      <c r="B8" s="25" t="s">
        <v>65</v>
      </c>
      <c r="C8" s="82">
        <v>16</v>
      </c>
      <c r="D8" s="101">
        <v>797.62900000000002</v>
      </c>
      <c r="E8" s="101">
        <v>723.62300000000005</v>
      </c>
      <c r="F8" s="101">
        <v>835.85599999999999</v>
      </c>
      <c r="G8" s="101">
        <v>821.65099999999995</v>
      </c>
      <c r="H8" s="101">
        <v>818.67499999999995</v>
      </c>
      <c r="I8" s="101">
        <v>776.11900000000003</v>
      </c>
      <c r="J8" s="101">
        <v>813.22500000000002</v>
      </c>
      <c r="K8" s="101">
        <v>791.37</v>
      </c>
      <c r="L8" s="101">
        <v>794.43100000000004</v>
      </c>
      <c r="M8" s="101">
        <v>846.26900000000001</v>
      </c>
      <c r="N8" s="101">
        <v>670.62199999999996</v>
      </c>
      <c r="O8" s="101">
        <v>654.63400000000001</v>
      </c>
      <c r="P8" s="26">
        <f>SUM(D8:O8)</f>
        <v>9344.1039999999994</v>
      </c>
      <c r="Q8" s="26"/>
      <c r="R8" s="385"/>
      <c r="S8" s="26"/>
    </row>
    <row r="9" spans="2:19" s="25" customFormat="1">
      <c r="B9" s="25" t="s">
        <v>0</v>
      </c>
      <c r="C9" s="25">
        <v>23</v>
      </c>
      <c r="D9" s="101">
        <v>85104432.094999999</v>
      </c>
      <c r="E9" s="101">
        <v>80987938.540999994</v>
      </c>
      <c r="F9" s="101">
        <v>75376978.523000002</v>
      </c>
      <c r="G9" s="101">
        <v>47865394.369000003</v>
      </c>
      <c r="H9" s="101">
        <v>24076169.842999998</v>
      </c>
      <c r="I9" s="101">
        <v>17720709.662999999</v>
      </c>
      <c r="J9" s="101">
        <v>13445152.333000001</v>
      </c>
      <c r="K9" s="101">
        <v>13243856.593</v>
      </c>
      <c r="L9" s="101">
        <v>20690219.379000001</v>
      </c>
      <c r="M9" s="101">
        <v>42558823.725000001</v>
      </c>
      <c r="N9" s="101">
        <v>66477179.744999997</v>
      </c>
      <c r="O9" s="101">
        <v>84527896.341000006</v>
      </c>
      <c r="P9" s="26">
        <f t="shared" ref="P9:P33" si="1">SUM(D9:O9)</f>
        <v>572074751.14999998</v>
      </c>
      <c r="Q9" s="26"/>
      <c r="R9" s="385"/>
    </row>
    <row r="10" spans="2:19" s="25" customFormat="1">
      <c r="B10" s="25" t="s">
        <v>66</v>
      </c>
      <c r="C10" s="25">
        <v>53</v>
      </c>
      <c r="D10" s="101">
        <v>56.914999999999999</v>
      </c>
      <c r="E10" s="101">
        <v>7.5629999999999997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26">
        <f t="shared" si="1"/>
        <v>64.477999999999994</v>
      </c>
      <c r="Q10" s="26"/>
      <c r="R10" s="385"/>
    </row>
    <row r="11" spans="2:19" s="25" customFormat="1">
      <c r="B11" s="25" t="s">
        <v>67</v>
      </c>
      <c r="C11" s="25">
        <v>31</v>
      </c>
      <c r="D11" s="101">
        <v>28406290.447999999</v>
      </c>
      <c r="E11" s="101">
        <v>26930630.162999999</v>
      </c>
      <c r="F11" s="101">
        <v>25554926.024</v>
      </c>
      <c r="G11" s="101">
        <v>17577728.907000002</v>
      </c>
      <c r="H11" s="101">
        <v>10860038.619000001</v>
      </c>
      <c r="I11" s="101">
        <v>8913208.3239999991</v>
      </c>
      <c r="J11" s="101">
        <v>7744332.8169999998</v>
      </c>
      <c r="K11" s="101">
        <v>7814835.7249999996</v>
      </c>
      <c r="L11" s="101">
        <v>9638896.5759999994</v>
      </c>
      <c r="M11" s="101">
        <v>15331464.589</v>
      </c>
      <c r="N11" s="101">
        <v>22131529.57</v>
      </c>
      <c r="O11" s="101">
        <v>28131198.552999999</v>
      </c>
      <c r="P11" s="26">
        <f t="shared" si="1"/>
        <v>209035080.315</v>
      </c>
      <c r="Q11" s="26"/>
      <c r="R11" s="385"/>
    </row>
    <row r="12" spans="2:19" s="25" customFormat="1">
      <c r="B12" s="25" t="s">
        <v>68</v>
      </c>
      <c r="C12" s="25">
        <v>41</v>
      </c>
      <c r="D12" s="101">
        <v>6582985.9359999998</v>
      </c>
      <c r="E12" s="101">
        <v>6376975.6500000004</v>
      </c>
      <c r="F12" s="101">
        <v>6238486.6940000001</v>
      </c>
      <c r="G12" s="101">
        <v>4791690.6160000004</v>
      </c>
      <c r="H12" s="101">
        <v>3331563.0380000006</v>
      </c>
      <c r="I12" s="101">
        <v>2788619.142</v>
      </c>
      <c r="J12" s="101">
        <v>2291089.585</v>
      </c>
      <c r="K12" s="101">
        <v>2322664.8089999999</v>
      </c>
      <c r="L12" s="101">
        <v>2861816.1799999997</v>
      </c>
      <c r="M12" s="101">
        <v>4195811.7210000008</v>
      </c>
      <c r="N12" s="101">
        <v>5387399.1579999998</v>
      </c>
      <c r="O12" s="101">
        <v>6479349.8090000004</v>
      </c>
      <c r="P12" s="26">
        <f t="shared" si="1"/>
        <v>53648452.338</v>
      </c>
      <c r="Q12" s="26"/>
      <c r="R12" s="385"/>
    </row>
    <row r="13" spans="2:19" s="25" customFormat="1">
      <c r="B13" s="25" t="s">
        <v>273</v>
      </c>
      <c r="C13" s="25">
        <v>50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26">
        <f t="shared" si="1"/>
        <v>0</v>
      </c>
      <c r="Q13" s="26"/>
      <c r="R13" s="385"/>
    </row>
    <row r="14" spans="2:19" s="25" customFormat="1">
      <c r="B14" s="25" t="s">
        <v>69</v>
      </c>
      <c r="C14" s="25">
        <v>85</v>
      </c>
      <c r="D14" s="101">
        <v>1710515.939</v>
      </c>
      <c r="E14" s="101">
        <v>1579736.5380000002</v>
      </c>
      <c r="F14" s="101">
        <v>1642259.1359999999</v>
      </c>
      <c r="G14" s="101">
        <v>1243655.1359999999</v>
      </c>
      <c r="H14" s="101">
        <v>920234.88600000006</v>
      </c>
      <c r="I14" s="101">
        <v>733125.50200000009</v>
      </c>
      <c r="J14" s="101">
        <v>646476.62700000009</v>
      </c>
      <c r="K14" s="101">
        <v>706237.19299999997</v>
      </c>
      <c r="L14" s="101">
        <v>840775.34</v>
      </c>
      <c r="M14" s="101">
        <v>1111617.04</v>
      </c>
      <c r="N14" s="101">
        <v>1379651.9010000001</v>
      </c>
      <c r="O14" s="101">
        <v>1648219.5559999999</v>
      </c>
      <c r="P14" s="26">
        <f t="shared" si="1"/>
        <v>14162504.794000002</v>
      </c>
      <c r="Q14" s="26"/>
      <c r="R14" s="385"/>
    </row>
    <row r="15" spans="2:19" s="25" customFormat="1">
      <c r="B15" s="25" t="s">
        <v>70</v>
      </c>
      <c r="C15" s="25">
        <v>86</v>
      </c>
      <c r="D15" s="101">
        <v>1186743.409</v>
      </c>
      <c r="E15" s="101">
        <v>1096745.9580000001</v>
      </c>
      <c r="F15" s="101">
        <v>1108343.9139999999</v>
      </c>
      <c r="G15" s="101">
        <v>835352.56900000002</v>
      </c>
      <c r="H15" s="101">
        <v>473406.78399999999</v>
      </c>
      <c r="I15" s="101">
        <v>313206.79399999999</v>
      </c>
      <c r="J15" s="101">
        <v>213503.913</v>
      </c>
      <c r="K15" s="101">
        <v>207293.03100000002</v>
      </c>
      <c r="L15" s="101">
        <v>346636.48600000003</v>
      </c>
      <c r="M15" s="101">
        <v>669628.18999999994</v>
      </c>
      <c r="N15" s="101">
        <v>911642.93400000001</v>
      </c>
      <c r="O15" s="101">
        <v>1140251.9819999998</v>
      </c>
      <c r="P15" s="26">
        <f t="shared" si="1"/>
        <v>8502755.9639999978</v>
      </c>
      <c r="Q15" s="26"/>
      <c r="R15" s="385"/>
    </row>
    <row r="16" spans="2:19" s="25" customFormat="1">
      <c r="B16" s="25" t="s">
        <v>71</v>
      </c>
      <c r="C16" s="25">
        <v>87</v>
      </c>
      <c r="D16" s="101">
        <v>2488073.4070000001</v>
      </c>
      <c r="E16" s="101">
        <v>2506045.7620000001</v>
      </c>
      <c r="F16" s="101">
        <v>2429944.3769999999</v>
      </c>
      <c r="G16" s="101">
        <v>2066250.916</v>
      </c>
      <c r="H16" s="101">
        <v>1485710.202</v>
      </c>
      <c r="I16" s="101">
        <v>1430551.095</v>
      </c>
      <c r="J16" s="101">
        <v>1280281.31</v>
      </c>
      <c r="K16" s="101">
        <v>1275025.321</v>
      </c>
      <c r="L16" s="101">
        <v>1372715.9339999999</v>
      </c>
      <c r="M16" s="101">
        <v>1747770.892</v>
      </c>
      <c r="N16" s="101">
        <v>2133442.2620000001</v>
      </c>
      <c r="O16" s="101">
        <v>2585495.1809999999</v>
      </c>
      <c r="P16" s="26">
        <f t="shared" si="1"/>
        <v>22801306.659000002</v>
      </c>
      <c r="Q16" s="26"/>
      <c r="R16" s="385"/>
    </row>
    <row r="17" spans="2:18" s="25" customFormat="1">
      <c r="B17" s="25" t="s">
        <v>72</v>
      </c>
      <c r="C17" s="25">
        <v>31</v>
      </c>
      <c r="D17" s="101">
        <v>1964847.169</v>
      </c>
      <c r="E17" s="101">
        <v>1883109.105</v>
      </c>
      <c r="F17" s="101">
        <v>1683126.1610000001</v>
      </c>
      <c r="G17" s="101">
        <v>1065369.402</v>
      </c>
      <c r="H17" s="101">
        <v>562255.93900000001</v>
      </c>
      <c r="I17" s="101">
        <v>430018.24099999998</v>
      </c>
      <c r="J17" s="101">
        <v>369763.20400000003</v>
      </c>
      <c r="K17" s="101">
        <v>382878.80200000003</v>
      </c>
      <c r="L17" s="101">
        <v>535009.95400000003</v>
      </c>
      <c r="M17" s="101">
        <v>946105.03599999996</v>
      </c>
      <c r="N17" s="101">
        <v>1460899.1029999999</v>
      </c>
      <c r="O17" s="101">
        <v>1858886.4720000001</v>
      </c>
      <c r="P17" s="26">
        <f t="shared" si="1"/>
        <v>13142268.588000003</v>
      </c>
      <c r="Q17" s="26"/>
      <c r="R17" s="385"/>
    </row>
    <row r="18" spans="2:18" s="25" customFormat="1">
      <c r="B18" s="25" t="s">
        <v>73</v>
      </c>
      <c r="C18" s="25">
        <v>41</v>
      </c>
      <c r="D18" s="101">
        <v>946435.92099999997</v>
      </c>
      <c r="E18" s="101">
        <v>901078.02300000004</v>
      </c>
      <c r="F18" s="101">
        <v>919254.62699999998</v>
      </c>
      <c r="G18" s="101">
        <v>811446.06</v>
      </c>
      <c r="H18" s="101">
        <v>700123.46399999992</v>
      </c>
      <c r="I18" s="101">
        <v>670894.69999999995</v>
      </c>
      <c r="J18" s="101">
        <v>638238.12899999996</v>
      </c>
      <c r="K18" s="101">
        <v>644626.09299999999</v>
      </c>
      <c r="L18" s="101">
        <v>662632.26500000001</v>
      </c>
      <c r="M18" s="101">
        <v>795180.78899999999</v>
      </c>
      <c r="N18" s="101">
        <v>876758.92299999995</v>
      </c>
      <c r="O18" s="101">
        <v>898129.22600000002</v>
      </c>
      <c r="P18" s="26">
        <f t="shared" si="1"/>
        <v>9464798.2199999988</v>
      </c>
      <c r="Q18" s="26"/>
      <c r="R18" s="385"/>
    </row>
    <row r="19" spans="2:18" s="25" customFormat="1">
      <c r="B19" s="25" t="s">
        <v>74</v>
      </c>
      <c r="C19" s="25">
        <v>85</v>
      </c>
      <c r="D19" s="101">
        <v>152783.32999999999</v>
      </c>
      <c r="E19" s="101">
        <v>144144.49599999998</v>
      </c>
      <c r="F19" s="101">
        <v>145396.611</v>
      </c>
      <c r="G19" s="101">
        <v>149688.77699999997</v>
      </c>
      <c r="H19" s="101">
        <v>126713.5</v>
      </c>
      <c r="I19" s="101">
        <v>113441.361</v>
      </c>
      <c r="J19" s="101">
        <v>104798.53</v>
      </c>
      <c r="K19" s="101">
        <v>112355.647</v>
      </c>
      <c r="L19" s="101">
        <v>110712.698</v>
      </c>
      <c r="M19" s="101">
        <v>127995.837</v>
      </c>
      <c r="N19" s="101">
        <v>132757.14499999999</v>
      </c>
      <c r="O19" s="101">
        <v>148061.82799999998</v>
      </c>
      <c r="P19" s="26">
        <f t="shared" si="1"/>
        <v>1568849.7600000002</v>
      </c>
      <c r="Q19" s="26"/>
      <c r="R19" s="385"/>
    </row>
    <row r="20" spans="2:18" s="25" customFormat="1">
      <c r="B20" s="25" t="s">
        <v>75</v>
      </c>
      <c r="C20" s="25">
        <v>86</v>
      </c>
      <c r="D20" s="101">
        <v>17702.267</v>
      </c>
      <c r="E20" s="101">
        <v>18723.310999999998</v>
      </c>
      <c r="F20" s="101">
        <v>17030.457000000002</v>
      </c>
      <c r="G20" s="101">
        <v>21970.927</v>
      </c>
      <c r="H20" s="101">
        <v>11131.916000000001</v>
      </c>
      <c r="I20" s="101">
        <v>8571.3490000000002</v>
      </c>
      <c r="J20" s="101">
        <v>6458.3860000000004</v>
      </c>
      <c r="K20" s="101">
        <v>7712.2290000000003</v>
      </c>
      <c r="L20" s="101">
        <v>16207.902</v>
      </c>
      <c r="M20" s="101">
        <v>24308.588</v>
      </c>
      <c r="N20" s="101">
        <v>21355.864999999998</v>
      </c>
      <c r="O20" s="101">
        <v>20284.632000000001</v>
      </c>
      <c r="P20" s="26">
        <f t="shared" si="1"/>
        <v>191457.829</v>
      </c>
      <c r="Q20" s="26"/>
      <c r="R20" s="385"/>
    </row>
    <row r="21" spans="2:18" s="25" customFormat="1">
      <c r="B21" s="25" t="s">
        <v>76</v>
      </c>
      <c r="C21" s="25">
        <v>87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26">
        <f t="shared" si="1"/>
        <v>0</v>
      </c>
      <c r="Q21" s="26"/>
      <c r="R21" s="385"/>
    </row>
    <row r="22" spans="2:18" s="25" customFormat="1">
      <c r="B22" s="25" t="s">
        <v>274</v>
      </c>
      <c r="C22" s="82" t="s">
        <v>160</v>
      </c>
      <c r="D22" s="101">
        <v>2356.8000000000002</v>
      </c>
      <c r="E22" s="101">
        <v>2713.47</v>
      </c>
      <c r="F22" s="101">
        <v>2240.84</v>
      </c>
      <c r="G22" s="101">
        <v>1514.91</v>
      </c>
      <c r="H22" s="101">
        <v>975.42</v>
      </c>
      <c r="I22" s="101">
        <v>955</v>
      </c>
      <c r="J22" s="101">
        <v>798.62</v>
      </c>
      <c r="K22" s="101">
        <v>838.78</v>
      </c>
      <c r="L22" s="101">
        <v>1047.7</v>
      </c>
      <c r="M22" s="101">
        <v>1466.72</v>
      </c>
      <c r="N22" s="101">
        <v>2139.9299999999998</v>
      </c>
      <c r="O22" s="101">
        <v>2460.83</v>
      </c>
      <c r="P22" s="26">
        <f t="shared" si="1"/>
        <v>19509.020000000004</v>
      </c>
      <c r="Q22" s="26"/>
      <c r="R22" s="385"/>
    </row>
    <row r="23" spans="2:18" s="25" customFormat="1">
      <c r="B23" s="25" t="s">
        <v>77</v>
      </c>
      <c r="C23" s="82" t="s">
        <v>57</v>
      </c>
      <c r="D23" s="101">
        <v>1255972.3900000001</v>
      </c>
      <c r="E23" s="101">
        <v>1219491.01</v>
      </c>
      <c r="F23" s="101">
        <v>1249375.8599999999</v>
      </c>
      <c r="G23" s="101">
        <v>1121319.93</v>
      </c>
      <c r="H23" s="101">
        <v>1056152.8500000001</v>
      </c>
      <c r="I23" s="101">
        <v>1066639.25</v>
      </c>
      <c r="J23" s="101">
        <v>1034134.1400000001</v>
      </c>
      <c r="K23" s="101">
        <v>1072055.8500000001</v>
      </c>
      <c r="L23" s="101">
        <v>1024131.41</v>
      </c>
      <c r="M23" s="101">
        <v>1214628.47</v>
      </c>
      <c r="N23" s="101">
        <v>1262887.25</v>
      </c>
      <c r="O23" s="101">
        <v>1392880.51</v>
      </c>
      <c r="P23" s="26">
        <f t="shared" si="1"/>
        <v>13969668.920000002</v>
      </c>
      <c r="Q23" s="26"/>
      <c r="R23" s="385"/>
    </row>
    <row r="24" spans="2:18" s="25" customFormat="1">
      <c r="B24" s="25" t="s">
        <v>78</v>
      </c>
      <c r="C24" s="82" t="s">
        <v>58</v>
      </c>
      <c r="D24" s="101">
        <v>2118211.92</v>
      </c>
      <c r="E24" s="101">
        <v>2005289.4500000002</v>
      </c>
      <c r="F24" s="101">
        <v>2104200.58</v>
      </c>
      <c r="G24" s="101">
        <v>1832042.1</v>
      </c>
      <c r="H24" s="101">
        <v>1801033.12</v>
      </c>
      <c r="I24" s="101">
        <v>1732174.3499999999</v>
      </c>
      <c r="J24" s="101">
        <v>1682576.31</v>
      </c>
      <c r="K24" s="101">
        <v>1684575.62</v>
      </c>
      <c r="L24" s="101">
        <v>1685124.68</v>
      </c>
      <c r="M24" s="101">
        <v>1955498.8</v>
      </c>
      <c r="N24" s="101">
        <v>1997481.5599999998</v>
      </c>
      <c r="O24" s="101">
        <v>2140109.7199999997</v>
      </c>
      <c r="P24" s="26">
        <f t="shared" si="1"/>
        <v>22738318.210000001</v>
      </c>
      <c r="Q24" s="26"/>
      <c r="R24" s="385"/>
    </row>
    <row r="25" spans="2:18" s="25" customFormat="1">
      <c r="B25" s="25" t="s">
        <v>79</v>
      </c>
      <c r="C25" s="82" t="s">
        <v>60</v>
      </c>
      <c r="D25" s="101">
        <v>1951459.87</v>
      </c>
      <c r="E25" s="101">
        <v>1961093.9500000002</v>
      </c>
      <c r="F25" s="101">
        <v>1857442.65</v>
      </c>
      <c r="G25" s="101">
        <v>1599860.8800000001</v>
      </c>
      <c r="H25" s="101">
        <v>1278689.8499999999</v>
      </c>
      <c r="I25" s="101">
        <v>1168040.95</v>
      </c>
      <c r="J25" s="101">
        <v>1014527.5199999999</v>
      </c>
      <c r="K25" s="101">
        <v>1093444.0699999998</v>
      </c>
      <c r="L25" s="101">
        <v>1127081.6299999999</v>
      </c>
      <c r="M25" s="101">
        <v>1437828.25</v>
      </c>
      <c r="N25" s="101">
        <v>1539688.79</v>
      </c>
      <c r="O25" s="101">
        <v>1913417.47</v>
      </c>
      <c r="P25" s="26">
        <f t="shared" si="1"/>
        <v>17942575.879999999</v>
      </c>
      <c r="Q25" s="26"/>
      <c r="R25" s="385"/>
    </row>
    <row r="26" spans="2:18" s="25" customFormat="1">
      <c r="B26" s="25" t="s">
        <v>279</v>
      </c>
      <c r="C26" s="82" t="s">
        <v>160</v>
      </c>
      <c r="D26" s="101">
        <v>2530.87</v>
      </c>
      <c r="E26" s="101">
        <v>3905.98</v>
      </c>
      <c r="F26" s="101">
        <v>2821.34</v>
      </c>
      <c r="G26" s="101">
        <v>1980.65</v>
      </c>
      <c r="H26" s="101">
        <v>595.91</v>
      </c>
      <c r="I26" s="101">
        <v>27.44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26">
        <f t="shared" si="1"/>
        <v>11862.19</v>
      </c>
      <c r="Q26" s="386"/>
      <c r="R26" s="385"/>
    </row>
    <row r="27" spans="2:18" s="25" customFormat="1">
      <c r="B27" s="25" t="s">
        <v>80</v>
      </c>
      <c r="C27" s="82" t="s">
        <v>57</v>
      </c>
      <c r="D27" s="101">
        <v>587041.71</v>
      </c>
      <c r="E27" s="101">
        <v>560063.15999999992</v>
      </c>
      <c r="F27" s="101">
        <v>653291.67999999993</v>
      </c>
      <c r="G27" s="101">
        <v>562059.31000000006</v>
      </c>
      <c r="H27" s="101">
        <v>533050.39999999991</v>
      </c>
      <c r="I27" s="101">
        <v>518939.12</v>
      </c>
      <c r="J27" s="101">
        <v>498241.05999999994</v>
      </c>
      <c r="K27" s="101">
        <v>524995.74</v>
      </c>
      <c r="L27" s="101">
        <v>494198.93</v>
      </c>
      <c r="M27" s="101">
        <v>563272.6</v>
      </c>
      <c r="N27" s="101">
        <v>523358.36</v>
      </c>
      <c r="O27" s="101">
        <v>470635.43000000005</v>
      </c>
      <c r="P27" s="26">
        <f t="shared" si="1"/>
        <v>6489147.4999999991</v>
      </c>
      <c r="Q27" s="26"/>
      <c r="R27" s="385"/>
    </row>
    <row r="28" spans="2:18" s="25" customFormat="1">
      <c r="B28" s="16" t="s">
        <v>81</v>
      </c>
      <c r="C28" s="85" t="s">
        <v>58</v>
      </c>
      <c r="D28" s="101">
        <v>4463633.12</v>
      </c>
      <c r="E28" s="101">
        <v>4116771.16</v>
      </c>
      <c r="F28" s="101">
        <v>4871480.7699999996</v>
      </c>
      <c r="G28" s="101">
        <v>4319936.82</v>
      </c>
      <c r="H28" s="101">
        <v>4256767.37</v>
      </c>
      <c r="I28" s="101">
        <v>4233782.51</v>
      </c>
      <c r="J28" s="101">
        <v>4106046.0300000003</v>
      </c>
      <c r="K28" s="101">
        <v>4244638.33</v>
      </c>
      <c r="L28" s="101">
        <v>4278513.0999999996</v>
      </c>
      <c r="M28" s="101">
        <v>4815407.16</v>
      </c>
      <c r="N28" s="101">
        <v>4153524.94</v>
      </c>
      <c r="O28" s="101">
        <v>3916194.69</v>
      </c>
      <c r="P28" s="26">
        <f t="shared" si="1"/>
        <v>51776696</v>
      </c>
      <c r="Q28" s="26"/>
      <c r="R28" s="385"/>
    </row>
    <row r="29" spans="2:18" s="25" customFormat="1">
      <c r="B29" s="25" t="s">
        <v>82</v>
      </c>
      <c r="C29" s="85" t="s">
        <v>59</v>
      </c>
      <c r="D29" s="101">
        <v>49343.94</v>
      </c>
      <c r="E29" s="101">
        <v>52603.87</v>
      </c>
      <c r="F29" s="101">
        <v>40825.67</v>
      </c>
      <c r="G29" s="101">
        <v>24785.5</v>
      </c>
      <c r="H29" s="101">
        <v>18363.18</v>
      </c>
      <c r="I29" s="101">
        <v>20942.59</v>
      </c>
      <c r="J29" s="101">
        <v>16363.51</v>
      </c>
      <c r="K29" s="101">
        <v>13568.14</v>
      </c>
      <c r="L29" s="101">
        <v>18972.219999999998</v>
      </c>
      <c r="M29" s="101">
        <v>33141.14</v>
      </c>
      <c r="N29" s="101">
        <v>34143.08</v>
      </c>
      <c r="O29" s="101">
        <v>28235.31</v>
      </c>
      <c r="P29" s="26">
        <f t="shared" si="1"/>
        <v>351288.14999999997</v>
      </c>
      <c r="Q29" s="26"/>
      <c r="R29" s="385"/>
    </row>
    <row r="30" spans="2:18" s="25" customFormat="1">
      <c r="B30" s="16" t="s">
        <v>83</v>
      </c>
      <c r="C30" s="85" t="s">
        <v>60</v>
      </c>
      <c r="D30" s="101">
        <v>6317281.6500000004</v>
      </c>
      <c r="E30" s="101">
        <v>6906246.4400000004</v>
      </c>
      <c r="F30" s="101">
        <v>7685171.5099999998</v>
      </c>
      <c r="G30" s="101">
        <v>6615627.5999999996</v>
      </c>
      <c r="H30" s="101">
        <v>6953514.0099999998</v>
      </c>
      <c r="I30" s="101">
        <v>6482373.2000000002</v>
      </c>
      <c r="J30" s="101">
        <v>7603945.8300000001</v>
      </c>
      <c r="K30" s="101">
        <v>7599367.4900000002</v>
      </c>
      <c r="L30" s="101">
        <v>6557926.9699999997</v>
      </c>
      <c r="M30" s="101">
        <v>6548147.0600000005</v>
      </c>
      <c r="N30" s="101">
        <v>5492948.540000001</v>
      </c>
      <c r="O30" s="101">
        <v>6991469.5500000007</v>
      </c>
      <c r="P30" s="26">
        <f t="shared" si="1"/>
        <v>81754019.850000009</v>
      </c>
      <c r="Q30" s="26"/>
      <c r="R30" s="385"/>
    </row>
    <row r="31" spans="2:18" s="24" customFormat="1" ht="15">
      <c r="B31" s="24" t="s">
        <v>84</v>
      </c>
      <c r="C31" s="387" t="s">
        <v>140</v>
      </c>
      <c r="D31" s="101">
        <v>4032427.7399999998</v>
      </c>
      <c r="E31" s="101">
        <v>4114898.2699999996</v>
      </c>
      <c r="F31" s="101">
        <v>3806410.93</v>
      </c>
      <c r="G31" s="101">
        <v>3156368.4099999997</v>
      </c>
      <c r="H31" s="101">
        <v>2317402.04</v>
      </c>
      <c r="I31" s="101">
        <v>2136885.0499999998</v>
      </c>
      <c r="J31" s="101">
        <v>1816114.2500000002</v>
      </c>
      <c r="K31" s="101">
        <v>1897095.8699999999</v>
      </c>
      <c r="L31" s="101">
        <v>2160925.9500000002</v>
      </c>
      <c r="M31" s="101">
        <v>2895915.8099999996</v>
      </c>
      <c r="N31" s="101">
        <v>3341001.19</v>
      </c>
      <c r="O31" s="101">
        <v>3972972.2399999998</v>
      </c>
      <c r="P31" s="86">
        <f t="shared" si="1"/>
        <v>35648417.75</v>
      </c>
      <c r="Q31" s="22"/>
      <c r="R31" s="388"/>
    </row>
    <row r="32" spans="2:18" s="25" customFormat="1">
      <c r="B32" s="25" t="s">
        <v>85</v>
      </c>
      <c r="D32" s="87">
        <f t="shared" ref="D32:O32" si="2">SUM(D8:D31)</f>
        <v>149341924.47500002</v>
      </c>
      <c r="E32" s="87">
        <f t="shared" si="2"/>
        <v>143368935.49300003</v>
      </c>
      <c r="F32" s="87">
        <f t="shared" si="2"/>
        <v>137389844.21000004</v>
      </c>
      <c r="G32" s="87">
        <f t="shared" si="2"/>
        <v>95664865.439999968</v>
      </c>
      <c r="H32" s="87">
        <f t="shared" si="2"/>
        <v>60764711.016000003</v>
      </c>
      <c r="I32" s="87">
        <f t="shared" si="2"/>
        <v>50483881.75</v>
      </c>
      <c r="J32" s="87">
        <f t="shared" si="2"/>
        <v>44513655.328999996</v>
      </c>
      <c r="K32" s="87">
        <f t="shared" si="2"/>
        <v>44848856.703000002</v>
      </c>
      <c r="L32" s="87">
        <f t="shared" si="2"/>
        <v>54424339.735000014</v>
      </c>
      <c r="M32" s="87">
        <f t="shared" si="2"/>
        <v>86974858.68599999</v>
      </c>
      <c r="N32" s="87">
        <f t="shared" si="2"/>
        <v>119260460.86799999</v>
      </c>
      <c r="O32" s="87">
        <f t="shared" si="2"/>
        <v>148266803.96400002</v>
      </c>
      <c r="P32" s="26">
        <f t="shared" si="1"/>
        <v>1135303137.6690001</v>
      </c>
      <c r="Q32" s="22"/>
      <c r="R32" s="26"/>
    </row>
    <row r="33" spans="2:40" s="25" customFormat="1">
      <c r="B33" s="25" t="s">
        <v>86</v>
      </c>
      <c r="D33" s="22">
        <f>SUM(D22:D31)</f>
        <v>20780260.009999998</v>
      </c>
      <c r="E33" s="22">
        <f t="shared" ref="E33:O33" si="3">SUM(E22:E31)</f>
        <v>20943076.760000002</v>
      </c>
      <c r="F33" s="22">
        <f t="shared" si="3"/>
        <v>22273261.829999998</v>
      </c>
      <c r="G33" s="22">
        <f t="shared" si="3"/>
        <v>19235496.109999999</v>
      </c>
      <c r="H33" s="22">
        <f t="shared" si="3"/>
        <v>18216544.150000002</v>
      </c>
      <c r="I33" s="22">
        <f t="shared" si="3"/>
        <v>17360759.460000001</v>
      </c>
      <c r="J33" s="22">
        <f t="shared" si="3"/>
        <v>17772747.27</v>
      </c>
      <c r="K33" s="22">
        <f t="shared" si="3"/>
        <v>18130579.890000001</v>
      </c>
      <c r="L33" s="22">
        <f t="shared" si="3"/>
        <v>17347922.59</v>
      </c>
      <c r="M33" s="22">
        <f t="shared" si="3"/>
        <v>19465306.010000002</v>
      </c>
      <c r="N33" s="22">
        <f t="shared" si="3"/>
        <v>18347173.640000001</v>
      </c>
      <c r="O33" s="22">
        <f t="shared" si="3"/>
        <v>20828375.749999996</v>
      </c>
      <c r="P33" s="26">
        <f t="shared" si="1"/>
        <v>230701503.47000003</v>
      </c>
      <c r="Q33" s="26"/>
    </row>
    <row r="34" spans="2:40">
      <c r="C34" s="85"/>
      <c r="D34" s="29"/>
      <c r="E34" s="29"/>
      <c r="F34" s="29"/>
      <c r="G34" s="29"/>
      <c r="H34" s="83"/>
      <c r="I34" s="83"/>
      <c r="J34" s="83"/>
      <c r="K34" s="29"/>
      <c r="L34" s="29"/>
      <c r="M34" s="29"/>
      <c r="N34" s="29"/>
      <c r="O34" s="29"/>
      <c r="P34" s="26"/>
      <c r="Q34" s="29"/>
    </row>
    <row r="35" spans="2:40">
      <c r="B35" s="28" t="s">
        <v>87</v>
      </c>
      <c r="C35" s="8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2:40" ht="14">
      <c r="B36" s="25" t="s">
        <v>65</v>
      </c>
      <c r="C36" s="82">
        <v>16</v>
      </c>
      <c r="D36" s="101">
        <v>7</v>
      </c>
      <c r="E36" s="101">
        <v>6</v>
      </c>
      <c r="F36" s="101">
        <v>6</v>
      </c>
      <c r="G36" s="101">
        <v>6</v>
      </c>
      <c r="H36" s="101">
        <v>6</v>
      </c>
      <c r="I36" s="101">
        <v>7</v>
      </c>
      <c r="J36" s="101">
        <v>7</v>
      </c>
      <c r="K36" s="101">
        <v>7</v>
      </c>
      <c r="L36" s="101">
        <v>7</v>
      </c>
      <c r="M36" s="101">
        <v>8</v>
      </c>
      <c r="N36" s="101">
        <v>7</v>
      </c>
      <c r="O36" s="101">
        <v>6</v>
      </c>
      <c r="P36" s="26">
        <f>SUM(D36:O36)</f>
        <v>80</v>
      </c>
      <c r="Q36" s="389"/>
      <c r="R36" s="88"/>
      <c r="S36" s="389"/>
      <c r="T36" s="389"/>
      <c r="U36" s="88"/>
      <c r="V36" s="88"/>
      <c r="W36" s="389"/>
      <c r="X36" s="389"/>
      <c r="Y36" s="389"/>
      <c r="Z36" s="389"/>
      <c r="AA36" s="389"/>
      <c r="AB36" s="88"/>
      <c r="AC36" s="389"/>
      <c r="AD36" s="389"/>
      <c r="AE36" s="89"/>
      <c r="AF36" s="389"/>
      <c r="AG36" s="389"/>
      <c r="AH36" s="389"/>
      <c r="AI36" s="389"/>
      <c r="AJ36" s="389"/>
      <c r="AK36" s="389"/>
      <c r="AL36" s="389"/>
      <c r="AM36" s="389"/>
      <c r="AN36" s="389"/>
    </row>
    <row r="37" spans="2:40" s="25" customFormat="1">
      <c r="B37" s="25" t="s">
        <v>0</v>
      </c>
      <c r="C37" s="25">
        <v>23</v>
      </c>
      <c r="D37" s="101">
        <v>768037</v>
      </c>
      <c r="E37" s="101">
        <v>769182</v>
      </c>
      <c r="F37" s="101">
        <v>769904</v>
      </c>
      <c r="G37" s="101">
        <v>770294</v>
      </c>
      <c r="H37" s="101">
        <v>770940</v>
      </c>
      <c r="I37" s="101">
        <v>771256</v>
      </c>
      <c r="J37" s="101">
        <v>771472</v>
      </c>
      <c r="K37" s="101">
        <v>772026</v>
      </c>
      <c r="L37" s="101">
        <v>772614</v>
      </c>
      <c r="M37" s="101">
        <v>774702</v>
      </c>
      <c r="N37" s="101">
        <v>776863</v>
      </c>
      <c r="O37" s="101">
        <v>778192</v>
      </c>
      <c r="P37" s="26">
        <f t="shared" ref="P37:P63" si="4">SUM(D37:O37)</f>
        <v>9265482</v>
      </c>
      <c r="Q37" s="26"/>
      <c r="R37" s="16"/>
    </row>
    <row r="38" spans="2:40" s="25" customFormat="1">
      <c r="B38" s="25" t="s">
        <v>66</v>
      </c>
      <c r="C38" s="25">
        <v>53</v>
      </c>
      <c r="D38" s="101">
        <v>1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26">
        <f t="shared" si="4"/>
        <v>1</v>
      </c>
      <c r="Q38" s="26"/>
      <c r="R38" s="16"/>
    </row>
    <row r="39" spans="2:40" s="25" customFormat="1">
      <c r="B39" s="25" t="s">
        <v>275</v>
      </c>
      <c r="C39" s="25">
        <v>61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26">
        <f t="shared" si="4"/>
        <v>0</v>
      </c>
      <c r="Q39" s="26"/>
      <c r="R39" s="16"/>
    </row>
    <row r="40" spans="2:40" s="25" customFormat="1">
      <c r="B40" s="25" t="s">
        <v>88</v>
      </c>
      <c r="C40" s="25">
        <v>31</v>
      </c>
      <c r="D40" s="101">
        <v>54410</v>
      </c>
      <c r="E40" s="101">
        <v>54413</v>
      </c>
      <c r="F40" s="101">
        <v>54486</v>
      </c>
      <c r="G40" s="101">
        <v>54455</v>
      </c>
      <c r="H40" s="101">
        <v>54442</v>
      </c>
      <c r="I40" s="101">
        <v>54374</v>
      </c>
      <c r="J40" s="101">
        <v>54349</v>
      </c>
      <c r="K40" s="101">
        <v>54342</v>
      </c>
      <c r="L40" s="101">
        <v>54331</v>
      </c>
      <c r="M40" s="101">
        <v>54478</v>
      </c>
      <c r="N40" s="101">
        <v>54612</v>
      </c>
      <c r="O40" s="101">
        <v>54744</v>
      </c>
      <c r="P40" s="26">
        <f t="shared" si="4"/>
        <v>653436</v>
      </c>
      <c r="Q40" s="26"/>
      <c r="R40" s="16"/>
    </row>
    <row r="41" spans="2:40" s="25" customFormat="1">
      <c r="B41" s="25" t="s">
        <v>89</v>
      </c>
      <c r="C41" s="25">
        <v>41</v>
      </c>
      <c r="D41" s="101">
        <v>1289</v>
      </c>
      <c r="E41" s="101">
        <v>1284</v>
      </c>
      <c r="F41" s="101">
        <v>1287</v>
      </c>
      <c r="G41" s="101">
        <v>1290</v>
      </c>
      <c r="H41" s="101">
        <v>1288</v>
      </c>
      <c r="I41" s="101">
        <v>1280</v>
      </c>
      <c r="J41" s="101">
        <v>1243</v>
      </c>
      <c r="K41" s="101">
        <v>1230</v>
      </c>
      <c r="L41" s="101">
        <v>1230</v>
      </c>
      <c r="M41" s="101">
        <v>1237</v>
      </c>
      <c r="N41" s="101">
        <v>1245</v>
      </c>
      <c r="O41" s="101">
        <v>1247</v>
      </c>
      <c r="P41" s="26">
        <f t="shared" si="4"/>
        <v>15150</v>
      </c>
      <c r="Q41" s="26"/>
      <c r="R41" s="16"/>
    </row>
    <row r="42" spans="2:40" s="25" customFormat="1">
      <c r="B42" s="25" t="s">
        <v>273</v>
      </c>
      <c r="C42" s="25">
        <v>50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26">
        <f t="shared" si="4"/>
        <v>0</v>
      </c>
      <c r="Q42" s="26"/>
      <c r="R42" s="16"/>
    </row>
    <row r="43" spans="2:40" s="25" customFormat="1">
      <c r="B43" s="25" t="s">
        <v>276</v>
      </c>
      <c r="C43" s="25">
        <v>61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26">
        <f t="shared" si="4"/>
        <v>0</v>
      </c>
      <c r="Q43" s="26"/>
      <c r="R43" s="16"/>
    </row>
    <row r="44" spans="2:40" s="25" customFormat="1">
      <c r="B44" s="25" t="s">
        <v>69</v>
      </c>
      <c r="C44" s="25">
        <v>85</v>
      </c>
      <c r="D44" s="101">
        <v>25</v>
      </c>
      <c r="E44" s="101">
        <v>25</v>
      </c>
      <c r="F44" s="101">
        <v>25</v>
      </c>
      <c r="G44" s="101">
        <v>25</v>
      </c>
      <c r="H44" s="101">
        <v>25</v>
      </c>
      <c r="I44" s="101">
        <v>24</v>
      </c>
      <c r="J44" s="101">
        <v>24</v>
      </c>
      <c r="K44" s="101">
        <v>24</v>
      </c>
      <c r="L44" s="101">
        <v>24</v>
      </c>
      <c r="M44" s="101">
        <v>24</v>
      </c>
      <c r="N44" s="101">
        <v>24</v>
      </c>
      <c r="O44" s="101">
        <v>24</v>
      </c>
      <c r="P44" s="26">
        <f t="shared" si="4"/>
        <v>293</v>
      </c>
      <c r="Q44" s="26"/>
      <c r="R44" s="16"/>
    </row>
    <row r="45" spans="2:40" s="25" customFormat="1">
      <c r="B45" s="25" t="s">
        <v>70</v>
      </c>
      <c r="C45" s="25">
        <v>86</v>
      </c>
      <c r="D45" s="101">
        <v>222</v>
      </c>
      <c r="E45" s="101">
        <v>222</v>
      </c>
      <c r="F45" s="101">
        <v>222</v>
      </c>
      <c r="G45" s="101">
        <v>222</v>
      </c>
      <c r="H45" s="101">
        <v>221</v>
      </c>
      <c r="I45" s="101">
        <v>221</v>
      </c>
      <c r="J45" s="101">
        <v>220</v>
      </c>
      <c r="K45" s="101">
        <v>220</v>
      </c>
      <c r="L45" s="101">
        <v>220</v>
      </c>
      <c r="M45" s="101">
        <v>220</v>
      </c>
      <c r="N45" s="101">
        <v>217</v>
      </c>
      <c r="O45" s="101">
        <v>213</v>
      </c>
      <c r="P45" s="26">
        <f t="shared" si="4"/>
        <v>2640</v>
      </c>
      <c r="Q45" s="26"/>
      <c r="R45" s="16"/>
    </row>
    <row r="46" spans="2:40" s="25" customFormat="1">
      <c r="B46" s="25" t="s">
        <v>90</v>
      </c>
      <c r="C46" s="25">
        <v>87</v>
      </c>
      <c r="D46" s="101">
        <v>5</v>
      </c>
      <c r="E46" s="101">
        <v>5</v>
      </c>
      <c r="F46" s="101">
        <v>5</v>
      </c>
      <c r="G46" s="101">
        <v>5</v>
      </c>
      <c r="H46" s="101">
        <v>5</v>
      </c>
      <c r="I46" s="101">
        <v>5</v>
      </c>
      <c r="J46" s="101">
        <v>5</v>
      </c>
      <c r="K46" s="101">
        <v>5</v>
      </c>
      <c r="L46" s="101">
        <v>5</v>
      </c>
      <c r="M46" s="101">
        <v>5</v>
      </c>
      <c r="N46" s="101">
        <v>5</v>
      </c>
      <c r="O46" s="101">
        <v>5</v>
      </c>
      <c r="P46" s="26">
        <f t="shared" si="4"/>
        <v>60</v>
      </c>
      <c r="Q46" s="26"/>
      <c r="R46" s="16"/>
    </row>
    <row r="47" spans="2:40" s="25" customFormat="1">
      <c r="B47" s="25" t="s">
        <v>72</v>
      </c>
      <c r="C47" s="25">
        <v>31</v>
      </c>
      <c r="D47" s="101">
        <v>2248</v>
      </c>
      <c r="E47" s="101">
        <v>2248</v>
      </c>
      <c r="F47" s="101">
        <v>2252</v>
      </c>
      <c r="G47" s="101">
        <v>2245</v>
      </c>
      <c r="H47" s="101">
        <v>2242</v>
      </c>
      <c r="I47" s="101">
        <v>2235</v>
      </c>
      <c r="J47" s="101">
        <v>2232</v>
      </c>
      <c r="K47" s="101">
        <v>2223</v>
      </c>
      <c r="L47" s="101">
        <v>2218</v>
      </c>
      <c r="M47" s="101">
        <v>2221</v>
      </c>
      <c r="N47" s="101">
        <v>2230</v>
      </c>
      <c r="O47" s="101">
        <v>2232</v>
      </c>
      <c r="P47" s="26">
        <f t="shared" si="4"/>
        <v>26826</v>
      </c>
      <c r="Q47" s="26"/>
      <c r="R47" s="16"/>
    </row>
    <row r="48" spans="2:40" s="25" customFormat="1" ht="15">
      <c r="B48" s="25" t="s">
        <v>73</v>
      </c>
      <c r="C48" s="25">
        <v>41</v>
      </c>
      <c r="D48" s="101">
        <v>73</v>
      </c>
      <c r="E48" s="101">
        <v>73</v>
      </c>
      <c r="F48" s="101">
        <v>73</v>
      </c>
      <c r="G48" s="101">
        <v>73</v>
      </c>
      <c r="H48" s="101">
        <v>73</v>
      </c>
      <c r="I48" s="101">
        <v>72</v>
      </c>
      <c r="J48" s="101">
        <v>72</v>
      </c>
      <c r="K48" s="101">
        <v>72</v>
      </c>
      <c r="L48" s="101">
        <v>71</v>
      </c>
      <c r="M48" s="101">
        <v>71</v>
      </c>
      <c r="N48" s="101">
        <v>73</v>
      </c>
      <c r="O48" s="101">
        <v>72</v>
      </c>
      <c r="P48" s="26">
        <f t="shared" si="4"/>
        <v>868</v>
      </c>
      <c r="Q48" s="26"/>
      <c r="R48" s="16"/>
      <c r="S48" s="26"/>
      <c r="T48" s="6"/>
    </row>
    <row r="49" spans="2:19" s="25" customFormat="1">
      <c r="B49" s="25" t="s">
        <v>277</v>
      </c>
      <c r="C49" s="25">
        <v>61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26">
        <f t="shared" si="4"/>
        <v>0</v>
      </c>
      <c r="Q49" s="26"/>
      <c r="R49" s="16"/>
      <c r="S49" s="26"/>
    </row>
    <row r="50" spans="2:19" s="25" customFormat="1">
      <c r="B50" s="25" t="s">
        <v>74</v>
      </c>
      <c r="C50" s="25">
        <v>85</v>
      </c>
      <c r="D50" s="101">
        <v>4</v>
      </c>
      <c r="E50" s="101">
        <v>4</v>
      </c>
      <c r="F50" s="101">
        <v>4</v>
      </c>
      <c r="G50" s="101">
        <v>4</v>
      </c>
      <c r="H50" s="101">
        <v>4</v>
      </c>
      <c r="I50" s="101">
        <v>4</v>
      </c>
      <c r="J50" s="101">
        <v>4</v>
      </c>
      <c r="K50" s="101">
        <v>4</v>
      </c>
      <c r="L50" s="101">
        <v>4</v>
      </c>
      <c r="M50" s="101">
        <v>4</v>
      </c>
      <c r="N50" s="101">
        <v>4</v>
      </c>
      <c r="O50" s="101">
        <v>4</v>
      </c>
      <c r="P50" s="26">
        <f t="shared" si="4"/>
        <v>48</v>
      </c>
      <c r="Q50" s="26"/>
      <c r="R50" s="16"/>
    </row>
    <row r="51" spans="2:19" s="25" customFormat="1">
      <c r="B51" s="25" t="s">
        <v>75</v>
      </c>
      <c r="C51" s="25">
        <v>86</v>
      </c>
      <c r="D51" s="101">
        <v>6</v>
      </c>
      <c r="E51" s="101">
        <v>6</v>
      </c>
      <c r="F51" s="101">
        <v>6</v>
      </c>
      <c r="G51" s="101">
        <v>6</v>
      </c>
      <c r="H51" s="101">
        <v>6</v>
      </c>
      <c r="I51" s="101">
        <v>6</v>
      </c>
      <c r="J51" s="101">
        <v>6</v>
      </c>
      <c r="K51" s="101">
        <v>6</v>
      </c>
      <c r="L51" s="101">
        <v>6</v>
      </c>
      <c r="M51" s="101">
        <v>6</v>
      </c>
      <c r="N51" s="101">
        <v>6</v>
      </c>
      <c r="O51" s="101">
        <v>6</v>
      </c>
      <c r="P51" s="26">
        <f t="shared" si="4"/>
        <v>72</v>
      </c>
      <c r="Q51" s="26"/>
      <c r="R51" s="16"/>
    </row>
    <row r="52" spans="2:19" s="25" customFormat="1">
      <c r="B52" s="25" t="s">
        <v>76</v>
      </c>
      <c r="C52" s="25">
        <v>87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26">
        <f t="shared" si="4"/>
        <v>0</v>
      </c>
      <c r="Q52" s="26"/>
      <c r="R52" s="16"/>
    </row>
    <row r="53" spans="2:19" s="25" customFormat="1">
      <c r="B53" s="16" t="s">
        <v>274</v>
      </c>
      <c r="C53" s="82" t="s">
        <v>160</v>
      </c>
      <c r="D53" s="101">
        <v>2</v>
      </c>
      <c r="E53" s="101">
        <v>2</v>
      </c>
      <c r="F53" s="101">
        <v>2</v>
      </c>
      <c r="G53" s="101">
        <v>2</v>
      </c>
      <c r="H53" s="101">
        <v>2</v>
      </c>
      <c r="I53" s="101">
        <v>2</v>
      </c>
      <c r="J53" s="101">
        <v>3</v>
      </c>
      <c r="K53" s="101">
        <v>2</v>
      </c>
      <c r="L53" s="101">
        <v>2</v>
      </c>
      <c r="M53" s="101">
        <v>2</v>
      </c>
      <c r="N53" s="101">
        <v>2</v>
      </c>
      <c r="O53" s="101">
        <v>2</v>
      </c>
      <c r="P53" s="26">
        <f t="shared" si="4"/>
        <v>25</v>
      </c>
      <c r="Q53" s="26"/>
      <c r="R53" s="16"/>
    </row>
    <row r="54" spans="2:19" s="25" customFormat="1">
      <c r="B54" s="16" t="s">
        <v>77</v>
      </c>
      <c r="C54" s="85" t="s">
        <v>57</v>
      </c>
      <c r="D54" s="101">
        <v>77</v>
      </c>
      <c r="E54" s="101">
        <v>79</v>
      </c>
      <c r="F54" s="101">
        <v>79</v>
      </c>
      <c r="G54" s="101">
        <v>80</v>
      </c>
      <c r="H54" s="101">
        <v>81</v>
      </c>
      <c r="I54" s="101">
        <v>85</v>
      </c>
      <c r="J54" s="101">
        <v>84</v>
      </c>
      <c r="K54" s="101">
        <v>84</v>
      </c>
      <c r="L54" s="101">
        <v>84</v>
      </c>
      <c r="M54" s="101">
        <v>84</v>
      </c>
      <c r="N54" s="101">
        <v>82</v>
      </c>
      <c r="O54" s="101">
        <v>82</v>
      </c>
      <c r="P54" s="26">
        <f t="shared" si="4"/>
        <v>981</v>
      </c>
      <c r="Q54" s="26"/>
      <c r="R54" s="16"/>
    </row>
    <row r="55" spans="2:19" s="25" customFormat="1">
      <c r="B55" s="16" t="s">
        <v>78</v>
      </c>
      <c r="C55" s="85" t="s">
        <v>58</v>
      </c>
      <c r="D55" s="101">
        <v>33</v>
      </c>
      <c r="E55" s="101">
        <v>33</v>
      </c>
      <c r="F55" s="101">
        <v>33</v>
      </c>
      <c r="G55" s="101">
        <v>33</v>
      </c>
      <c r="H55" s="101">
        <v>33</v>
      </c>
      <c r="I55" s="101">
        <v>33</v>
      </c>
      <c r="J55" s="101">
        <v>33</v>
      </c>
      <c r="K55" s="101">
        <v>33</v>
      </c>
      <c r="L55" s="101">
        <v>33</v>
      </c>
      <c r="M55" s="101">
        <v>33</v>
      </c>
      <c r="N55" s="101">
        <v>33</v>
      </c>
      <c r="O55" s="101">
        <v>33</v>
      </c>
      <c r="P55" s="26">
        <f t="shared" si="4"/>
        <v>396</v>
      </c>
      <c r="Q55" s="26"/>
      <c r="R55" s="16"/>
    </row>
    <row r="56" spans="2:19" s="25" customFormat="1">
      <c r="B56" s="25" t="s">
        <v>278</v>
      </c>
      <c r="C56" s="85" t="s">
        <v>59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1</v>
      </c>
      <c r="P56" s="26">
        <f t="shared" si="4"/>
        <v>1</v>
      </c>
      <c r="Q56" s="26"/>
      <c r="R56" s="16"/>
    </row>
    <row r="57" spans="2:19" s="25" customFormat="1">
      <c r="B57" s="16" t="s">
        <v>79</v>
      </c>
      <c r="C57" s="85" t="s">
        <v>60</v>
      </c>
      <c r="D57" s="101">
        <v>3</v>
      </c>
      <c r="E57" s="101">
        <v>3</v>
      </c>
      <c r="F57" s="101">
        <v>3</v>
      </c>
      <c r="G57" s="101">
        <v>3</v>
      </c>
      <c r="H57" s="101">
        <v>3</v>
      </c>
      <c r="I57" s="101">
        <v>3</v>
      </c>
      <c r="J57" s="101">
        <v>3</v>
      </c>
      <c r="K57" s="101">
        <v>3</v>
      </c>
      <c r="L57" s="101">
        <v>3</v>
      </c>
      <c r="M57" s="101">
        <v>3</v>
      </c>
      <c r="N57" s="101">
        <v>3</v>
      </c>
      <c r="O57" s="101">
        <v>3</v>
      </c>
      <c r="P57" s="26">
        <f t="shared" si="4"/>
        <v>36</v>
      </c>
      <c r="Q57" s="26"/>
      <c r="R57" s="16"/>
    </row>
    <row r="58" spans="2:19" s="25" customFormat="1">
      <c r="B58" s="16" t="s">
        <v>279</v>
      </c>
      <c r="C58" s="82" t="s">
        <v>160</v>
      </c>
      <c r="D58" s="101">
        <v>1</v>
      </c>
      <c r="E58" s="101">
        <v>1</v>
      </c>
      <c r="F58" s="101">
        <v>1</v>
      </c>
      <c r="G58" s="101">
        <v>1</v>
      </c>
      <c r="H58" s="101">
        <v>1</v>
      </c>
      <c r="I58" s="101">
        <v>1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26">
        <f t="shared" si="4"/>
        <v>6</v>
      </c>
      <c r="Q58" s="26"/>
      <c r="R58" s="16"/>
    </row>
    <row r="59" spans="2:19" s="25" customFormat="1">
      <c r="B59" s="16" t="s">
        <v>80</v>
      </c>
      <c r="C59" s="85" t="s">
        <v>57</v>
      </c>
      <c r="D59" s="101">
        <v>26</v>
      </c>
      <c r="E59" s="101">
        <v>26</v>
      </c>
      <c r="F59" s="101">
        <v>26</v>
      </c>
      <c r="G59" s="101">
        <v>25</v>
      </c>
      <c r="H59" s="101">
        <v>24</v>
      </c>
      <c r="I59" s="101">
        <v>24</v>
      </c>
      <c r="J59" s="101">
        <v>25</v>
      </c>
      <c r="K59" s="101">
        <v>25</v>
      </c>
      <c r="L59" s="101">
        <v>25</v>
      </c>
      <c r="M59" s="101">
        <v>25</v>
      </c>
      <c r="N59" s="101">
        <v>24</v>
      </c>
      <c r="O59" s="101">
        <v>24</v>
      </c>
      <c r="P59" s="26">
        <f t="shared" si="4"/>
        <v>299</v>
      </c>
      <c r="Q59" s="26"/>
      <c r="R59" s="16"/>
    </row>
    <row r="60" spans="2:19" s="25" customFormat="1">
      <c r="B60" s="16" t="s">
        <v>81</v>
      </c>
      <c r="C60" s="85" t="s">
        <v>58</v>
      </c>
      <c r="D60" s="101">
        <v>68</v>
      </c>
      <c r="E60" s="101">
        <v>68</v>
      </c>
      <c r="F60" s="101">
        <v>68</v>
      </c>
      <c r="G60" s="101">
        <v>68</v>
      </c>
      <c r="H60" s="101">
        <v>69</v>
      </c>
      <c r="I60" s="101">
        <v>70</v>
      </c>
      <c r="J60" s="101">
        <v>70</v>
      </c>
      <c r="K60" s="101">
        <v>70</v>
      </c>
      <c r="L60" s="101">
        <v>70</v>
      </c>
      <c r="M60" s="101">
        <v>70</v>
      </c>
      <c r="N60" s="101">
        <v>70</v>
      </c>
      <c r="O60" s="101">
        <v>70</v>
      </c>
      <c r="P60" s="26">
        <f t="shared" si="4"/>
        <v>831</v>
      </c>
      <c r="Q60" s="26"/>
      <c r="R60" s="16"/>
    </row>
    <row r="61" spans="2:19" s="25" customFormat="1">
      <c r="B61" s="25" t="s">
        <v>82</v>
      </c>
      <c r="C61" s="85" t="s">
        <v>59</v>
      </c>
      <c r="D61" s="101">
        <v>2</v>
      </c>
      <c r="E61" s="101">
        <v>2</v>
      </c>
      <c r="F61" s="101">
        <v>2</v>
      </c>
      <c r="G61" s="101">
        <v>2</v>
      </c>
      <c r="H61" s="101">
        <v>2</v>
      </c>
      <c r="I61" s="101">
        <v>2</v>
      </c>
      <c r="J61" s="101">
        <v>2</v>
      </c>
      <c r="K61" s="101">
        <v>2</v>
      </c>
      <c r="L61" s="101">
        <v>2</v>
      </c>
      <c r="M61" s="101">
        <v>2</v>
      </c>
      <c r="N61" s="101">
        <v>2</v>
      </c>
      <c r="O61" s="101">
        <v>2</v>
      </c>
      <c r="P61" s="26">
        <f t="shared" si="4"/>
        <v>24</v>
      </c>
      <c r="Q61" s="26"/>
      <c r="R61" s="16"/>
    </row>
    <row r="62" spans="2:19" s="25" customFormat="1">
      <c r="B62" s="16" t="s">
        <v>83</v>
      </c>
      <c r="C62" s="85" t="s">
        <v>60</v>
      </c>
      <c r="D62" s="101">
        <v>7</v>
      </c>
      <c r="E62" s="101">
        <v>7</v>
      </c>
      <c r="F62" s="101">
        <v>7</v>
      </c>
      <c r="G62" s="101">
        <v>7</v>
      </c>
      <c r="H62" s="101">
        <v>7</v>
      </c>
      <c r="I62" s="101">
        <v>7</v>
      </c>
      <c r="J62" s="101">
        <v>7</v>
      </c>
      <c r="K62" s="101">
        <v>7</v>
      </c>
      <c r="L62" s="101">
        <v>7</v>
      </c>
      <c r="M62" s="101">
        <v>7</v>
      </c>
      <c r="N62" s="101">
        <v>7</v>
      </c>
      <c r="O62" s="101">
        <v>7</v>
      </c>
      <c r="P62" s="26">
        <f t="shared" si="4"/>
        <v>84</v>
      </c>
      <c r="Q62" s="26"/>
      <c r="R62" s="16"/>
    </row>
    <row r="63" spans="2:19" s="24" customFormat="1" ht="15">
      <c r="B63" s="24" t="s">
        <v>84</v>
      </c>
      <c r="C63" s="387" t="s">
        <v>140</v>
      </c>
      <c r="D63" s="101">
        <v>10</v>
      </c>
      <c r="E63" s="101">
        <v>10</v>
      </c>
      <c r="F63" s="101">
        <v>10</v>
      </c>
      <c r="G63" s="101">
        <v>10</v>
      </c>
      <c r="H63" s="101">
        <v>10</v>
      </c>
      <c r="I63" s="101">
        <v>10</v>
      </c>
      <c r="J63" s="101">
        <v>10</v>
      </c>
      <c r="K63" s="101">
        <v>10</v>
      </c>
      <c r="L63" s="101">
        <v>10</v>
      </c>
      <c r="M63" s="101">
        <v>10</v>
      </c>
      <c r="N63" s="101">
        <v>10</v>
      </c>
      <c r="O63" s="101">
        <v>10</v>
      </c>
      <c r="P63" s="26">
        <f t="shared" si="4"/>
        <v>120</v>
      </c>
      <c r="Q63" s="22"/>
      <c r="R63" s="16"/>
    </row>
    <row r="64" spans="2:19" s="25" customFormat="1">
      <c r="B64" s="25" t="s">
        <v>43</v>
      </c>
      <c r="D64" s="87">
        <f>SUM(D36:D63)</f>
        <v>826556</v>
      </c>
      <c r="E64" s="87">
        <f t="shared" ref="E64:O64" si="5">SUM(E36:E63)</f>
        <v>827699</v>
      </c>
      <c r="F64" s="87">
        <f t="shared" si="5"/>
        <v>828501</v>
      </c>
      <c r="G64" s="87">
        <f t="shared" si="5"/>
        <v>828856</v>
      </c>
      <c r="H64" s="87">
        <f t="shared" si="5"/>
        <v>829484</v>
      </c>
      <c r="I64" s="87">
        <f t="shared" si="5"/>
        <v>829721</v>
      </c>
      <c r="J64" s="87">
        <f t="shared" si="5"/>
        <v>829871</v>
      </c>
      <c r="K64" s="87">
        <f t="shared" si="5"/>
        <v>830395</v>
      </c>
      <c r="L64" s="87">
        <f t="shared" si="5"/>
        <v>830966</v>
      </c>
      <c r="M64" s="87">
        <f t="shared" si="5"/>
        <v>833212</v>
      </c>
      <c r="N64" s="87">
        <f t="shared" si="5"/>
        <v>835519</v>
      </c>
      <c r="O64" s="87">
        <f t="shared" si="5"/>
        <v>836979</v>
      </c>
      <c r="P64" s="87">
        <f>SUM(D64:O64)</f>
        <v>9967759</v>
      </c>
      <c r="Q64" s="22"/>
    </row>
    <row r="65" spans="2:17" s="25" customFormat="1">
      <c r="C65" s="82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>
      <c r="B66" s="28" t="s">
        <v>91</v>
      </c>
      <c r="C66" s="85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2:17">
      <c r="B67" s="16" t="s">
        <v>0</v>
      </c>
      <c r="C67" s="85">
        <v>23</v>
      </c>
      <c r="D67" s="29">
        <f t="shared" ref="D67:I67" si="6">IFERROR(D9/D37,0)</f>
        <v>110.80772423073367</v>
      </c>
      <c r="E67" s="29">
        <f t="shared" si="6"/>
        <v>105.29099555241801</v>
      </c>
      <c r="F67" s="29">
        <f t="shared" si="6"/>
        <v>97.904386161131782</v>
      </c>
      <c r="G67" s="29">
        <f t="shared" si="6"/>
        <v>62.139123982531352</v>
      </c>
      <c r="H67" s="29">
        <f t="shared" si="6"/>
        <v>31.229628561236929</v>
      </c>
      <c r="I67" s="29">
        <f t="shared" si="6"/>
        <v>22.976430216426191</v>
      </c>
      <c r="J67" s="29">
        <f>IFERROR(J9/J37,0)</f>
        <v>17.427920045056723</v>
      </c>
      <c r="K67" s="29">
        <f t="shared" ref="K67:O67" si="7">IFERROR(K9/K37,0)</f>
        <v>17.154676905959125</v>
      </c>
      <c r="L67" s="29">
        <f t="shared" si="7"/>
        <v>26.779503580054207</v>
      </c>
      <c r="M67" s="29">
        <f t="shared" si="7"/>
        <v>54.935734934206963</v>
      </c>
      <c r="N67" s="29">
        <f t="shared" si="7"/>
        <v>85.571303749824608</v>
      </c>
      <c r="O67" s="29">
        <f t="shared" si="7"/>
        <v>108.62087549216646</v>
      </c>
      <c r="P67" s="29">
        <f>SUM(D67:O67)</f>
        <v>740.8383034117461</v>
      </c>
      <c r="Q67" s="29"/>
    </row>
    <row r="68" spans="2:17">
      <c r="B68" s="25" t="s">
        <v>67</v>
      </c>
      <c r="C68" s="25">
        <v>31</v>
      </c>
      <c r="D68" s="29">
        <f t="shared" ref="D68:I69" si="8">IFERROR(D11/D40,0)</f>
        <v>522.07848645469585</v>
      </c>
      <c r="E68" s="29">
        <f t="shared" si="8"/>
        <v>494.93007485343571</v>
      </c>
      <c r="F68" s="29">
        <f t="shared" si="8"/>
        <v>469.01820695224461</v>
      </c>
      <c r="G68" s="29">
        <f t="shared" si="8"/>
        <v>322.79366278578647</v>
      </c>
      <c r="H68" s="29">
        <f t="shared" si="8"/>
        <v>199.47905328606592</v>
      </c>
      <c r="I68" s="29">
        <f t="shared" si="8"/>
        <v>163.92408732114612</v>
      </c>
      <c r="J68" s="29">
        <f>IFERROR(J11/J40,0)</f>
        <v>142.49264599164658</v>
      </c>
      <c r="K68" s="29">
        <f t="shared" ref="K68:O69" si="9">IFERROR(K11/K40,0)</f>
        <v>143.8083935997939</v>
      </c>
      <c r="L68" s="29">
        <f t="shared" si="9"/>
        <v>177.41062332738215</v>
      </c>
      <c r="M68" s="29">
        <f t="shared" si="9"/>
        <v>281.42487956606334</v>
      </c>
      <c r="N68" s="29">
        <f t="shared" si="9"/>
        <v>405.25030341316926</v>
      </c>
      <c r="O68" s="29">
        <f t="shared" si="9"/>
        <v>513.86816003580304</v>
      </c>
      <c r="P68" s="29">
        <f t="shared" ref="P68:P79" si="10">SUM(D68:O68)</f>
        <v>3836.4785775872328</v>
      </c>
      <c r="Q68" s="29"/>
    </row>
    <row r="69" spans="2:17" s="25" customFormat="1">
      <c r="B69" s="25" t="s">
        <v>68</v>
      </c>
      <c r="C69" s="25">
        <v>41</v>
      </c>
      <c r="D69" s="26">
        <f t="shared" si="8"/>
        <v>5107.0488254460824</v>
      </c>
      <c r="E69" s="26">
        <f t="shared" si="8"/>
        <v>4966.491939252337</v>
      </c>
      <c r="F69" s="26">
        <f t="shared" si="8"/>
        <v>4847.3090085470085</v>
      </c>
      <c r="G69" s="26">
        <f t="shared" si="8"/>
        <v>3714.4888496124036</v>
      </c>
      <c r="H69" s="26">
        <f t="shared" si="8"/>
        <v>2586.6172655279506</v>
      </c>
      <c r="I69" s="26">
        <f t="shared" si="8"/>
        <v>2178.6087046875</v>
      </c>
      <c r="J69" s="26">
        <f>IFERROR(J12/J41,0)</f>
        <v>1843.1935518905873</v>
      </c>
      <c r="K69" s="26">
        <f t="shared" si="9"/>
        <v>1888.3453731707316</v>
      </c>
      <c r="L69" s="26">
        <f t="shared" si="9"/>
        <v>2326.6798211382111</v>
      </c>
      <c r="M69" s="26">
        <f t="shared" si="9"/>
        <v>3391.9254009700894</v>
      </c>
      <c r="N69" s="26">
        <f t="shared" si="9"/>
        <v>4327.2282393574296</v>
      </c>
      <c r="O69" s="26">
        <f t="shared" si="9"/>
        <v>5195.9501275060147</v>
      </c>
      <c r="P69" s="29">
        <f t="shared" si="10"/>
        <v>42373.887107106348</v>
      </c>
      <c r="Q69" s="29"/>
    </row>
    <row r="70" spans="2:17" s="25" customFormat="1">
      <c r="B70" s="25" t="s">
        <v>73</v>
      </c>
      <c r="C70" s="25">
        <v>41</v>
      </c>
      <c r="D70" s="26">
        <f t="shared" ref="D70:I70" si="11">IFERROR(D18/D48,0)</f>
        <v>12964.875630136987</v>
      </c>
      <c r="E70" s="26">
        <f t="shared" si="11"/>
        <v>12343.534561643835</v>
      </c>
      <c r="F70" s="26">
        <f t="shared" si="11"/>
        <v>12592.529136986301</v>
      </c>
      <c r="G70" s="26">
        <f t="shared" si="11"/>
        <v>11115.699452054796</v>
      </c>
      <c r="H70" s="26">
        <f t="shared" si="11"/>
        <v>9590.7323835616426</v>
      </c>
      <c r="I70" s="26">
        <f t="shared" si="11"/>
        <v>9317.9819444444438</v>
      </c>
      <c r="J70" s="26">
        <f>IFERROR(J18/J48,0)</f>
        <v>8864.4184583333335</v>
      </c>
      <c r="K70" s="26">
        <f t="shared" ref="K70:O70" si="12">IFERROR(K18/K48,0)</f>
        <v>8953.1401805555561</v>
      </c>
      <c r="L70" s="26">
        <f t="shared" si="12"/>
        <v>9332.8488028169013</v>
      </c>
      <c r="M70" s="26">
        <f t="shared" si="12"/>
        <v>11199.729422535211</v>
      </c>
      <c r="N70" s="26">
        <f t="shared" si="12"/>
        <v>12010.396205479452</v>
      </c>
      <c r="O70" s="26">
        <f t="shared" si="12"/>
        <v>12474.017027777778</v>
      </c>
      <c r="P70" s="29">
        <f t="shared" si="10"/>
        <v>130759.90320632624</v>
      </c>
      <c r="Q70" s="29"/>
    </row>
    <row r="71" spans="2:17">
      <c r="B71" s="16" t="s">
        <v>77</v>
      </c>
      <c r="C71" s="85" t="s">
        <v>57</v>
      </c>
      <c r="D71" s="29">
        <f t="shared" ref="D71:I72" si="13">IFERROR(D23/D54,0)</f>
        <v>16311.329740259742</v>
      </c>
      <c r="E71" s="29">
        <f t="shared" si="13"/>
        <v>15436.595063291139</v>
      </c>
      <c r="F71" s="29">
        <f t="shared" si="13"/>
        <v>15814.884303797468</v>
      </c>
      <c r="G71" s="29">
        <f t="shared" si="13"/>
        <v>14016.499124999998</v>
      </c>
      <c r="H71" s="29">
        <f t="shared" si="13"/>
        <v>13038.924074074075</v>
      </c>
      <c r="I71" s="29">
        <f t="shared" si="13"/>
        <v>12548.697058823529</v>
      </c>
      <c r="J71" s="29">
        <f>IFERROR(J23/J54,0)</f>
        <v>12311.120714285717</v>
      </c>
      <c r="K71" s="29">
        <f t="shared" ref="K71:O72" si="14">IFERROR(K23/K54,0)</f>
        <v>12762.569642857145</v>
      </c>
      <c r="L71" s="29">
        <f t="shared" si="14"/>
        <v>12192.040595238095</v>
      </c>
      <c r="M71" s="29">
        <f t="shared" si="14"/>
        <v>14459.862738095238</v>
      </c>
      <c r="N71" s="29">
        <f t="shared" si="14"/>
        <v>15401.064024390244</v>
      </c>
      <c r="O71" s="29">
        <f t="shared" si="14"/>
        <v>16986.347682926829</v>
      </c>
      <c r="P71" s="29">
        <f t="shared" si="10"/>
        <v>171279.9347630392</v>
      </c>
      <c r="Q71" s="29"/>
    </row>
    <row r="72" spans="2:17">
      <c r="B72" s="16" t="s">
        <v>78</v>
      </c>
      <c r="C72" s="85" t="s">
        <v>58</v>
      </c>
      <c r="D72" s="29">
        <f t="shared" si="13"/>
        <v>64188.24</v>
      </c>
      <c r="E72" s="29">
        <f t="shared" si="13"/>
        <v>60766.346969696977</v>
      </c>
      <c r="F72" s="29">
        <f t="shared" si="13"/>
        <v>63763.653939393938</v>
      </c>
      <c r="G72" s="29">
        <f t="shared" si="13"/>
        <v>55516.427272727276</v>
      </c>
      <c r="H72" s="29">
        <f t="shared" si="13"/>
        <v>54576.761212121215</v>
      </c>
      <c r="I72" s="29">
        <f t="shared" si="13"/>
        <v>52490.131818181813</v>
      </c>
      <c r="J72" s="29">
        <f>IFERROR(J24/J55,0)</f>
        <v>50987.160909090911</v>
      </c>
      <c r="K72" s="29">
        <f t="shared" si="14"/>
        <v>51047.746060606063</v>
      </c>
      <c r="L72" s="29">
        <f t="shared" si="14"/>
        <v>51064.384242424239</v>
      </c>
      <c r="M72" s="29">
        <f t="shared" si="14"/>
        <v>59257.539393939398</v>
      </c>
      <c r="N72" s="29">
        <f t="shared" si="14"/>
        <v>60529.74424242424</v>
      </c>
      <c r="O72" s="29">
        <f t="shared" si="14"/>
        <v>64851.809696969693</v>
      </c>
      <c r="P72" s="29">
        <f t="shared" si="10"/>
        <v>689039.94575757568</v>
      </c>
      <c r="Q72" s="29"/>
    </row>
    <row r="73" spans="2:17">
      <c r="B73" s="16" t="s">
        <v>79</v>
      </c>
      <c r="C73" s="85" t="s">
        <v>60</v>
      </c>
      <c r="D73" s="29">
        <f t="shared" ref="D73:I73" si="15">IFERROR(D25/D57,0)</f>
        <v>650486.62333333341</v>
      </c>
      <c r="E73" s="29">
        <f t="shared" si="15"/>
        <v>653697.9833333334</v>
      </c>
      <c r="F73" s="29">
        <f t="shared" si="15"/>
        <v>619147.54999999993</v>
      </c>
      <c r="G73" s="29">
        <f t="shared" si="15"/>
        <v>533286.96000000008</v>
      </c>
      <c r="H73" s="29">
        <f t="shared" si="15"/>
        <v>426229.94999999995</v>
      </c>
      <c r="I73" s="29">
        <f t="shared" si="15"/>
        <v>389346.98333333334</v>
      </c>
      <c r="J73" s="29">
        <f>IFERROR(J25/J57,0)</f>
        <v>338175.83999999997</v>
      </c>
      <c r="K73" s="29">
        <f t="shared" ref="K73:O73" si="16">IFERROR(K25/K57,0)</f>
        <v>364481.35666666663</v>
      </c>
      <c r="L73" s="29">
        <f t="shared" si="16"/>
        <v>375693.87666666665</v>
      </c>
      <c r="M73" s="29">
        <f t="shared" si="16"/>
        <v>479276.08333333331</v>
      </c>
      <c r="N73" s="29">
        <f t="shared" si="16"/>
        <v>513229.59666666668</v>
      </c>
      <c r="O73" s="29">
        <f t="shared" si="16"/>
        <v>637805.82333333336</v>
      </c>
      <c r="P73" s="29">
        <f t="shared" si="10"/>
        <v>5980858.626666666</v>
      </c>
      <c r="Q73" s="29"/>
    </row>
    <row r="74" spans="2:17">
      <c r="B74" s="16" t="s">
        <v>69</v>
      </c>
      <c r="C74" s="16">
        <v>85</v>
      </c>
      <c r="D74" s="29">
        <f t="shared" ref="D74:I77" si="17">IFERROR(D14/D44,0)</f>
        <v>68420.637560000003</v>
      </c>
      <c r="E74" s="29">
        <f t="shared" si="17"/>
        <v>63189.461520000004</v>
      </c>
      <c r="F74" s="29">
        <f t="shared" si="17"/>
        <v>65690.365439999994</v>
      </c>
      <c r="G74" s="29">
        <f t="shared" si="17"/>
        <v>49746.205439999998</v>
      </c>
      <c r="H74" s="29">
        <f t="shared" si="17"/>
        <v>36809.39544</v>
      </c>
      <c r="I74" s="29">
        <f t="shared" si="17"/>
        <v>30546.895916666672</v>
      </c>
      <c r="J74" s="29">
        <f>IFERROR(J14/J44,0)</f>
        <v>26936.526125000004</v>
      </c>
      <c r="K74" s="29">
        <f t="shared" ref="K74:O77" si="18">IFERROR(K14/K44,0)</f>
        <v>29426.549708333332</v>
      </c>
      <c r="L74" s="29">
        <f t="shared" si="18"/>
        <v>35032.305833333332</v>
      </c>
      <c r="M74" s="29">
        <f t="shared" si="18"/>
        <v>46317.376666666671</v>
      </c>
      <c r="N74" s="29">
        <f t="shared" si="18"/>
        <v>57485.495875000001</v>
      </c>
      <c r="O74" s="29">
        <f t="shared" si="18"/>
        <v>68675.814833333323</v>
      </c>
      <c r="P74" s="29">
        <f t="shared" si="10"/>
        <v>578277.03035833337</v>
      </c>
      <c r="Q74" s="29"/>
    </row>
    <row r="75" spans="2:17">
      <c r="B75" s="16" t="s">
        <v>70</v>
      </c>
      <c r="C75" s="16">
        <v>86</v>
      </c>
      <c r="D75" s="29">
        <f t="shared" si="17"/>
        <v>5345.6910315315317</v>
      </c>
      <c r="E75" s="29">
        <f t="shared" si="17"/>
        <v>4940.2971081081087</v>
      </c>
      <c r="F75" s="29">
        <f t="shared" si="17"/>
        <v>4992.5401531531525</v>
      </c>
      <c r="G75" s="29">
        <f t="shared" si="17"/>
        <v>3762.8494099099098</v>
      </c>
      <c r="H75" s="29">
        <f t="shared" si="17"/>
        <v>2142.1121447963801</v>
      </c>
      <c r="I75" s="29">
        <f t="shared" si="17"/>
        <v>1417.2253122171946</v>
      </c>
      <c r="J75" s="29">
        <f>IFERROR(J15/J45,0)</f>
        <v>970.47233181818183</v>
      </c>
      <c r="K75" s="29">
        <f t="shared" si="18"/>
        <v>942.24105000000009</v>
      </c>
      <c r="L75" s="29">
        <f t="shared" si="18"/>
        <v>1575.6203909090912</v>
      </c>
      <c r="M75" s="29">
        <f t="shared" si="18"/>
        <v>3043.7644999999998</v>
      </c>
      <c r="N75" s="29">
        <f t="shared" si="18"/>
        <v>4201.1195115207374</v>
      </c>
      <c r="O75" s="29">
        <f t="shared" si="18"/>
        <v>5353.2956901408443</v>
      </c>
      <c r="P75" s="29">
        <f t="shared" si="10"/>
        <v>38687.228634105137</v>
      </c>
      <c r="Q75" s="29"/>
    </row>
    <row r="76" spans="2:17">
      <c r="B76" s="25" t="s">
        <v>90</v>
      </c>
      <c r="C76" s="25">
        <v>87</v>
      </c>
      <c r="D76" s="29">
        <f t="shared" si="17"/>
        <v>497614.6814</v>
      </c>
      <c r="E76" s="29">
        <f t="shared" si="17"/>
        <v>501209.15240000002</v>
      </c>
      <c r="F76" s="29">
        <f t="shared" si="17"/>
        <v>485988.87539999996</v>
      </c>
      <c r="G76" s="29">
        <f t="shared" si="17"/>
        <v>413250.18319999997</v>
      </c>
      <c r="H76" s="29">
        <f t="shared" si="17"/>
        <v>297142.0404</v>
      </c>
      <c r="I76" s="29">
        <f t="shared" si="17"/>
        <v>286110.21899999998</v>
      </c>
      <c r="J76" s="29">
        <f>IFERROR(J16/J46,0)</f>
        <v>256056.26200000002</v>
      </c>
      <c r="K76" s="29">
        <f t="shared" si="18"/>
        <v>255005.06419999999</v>
      </c>
      <c r="L76" s="29">
        <f t="shared" si="18"/>
        <v>274543.18679999997</v>
      </c>
      <c r="M76" s="29">
        <f t="shared" si="18"/>
        <v>349554.17839999998</v>
      </c>
      <c r="N76" s="29">
        <f t="shared" si="18"/>
        <v>426688.45240000001</v>
      </c>
      <c r="O76" s="29">
        <f t="shared" si="18"/>
        <v>517099.03619999997</v>
      </c>
      <c r="P76" s="29">
        <f t="shared" si="10"/>
        <v>4560261.3317999989</v>
      </c>
      <c r="Q76" s="29"/>
    </row>
    <row r="77" spans="2:17">
      <c r="B77" s="16" t="s">
        <v>72</v>
      </c>
      <c r="C77" s="16">
        <v>31</v>
      </c>
      <c r="D77" s="29">
        <f>IFERROR(D17/D47,0)</f>
        <v>874.04233496441282</v>
      </c>
      <c r="E77" s="29">
        <f t="shared" si="17"/>
        <v>837.68198620996441</v>
      </c>
      <c r="F77" s="29">
        <f t="shared" si="17"/>
        <v>747.39172335701608</v>
      </c>
      <c r="G77" s="29">
        <f t="shared" si="17"/>
        <v>474.55207216035637</v>
      </c>
      <c r="H77" s="29">
        <f t="shared" si="17"/>
        <v>250.78320205173952</v>
      </c>
      <c r="I77" s="29">
        <f t="shared" si="17"/>
        <v>192.40189753914987</v>
      </c>
      <c r="J77" s="29">
        <f>IFERROR(J17/J47,0)</f>
        <v>165.66451792114697</v>
      </c>
      <c r="K77" s="29">
        <f t="shared" si="18"/>
        <v>172.23517858749437</v>
      </c>
      <c r="L77" s="29">
        <f t="shared" si="18"/>
        <v>241.21278358881878</v>
      </c>
      <c r="M77" s="29">
        <f t="shared" si="18"/>
        <v>425.98155605583071</v>
      </c>
      <c r="N77" s="29">
        <f t="shared" si="18"/>
        <v>655.11170538116585</v>
      </c>
      <c r="O77" s="29">
        <f t="shared" si="18"/>
        <v>832.83444086021507</v>
      </c>
      <c r="P77" s="29">
        <f t="shared" si="10"/>
        <v>5869.8933986773109</v>
      </c>
      <c r="Q77" s="29"/>
    </row>
    <row r="78" spans="2:17">
      <c r="B78" s="25" t="s">
        <v>294</v>
      </c>
      <c r="C78" s="82" t="s">
        <v>160</v>
      </c>
      <c r="D78" s="26">
        <f>IFERROR(D26/D58,0)</f>
        <v>2530.87</v>
      </c>
      <c r="E78" s="26">
        <f t="shared" ref="E78:O78" si="19">IFERROR(E26/E58,0)</f>
        <v>3905.98</v>
      </c>
      <c r="F78" s="26">
        <f t="shared" si="19"/>
        <v>2821.34</v>
      </c>
      <c r="G78" s="26">
        <f t="shared" si="19"/>
        <v>1980.65</v>
      </c>
      <c r="H78" s="26">
        <f t="shared" si="19"/>
        <v>595.91</v>
      </c>
      <c r="I78" s="26">
        <f t="shared" si="19"/>
        <v>27.44</v>
      </c>
      <c r="J78" s="26">
        <f t="shared" si="19"/>
        <v>0</v>
      </c>
      <c r="K78" s="26">
        <f t="shared" si="19"/>
        <v>0</v>
      </c>
      <c r="L78" s="26">
        <f t="shared" si="19"/>
        <v>0</v>
      </c>
      <c r="M78" s="26">
        <f t="shared" si="19"/>
        <v>0</v>
      </c>
      <c r="N78" s="26">
        <f t="shared" si="19"/>
        <v>0</v>
      </c>
      <c r="O78" s="26">
        <f t="shared" si="19"/>
        <v>0</v>
      </c>
      <c r="P78" s="26">
        <f t="shared" si="10"/>
        <v>11862.19</v>
      </c>
      <c r="Q78" s="29"/>
    </row>
    <row r="79" spans="2:17" s="18" customFormat="1" ht="15">
      <c r="B79" s="24" t="s">
        <v>84</v>
      </c>
      <c r="C79" s="387" t="s">
        <v>140</v>
      </c>
      <c r="D79" s="22">
        <f t="shared" ref="D79:I79" si="20">IFERROR(D31/D63,0)</f>
        <v>403242.77399999998</v>
      </c>
      <c r="E79" s="22">
        <f t="shared" si="20"/>
        <v>411489.82699999993</v>
      </c>
      <c r="F79" s="22">
        <f t="shared" si="20"/>
        <v>380641.09299999999</v>
      </c>
      <c r="G79" s="22">
        <f t="shared" si="20"/>
        <v>315636.84099999996</v>
      </c>
      <c r="H79" s="22">
        <f t="shared" si="20"/>
        <v>231740.204</v>
      </c>
      <c r="I79" s="22">
        <f t="shared" si="20"/>
        <v>213688.50499999998</v>
      </c>
      <c r="J79" s="22">
        <f>IFERROR(J31/J63,0)</f>
        <v>181611.42500000002</v>
      </c>
      <c r="K79" s="22">
        <f t="shared" ref="K79:O79" si="21">IFERROR(K31/K63,0)</f>
        <v>189709.587</v>
      </c>
      <c r="L79" s="22">
        <f t="shared" si="21"/>
        <v>216092.59500000003</v>
      </c>
      <c r="M79" s="22">
        <f t="shared" si="21"/>
        <v>289591.58099999995</v>
      </c>
      <c r="N79" s="22">
        <f t="shared" si="21"/>
        <v>334100.11900000001</v>
      </c>
      <c r="O79" s="22">
        <f t="shared" si="21"/>
        <v>397297.22399999999</v>
      </c>
      <c r="P79" s="26">
        <f t="shared" si="10"/>
        <v>3564841.7749999994</v>
      </c>
      <c r="Q79" s="20"/>
    </row>
    <row r="80" spans="2:17">
      <c r="C80" s="85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2:23">
      <c r="B81" s="28" t="s">
        <v>92</v>
      </c>
      <c r="C81" s="85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2:23" s="25" customFormat="1">
      <c r="B82" s="25" t="s">
        <v>93</v>
      </c>
      <c r="C82" s="82"/>
      <c r="D82" s="101">
        <v>628.70833333333326</v>
      </c>
      <c r="E82" s="101">
        <v>672.58333333333303</v>
      </c>
      <c r="F82" s="101">
        <v>589.02083333333303</v>
      </c>
      <c r="G82" s="101">
        <v>419.04166666666703</v>
      </c>
      <c r="H82" s="101">
        <v>172.458333333333</v>
      </c>
      <c r="I82" s="101">
        <v>124.833333333333</v>
      </c>
      <c r="J82" s="101">
        <v>16.5833333333333</v>
      </c>
      <c r="K82" s="101">
        <v>25.0833333333333</v>
      </c>
      <c r="L82" s="101">
        <v>116.666666666667</v>
      </c>
      <c r="M82" s="101">
        <v>366.375</v>
      </c>
      <c r="N82" s="101">
        <v>493.60416666666703</v>
      </c>
      <c r="O82" s="101">
        <v>653.20833333333303</v>
      </c>
      <c r="P82" s="26">
        <f>SUM(D82:O82)</f>
        <v>4278.1666666666661</v>
      </c>
      <c r="Q82" s="26"/>
    </row>
    <row r="83" spans="2:23" s="25" customFormat="1">
      <c r="B83" s="25" t="s">
        <v>94</v>
      </c>
      <c r="C83" s="82"/>
      <c r="D83" s="101">
        <v>723.21388888888896</v>
      </c>
      <c r="E83" s="101">
        <v>616.98611111111097</v>
      </c>
      <c r="F83" s="101">
        <v>592.16805555555595</v>
      </c>
      <c r="G83" s="101">
        <v>450.14722222222201</v>
      </c>
      <c r="H83" s="101">
        <v>296.66111111111098</v>
      </c>
      <c r="I83" s="101">
        <v>162.50833333333301</v>
      </c>
      <c r="J83" s="101">
        <v>57.0138888888889</v>
      </c>
      <c r="K83" s="101">
        <v>47.509722222222202</v>
      </c>
      <c r="L83" s="101">
        <v>136.759722222222</v>
      </c>
      <c r="M83" s="101">
        <v>386.027777777778</v>
      </c>
      <c r="N83" s="101">
        <v>583.59097222222204</v>
      </c>
      <c r="O83" s="101">
        <v>747.57777777777801</v>
      </c>
      <c r="P83" s="26">
        <f>SUM(D83:O83)</f>
        <v>4800.1645833333332</v>
      </c>
      <c r="Q83" s="26"/>
    </row>
    <row r="84" spans="2:23" s="25" customFormat="1">
      <c r="B84" s="25" t="s">
        <v>95</v>
      </c>
      <c r="C84" s="82"/>
      <c r="D84" s="87">
        <f t="shared" ref="D84:P84" si="22">D82-D83</f>
        <v>-94.505555555555702</v>
      </c>
      <c r="E84" s="87">
        <f t="shared" si="22"/>
        <v>55.597222222222058</v>
      </c>
      <c r="F84" s="87">
        <f t="shared" si="22"/>
        <v>-3.147222222222922</v>
      </c>
      <c r="G84" s="87">
        <f t="shared" si="22"/>
        <v>-31.105555555554986</v>
      </c>
      <c r="H84" s="87">
        <f t="shared" si="22"/>
        <v>-124.20277777777798</v>
      </c>
      <c r="I84" s="87">
        <f t="shared" si="22"/>
        <v>-37.675000000000011</v>
      </c>
      <c r="J84" s="87">
        <f t="shared" si="22"/>
        <v>-40.4305555555556</v>
      </c>
      <c r="K84" s="87">
        <f t="shared" si="22"/>
        <v>-22.426388888888901</v>
      </c>
      <c r="L84" s="87">
        <f t="shared" si="22"/>
        <v>-20.093055555554997</v>
      </c>
      <c r="M84" s="87">
        <f t="shared" si="22"/>
        <v>-19.652777777777999</v>
      </c>
      <c r="N84" s="87">
        <f t="shared" si="22"/>
        <v>-89.986805555555009</v>
      </c>
      <c r="O84" s="87">
        <f t="shared" si="22"/>
        <v>-94.36944444444498</v>
      </c>
      <c r="P84" s="87">
        <f t="shared" si="22"/>
        <v>-521.99791666666715</v>
      </c>
      <c r="Q84" s="11"/>
    </row>
    <row r="85" spans="2:23">
      <c r="C85" s="8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2:23">
      <c r="B86" s="28" t="s">
        <v>96</v>
      </c>
      <c r="C86" s="8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2:23" s="25" customFormat="1">
      <c r="B87" s="16" t="s">
        <v>0</v>
      </c>
      <c r="C87" s="82">
        <v>23</v>
      </c>
      <c r="D87" s="475">
        <v>0.14258899999999999</v>
      </c>
      <c r="E87" s="475">
        <v>0.13567199999999999</v>
      </c>
      <c r="F87" s="475">
        <v>0.12486899999999999</v>
      </c>
      <c r="G87" s="475">
        <v>9.7504999999999994E-2</v>
      </c>
      <c r="H87" s="475">
        <v>7.7023999999999995E-2</v>
      </c>
      <c r="I87" s="475">
        <v>4.9307999999999998E-2</v>
      </c>
      <c r="J87" s="475">
        <v>0</v>
      </c>
      <c r="K87" s="475">
        <v>0</v>
      </c>
      <c r="L87" s="475">
        <v>6.1267000000000002E-2</v>
      </c>
      <c r="M87" s="475">
        <v>0.10335</v>
      </c>
      <c r="N87" s="475">
        <v>0.13109000000000001</v>
      </c>
      <c r="O87" s="475">
        <v>0.14038600000000001</v>
      </c>
      <c r="P87" s="26"/>
      <c r="Q87" s="26"/>
      <c r="R87" s="7"/>
      <c r="S87" s="7"/>
      <c r="T87" s="7"/>
      <c r="U87" s="7"/>
      <c r="V87" s="7"/>
      <c r="W87" s="7"/>
    </row>
    <row r="88" spans="2:23" s="25" customFormat="1">
      <c r="B88" s="25" t="s">
        <v>67</v>
      </c>
      <c r="C88" s="25">
        <v>31</v>
      </c>
      <c r="D88" s="475">
        <v>0.53004700000000005</v>
      </c>
      <c r="E88" s="475">
        <v>0.48302200000000001</v>
      </c>
      <c r="F88" s="475">
        <v>0.44266800000000001</v>
      </c>
      <c r="G88" s="475">
        <v>0.30964599999999998</v>
      </c>
      <c r="H88" s="475">
        <v>0.20496700000000001</v>
      </c>
      <c r="I88" s="475">
        <v>0</v>
      </c>
      <c r="J88" s="475">
        <v>0</v>
      </c>
      <c r="K88" s="475">
        <v>0</v>
      </c>
      <c r="L88" s="475">
        <v>0</v>
      </c>
      <c r="M88" s="475">
        <v>0.28602899999999998</v>
      </c>
      <c r="N88" s="475">
        <v>0.43996600000000002</v>
      </c>
      <c r="O88" s="475">
        <v>0.51790400000000003</v>
      </c>
      <c r="P88" s="26"/>
      <c r="Q88" s="26"/>
      <c r="R88" s="7"/>
      <c r="S88" s="7"/>
      <c r="T88" s="7"/>
      <c r="U88" s="7"/>
      <c r="V88" s="7"/>
      <c r="W88" s="7"/>
    </row>
    <row r="89" spans="2:23" s="25" customFormat="1">
      <c r="B89" s="25" t="s">
        <v>68</v>
      </c>
      <c r="C89" s="25">
        <v>41</v>
      </c>
      <c r="D89" s="475">
        <v>4.4232339999999999</v>
      </c>
      <c r="E89" s="475">
        <v>4.0960900000000002</v>
      </c>
      <c r="F89" s="475">
        <v>4.2550169999999996</v>
      </c>
      <c r="G89" s="475">
        <v>3.3169300000000002</v>
      </c>
      <c r="H89" s="475">
        <v>3.0851820000000001</v>
      </c>
      <c r="I89" s="475">
        <v>2.3724050000000001</v>
      </c>
      <c r="J89" s="475">
        <v>0</v>
      </c>
      <c r="K89" s="475">
        <v>0</v>
      </c>
      <c r="L89" s="475">
        <v>1.8869560000000001</v>
      </c>
      <c r="M89" s="475">
        <v>3.3324769999999999</v>
      </c>
      <c r="N89" s="475">
        <v>3.9634170000000002</v>
      </c>
      <c r="O89" s="475">
        <v>4.3025140000000004</v>
      </c>
      <c r="P89" s="26"/>
      <c r="Q89" s="26"/>
      <c r="R89" s="7"/>
      <c r="S89" s="7"/>
      <c r="T89" s="7"/>
      <c r="U89" s="7"/>
      <c r="V89" s="7"/>
      <c r="W89" s="7"/>
    </row>
    <row r="90" spans="2:23" s="25" customFormat="1">
      <c r="B90" s="16" t="s">
        <v>77</v>
      </c>
      <c r="C90" s="85" t="s">
        <v>57</v>
      </c>
      <c r="D90" s="475">
        <v>6.2450140000000003</v>
      </c>
      <c r="E90" s="475">
        <v>5.5843040000000004</v>
      </c>
      <c r="F90" s="475">
        <v>6.6018319999999999</v>
      </c>
      <c r="G90" s="475">
        <v>4.4300100000000002</v>
      </c>
      <c r="H90" s="475">
        <v>3.1402450000000002</v>
      </c>
      <c r="I90" s="475">
        <v>0</v>
      </c>
      <c r="J90" s="475">
        <v>0</v>
      </c>
      <c r="K90" s="475">
        <v>0</v>
      </c>
      <c r="L90" s="475">
        <v>0</v>
      </c>
      <c r="M90" s="475">
        <v>4.9070229999999997</v>
      </c>
      <c r="N90" s="475">
        <v>5.0952380000000002</v>
      </c>
      <c r="O90" s="475">
        <v>5.9990639999999997</v>
      </c>
      <c r="P90" s="26"/>
      <c r="Q90" s="26"/>
      <c r="R90" s="7"/>
      <c r="S90" s="7"/>
      <c r="T90" s="7"/>
      <c r="U90" s="7"/>
      <c r="V90" s="7"/>
      <c r="W90" s="7"/>
    </row>
    <row r="91" spans="2:23" s="25" customFormat="1">
      <c r="B91" s="16" t="s">
        <v>78</v>
      </c>
      <c r="C91" s="85" t="s">
        <v>58</v>
      </c>
      <c r="D91" s="475">
        <v>25.863019999999999</v>
      </c>
      <c r="E91" s="475">
        <v>17.022880000000001</v>
      </c>
      <c r="F91" s="475">
        <v>23.35707</v>
      </c>
      <c r="G91" s="475">
        <v>17.929849999999998</v>
      </c>
      <c r="H91" s="475">
        <v>18.489039999999999</v>
      </c>
      <c r="I91" s="475">
        <v>15.670389999999999</v>
      </c>
      <c r="J91" s="475">
        <v>0</v>
      </c>
      <c r="K91" s="475">
        <v>0</v>
      </c>
      <c r="L91" s="475">
        <v>0</v>
      </c>
      <c r="M91" s="475">
        <v>19.421810000000001</v>
      </c>
      <c r="N91" s="475">
        <v>20.552879999999998</v>
      </c>
      <c r="O91" s="475">
        <v>25.147639999999999</v>
      </c>
      <c r="P91" s="26"/>
      <c r="Q91" s="26"/>
      <c r="R91" s="7"/>
      <c r="S91" s="7"/>
      <c r="T91" s="7"/>
      <c r="U91" s="7"/>
      <c r="V91" s="7"/>
      <c r="W91" s="7"/>
    </row>
    <row r="92" spans="2:23" s="25" customFormat="1">
      <c r="B92" s="16" t="s">
        <v>79</v>
      </c>
      <c r="C92" s="85" t="s">
        <v>60</v>
      </c>
      <c r="D92" s="475">
        <v>498.61770000000001</v>
      </c>
      <c r="E92" s="475">
        <v>416.05340000000001</v>
      </c>
      <c r="F92" s="475">
        <v>437.85559999999998</v>
      </c>
      <c r="G92" s="475">
        <v>350.5145</v>
      </c>
      <c r="H92" s="475">
        <v>357.57459999999998</v>
      </c>
      <c r="I92" s="475">
        <v>231.9744</v>
      </c>
      <c r="J92" s="475">
        <v>0</v>
      </c>
      <c r="K92" s="475">
        <v>0</v>
      </c>
      <c r="L92" s="475">
        <v>0</v>
      </c>
      <c r="M92" s="475">
        <v>292.32600000000002</v>
      </c>
      <c r="N92" s="475">
        <v>405.23860000000002</v>
      </c>
      <c r="O92" s="475">
        <v>489.97309999999999</v>
      </c>
      <c r="P92" s="26"/>
      <c r="Q92" s="26"/>
      <c r="R92" s="7"/>
      <c r="S92" s="7"/>
      <c r="T92" s="7"/>
      <c r="U92" s="7"/>
      <c r="V92" s="7"/>
      <c r="W92" s="7"/>
    </row>
    <row r="93" spans="2:23" s="25" customFormat="1">
      <c r="B93" s="25" t="s">
        <v>69</v>
      </c>
      <c r="C93" s="25">
        <v>85</v>
      </c>
      <c r="D93" s="475">
        <v>54.698979999999999</v>
      </c>
      <c r="E93" s="475">
        <v>51.855840000000001</v>
      </c>
      <c r="F93" s="475">
        <v>54.701529999999998</v>
      </c>
      <c r="G93" s="475">
        <v>47.905470000000001</v>
      </c>
      <c r="H93" s="475">
        <v>41.308880000000002</v>
      </c>
      <c r="I93" s="475">
        <v>0</v>
      </c>
      <c r="J93" s="475">
        <v>0</v>
      </c>
      <c r="K93" s="475">
        <v>0</v>
      </c>
      <c r="L93" s="475">
        <v>0</v>
      </c>
      <c r="M93" s="475">
        <v>42.228180000000002</v>
      </c>
      <c r="N93" s="475">
        <v>47.382179999999998</v>
      </c>
      <c r="O93" s="475">
        <v>51.544719999999998</v>
      </c>
      <c r="P93" s="26"/>
      <c r="Q93" s="26"/>
      <c r="R93" s="7"/>
      <c r="S93" s="7"/>
      <c r="T93" s="7"/>
      <c r="U93" s="7"/>
      <c r="V93" s="7"/>
      <c r="W93" s="7"/>
    </row>
    <row r="94" spans="2:23" s="25" customFormat="1">
      <c r="B94" s="25" t="s">
        <v>70</v>
      </c>
      <c r="C94" s="25">
        <v>86</v>
      </c>
      <c r="D94" s="475">
        <v>6.306381</v>
      </c>
      <c r="E94" s="475">
        <v>6.3312249999999999</v>
      </c>
      <c r="F94" s="475">
        <v>6.47736</v>
      </c>
      <c r="G94" s="475">
        <v>5.6191269999999998</v>
      </c>
      <c r="H94" s="475">
        <v>5.4516109999999998</v>
      </c>
      <c r="I94" s="475">
        <v>4.0647390000000003</v>
      </c>
      <c r="J94" s="475">
        <v>0</v>
      </c>
      <c r="K94" s="475">
        <v>0</v>
      </c>
      <c r="L94" s="475">
        <v>3.8223630000000002</v>
      </c>
      <c r="M94" s="475">
        <v>5.5541510000000001</v>
      </c>
      <c r="N94" s="475">
        <v>5.9706299999999999</v>
      </c>
      <c r="O94" s="475">
        <v>5.9919729999999998</v>
      </c>
      <c r="P94" s="26"/>
      <c r="Q94" s="26"/>
      <c r="R94" s="7"/>
      <c r="S94" s="7"/>
      <c r="T94" s="7"/>
      <c r="U94" s="7"/>
      <c r="V94" s="7"/>
      <c r="W94" s="7"/>
    </row>
    <row r="95" spans="2:23" s="25" customFormat="1">
      <c r="B95" s="25" t="s">
        <v>90</v>
      </c>
      <c r="C95" s="25">
        <v>87</v>
      </c>
      <c r="D95" s="475">
        <v>365.73469999999998</v>
      </c>
      <c r="E95" s="475">
        <v>312.01679999999999</v>
      </c>
      <c r="F95" s="475">
        <v>327.76979999999998</v>
      </c>
      <c r="G95" s="475">
        <v>283.70179999999999</v>
      </c>
      <c r="H95" s="475">
        <v>241.9436</v>
      </c>
      <c r="I95" s="475">
        <v>0</v>
      </c>
      <c r="J95" s="475">
        <v>0</v>
      </c>
      <c r="K95" s="475">
        <v>0</v>
      </c>
      <c r="L95" s="475">
        <v>0</v>
      </c>
      <c r="M95" s="475">
        <v>262.26600000000002</v>
      </c>
      <c r="N95" s="475">
        <v>312.3014</v>
      </c>
      <c r="O95" s="475">
        <v>353.04090000000002</v>
      </c>
      <c r="P95" s="26"/>
      <c r="Q95" s="26"/>
      <c r="R95" s="8"/>
      <c r="S95" s="8"/>
      <c r="T95" s="7"/>
      <c r="U95" s="7"/>
      <c r="V95" s="7"/>
      <c r="W95" s="7"/>
    </row>
    <row r="96" spans="2:23" s="25" customFormat="1">
      <c r="B96" s="25" t="s">
        <v>72</v>
      </c>
      <c r="C96" s="25">
        <v>31</v>
      </c>
      <c r="D96" s="475">
        <v>1.0246230000000001</v>
      </c>
      <c r="E96" s="475">
        <v>0.96336599999999994</v>
      </c>
      <c r="F96" s="475">
        <v>0.87563599999999997</v>
      </c>
      <c r="G96" s="475">
        <v>0.62440799999999996</v>
      </c>
      <c r="H96" s="475">
        <v>0.46065400000000001</v>
      </c>
      <c r="I96" s="475">
        <v>0.267515</v>
      </c>
      <c r="J96" s="475">
        <v>0</v>
      </c>
      <c r="K96" s="475">
        <v>0</v>
      </c>
      <c r="L96" s="475">
        <v>0.36427500000000002</v>
      </c>
      <c r="M96" s="475">
        <v>0.622251</v>
      </c>
      <c r="N96" s="475">
        <v>0.84462899999999996</v>
      </c>
      <c r="O96" s="475">
        <v>0.98157099999999997</v>
      </c>
      <c r="P96" s="26"/>
      <c r="Q96" s="26"/>
      <c r="R96" s="7"/>
      <c r="S96" s="7"/>
      <c r="T96" s="7"/>
      <c r="U96" s="7"/>
      <c r="V96" s="7"/>
      <c r="W96" s="7"/>
    </row>
    <row r="97" spans="2:23" s="25" customFormat="1">
      <c r="B97" s="25" t="s">
        <v>73</v>
      </c>
      <c r="C97" s="25">
        <v>41</v>
      </c>
      <c r="D97" s="475">
        <v>4.7613620000000001</v>
      </c>
      <c r="E97" s="475">
        <v>3.7076060000000002</v>
      </c>
      <c r="F97" s="475">
        <v>5.6337640000000002</v>
      </c>
      <c r="G97" s="475">
        <v>3.607056</v>
      </c>
      <c r="H97" s="475">
        <v>2.9865780000000002</v>
      </c>
      <c r="I97" s="475">
        <v>0</v>
      </c>
      <c r="J97" s="475">
        <v>0</v>
      </c>
      <c r="K97" s="475">
        <v>0</v>
      </c>
      <c r="L97" s="475">
        <v>0</v>
      </c>
      <c r="M97" s="475">
        <v>4.8871190000000002</v>
      </c>
      <c r="N97" s="475">
        <v>4.1200489999999999</v>
      </c>
      <c r="O97" s="475">
        <v>4.2082819999999996</v>
      </c>
      <c r="P97" s="26"/>
      <c r="Q97" s="26"/>
      <c r="R97" s="7"/>
      <c r="S97" s="7"/>
      <c r="T97" s="7"/>
      <c r="U97" s="7"/>
      <c r="V97" s="7"/>
      <c r="W97" s="7"/>
    </row>
    <row r="98" spans="2:23" s="24" customFormat="1" ht="15">
      <c r="B98" s="390"/>
      <c r="C98" s="387" t="s">
        <v>140</v>
      </c>
      <c r="D98" s="476">
        <v>366.29660000000001</v>
      </c>
      <c r="E98" s="476">
        <v>343.17970000000003</v>
      </c>
      <c r="F98" s="476">
        <v>353.94880000000001</v>
      </c>
      <c r="G98" s="476">
        <v>310.79880000000003</v>
      </c>
      <c r="H98" s="476">
        <v>284.05250000000001</v>
      </c>
      <c r="I98" s="476">
        <v>242.88679999999999</v>
      </c>
      <c r="J98" s="475">
        <v>0</v>
      </c>
      <c r="K98" s="475">
        <v>0</v>
      </c>
      <c r="L98" s="476">
        <v>191.56610000000001</v>
      </c>
      <c r="M98" s="476">
        <v>304.52820000000003</v>
      </c>
      <c r="N98" s="476">
        <v>327.96660000000003</v>
      </c>
      <c r="O98" s="476">
        <v>325.36750000000001</v>
      </c>
      <c r="P98" s="22"/>
      <c r="Q98" s="22"/>
      <c r="R98" s="9"/>
      <c r="S98" s="9"/>
      <c r="T98" s="10"/>
      <c r="U98" s="10"/>
      <c r="V98" s="10"/>
      <c r="W98" s="10"/>
    </row>
    <row r="99" spans="2:23">
      <c r="C99" s="85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2:23">
      <c r="B100" s="28" t="s">
        <v>97</v>
      </c>
      <c r="C100" s="85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2:23">
      <c r="B101" s="16" t="s">
        <v>0</v>
      </c>
      <c r="C101" s="85">
        <v>23</v>
      </c>
      <c r="D101" s="29">
        <f>IF(D67=0,0,D67+D87*(-D$84))</f>
        <v>124.2831768918448</v>
      </c>
      <c r="E101" s="29">
        <f t="shared" ref="E101:O103" si="23">IF(E67=0,0,E67+E87*(-E$84))</f>
        <v>97.748009219084707</v>
      </c>
      <c r="F101" s="29">
        <f t="shared" si="23"/>
        <v>98.297376652798533</v>
      </c>
      <c r="G101" s="29">
        <f t="shared" si="23"/>
        <v>65.172071176975734</v>
      </c>
      <c r="H101" s="29">
        <f t="shared" si="23"/>
        <v>40.796223316792499</v>
      </c>
      <c r="I101" s="29">
        <f t="shared" si="23"/>
        <v>24.834109116426191</v>
      </c>
      <c r="J101" s="29">
        <f t="shared" si="23"/>
        <v>17.427920045056723</v>
      </c>
      <c r="K101" s="29">
        <f t="shared" si="23"/>
        <v>17.154676905959125</v>
      </c>
      <c r="L101" s="29">
        <f t="shared" si="23"/>
        <v>28.010544814776395</v>
      </c>
      <c r="M101" s="29">
        <f t="shared" si="23"/>
        <v>56.966849517540318</v>
      </c>
      <c r="N101" s="29">
        <f t="shared" si="23"/>
        <v>97.367674090102312</v>
      </c>
      <c r="O101" s="29">
        <f t="shared" si="23"/>
        <v>121.86902431994432</v>
      </c>
      <c r="P101" s="29">
        <f>SUM(D101:O101)</f>
        <v>789.92765606730188</v>
      </c>
      <c r="Q101" s="29"/>
    </row>
    <row r="102" spans="2:23">
      <c r="B102" s="25" t="s">
        <v>67</v>
      </c>
      <c r="C102" s="85">
        <v>31</v>
      </c>
      <c r="D102" s="29">
        <f>IF(D68=0,0,D68+D88*(-D$84))</f>
        <v>572.17087266025146</v>
      </c>
      <c r="E102" s="29">
        <f t="shared" si="23"/>
        <v>468.07539338121359</v>
      </c>
      <c r="F102" s="29">
        <f t="shared" si="23"/>
        <v>470.41138151891158</v>
      </c>
      <c r="G102" s="29">
        <f t="shared" si="23"/>
        <v>332.42537364134182</v>
      </c>
      <c r="H102" s="29">
        <f t="shared" si="23"/>
        <v>224.93652403884374</v>
      </c>
      <c r="I102" s="29">
        <f t="shared" si="23"/>
        <v>163.92408732114612</v>
      </c>
      <c r="J102" s="29">
        <f t="shared" si="23"/>
        <v>142.49264599164658</v>
      </c>
      <c r="K102" s="29">
        <f t="shared" si="23"/>
        <v>143.8083935997939</v>
      </c>
      <c r="L102" s="29">
        <f t="shared" si="23"/>
        <v>177.41062332738215</v>
      </c>
      <c r="M102" s="29">
        <f t="shared" si="23"/>
        <v>287.04614394106341</v>
      </c>
      <c r="N102" s="29">
        <f t="shared" si="23"/>
        <v>444.84143830622457</v>
      </c>
      <c r="O102" s="29">
        <f t="shared" si="23"/>
        <v>562.74247279135886</v>
      </c>
      <c r="P102" s="29">
        <f t="shared" ref="P102:P113" si="24">SUM(D102:O102)</f>
        <v>3990.2853505191779</v>
      </c>
      <c r="Q102" s="29"/>
    </row>
    <row r="103" spans="2:23">
      <c r="B103" s="25" t="s">
        <v>68</v>
      </c>
      <c r="C103" s="25">
        <v>41</v>
      </c>
      <c r="D103" s="29">
        <f>IF(D69=0,0,D69+D89*(-D$84))</f>
        <v>5525.0690119683049</v>
      </c>
      <c r="E103" s="29">
        <f t="shared" si="23"/>
        <v>4738.7607132801159</v>
      </c>
      <c r="F103" s="29">
        <f t="shared" si="23"/>
        <v>4860.7004926053451</v>
      </c>
      <c r="G103" s="29">
        <f t="shared" si="23"/>
        <v>3817.6638000012904</v>
      </c>
      <c r="H103" s="29">
        <f t="shared" si="23"/>
        <v>2969.8054398779514</v>
      </c>
      <c r="I103" s="29">
        <f t="shared" si="23"/>
        <v>2267.9890630625</v>
      </c>
      <c r="J103" s="29">
        <f t="shared" si="23"/>
        <v>1843.1935518905873</v>
      </c>
      <c r="K103" s="29">
        <f t="shared" si="23"/>
        <v>1888.3453731707316</v>
      </c>
      <c r="L103" s="29">
        <f t="shared" si="23"/>
        <v>2364.594532877099</v>
      </c>
      <c r="M103" s="29">
        <f t="shared" si="23"/>
        <v>3457.4178309006456</v>
      </c>
      <c r="N103" s="29">
        <f t="shared" si="23"/>
        <v>4683.883474272011</v>
      </c>
      <c r="O103" s="29">
        <f t="shared" si="23"/>
        <v>5601.9759834004617</v>
      </c>
      <c r="P103" s="29">
        <f t="shared" si="24"/>
        <v>44019.399267307046</v>
      </c>
      <c r="Q103" s="29"/>
    </row>
    <row r="104" spans="2:23">
      <c r="B104" s="16" t="s">
        <v>77</v>
      </c>
      <c r="C104" s="85" t="s">
        <v>57</v>
      </c>
      <c r="D104" s="29">
        <f t="shared" ref="D104:O110" si="25">IF(D71=0,0,D71+D90*(-D$84))</f>
        <v>16901.518257781965</v>
      </c>
      <c r="E104" s="29">
        <f t="shared" si="25"/>
        <v>15126.123272846695</v>
      </c>
      <c r="F104" s="29">
        <f t="shared" si="25"/>
        <v>15835.661736175251</v>
      </c>
      <c r="G104" s="29">
        <f t="shared" si="25"/>
        <v>14154.297047166663</v>
      </c>
      <c r="H104" s="29">
        <f t="shared" si="25"/>
        <v>13428.951225976854</v>
      </c>
      <c r="I104" s="29">
        <f t="shared" si="25"/>
        <v>12548.697058823529</v>
      </c>
      <c r="J104" s="29">
        <f t="shared" si="25"/>
        <v>12311.120714285717</v>
      </c>
      <c r="K104" s="29">
        <f t="shared" si="25"/>
        <v>12762.569642857145</v>
      </c>
      <c r="L104" s="29">
        <f t="shared" si="25"/>
        <v>12192.040595238095</v>
      </c>
      <c r="M104" s="29">
        <f t="shared" si="25"/>
        <v>14556.299370664685</v>
      </c>
      <c r="N104" s="29">
        <f t="shared" si="25"/>
        <v>15859.568215555519</v>
      </c>
      <c r="O104" s="29">
        <f t="shared" si="25"/>
        <v>17552.476019793499</v>
      </c>
      <c r="P104" s="29">
        <f t="shared" si="24"/>
        <v>173229.32315716561</v>
      </c>
      <c r="Q104" s="29"/>
    </row>
    <row r="105" spans="2:23">
      <c r="B105" s="16" t="s">
        <v>78</v>
      </c>
      <c r="C105" s="85" t="s">
        <v>58</v>
      </c>
      <c r="D105" s="29">
        <f t="shared" si="25"/>
        <v>66632.439073444446</v>
      </c>
      <c r="E105" s="29">
        <f t="shared" si="25"/>
        <v>59819.922127474754</v>
      </c>
      <c r="F105" s="29">
        <f t="shared" si="25"/>
        <v>63837.163829143952</v>
      </c>
      <c r="G105" s="29">
        <f t="shared" si="25"/>
        <v>56074.145218005047</v>
      </c>
      <c r="H105" s="29">
        <f t="shared" si="25"/>
        <v>56873.151338565665</v>
      </c>
      <c r="I105" s="29">
        <f t="shared" si="25"/>
        <v>53080.513761431816</v>
      </c>
      <c r="J105" s="29">
        <f t="shared" si="25"/>
        <v>50987.160909090911</v>
      </c>
      <c r="K105" s="29">
        <f t="shared" si="25"/>
        <v>51047.746060606063</v>
      </c>
      <c r="L105" s="29">
        <f t="shared" si="25"/>
        <v>51064.384242424239</v>
      </c>
      <c r="M105" s="29">
        <f t="shared" si="25"/>
        <v>59639.231909911621</v>
      </c>
      <c r="N105" s="29">
        <f t="shared" si="25"/>
        <v>62379.232258590899</v>
      </c>
      <c r="O105" s="29">
        <f t="shared" si="25"/>
        <v>67224.978512858594</v>
      </c>
      <c r="P105" s="29">
        <f t="shared" si="24"/>
        <v>698660.06924154796</v>
      </c>
      <c r="Q105" s="29"/>
    </row>
    <row r="106" spans="2:23">
      <c r="B106" s="16" t="s">
        <v>79</v>
      </c>
      <c r="C106" s="85" t="s">
        <v>60</v>
      </c>
      <c r="D106" s="29">
        <f t="shared" si="25"/>
        <v>697608.76608166681</v>
      </c>
      <c r="E106" s="29">
        <f t="shared" si="25"/>
        <v>630566.5699972224</v>
      </c>
      <c r="F106" s="29">
        <f t="shared" si="25"/>
        <v>620525.57887444471</v>
      </c>
      <c r="G106" s="29">
        <f t="shared" si="25"/>
        <v>544189.90825277765</v>
      </c>
      <c r="H106" s="29">
        <f t="shared" si="25"/>
        <v>470641.70858277782</v>
      </c>
      <c r="I106" s="29">
        <f t="shared" si="25"/>
        <v>398086.61885333335</v>
      </c>
      <c r="J106" s="29">
        <f t="shared" si="25"/>
        <v>338175.83999999997</v>
      </c>
      <c r="K106" s="29">
        <f t="shared" si="25"/>
        <v>364481.35666666663</v>
      </c>
      <c r="L106" s="29">
        <f t="shared" si="25"/>
        <v>375693.87666666665</v>
      </c>
      <c r="M106" s="29">
        <f t="shared" si="25"/>
        <v>485021.10125000007</v>
      </c>
      <c r="N106" s="29">
        <f t="shared" si="25"/>
        <v>549695.72376847197</v>
      </c>
      <c r="O106" s="29">
        <f t="shared" si="25"/>
        <v>684044.31257305585</v>
      </c>
      <c r="P106" s="29">
        <f t="shared" si="24"/>
        <v>6158731.3615670837</v>
      </c>
      <c r="Q106" s="29"/>
    </row>
    <row r="107" spans="2:23">
      <c r="B107" s="16" t="s">
        <v>69</v>
      </c>
      <c r="C107" s="16">
        <v>85</v>
      </c>
      <c r="D107" s="29">
        <f t="shared" si="25"/>
        <v>73589.995053222228</v>
      </c>
      <c r="E107" s="29">
        <f t="shared" si="25"/>
        <v>60306.420860000013</v>
      </c>
      <c r="F107" s="29">
        <f t="shared" si="25"/>
        <v>65862.523310805584</v>
      </c>
      <c r="G107" s="29">
        <f t="shared" si="25"/>
        <v>51236.331698499969</v>
      </c>
      <c r="H107" s="29">
        <f t="shared" si="25"/>
        <v>41940.073082888899</v>
      </c>
      <c r="I107" s="29">
        <f t="shared" si="25"/>
        <v>30546.895916666672</v>
      </c>
      <c r="J107" s="29">
        <f t="shared" si="25"/>
        <v>26936.526125000004</v>
      </c>
      <c r="K107" s="29">
        <f t="shared" si="25"/>
        <v>29426.549708333332</v>
      </c>
      <c r="L107" s="29">
        <f t="shared" si="25"/>
        <v>35032.305833333332</v>
      </c>
      <c r="M107" s="29">
        <f t="shared" si="25"/>
        <v>47147.277704166678</v>
      </c>
      <c r="N107" s="29">
        <f t="shared" si="25"/>
        <v>61749.266893458305</v>
      </c>
      <c r="O107" s="29">
        <f t="shared" si="25"/>
        <v>73540.061423777792</v>
      </c>
      <c r="P107" s="29">
        <f t="shared" si="24"/>
        <v>597314.2276101528</v>
      </c>
      <c r="Q107" s="29"/>
    </row>
    <row r="108" spans="2:23">
      <c r="B108" s="16" t="s">
        <v>70</v>
      </c>
      <c r="C108" s="16">
        <v>86</v>
      </c>
      <c r="D108" s="29">
        <f t="shared" si="25"/>
        <v>5941.6790714815324</v>
      </c>
      <c r="E108" s="29">
        <f t="shared" si="25"/>
        <v>4588.2985848442204</v>
      </c>
      <c r="F108" s="29">
        <f t="shared" si="25"/>
        <v>5012.92584448649</v>
      </c>
      <c r="G108" s="29">
        <f t="shared" si="25"/>
        <v>3937.6354769821287</v>
      </c>
      <c r="H108" s="29">
        <f t="shared" si="25"/>
        <v>2819.2173743602702</v>
      </c>
      <c r="I108" s="29">
        <f t="shared" si="25"/>
        <v>1570.3643540421947</v>
      </c>
      <c r="J108" s="29">
        <f t="shared" si="25"/>
        <v>970.47233181818183</v>
      </c>
      <c r="K108" s="29">
        <f t="shared" si="25"/>
        <v>942.24105000000009</v>
      </c>
      <c r="L108" s="29">
        <f t="shared" si="25"/>
        <v>1652.4233430215891</v>
      </c>
      <c r="M108" s="29">
        <f t="shared" si="25"/>
        <v>3152.9189953472232</v>
      </c>
      <c r="N108" s="29">
        <f t="shared" si="25"/>
        <v>4738.3974323749007</v>
      </c>
      <c r="O108" s="29">
        <f t="shared" si="25"/>
        <v>5918.7548532769588</v>
      </c>
      <c r="P108" s="29">
        <f t="shared" si="24"/>
        <v>41245.328712035691</v>
      </c>
      <c r="Q108" s="29"/>
    </row>
    <row r="109" spans="2:23">
      <c r="B109" s="25" t="s">
        <v>90</v>
      </c>
      <c r="C109" s="25">
        <v>87</v>
      </c>
      <c r="D109" s="29">
        <f t="shared" si="25"/>
        <v>532178.64240944455</v>
      </c>
      <c r="E109" s="29">
        <f t="shared" si="25"/>
        <v>483861.88503333338</v>
      </c>
      <c r="F109" s="29">
        <f t="shared" si="25"/>
        <v>487020.43979833351</v>
      </c>
      <c r="G109" s="29">
        <f t="shared" si="25"/>
        <v>422074.88530111092</v>
      </c>
      <c r="H109" s="29">
        <f t="shared" si="25"/>
        <v>327192.10758555558</v>
      </c>
      <c r="I109" s="29">
        <f t="shared" si="25"/>
        <v>286110.21899999998</v>
      </c>
      <c r="J109" s="29">
        <f t="shared" si="25"/>
        <v>256056.26200000002</v>
      </c>
      <c r="K109" s="29">
        <f t="shared" si="25"/>
        <v>255005.06419999999</v>
      </c>
      <c r="L109" s="29">
        <f t="shared" si="25"/>
        <v>274543.18679999997</v>
      </c>
      <c r="M109" s="29">
        <f t="shared" si="25"/>
        <v>354708.43381666671</v>
      </c>
      <c r="N109" s="29">
        <f t="shared" si="25"/>
        <v>454791.45775652764</v>
      </c>
      <c r="O109" s="29">
        <f t="shared" si="25"/>
        <v>550415.30979916686</v>
      </c>
      <c r="P109" s="29">
        <f t="shared" si="24"/>
        <v>4683957.893500139</v>
      </c>
      <c r="Q109" s="29"/>
    </row>
    <row r="110" spans="2:23">
      <c r="B110" s="16" t="s">
        <v>72</v>
      </c>
      <c r="C110" s="16">
        <v>31</v>
      </c>
      <c r="D110" s="29">
        <f t="shared" si="25"/>
        <v>970.87490081441297</v>
      </c>
      <c r="E110" s="29">
        <f t="shared" si="25"/>
        <v>784.12151262663122</v>
      </c>
      <c r="F110" s="29">
        <f t="shared" si="25"/>
        <v>750.14754443479444</v>
      </c>
      <c r="G110" s="29">
        <f t="shared" si="25"/>
        <v>493.97462989368933</v>
      </c>
      <c r="H110" s="29">
        <f t="shared" si="25"/>
        <v>307.99770844618405</v>
      </c>
      <c r="I110" s="29">
        <f t="shared" si="25"/>
        <v>202.48052516414987</v>
      </c>
      <c r="J110" s="29">
        <f t="shared" si="25"/>
        <v>165.66451792114697</v>
      </c>
      <c r="K110" s="29">
        <f t="shared" si="25"/>
        <v>172.23517858749437</v>
      </c>
      <c r="L110" s="29">
        <f t="shared" si="25"/>
        <v>248.53218140131858</v>
      </c>
      <c r="M110" s="29">
        <f t="shared" si="25"/>
        <v>438.21051668083084</v>
      </c>
      <c r="N110" s="29">
        <f t="shared" si="25"/>
        <v>731.1171709707487</v>
      </c>
      <c r="O110" s="29">
        <f t="shared" si="25"/>
        <v>925.46475081299332</v>
      </c>
      <c r="P110" s="29">
        <f t="shared" si="24"/>
        <v>6190.8211377543939</v>
      </c>
      <c r="Q110" s="29"/>
    </row>
    <row r="111" spans="2:23">
      <c r="B111" s="25" t="s">
        <v>73</v>
      </c>
      <c r="C111" s="25">
        <v>41</v>
      </c>
      <c r="D111" s="26">
        <f t="shared" ref="D111:O111" si="26">IF(D70=0,0,D70+D97*(-D$84))</f>
        <v>13414.850791148099</v>
      </c>
      <c r="E111" s="26">
        <f t="shared" si="26"/>
        <v>12137.401966949392</v>
      </c>
      <c r="F111" s="26">
        <f t="shared" si="26"/>
        <v>12610.25984424186</v>
      </c>
      <c r="G111" s="26">
        <f t="shared" si="26"/>
        <v>11227.898932854794</v>
      </c>
      <c r="H111" s="26">
        <f t="shared" si="26"/>
        <v>9961.673667211644</v>
      </c>
      <c r="I111" s="26">
        <f t="shared" si="26"/>
        <v>9317.9819444444438</v>
      </c>
      <c r="J111" s="26">
        <f t="shared" si="26"/>
        <v>8864.4184583333335</v>
      </c>
      <c r="K111" s="26">
        <f t="shared" si="26"/>
        <v>8953.1401805555561</v>
      </c>
      <c r="L111" s="26">
        <f t="shared" si="26"/>
        <v>9332.8488028169013</v>
      </c>
      <c r="M111" s="26">
        <f t="shared" si="26"/>
        <v>11295.774886215768</v>
      </c>
      <c r="N111" s="26">
        <f t="shared" si="26"/>
        <v>12381.14625372181</v>
      </c>
      <c r="O111" s="26">
        <f t="shared" si="26"/>
        <v>12871.150262183335</v>
      </c>
      <c r="P111" s="26">
        <f>SUM(D111:O111)</f>
        <v>132368.54599067694</v>
      </c>
      <c r="Q111" s="26"/>
    </row>
    <row r="112" spans="2:23">
      <c r="B112" s="25" t="s">
        <v>294</v>
      </c>
      <c r="C112" s="82" t="s">
        <v>160</v>
      </c>
      <c r="D112" s="26">
        <f t="shared" ref="D112:O112" si="27">IF(D78=0,0,D78+D96*(-D$84))</f>
        <v>2627.7025658500002</v>
      </c>
      <c r="E112" s="26">
        <f t="shared" si="27"/>
        <v>3852.4195264166669</v>
      </c>
      <c r="F112" s="26">
        <f t="shared" si="27"/>
        <v>2824.0958210777785</v>
      </c>
      <c r="G112" s="26">
        <f t="shared" si="27"/>
        <v>2000.072557733333</v>
      </c>
      <c r="H112" s="26">
        <f t="shared" si="27"/>
        <v>653.12450639444455</v>
      </c>
      <c r="I112" s="26">
        <f t="shared" si="27"/>
        <v>37.518627625000008</v>
      </c>
      <c r="J112" s="26">
        <f t="shared" si="27"/>
        <v>0</v>
      </c>
      <c r="K112" s="26">
        <f t="shared" si="27"/>
        <v>0</v>
      </c>
      <c r="L112" s="26">
        <f t="shared" si="27"/>
        <v>0</v>
      </c>
      <c r="M112" s="26">
        <f t="shared" si="27"/>
        <v>0</v>
      </c>
      <c r="N112" s="26">
        <f t="shared" si="27"/>
        <v>0</v>
      </c>
      <c r="O112" s="26">
        <f t="shared" si="27"/>
        <v>0</v>
      </c>
      <c r="P112" s="26">
        <f>SUM(D112:O112)</f>
        <v>11994.933605097223</v>
      </c>
      <c r="Q112" s="26"/>
    </row>
    <row r="113" spans="2:17" s="18" customFormat="1" ht="15">
      <c r="B113" s="24" t="s">
        <v>84</v>
      </c>
      <c r="C113" s="387" t="s">
        <v>140</v>
      </c>
      <c r="D113" s="22">
        <f>IF(D79=0,0,D79+D98*(-D$84))</f>
        <v>437859.83768111112</v>
      </c>
      <c r="E113" s="22">
        <f t="shared" ref="E113:O113" si="28">IF(E79=0,0,E79+E98*(-E$84))</f>
        <v>392409.98895694443</v>
      </c>
      <c r="F113" s="22">
        <f t="shared" si="28"/>
        <v>381755.04852888914</v>
      </c>
      <c r="G113" s="22">
        <f t="shared" si="28"/>
        <v>325304.41033999977</v>
      </c>
      <c r="H113" s="22">
        <f t="shared" si="28"/>
        <v>267020.31353472226</v>
      </c>
      <c r="I113" s="22">
        <f t="shared" si="28"/>
        <v>222839.26518999998</v>
      </c>
      <c r="J113" s="22">
        <f t="shared" si="28"/>
        <v>181611.42500000002</v>
      </c>
      <c r="K113" s="22">
        <f t="shared" si="28"/>
        <v>189709.587</v>
      </c>
      <c r="L113" s="22">
        <f t="shared" si="28"/>
        <v>219941.74328986104</v>
      </c>
      <c r="M113" s="22">
        <f t="shared" si="28"/>
        <v>295576.40604166669</v>
      </c>
      <c r="N113" s="22">
        <f t="shared" si="28"/>
        <v>363612.78566291649</v>
      </c>
      <c r="O113" s="22">
        <f t="shared" si="28"/>
        <v>428001.97421527794</v>
      </c>
      <c r="P113" s="26">
        <f t="shared" si="24"/>
        <v>3705642.7854413884</v>
      </c>
      <c r="Q113" s="22"/>
    </row>
    <row r="114" spans="2:17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6"/>
    </row>
    <row r="115" spans="2:17">
      <c r="B115" s="91" t="s">
        <v>98</v>
      </c>
      <c r="C115" s="82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2:17">
      <c r="B116" s="25" t="s">
        <v>0</v>
      </c>
      <c r="C116" s="82">
        <v>23</v>
      </c>
      <c r="D116" s="26">
        <f>D101*D37</f>
        <v>95454078.330481812</v>
      </c>
      <c r="E116" s="26">
        <f t="shared" ref="E116:O116" si="29">E101*E37</f>
        <v>75186009.227154016</v>
      </c>
      <c r="F116" s="26">
        <f t="shared" si="29"/>
        <v>75679543.474496201</v>
      </c>
      <c r="G116" s="26">
        <f t="shared" si="29"/>
        <v>50201655.395197347</v>
      </c>
      <c r="H116" s="26">
        <f t="shared" si="29"/>
        <v>31451440.403848011</v>
      </c>
      <c r="I116" s="26">
        <f t="shared" si="29"/>
        <v>19153455.660698399</v>
      </c>
      <c r="J116" s="26">
        <f t="shared" si="29"/>
        <v>13445152.333000001</v>
      </c>
      <c r="K116" s="26">
        <f t="shared" si="29"/>
        <v>13243856.592999998</v>
      </c>
      <c r="L116" s="26">
        <f t="shared" si="29"/>
        <v>21641339.071523651</v>
      </c>
      <c r="M116" s="26">
        <f t="shared" si="29"/>
        <v>44132332.254937522</v>
      </c>
      <c r="N116" s="26">
        <f t="shared" si="29"/>
        <v>75641343.396659151</v>
      </c>
      <c r="O116" s="26">
        <f t="shared" si="29"/>
        <v>94837499.773586109</v>
      </c>
      <c r="P116" s="26">
        <f>SUM(D116:O116)</f>
        <v>610067705.91458225</v>
      </c>
      <c r="Q116" s="26"/>
    </row>
    <row r="117" spans="2:17">
      <c r="B117" s="25" t="s">
        <v>67</v>
      </c>
      <c r="C117" s="82">
        <v>31</v>
      </c>
      <c r="D117" s="26">
        <f>D102*D40</f>
        <v>31131817.181444284</v>
      </c>
      <c r="E117" s="26">
        <f t="shared" ref="E117:O118" si="30">E102*E40</f>
        <v>25469386.380051974</v>
      </c>
      <c r="F117" s="26">
        <f t="shared" si="30"/>
        <v>25630834.533439416</v>
      </c>
      <c r="G117" s="26">
        <f t="shared" si="30"/>
        <v>18102223.721639268</v>
      </c>
      <c r="H117" s="26">
        <f t="shared" si="30"/>
        <v>12245994.241722731</v>
      </c>
      <c r="I117" s="26">
        <f t="shared" si="30"/>
        <v>8913208.3239999991</v>
      </c>
      <c r="J117" s="26">
        <f t="shared" si="30"/>
        <v>7744332.8169999998</v>
      </c>
      <c r="K117" s="26">
        <f t="shared" si="30"/>
        <v>7814835.7250000006</v>
      </c>
      <c r="L117" s="26">
        <f t="shared" si="30"/>
        <v>9638896.5759999994</v>
      </c>
      <c r="M117" s="26">
        <f t="shared" si="30"/>
        <v>15637699.829621252</v>
      </c>
      <c r="N117" s="26">
        <f t="shared" si="30"/>
        <v>24293680.628779538</v>
      </c>
      <c r="O117" s="26">
        <f t="shared" si="30"/>
        <v>30806773.930490151</v>
      </c>
      <c r="P117" s="26">
        <f t="shared" ref="P117:P129" si="31">SUM(D117:O117)</f>
        <v>217429683.88918859</v>
      </c>
      <c r="Q117" s="26"/>
    </row>
    <row r="118" spans="2:17">
      <c r="B118" s="25" t="s">
        <v>68</v>
      </c>
      <c r="C118" s="25">
        <v>41</v>
      </c>
      <c r="D118" s="26">
        <f>D103*D41</f>
        <v>7121813.9564271448</v>
      </c>
      <c r="E118" s="26">
        <f t="shared" si="30"/>
        <v>6084568.7558516683</v>
      </c>
      <c r="F118" s="26">
        <f t="shared" si="30"/>
        <v>6255721.5339830788</v>
      </c>
      <c r="G118" s="26">
        <f t="shared" si="30"/>
        <v>4924786.3020016644</v>
      </c>
      <c r="H118" s="26">
        <f t="shared" si="30"/>
        <v>3825109.4065628015</v>
      </c>
      <c r="I118" s="26">
        <f t="shared" si="30"/>
        <v>2903026.0007199999</v>
      </c>
      <c r="J118" s="26">
        <f t="shared" si="30"/>
        <v>2291089.585</v>
      </c>
      <c r="K118" s="26">
        <f t="shared" si="30"/>
        <v>2322664.8089999999</v>
      </c>
      <c r="L118" s="26">
        <f t="shared" si="30"/>
        <v>2908451.2754388317</v>
      </c>
      <c r="M118" s="26">
        <f t="shared" si="30"/>
        <v>4276825.8568240991</v>
      </c>
      <c r="N118" s="26">
        <f t="shared" si="30"/>
        <v>5831434.9254686534</v>
      </c>
      <c r="O118" s="26">
        <f t="shared" si="30"/>
        <v>6985664.0513003757</v>
      </c>
      <c r="P118" s="26">
        <f t="shared" si="31"/>
        <v>55731156.458578318</v>
      </c>
      <c r="Q118" s="26"/>
    </row>
    <row r="119" spans="2:17">
      <c r="B119" s="25" t="s">
        <v>77</v>
      </c>
      <c r="C119" s="82" t="s">
        <v>57</v>
      </c>
      <c r="D119" s="26">
        <f>D104*D54</f>
        <v>1301416.9058492114</v>
      </c>
      <c r="E119" s="26">
        <f t="shared" ref="E119:O120" si="32">E104*E54</f>
        <v>1194963.7385548889</v>
      </c>
      <c r="F119" s="26">
        <f t="shared" si="32"/>
        <v>1251017.2771578447</v>
      </c>
      <c r="G119" s="26">
        <f t="shared" si="32"/>
        <v>1132343.763773333</v>
      </c>
      <c r="H119" s="26">
        <f t="shared" si="32"/>
        <v>1087745.0493041251</v>
      </c>
      <c r="I119" s="26">
        <f t="shared" si="32"/>
        <v>1066639.25</v>
      </c>
      <c r="J119" s="26">
        <f t="shared" si="32"/>
        <v>1034134.1400000001</v>
      </c>
      <c r="K119" s="26">
        <f t="shared" si="32"/>
        <v>1072055.8500000001</v>
      </c>
      <c r="L119" s="26">
        <f t="shared" si="32"/>
        <v>1024131.41</v>
      </c>
      <c r="M119" s="26">
        <f t="shared" si="32"/>
        <v>1222729.1471358335</v>
      </c>
      <c r="N119" s="26">
        <f t="shared" si="32"/>
        <v>1300484.5936755526</v>
      </c>
      <c r="O119" s="26">
        <f t="shared" si="32"/>
        <v>1439303.033623067</v>
      </c>
      <c r="P119" s="26">
        <f t="shared" ref="P119:P120" si="33">P104*P59</f>
        <v>51795567.623992518</v>
      </c>
      <c r="Q119" s="26"/>
    </row>
    <row r="120" spans="2:17">
      <c r="B120" s="25" t="s">
        <v>78</v>
      </c>
      <c r="C120" s="82" t="s">
        <v>58</v>
      </c>
      <c r="D120" s="26">
        <f>D105*D55</f>
        <v>2198870.4894236666</v>
      </c>
      <c r="E120" s="26">
        <f t="shared" si="32"/>
        <v>1974057.4302066669</v>
      </c>
      <c r="F120" s="26">
        <f t="shared" si="32"/>
        <v>2106626.4063617503</v>
      </c>
      <c r="G120" s="26">
        <f t="shared" si="32"/>
        <v>1850446.7921941665</v>
      </c>
      <c r="H120" s="26">
        <f t="shared" si="32"/>
        <v>1876813.9941726669</v>
      </c>
      <c r="I120" s="26">
        <f t="shared" si="32"/>
        <v>1751656.95412725</v>
      </c>
      <c r="J120" s="26">
        <f t="shared" si="32"/>
        <v>1682576.31</v>
      </c>
      <c r="K120" s="26">
        <f t="shared" si="32"/>
        <v>1684575.62</v>
      </c>
      <c r="L120" s="26">
        <f t="shared" si="32"/>
        <v>1685124.68</v>
      </c>
      <c r="M120" s="26">
        <f t="shared" si="32"/>
        <v>1968094.6530270835</v>
      </c>
      <c r="N120" s="26">
        <f t="shared" si="32"/>
        <v>2058514.6645334996</v>
      </c>
      <c r="O120" s="26">
        <f t="shared" si="32"/>
        <v>2218424.2909243335</v>
      </c>
      <c r="P120" s="26">
        <f t="shared" si="33"/>
        <v>580586517.53972638</v>
      </c>
      <c r="Q120" s="26"/>
    </row>
    <row r="121" spans="2:17">
      <c r="B121" s="25" t="s">
        <v>79</v>
      </c>
      <c r="C121" s="82" t="s">
        <v>60</v>
      </c>
      <c r="D121" s="26">
        <f>D106*D57</f>
        <v>2092826.2982450004</v>
      </c>
      <c r="E121" s="26">
        <f t="shared" ref="E121:O121" si="34">E106*E57</f>
        <v>1891699.7099916672</v>
      </c>
      <c r="F121" s="26">
        <f t="shared" si="34"/>
        <v>1861576.7366233342</v>
      </c>
      <c r="G121" s="26">
        <f t="shared" si="34"/>
        <v>1632569.7247583331</v>
      </c>
      <c r="H121" s="26">
        <f t="shared" si="34"/>
        <v>1411925.1257483335</v>
      </c>
      <c r="I121" s="26">
        <f t="shared" si="34"/>
        <v>1194259.85656</v>
      </c>
      <c r="J121" s="26">
        <f t="shared" si="34"/>
        <v>1014527.5199999999</v>
      </c>
      <c r="K121" s="26">
        <f t="shared" si="34"/>
        <v>1093444.0699999998</v>
      </c>
      <c r="L121" s="26">
        <f t="shared" si="34"/>
        <v>1127081.6299999999</v>
      </c>
      <c r="M121" s="26">
        <f t="shared" si="34"/>
        <v>1455063.3037500002</v>
      </c>
      <c r="N121" s="26">
        <f t="shared" si="34"/>
        <v>1649087.1713054159</v>
      </c>
      <c r="O121" s="26">
        <f t="shared" si="34"/>
        <v>2052132.9377191677</v>
      </c>
      <c r="P121" s="26">
        <f t="shared" si="31"/>
        <v>18476194.084701251</v>
      </c>
      <c r="Q121" s="26"/>
    </row>
    <row r="122" spans="2:17">
      <c r="B122" s="25" t="s">
        <v>69</v>
      </c>
      <c r="C122" s="25">
        <v>85</v>
      </c>
      <c r="D122" s="26">
        <f>D107*D44</f>
        <v>1839749.8763305556</v>
      </c>
      <c r="E122" s="26">
        <f t="shared" ref="E122:O126" si="35">E107*E44</f>
        <v>1507660.5215000003</v>
      </c>
      <c r="F122" s="26">
        <f t="shared" si="35"/>
        <v>1646563.0827701397</v>
      </c>
      <c r="G122" s="26">
        <f t="shared" si="35"/>
        <v>1280908.2924624993</v>
      </c>
      <c r="H122" s="26">
        <f t="shared" si="35"/>
        <v>1048501.8270722225</v>
      </c>
      <c r="I122" s="26">
        <f t="shared" si="35"/>
        <v>733125.50200000009</v>
      </c>
      <c r="J122" s="26">
        <f t="shared" si="35"/>
        <v>646476.62700000009</v>
      </c>
      <c r="K122" s="26">
        <f t="shared" si="35"/>
        <v>706237.19299999997</v>
      </c>
      <c r="L122" s="26">
        <f t="shared" si="35"/>
        <v>840775.34</v>
      </c>
      <c r="M122" s="26">
        <f t="shared" si="35"/>
        <v>1131534.6649000002</v>
      </c>
      <c r="N122" s="26">
        <f t="shared" si="35"/>
        <v>1481982.4054429992</v>
      </c>
      <c r="O122" s="26">
        <f t="shared" si="35"/>
        <v>1764961.4741706671</v>
      </c>
      <c r="P122" s="26">
        <f t="shared" si="31"/>
        <v>14628476.806649085</v>
      </c>
      <c r="Q122" s="26"/>
    </row>
    <row r="123" spans="2:17">
      <c r="B123" s="25" t="s">
        <v>70</v>
      </c>
      <c r="C123" s="25">
        <v>86</v>
      </c>
      <c r="D123" s="26">
        <f>D108*D45</f>
        <v>1319052.7538689002</v>
      </c>
      <c r="E123" s="26">
        <f t="shared" si="35"/>
        <v>1018602.2858354169</v>
      </c>
      <c r="F123" s="26">
        <f t="shared" si="35"/>
        <v>1112869.5374760008</v>
      </c>
      <c r="G123" s="26">
        <f t="shared" si="35"/>
        <v>874155.07589003257</v>
      </c>
      <c r="H123" s="26">
        <f>H108*H45</f>
        <v>623047.03973361978</v>
      </c>
      <c r="I123" s="26">
        <f t="shared" si="35"/>
        <v>347050.52224332502</v>
      </c>
      <c r="J123" s="26">
        <f t="shared" si="35"/>
        <v>213503.913</v>
      </c>
      <c r="K123" s="26">
        <f t="shared" si="35"/>
        <v>207293.03100000002</v>
      </c>
      <c r="L123" s="26">
        <f t="shared" si="35"/>
        <v>363533.13546474959</v>
      </c>
      <c r="M123" s="26">
        <f t="shared" si="35"/>
        <v>693642.17897638911</v>
      </c>
      <c r="N123" s="26">
        <f t="shared" si="35"/>
        <v>1028232.2428253535</v>
      </c>
      <c r="O123" s="26">
        <f t="shared" si="35"/>
        <v>1260694.7837479922</v>
      </c>
      <c r="P123" s="26">
        <f t="shared" si="31"/>
        <v>9061676.5000617784</v>
      </c>
      <c r="Q123" s="26"/>
    </row>
    <row r="124" spans="2:17">
      <c r="B124" s="25" t="s">
        <v>90</v>
      </c>
      <c r="C124" s="25">
        <v>87</v>
      </c>
      <c r="D124" s="26">
        <f>D109*D46</f>
        <v>2660893.212047223</v>
      </c>
      <c r="E124" s="26">
        <f t="shared" si="35"/>
        <v>2419309.425166667</v>
      </c>
      <c r="F124" s="26">
        <f t="shared" si="35"/>
        <v>2435102.1989916675</v>
      </c>
      <c r="G124" s="26">
        <f t="shared" si="35"/>
        <v>2110374.4265055545</v>
      </c>
      <c r="H124" s="26">
        <f t="shared" si="35"/>
        <v>1635960.537927778</v>
      </c>
      <c r="I124" s="26">
        <f t="shared" si="35"/>
        <v>1430551.095</v>
      </c>
      <c r="J124" s="26">
        <f t="shared" si="35"/>
        <v>1280281.31</v>
      </c>
      <c r="K124" s="26">
        <f t="shared" si="35"/>
        <v>1275025.321</v>
      </c>
      <c r="L124" s="26">
        <f t="shared" si="35"/>
        <v>1372715.9339999999</v>
      </c>
      <c r="M124" s="26">
        <f t="shared" si="35"/>
        <v>1773542.1690833336</v>
      </c>
      <c r="N124" s="26">
        <f t="shared" si="35"/>
        <v>2273957.288782638</v>
      </c>
      <c r="O124" s="26">
        <f t="shared" si="35"/>
        <v>2752076.5489958343</v>
      </c>
      <c r="P124" s="26">
        <f t="shared" si="31"/>
        <v>23419789.467500698</v>
      </c>
      <c r="Q124" s="26"/>
    </row>
    <row r="125" spans="2:17">
      <c r="B125" s="25" t="s">
        <v>72</v>
      </c>
      <c r="C125" s="25">
        <v>31</v>
      </c>
      <c r="D125" s="26">
        <f>D110*D47</f>
        <v>2182526.7770308005</v>
      </c>
      <c r="E125" s="26">
        <f t="shared" si="35"/>
        <v>1762705.1603846669</v>
      </c>
      <c r="F125" s="26">
        <f t="shared" si="35"/>
        <v>1689332.270067157</v>
      </c>
      <c r="G125" s="26">
        <f t="shared" si="35"/>
        <v>1108973.0441113326</v>
      </c>
      <c r="H125" s="26">
        <f t="shared" si="35"/>
        <v>690530.86233634467</v>
      </c>
      <c r="I125" s="26">
        <f t="shared" si="35"/>
        <v>452543.97374187497</v>
      </c>
      <c r="J125" s="26">
        <f t="shared" si="35"/>
        <v>369763.20400000003</v>
      </c>
      <c r="K125" s="26">
        <f t="shared" si="35"/>
        <v>382878.80199999997</v>
      </c>
      <c r="L125" s="26">
        <f t="shared" si="35"/>
        <v>551244.37834812456</v>
      </c>
      <c r="M125" s="26">
        <f t="shared" si="35"/>
        <v>973265.55754812527</v>
      </c>
      <c r="N125" s="26">
        <f t="shared" si="35"/>
        <v>1630391.2912647696</v>
      </c>
      <c r="O125" s="26">
        <f t="shared" si="35"/>
        <v>2065637.3238146012</v>
      </c>
      <c r="P125" s="26">
        <f t="shared" si="31"/>
        <v>13859792.644647796</v>
      </c>
      <c r="Q125" s="26"/>
    </row>
    <row r="126" spans="2:17">
      <c r="B126" s="25" t="s">
        <v>73</v>
      </c>
      <c r="C126" s="25">
        <v>41</v>
      </c>
      <c r="D126" s="26">
        <f>D111*D48</f>
        <v>979284.10775381129</v>
      </c>
      <c r="E126" s="26">
        <f t="shared" si="35"/>
        <v>886030.34358730563</v>
      </c>
      <c r="F126" s="26">
        <f t="shared" si="35"/>
        <v>920548.96862965578</v>
      </c>
      <c r="G126" s="26">
        <f t="shared" si="35"/>
        <v>819636.62209840002</v>
      </c>
      <c r="H126" s="26">
        <f t="shared" si="35"/>
        <v>727202.17770644999</v>
      </c>
      <c r="I126" s="26">
        <f t="shared" si="35"/>
        <v>670894.69999999995</v>
      </c>
      <c r="J126" s="26">
        <f t="shared" si="35"/>
        <v>638238.12899999996</v>
      </c>
      <c r="K126" s="26">
        <f t="shared" si="35"/>
        <v>644626.09299999999</v>
      </c>
      <c r="L126" s="26">
        <f t="shared" si="35"/>
        <v>662632.26500000001</v>
      </c>
      <c r="M126" s="26">
        <f t="shared" si="35"/>
        <v>802000.01692131953</v>
      </c>
      <c r="N126" s="26">
        <f t="shared" si="35"/>
        <v>903823.67652169219</v>
      </c>
      <c r="O126" s="26">
        <f t="shared" si="35"/>
        <v>926722.81887720013</v>
      </c>
      <c r="P126" s="26">
        <f>SUM(D126:O126)</f>
        <v>9581639.9190958347</v>
      </c>
      <c r="Q126" s="26"/>
    </row>
    <row r="127" spans="2:17">
      <c r="B127" s="25" t="s">
        <v>294</v>
      </c>
      <c r="C127" s="82" t="s">
        <v>160</v>
      </c>
      <c r="D127" s="26">
        <f t="shared" ref="D127:O127" si="36">D112*D58</f>
        <v>2627.7025658500002</v>
      </c>
      <c r="E127" s="26">
        <f t="shared" si="36"/>
        <v>3852.4195264166669</v>
      </c>
      <c r="F127" s="26">
        <f t="shared" si="36"/>
        <v>2824.0958210777785</v>
      </c>
      <c r="G127" s="26">
        <f t="shared" si="36"/>
        <v>2000.072557733333</v>
      </c>
      <c r="H127" s="26">
        <f t="shared" si="36"/>
        <v>653.12450639444455</v>
      </c>
      <c r="I127" s="26">
        <f t="shared" si="36"/>
        <v>37.518627625000008</v>
      </c>
      <c r="J127" s="26">
        <f t="shared" si="36"/>
        <v>0</v>
      </c>
      <c r="K127" s="26">
        <f t="shared" si="36"/>
        <v>0</v>
      </c>
      <c r="L127" s="26">
        <f t="shared" si="36"/>
        <v>0</v>
      </c>
      <c r="M127" s="26">
        <f t="shared" si="36"/>
        <v>0</v>
      </c>
      <c r="N127" s="26">
        <f t="shared" si="36"/>
        <v>0</v>
      </c>
      <c r="O127" s="26">
        <f t="shared" si="36"/>
        <v>0</v>
      </c>
      <c r="P127" s="26">
        <f>SUM(D127:O127)</f>
        <v>11994.933605097223</v>
      </c>
      <c r="Q127" s="26"/>
    </row>
    <row r="128" spans="2:17" s="18" customFormat="1" ht="15">
      <c r="B128" s="24" t="s">
        <v>84</v>
      </c>
      <c r="C128" s="387" t="s">
        <v>140</v>
      </c>
      <c r="D128" s="22">
        <f>D113*D63</f>
        <v>4378598.3768111113</v>
      </c>
      <c r="E128" s="22">
        <f t="shared" ref="E128:O128" si="37">E113*E63</f>
        <v>3924099.8895694446</v>
      </c>
      <c r="F128" s="22">
        <f t="shared" si="37"/>
        <v>3817550.4852888915</v>
      </c>
      <c r="G128" s="22">
        <f t="shared" si="37"/>
        <v>3253044.1033999976</v>
      </c>
      <c r="H128" s="22">
        <f t="shared" si="37"/>
        <v>2670203.1353472224</v>
      </c>
      <c r="I128" s="22">
        <f t="shared" si="37"/>
        <v>2228392.6518999999</v>
      </c>
      <c r="J128" s="22">
        <f t="shared" si="37"/>
        <v>1816114.2500000002</v>
      </c>
      <c r="K128" s="22">
        <f t="shared" si="37"/>
        <v>1897095.87</v>
      </c>
      <c r="L128" s="22">
        <f t="shared" si="37"/>
        <v>2199417.4328986104</v>
      </c>
      <c r="M128" s="22">
        <f t="shared" si="37"/>
        <v>2955764.0604166668</v>
      </c>
      <c r="N128" s="22">
        <f t="shared" si="37"/>
        <v>3636127.8566291649</v>
      </c>
      <c r="O128" s="22">
        <f t="shared" si="37"/>
        <v>4280019.7421527794</v>
      </c>
      <c r="P128" s="86">
        <f t="shared" si="31"/>
        <v>37056427.854413889</v>
      </c>
      <c r="Q128" s="22"/>
    </row>
    <row r="129" spans="2:17">
      <c r="B129" s="25" t="s">
        <v>99</v>
      </c>
      <c r="C129" s="82"/>
      <c r="D129" s="87">
        <f t="shared" ref="D129:O129" si="38">SUM(D116:D128)</f>
        <v>152663555.96827939</v>
      </c>
      <c r="E129" s="87">
        <f t="shared" si="38"/>
        <v>123322945.28738081</v>
      </c>
      <c r="F129" s="87">
        <f t="shared" si="38"/>
        <v>124410110.60110621</v>
      </c>
      <c r="G129" s="87">
        <f t="shared" si="38"/>
        <v>87293117.336589649</v>
      </c>
      <c r="H129" s="87">
        <f t="shared" si="38"/>
        <v>59295126.925988711</v>
      </c>
      <c r="I129" s="87">
        <f t="shared" si="38"/>
        <v>40844842.009618483</v>
      </c>
      <c r="J129" s="87">
        <f t="shared" si="38"/>
        <v>32176190.137999997</v>
      </c>
      <c r="K129" s="87">
        <f t="shared" si="38"/>
        <v>32344588.977000002</v>
      </c>
      <c r="L129" s="87">
        <f t="shared" si="38"/>
        <v>44015343.128673971</v>
      </c>
      <c r="M129" s="87">
        <f t="shared" si="38"/>
        <v>77022493.693141609</v>
      </c>
      <c r="N129" s="87">
        <f t="shared" si="38"/>
        <v>121729060.14188844</v>
      </c>
      <c r="O129" s="87">
        <f t="shared" si="38"/>
        <v>151389910.70940226</v>
      </c>
      <c r="P129" s="26">
        <f t="shared" si="31"/>
        <v>1046507284.9170697</v>
      </c>
      <c r="Q129" s="22"/>
    </row>
    <row r="130" spans="2:17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6"/>
    </row>
    <row r="131" spans="2:17" s="25" customFormat="1">
      <c r="B131" s="91" t="s">
        <v>100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2:17" s="25" customFormat="1">
      <c r="B132" s="16" t="s">
        <v>0</v>
      </c>
      <c r="C132" s="82">
        <v>23</v>
      </c>
      <c r="D132" s="26">
        <f>D116-D9</f>
        <v>10349646.235481814</v>
      </c>
      <c r="E132" s="26">
        <f t="shared" ref="E132:O132" si="39">E116-E9</f>
        <v>-5801929.3138459772</v>
      </c>
      <c r="F132" s="26">
        <f t="shared" si="39"/>
        <v>302564.95149619877</v>
      </c>
      <c r="G132" s="26">
        <f t="shared" si="39"/>
        <v>2336261.0261973441</v>
      </c>
      <c r="H132" s="26">
        <f t="shared" si="39"/>
        <v>7375270.5608480126</v>
      </c>
      <c r="I132" s="26">
        <f t="shared" si="39"/>
        <v>1432745.9976984002</v>
      </c>
      <c r="J132" s="26">
        <f t="shared" si="39"/>
        <v>0</v>
      </c>
      <c r="K132" s="26">
        <f t="shared" si="39"/>
        <v>0</v>
      </c>
      <c r="L132" s="26">
        <f t="shared" si="39"/>
        <v>951119.69252365083</v>
      </c>
      <c r="M132" s="26">
        <f t="shared" si="39"/>
        <v>1573508.5299375206</v>
      </c>
      <c r="N132" s="26">
        <f t="shared" si="39"/>
        <v>9164163.6516591534</v>
      </c>
      <c r="O132" s="26">
        <f t="shared" si="39"/>
        <v>10309603.432586104</v>
      </c>
      <c r="P132" s="26">
        <f>SUM(D132:O132)</f>
        <v>37992954.764582217</v>
      </c>
      <c r="Q132" s="26"/>
    </row>
    <row r="133" spans="2:17" s="25" customFormat="1">
      <c r="B133" s="25" t="s">
        <v>67</v>
      </c>
      <c r="C133" s="85">
        <v>31</v>
      </c>
      <c r="D133" s="26">
        <f>D117-D11</f>
        <v>2725526.7334442846</v>
      </c>
      <c r="E133" s="26">
        <f t="shared" ref="E133:O134" si="40">E117-E11</f>
        <v>-1461243.7829480246</v>
      </c>
      <c r="F133" s="26">
        <f t="shared" si="40"/>
        <v>75908.50943941623</v>
      </c>
      <c r="G133" s="26">
        <f t="shared" si="40"/>
        <v>524494.81463926658</v>
      </c>
      <c r="H133" s="26">
        <f t="shared" si="40"/>
        <v>1385955.62272273</v>
      </c>
      <c r="I133" s="26">
        <f t="shared" si="40"/>
        <v>0</v>
      </c>
      <c r="J133" s="26">
        <f t="shared" si="40"/>
        <v>0</v>
      </c>
      <c r="K133" s="26">
        <f t="shared" si="40"/>
        <v>0</v>
      </c>
      <c r="L133" s="26">
        <f t="shared" si="40"/>
        <v>0</v>
      </c>
      <c r="M133" s="26">
        <f t="shared" si="40"/>
        <v>306235.24062125199</v>
      </c>
      <c r="N133" s="26">
        <f t="shared" si="40"/>
        <v>2162151.0587795377</v>
      </c>
      <c r="O133" s="26">
        <f t="shared" si="40"/>
        <v>2675575.3774901517</v>
      </c>
      <c r="P133" s="26">
        <f t="shared" ref="P133:P145" si="41">SUM(D133:O133)</f>
        <v>8394603.5741886143</v>
      </c>
      <c r="Q133" s="26"/>
    </row>
    <row r="134" spans="2:17" s="25" customFormat="1">
      <c r="B134" s="25" t="s">
        <v>68</v>
      </c>
      <c r="C134" s="25">
        <v>41</v>
      </c>
      <c r="D134" s="26">
        <f>D118-D12</f>
        <v>538828.02042714506</v>
      </c>
      <c r="E134" s="26">
        <f t="shared" si="40"/>
        <v>-292406.89414833207</v>
      </c>
      <c r="F134" s="26">
        <f t="shared" si="40"/>
        <v>17234.839983078651</v>
      </c>
      <c r="G134" s="26">
        <f t="shared" si="40"/>
        <v>133095.68600166403</v>
      </c>
      <c r="H134" s="26">
        <f t="shared" si="40"/>
        <v>493546.36856280081</v>
      </c>
      <c r="I134" s="26">
        <f t="shared" si="40"/>
        <v>114406.8587199999</v>
      </c>
      <c r="J134" s="26">
        <f t="shared" si="40"/>
        <v>0</v>
      </c>
      <c r="K134" s="26">
        <f t="shared" si="40"/>
        <v>0</v>
      </c>
      <c r="L134" s="26">
        <f t="shared" si="40"/>
        <v>46635.095438831951</v>
      </c>
      <c r="M134" s="26">
        <f t="shared" si="40"/>
        <v>81014.135824098252</v>
      </c>
      <c r="N134" s="26">
        <f t="shared" si="40"/>
        <v>444035.76746865362</v>
      </c>
      <c r="O134" s="26">
        <f t="shared" si="40"/>
        <v>506314.24230037536</v>
      </c>
      <c r="P134" s="26">
        <f t="shared" si="41"/>
        <v>2082704.1205783156</v>
      </c>
      <c r="Q134" s="26"/>
    </row>
    <row r="135" spans="2:17" s="25" customFormat="1">
      <c r="B135" s="16" t="s">
        <v>77</v>
      </c>
      <c r="C135" s="85" t="s">
        <v>57</v>
      </c>
      <c r="D135" s="26">
        <f>D119-D23</f>
        <v>45444.515849211253</v>
      </c>
      <c r="E135" s="26">
        <f t="shared" ref="E135:O137" si="42">E119-E23</f>
        <v>-24527.271445111139</v>
      </c>
      <c r="F135" s="26">
        <f t="shared" si="42"/>
        <v>1641.4171578448731</v>
      </c>
      <c r="G135" s="26">
        <f t="shared" si="42"/>
        <v>11023.833773333114</v>
      </c>
      <c r="H135" s="26">
        <f t="shared" si="42"/>
        <v>31592.199304125039</v>
      </c>
      <c r="I135" s="26">
        <f t="shared" si="42"/>
        <v>0</v>
      </c>
      <c r="J135" s="26">
        <f t="shared" si="42"/>
        <v>0</v>
      </c>
      <c r="K135" s="26">
        <f t="shared" si="42"/>
        <v>0</v>
      </c>
      <c r="L135" s="26">
        <f t="shared" si="42"/>
        <v>0</v>
      </c>
      <c r="M135" s="26">
        <f t="shared" si="42"/>
        <v>8100.6771358335391</v>
      </c>
      <c r="N135" s="26">
        <f t="shared" si="42"/>
        <v>37597.343675552635</v>
      </c>
      <c r="O135" s="26">
        <f t="shared" si="42"/>
        <v>46422.523623066954</v>
      </c>
      <c r="P135" s="26">
        <f t="shared" si="41"/>
        <v>157295.23907385627</v>
      </c>
      <c r="Q135" s="26"/>
    </row>
    <row r="136" spans="2:17" s="25" customFormat="1">
      <c r="B136" s="16" t="s">
        <v>78</v>
      </c>
      <c r="C136" s="85" t="s">
        <v>58</v>
      </c>
      <c r="D136" s="26">
        <f>D120-D24</f>
        <v>80658.56942366669</v>
      </c>
      <c r="E136" s="26">
        <f t="shared" si="42"/>
        <v>-31232.019793333253</v>
      </c>
      <c r="F136" s="26">
        <f t="shared" si="42"/>
        <v>2425.8263617502525</v>
      </c>
      <c r="G136" s="26">
        <f t="shared" si="42"/>
        <v>18404.69219416636</v>
      </c>
      <c r="H136" s="26">
        <f t="shared" si="42"/>
        <v>75780.874172666809</v>
      </c>
      <c r="I136" s="26">
        <f t="shared" si="42"/>
        <v>19482.604127250146</v>
      </c>
      <c r="J136" s="26">
        <f t="shared" si="42"/>
        <v>0</v>
      </c>
      <c r="K136" s="26">
        <f t="shared" si="42"/>
        <v>0</v>
      </c>
      <c r="L136" s="26">
        <f t="shared" si="42"/>
        <v>0</v>
      </c>
      <c r="M136" s="26">
        <f t="shared" si="42"/>
        <v>12595.853027083445</v>
      </c>
      <c r="N136" s="26">
        <f t="shared" si="42"/>
        <v>61033.104533499805</v>
      </c>
      <c r="O136" s="26">
        <f t="shared" si="42"/>
        <v>78314.570924333762</v>
      </c>
      <c r="P136" s="26">
        <f t="shared" si="41"/>
        <v>317464.07497108402</v>
      </c>
      <c r="Q136" s="26"/>
    </row>
    <row r="137" spans="2:17" s="25" customFormat="1">
      <c r="B137" s="16" t="s">
        <v>79</v>
      </c>
      <c r="C137" s="85" t="s">
        <v>60</v>
      </c>
      <c r="D137" s="26">
        <f>D121-D25</f>
        <v>141366.42824500031</v>
      </c>
      <c r="E137" s="26">
        <f t="shared" si="42"/>
        <v>-69394.240008332999</v>
      </c>
      <c r="F137" s="26">
        <f t="shared" si="42"/>
        <v>4134.0866233343259</v>
      </c>
      <c r="G137" s="26">
        <f t="shared" si="42"/>
        <v>32708.84475833294</v>
      </c>
      <c r="H137" s="26">
        <f t="shared" si="42"/>
        <v>133235.27574833366</v>
      </c>
      <c r="I137" s="26">
        <f t="shared" si="42"/>
        <v>26218.906560000032</v>
      </c>
      <c r="J137" s="26">
        <f t="shared" si="42"/>
        <v>0</v>
      </c>
      <c r="K137" s="26">
        <f t="shared" si="42"/>
        <v>0</v>
      </c>
      <c r="L137" s="26">
        <f t="shared" si="42"/>
        <v>0</v>
      </c>
      <c r="M137" s="26">
        <f t="shared" si="42"/>
        <v>17235.053750000196</v>
      </c>
      <c r="N137" s="26">
        <f t="shared" si="42"/>
        <v>109398.38130541588</v>
      </c>
      <c r="O137" s="26">
        <f t="shared" si="42"/>
        <v>138715.4677191677</v>
      </c>
      <c r="P137" s="26">
        <f t="shared" si="41"/>
        <v>533618.20470125205</v>
      </c>
      <c r="Q137" s="26"/>
    </row>
    <row r="138" spans="2:17" s="25" customFormat="1">
      <c r="B138" s="25" t="s">
        <v>69</v>
      </c>
      <c r="C138" s="25">
        <v>85</v>
      </c>
      <c r="D138" s="26">
        <f>D122-D14</f>
        <v>129233.93733055564</v>
      </c>
      <c r="E138" s="26">
        <f t="shared" ref="E138:O142" si="43">E122-E14</f>
        <v>-72076.016499999911</v>
      </c>
      <c r="F138" s="26">
        <f t="shared" si="43"/>
        <v>4303.9467701397371</v>
      </c>
      <c r="G138" s="26">
        <f t="shared" si="43"/>
        <v>37253.156462499406</v>
      </c>
      <c r="H138" s="26">
        <f t="shared" si="43"/>
        <v>128266.94107222243</v>
      </c>
      <c r="I138" s="26">
        <f t="shared" si="43"/>
        <v>0</v>
      </c>
      <c r="J138" s="26">
        <f t="shared" si="43"/>
        <v>0</v>
      </c>
      <c r="K138" s="26">
        <f t="shared" si="43"/>
        <v>0</v>
      </c>
      <c r="L138" s="26">
        <f t="shared" si="43"/>
        <v>0</v>
      </c>
      <c r="M138" s="26">
        <f t="shared" si="43"/>
        <v>19917.62490000017</v>
      </c>
      <c r="N138" s="26">
        <f t="shared" si="43"/>
        <v>102330.50444299914</v>
      </c>
      <c r="O138" s="26">
        <f t="shared" si="43"/>
        <v>116741.91817066725</v>
      </c>
      <c r="P138" s="26">
        <f t="shared" si="41"/>
        <v>465972.01264908386</v>
      </c>
      <c r="Q138" s="26"/>
    </row>
    <row r="139" spans="2:17" s="25" customFormat="1">
      <c r="B139" s="25" t="s">
        <v>70</v>
      </c>
      <c r="C139" s="25">
        <v>86</v>
      </c>
      <c r="D139" s="26">
        <f>D123-D15</f>
        <v>132309.34486890025</v>
      </c>
      <c r="E139" s="26">
        <f t="shared" si="43"/>
        <v>-78143.672164583229</v>
      </c>
      <c r="F139" s="26">
        <f t="shared" si="43"/>
        <v>4525.6234760009684</v>
      </c>
      <c r="G139" s="26">
        <f t="shared" si="43"/>
        <v>38802.506890032557</v>
      </c>
      <c r="H139" s="26">
        <f t="shared" si="43"/>
        <v>149640.25573361979</v>
      </c>
      <c r="I139" s="26">
        <f t="shared" si="43"/>
        <v>33843.728243325022</v>
      </c>
      <c r="J139" s="26">
        <f t="shared" si="43"/>
        <v>0</v>
      </c>
      <c r="K139" s="26">
        <f t="shared" si="43"/>
        <v>0</v>
      </c>
      <c r="L139" s="26">
        <f t="shared" si="43"/>
        <v>16896.649464749557</v>
      </c>
      <c r="M139" s="26">
        <f t="shared" si="43"/>
        <v>24013.98897638917</v>
      </c>
      <c r="N139" s="26">
        <f t="shared" si="43"/>
        <v>116589.30882535351</v>
      </c>
      <c r="O139" s="26">
        <f t="shared" si="43"/>
        <v>120442.8017479924</v>
      </c>
      <c r="P139" s="26">
        <f t="shared" si="41"/>
        <v>558920.53606178006</v>
      </c>
      <c r="Q139" s="26"/>
    </row>
    <row r="140" spans="2:17" s="25" customFormat="1">
      <c r="B140" s="25" t="s">
        <v>90</v>
      </c>
      <c r="C140" s="25">
        <v>87</v>
      </c>
      <c r="D140" s="26">
        <f>D124-D16</f>
        <v>172819.80504722288</v>
      </c>
      <c r="E140" s="26">
        <f t="shared" si="43"/>
        <v>-86736.336833333131</v>
      </c>
      <c r="F140" s="26">
        <f t="shared" si="43"/>
        <v>5157.8219916676171</v>
      </c>
      <c r="G140" s="26">
        <f t="shared" si="43"/>
        <v>44123.510505554499</v>
      </c>
      <c r="H140" s="26">
        <f t="shared" si="43"/>
        <v>150250.33592777792</v>
      </c>
      <c r="I140" s="26">
        <f t="shared" si="43"/>
        <v>0</v>
      </c>
      <c r="J140" s="26">
        <f t="shared" si="43"/>
        <v>0</v>
      </c>
      <c r="K140" s="26">
        <f t="shared" si="43"/>
        <v>0</v>
      </c>
      <c r="L140" s="26">
        <f t="shared" si="43"/>
        <v>0</v>
      </c>
      <c r="M140" s="26">
        <f t="shared" si="43"/>
        <v>25771.277083333582</v>
      </c>
      <c r="N140" s="26">
        <f t="shared" si="43"/>
        <v>140515.02678263793</v>
      </c>
      <c r="O140" s="26">
        <f t="shared" si="43"/>
        <v>166581.36799583444</v>
      </c>
      <c r="P140" s="26">
        <f t="shared" si="41"/>
        <v>618482.80850069574</v>
      </c>
      <c r="Q140" s="26"/>
    </row>
    <row r="141" spans="2:17" s="25" customFormat="1">
      <c r="B141" s="25" t="s">
        <v>72</v>
      </c>
      <c r="C141" s="25">
        <v>31</v>
      </c>
      <c r="D141" s="26">
        <f>D125-D17</f>
        <v>217679.60803080047</v>
      </c>
      <c r="E141" s="26">
        <f t="shared" si="43"/>
        <v>-120403.94461533311</v>
      </c>
      <c r="F141" s="26">
        <f t="shared" si="43"/>
        <v>6206.1090671569109</v>
      </c>
      <c r="G141" s="26">
        <f t="shared" si="43"/>
        <v>43603.642111332621</v>
      </c>
      <c r="H141" s="26">
        <f t="shared" si="43"/>
        <v>128274.92333634465</v>
      </c>
      <c r="I141" s="26">
        <f t="shared" si="43"/>
        <v>22525.732741874992</v>
      </c>
      <c r="J141" s="26">
        <f t="shared" si="43"/>
        <v>0</v>
      </c>
      <c r="K141" s="26">
        <f t="shared" si="43"/>
        <v>0</v>
      </c>
      <c r="L141" s="26">
        <f t="shared" si="43"/>
        <v>16234.424348124536</v>
      </c>
      <c r="M141" s="26">
        <f t="shared" si="43"/>
        <v>27160.521548125311</v>
      </c>
      <c r="N141" s="26">
        <f t="shared" si="43"/>
        <v>169492.18826476973</v>
      </c>
      <c r="O141" s="26">
        <f t="shared" si="43"/>
        <v>206750.8518146011</v>
      </c>
      <c r="P141" s="26">
        <f t="shared" si="41"/>
        <v>717524.05664779723</v>
      </c>
      <c r="Q141" s="26"/>
    </row>
    <row r="142" spans="2:17" s="25" customFormat="1">
      <c r="B142" s="25" t="s">
        <v>73</v>
      </c>
      <c r="C142" s="25">
        <v>41</v>
      </c>
      <c r="D142" s="26">
        <f>D126-D18</f>
        <v>32848.186753811315</v>
      </c>
      <c r="E142" s="26">
        <f t="shared" si="43"/>
        <v>-15047.679412694415</v>
      </c>
      <c r="F142" s="26">
        <f t="shared" si="43"/>
        <v>1294.3416296557989</v>
      </c>
      <c r="G142" s="26">
        <f t="shared" si="43"/>
        <v>8190.5620983999688</v>
      </c>
      <c r="H142" s="26">
        <f t="shared" si="43"/>
        <v>27078.713706450071</v>
      </c>
      <c r="I142" s="26">
        <f t="shared" si="43"/>
        <v>0</v>
      </c>
      <c r="J142" s="26">
        <f t="shared" si="43"/>
        <v>0</v>
      </c>
      <c r="K142" s="26">
        <f t="shared" si="43"/>
        <v>0</v>
      </c>
      <c r="L142" s="26">
        <f t="shared" si="43"/>
        <v>0</v>
      </c>
      <c r="M142" s="26">
        <f t="shared" si="43"/>
        <v>6819.2279213195434</v>
      </c>
      <c r="N142" s="26">
        <f t="shared" si="43"/>
        <v>27064.753521692241</v>
      </c>
      <c r="O142" s="26">
        <f t="shared" si="43"/>
        <v>28593.592877200106</v>
      </c>
      <c r="P142" s="26">
        <f t="shared" si="41"/>
        <v>116841.69909583463</v>
      </c>
      <c r="Q142" s="26"/>
    </row>
    <row r="143" spans="2:17" s="25" customFormat="1">
      <c r="B143" s="25" t="s">
        <v>294</v>
      </c>
      <c r="C143" s="82" t="s">
        <v>160</v>
      </c>
      <c r="D143" s="26">
        <f t="shared" ref="D143:O143" si="44">D127-D26</f>
        <v>96.832565850000265</v>
      </c>
      <c r="E143" s="26">
        <f t="shared" si="44"/>
        <v>-53.560473583333078</v>
      </c>
      <c r="F143" s="26">
        <f t="shared" si="44"/>
        <v>2.7558210777783643</v>
      </c>
      <c r="G143" s="26">
        <f t="shared" si="44"/>
        <v>19.422557733332951</v>
      </c>
      <c r="H143" s="26">
        <f t="shared" si="44"/>
        <v>57.214506394444584</v>
      </c>
      <c r="I143" s="26">
        <f t="shared" si="44"/>
        <v>10.078627625000006</v>
      </c>
      <c r="J143" s="26">
        <f t="shared" si="44"/>
        <v>0</v>
      </c>
      <c r="K143" s="26">
        <f t="shared" si="44"/>
        <v>0</v>
      </c>
      <c r="L143" s="26">
        <f t="shared" si="44"/>
        <v>0</v>
      </c>
      <c r="M143" s="26">
        <f t="shared" si="44"/>
        <v>0</v>
      </c>
      <c r="N143" s="26">
        <f t="shared" si="44"/>
        <v>0</v>
      </c>
      <c r="O143" s="26">
        <f t="shared" si="44"/>
        <v>0</v>
      </c>
      <c r="P143" s="26">
        <f t="shared" si="41"/>
        <v>132.74360509722308</v>
      </c>
      <c r="Q143" s="26"/>
    </row>
    <row r="144" spans="2:17" s="24" customFormat="1" ht="15">
      <c r="B144" s="24" t="s">
        <v>84</v>
      </c>
      <c r="C144" s="387" t="s">
        <v>140</v>
      </c>
      <c r="D144" s="22">
        <f t="shared" ref="D144:O144" si="45">D128-D31</f>
        <v>346170.63681111159</v>
      </c>
      <c r="E144" s="22">
        <f t="shared" si="45"/>
        <v>-190798.38043055497</v>
      </c>
      <c r="F144" s="22">
        <f t="shared" si="45"/>
        <v>11139.555288891308</v>
      </c>
      <c r="G144" s="22">
        <f t="shared" si="45"/>
        <v>96675.693399997894</v>
      </c>
      <c r="H144" s="22">
        <f t="shared" si="45"/>
        <v>352801.09534722241</v>
      </c>
      <c r="I144" s="22">
        <f t="shared" si="45"/>
        <v>91507.601900000125</v>
      </c>
      <c r="J144" s="22">
        <f t="shared" si="45"/>
        <v>0</v>
      </c>
      <c r="K144" s="22">
        <f t="shared" si="45"/>
        <v>0</v>
      </c>
      <c r="L144" s="22">
        <f t="shared" si="45"/>
        <v>38491.482898610178</v>
      </c>
      <c r="M144" s="22">
        <f t="shared" si="45"/>
        <v>59848.250416667201</v>
      </c>
      <c r="N144" s="22">
        <f t="shared" si="45"/>
        <v>295126.66662916495</v>
      </c>
      <c r="O144" s="22">
        <f t="shared" si="45"/>
        <v>307047.50215277961</v>
      </c>
      <c r="P144" s="86">
        <f t="shared" si="41"/>
        <v>1408010.1044138903</v>
      </c>
      <c r="Q144" s="22"/>
    </row>
    <row r="145" spans="2:18" s="25" customFormat="1">
      <c r="B145" s="25" t="s">
        <v>101</v>
      </c>
      <c r="C145" s="82"/>
      <c r="D145" s="87">
        <f t="shared" ref="D145:O145" si="46">SUM(D132:D144)</f>
        <v>14912628.854279371</v>
      </c>
      <c r="E145" s="87">
        <f t="shared" si="46"/>
        <v>-8243993.1126191942</v>
      </c>
      <c r="F145" s="87">
        <f t="shared" si="46"/>
        <v>436539.78510621324</v>
      </c>
      <c r="G145" s="87">
        <f t="shared" si="46"/>
        <v>3324657.3915896574</v>
      </c>
      <c r="H145" s="87">
        <f t="shared" si="46"/>
        <v>10431750.380988698</v>
      </c>
      <c r="I145" s="87">
        <f t="shared" si="46"/>
        <v>1740741.5086184754</v>
      </c>
      <c r="J145" s="87">
        <f t="shared" si="46"/>
        <v>0</v>
      </c>
      <c r="K145" s="87">
        <f t="shared" si="46"/>
        <v>0</v>
      </c>
      <c r="L145" s="87">
        <f t="shared" si="46"/>
        <v>1069377.344673967</v>
      </c>
      <c r="M145" s="87">
        <f t="shared" si="46"/>
        <v>2162220.381141623</v>
      </c>
      <c r="N145" s="87">
        <f t="shared" si="46"/>
        <v>12829497.755888429</v>
      </c>
      <c r="O145" s="87">
        <f t="shared" si="46"/>
        <v>14701103.649402278</v>
      </c>
      <c r="P145" s="26">
        <f t="shared" si="41"/>
        <v>53364523.93906951</v>
      </c>
      <c r="Q145" s="22"/>
    </row>
    <row r="146" spans="2:18" s="25" customFormat="1">
      <c r="B146" s="25" t="s">
        <v>102</v>
      </c>
      <c r="C146" s="82"/>
      <c r="D146" s="11">
        <f t="shared" ref="D146:P146" si="47">IFERROR(D145/D32,0)</f>
        <v>9.9855609245049992E-2</v>
      </c>
      <c r="E146" s="11">
        <f t="shared" si="47"/>
        <v>-5.7501948272620784E-2</v>
      </c>
      <c r="F146" s="11">
        <f t="shared" si="47"/>
        <v>3.177380305046152E-3</v>
      </c>
      <c r="G146" s="11">
        <f t="shared" si="47"/>
        <v>3.4753170626418209E-2</v>
      </c>
      <c r="H146" s="11">
        <f t="shared" si="47"/>
        <v>0.1716744835376886</v>
      </c>
      <c r="I146" s="11">
        <f t="shared" si="47"/>
        <v>3.4481134339842547E-2</v>
      </c>
      <c r="J146" s="11">
        <f t="shared" si="47"/>
        <v>0</v>
      </c>
      <c r="K146" s="11">
        <f t="shared" si="47"/>
        <v>0</v>
      </c>
      <c r="L146" s="11">
        <f t="shared" si="47"/>
        <v>1.9648880443583146E-2</v>
      </c>
      <c r="M146" s="11">
        <f t="shared" si="47"/>
        <v>2.4860291971818604E-2</v>
      </c>
      <c r="N146" s="11">
        <f t="shared" si="47"/>
        <v>0.1075754500906079</v>
      </c>
      <c r="O146" s="11">
        <f t="shared" si="47"/>
        <v>9.9153035314444263E-2</v>
      </c>
      <c r="P146" s="11">
        <f t="shared" si="47"/>
        <v>4.7004647629739965E-2</v>
      </c>
      <c r="Q146" s="2"/>
    </row>
    <row r="147" spans="2:18" s="25" customFormat="1">
      <c r="C147" s="8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8" s="25" customFormat="1">
      <c r="B148" s="91" t="s">
        <v>103</v>
      </c>
      <c r="C148" s="8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8" s="25" customFormat="1">
      <c r="B149" s="25" t="s">
        <v>104</v>
      </c>
      <c r="C149" s="82"/>
      <c r="D149" s="101">
        <v>16245071.132224679</v>
      </c>
      <c r="E149" s="101">
        <v>-10094133.903440788</v>
      </c>
      <c r="F149" s="101">
        <v>630373.3332798481</v>
      </c>
      <c r="G149" s="101">
        <v>3139156.0031094402</v>
      </c>
      <c r="H149" s="101">
        <v>8688222.5962853134</v>
      </c>
      <c r="I149" s="101">
        <v>1709352.0919530019</v>
      </c>
      <c r="J149" s="101">
        <v>0</v>
      </c>
      <c r="K149" s="101">
        <v>0</v>
      </c>
      <c r="L149" s="101">
        <v>1067915.4227778688</v>
      </c>
      <c r="M149" s="101">
        <v>2175033.5573171079</v>
      </c>
      <c r="N149" s="101">
        <v>14656763.599435285</v>
      </c>
      <c r="O149" s="101">
        <v>15822092.234883398</v>
      </c>
      <c r="P149" s="26">
        <f>SUM(D149:O149)</f>
        <v>54039846.067825153</v>
      </c>
      <c r="Q149" s="26"/>
    </row>
    <row r="150" spans="2:18" s="25" customFormat="1">
      <c r="B150" s="25" t="s">
        <v>61</v>
      </c>
      <c r="C150" s="82"/>
      <c r="D150" s="101">
        <v>236312.47551807761</v>
      </c>
      <c r="E150" s="101">
        <v>-142539.83520227671</v>
      </c>
      <c r="F150" s="101">
        <v>5630.268187135458</v>
      </c>
      <c r="G150" s="101">
        <v>22930.327251821756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24555.848958472256</v>
      </c>
      <c r="N150" s="101">
        <v>48593.865574755706</v>
      </c>
      <c r="O150" s="101">
        <v>0</v>
      </c>
      <c r="P150" s="26">
        <f>SUM(D150:O150)</f>
        <v>195482.95028798608</v>
      </c>
      <c r="Q150" s="26"/>
    </row>
    <row r="151" spans="2:18" s="25" customFormat="1">
      <c r="B151" s="25" t="s">
        <v>62</v>
      </c>
      <c r="C151" s="82"/>
      <c r="D151" s="101">
        <v>728746.42588699982</v>
      </c>
      <c r="E151" s="101">
        <v>-409771.28147083148</v>
      </c>
      <c r="F151" s="101">
        <v>12863.452807337046</v>
      </c>
      <c r="G151" s="101">
        <v>180403.77861916646</v>
      </c>
      <c r="H151" s="101">
        <v>488124.25953488797</v>
      </c>
      <c r="I151" s="101">
        <v>130561.97256299853</v>
      </c>
      <c r="J151" s="101">
        <v>0</v>
      </c>
      <c r="K151" s="101">
        <v>0</v>
      </c>
      <c r="L151" s="101">
        <v>76403.046457555145</v>
      </c>
      <c r="M151" s="101">
        <v>79407.407077778131</v>
      </c>
      <c r="N151" s="101">
        <v>703675.8156241551</v>
      </c>
      <c r="O151" s="101">
        <v>458214.37069199979</v>
      </c>
      <c r="P151" s="26">
        <f>SUM(D151:O151)</f>
        <v>2448629.2477920465</v>
      </c>
      <c r="Q151" s="26"/>
    </row>
    <row r="152" spans="2:18" s="25" customFormat="1">
      <c r="B152" s="25" t="s">
        <v>101</v>
      </c>
      <c r="C152" s="82"/>
      <c r="D152" s="87">
        <f t="shared" ref="D152:P152" si="48">SUM(D149:D151)</f>
        <v>17210130.033629756</v>
      </c>
      <c r="E152" s="87">
        <f t="shared" si="48"/>
        <v>-10646445.020113897</v>
      </c>
      <c r="F152" s="87">
        <f t="shared" si="48"/>
        <v>648867.0542743206</v>
      </c>
      <c r="G152" s="87">
        <f t="shared" si="48"/>
        <v>3342490.1089804284</v>
      </c>
      <c r="H152" s="87">
        <f t="shared" si="48"/>
        <v>9176346.8558202013</v>
      </c>
      <c r="I152" s="87">
        <f t="shared" si="48"/>
        <v>1839914.0645160004</v>
      </c>
      <c r="J152" s="87">
        <f t="shared" si="48"/>
        <v>0</v>
      </c>
      <c r="K152" s="87">
        <f t="shared" si="48"/>
        <v>0</v>
      </c>
      <c r="L152" s="87">
        <f t="shared" si="48"/>
        <v>1144318.469235424</v>
      </c>
      <c r="M152" s="87">
        <f t="shared" si="48"/>
        <v>2278996.8133533583</v>
      </c>
      <c r="N152" s="87">
        <f t="shared" si="48"/>
        <v>15409033.280634195</v>
      </c>
      <c r="O152" s="87">
        <f>SUM(O149:O151)</f>
        <v>16280306.605575398</v>
      </c>
      <c r="P152" s="87">
        <f t="shared" si="48"/>
        <v>56683958.265905187</v>
      </c>
      <c r="Q152" s="22"/>
    </row>
    <row r="153" spans="2:18" s="25" customFormat="1">
      <c r="C153" s="8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8" s="25" customFormat="1">
      <c r="B154" s="91" t="s">
        <v>105</v>
      </c>
      <c r="C154" s="8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8" s="25" customFormat="1">
      <c r="B155" s="25" t="s">
        <v>0</v>
      </c>
      <c r="C155" s="82">
        <v>23</v>
      </c>
      <c r="D155" s="26">
        <f>ROUND(IF(SUM(D$132:D$134,D$141:D$142)&lt;&gt;0,D$149*D132/SUM(D$132:D$134,D$141:D$142),0),0)</f>
        <v>12126683</v>
      </c>
      <c r="E155" s="26">
        <f t="shared" ref="E155:O155" si="49">ROUND(IF(SUM(E$132:E$134,E$141:E$142)&lt;&gt;0,E$149*E132/SUM(E$132:E$134,E$141:E$142),0),0)</f>
        <v>-7614772</v>
      </c>
      <c r="F155" s="26">
        <f t="shared" si="49"/>
        <v>473028</v>
      </c>
      <c r="G155" s="26">
        <f t="shared" si="49"/>
        <v>2407991</v>
      </c>
      <c r="H155" s="26">
        <f t="shared" si="49"/>
        <v>6809472</v>
      </c>
      <c r="I155" s="26">
        <f t="shared" si="49"/>
        <v>1560235</v>
      </c>
      <c r="J155" s="26">
        <f t="shared" si="49"/>
        <v>0</v>
      </c>
      <c r="K155" s="26">
        <f t="shared" si="49"/>
        <v>0</v>
      </c>
      <c r="L155" s="26">
        <f t="shared" si="49"/>
        <v>1001702</v>
      </c>
      <c r="M155" s="26">
        <f t="shared" si="49"/>
        <v>1715731</v>
      </c>
      <c r="N155" s="26">
        <f t="shared" si="49"/>
        <v>11224034</v>
      </c>
      <c r="O155" s="26">
        <f t="shared" si="49"/>
        <v>11883254</v>
      </c>
      <c r="P155" s="26">
        <f t="shared" ref="P155:P167" si="50">SUM(D155:O155)</f>
        <v>41587358</v>
      </c>
      <c r="Q155" s="26"/>
      <c r="R155" s="84"/>
    </row>
    <row r="156" spans="2:18" s="25" customFormat="1">
      <c r="B156" s="25" t="s">
        <v>67</v>
      </c>
      <c r="C156" s="82">
        <v>31</v>
      </c>
      <c r="D156" s="26">
        <f t="shared" ref="D156:O157" si="51">ROUND(IF(SUM(D$132:D$134,D$141:D$142)&lt;&gt;0,D$149*D133/SUM(D$132:D$134,D$141:D$142),0),0)</f>
        <v>3193500</v>
      </c>
      <c r="E156" s="26">
        <f t="shared" si="51"/>
        <v>-1917817</v>
      </c>
      <c r="F156" s="26">
        <f t="shared" si="51"/>
        <v>118675</v>
      </c>
      <c r="G156" s="26">
        <f t="shared" si="51"/>
        <v>540598</v>
      </c>
      <c r="H156" s="26">
        <f t="shared" si="51"/>
        <v>1279631</v>
      </c>
      <c r="I156" s="26">
        <f t="shared" si="51"/>
        <v>0</v>
      </c>
      <c r="J156" s="26">
        <f t="shared" si="51"/>
        <v>0</v>
      </c>
      <c r="K156" s="26">
        <f t="shared" si="51"/>
        <v>0</v>
      </c>
      <c r="L156" s="26">
        <f t="shared" si="51"/>
        <v>0</v>
      </c>
      <c r="M156" s="26">
        <f t="shared" si="51"/>
        <v>333915</v>
      </c>
      <c r="N156" s="26">
        <f t="shared" si="51"/>
        <v>2648148</v>
      </c>
      <c r="O156" s="26">
        <f t="shared" si="51"/>
        <v>3083973</v>
      </c>
      <c r="P156" s="26">
        <f t="shared" si="50"/>
        <v>9280623</v>
      </c>
      <c r="Q156" s="26"/>
    </row>
    <row r="157" spans="2:18" s="25" customFormat="1">
      <c r="B157" s="25" t="s">
        <v>68</v>
      </c>
      <c r="C157" s="25">
        <v>41</v>
      </c>
      <c r="D157" s="26">
        <f t="shared" si="51"/>
        <v>631345</v>
      </c>
      <c r="E157" s="26">
        <f t="shared" si="51"/>
        <v>-383771</v>
      </c>
      <c r="F157" s="26">
        <f t="shared" si="51"/>
        <v>26945</v>
      </c>
      <c r="G157" s="26">
        <f t="shared" si="51"/>
        <v>137182</v>
      </c>
      <c r="H157" s="26">
        <f t="shared" si="51"/>
        <v>455684</v>
      </c>
      <c r="I157" s="26">
        <f t="shared" si="51"/>
        <v>124587</v>
      </c>
      <c r="J157" s="26">
        <f t="shared" si="51"/>
        <v>0</v>
      </c>
      <c r="K157" s="26">
        <f t="shared" si="51"/>
        <v>0</v>
      </c>
      <c r="L157" s="26">
        <f t="shared" si="51"/>
        <v>49115</v>
      </c>
      <c r="M157" s="26">
        <f t="shared" si="51"/>
        <v>88337</v>
      </c>
      <c r="N157" s="26">
        <f t="shared" si="51"/>
        <v>543844</v>
      </c>
      <c r="O157" s="26">
        <f t="shared" si="51"/>
        <v>583598</v>
      </c>
      <c r="P157" s="26">
        <f>SUM(D157:O157)</f>
        <v>2256866</v>
      </c>
      <c r="Q157" s="26"/>
    </row>
    <row r="158" spans="2:18" s="25" customFormat="1">
      <c r="B158" s="25" t="s">
        <v>77</v>
      </c>
      <c r="C158" s="82" t="s">
        <v>57</v>
      </c>
      <c r="D158" s="26">
        <f>ROUND(IF(SUM(D$135:D$137,D$143:D$144)&lt;&gt;0,D$151*D135/SUM(D$135:D$137,D$143:D$144),0),0)</f>
        <v>53960</v>
      </c>
      <c r="E158" s="26">
        <f t="shared" ref="E158:O160" si="52">ROUND(IF(SUM(E$135:E$137,E$143:E$144)&lt;&gt;0,E$151*E135/SUM(E$135:E$137,E$143:E$144),0),0)</f>
        <v>-31805</v>
      </c>
      <c r="F158" s="26">
        <f t="shared" si="52"/>
        <v>1092</v>
      </c>
      <c r="G158" s="26">
        <f t="shared" si="52"/>
        <v>12521</v>
      </c>
      <c r="H158" s="26">
        <f t="shared" si="52"/>
        <v>25984</v>
      </c>
      <c r="I158" s="26">
        <f t="shared" si="52"/>
        <v>0</v>
      </c>
      <c r="J158" s="26">
        <f t="shared" si="52"/>
        <v>0</v>
      </c>
      <c r="K158" s="26">
        <f t="shared" si="52"/>
        <v>0</v>
      </c>
      <c r="L158" s="26">
        <f t="shared" si="52"/>
        <v>0</v>
      </c>
      <c r="M158" s="26">
        <f t="shared" si="52"/>
        <v>6579</v>
      </c>
      <c r="N158" s="26">
        <f t="shared" si="52"/>
        <v>52581</v>
      </c>
      <c r="O158" s="26">
        <f t="shared" si="52"/>
        <v>37286</v>
      </c>
      <c r="P158" s="26">
        <f t="shared" ref="P158:P160" si="53">SUM(D158:O158)</f>
        <v>158198</v>
      </c>
      <c r="Q158" s="26"/>
    </row>
    <row r="159" spans="2:18" s="25" customFormat="1">
      <c r="B159" s="25" t="s">
        <v>78</v>
      </c>
      <c r="C159" s="82" t="s">
        <v>58</v>
      </c>
      <c r="D159" s="26">
        <f>ROUND(IF(SUM(D$135:D$137,D$143:D$144)&lt;&gt;0,D$151*D136/SUM(D$135:D$137,D$143:D$144),0),0)</f>
        <v>95773</v>
      </c>
      <c r="E159" s="26">
        <f t="shared" si="52"/>
        <v>-40499</v>
      </c>
      <c r="F159" s="26">
        <f t="shared" si="52"/>
        <v>1613</v>
      </c>
      <c r="G159" s="26">
        <f t="shared" si="52"/>
        <v>20904</v>
      </c>
      <c r="H159" s="26">
        <f t="shared" si="52"/>
        <v>62330</v>
      </c>
      <c r="I159" s="26">
        <f t="shared" si="52"/>
        <v>18537</v>
      </c>
      <c r="J159" s="26">
        <f t="shared" si="52"/>
        <v>0</v>
      </c>
      <c r="K159" s="26">
        <f t="shared" si="52"/>
        <v>0</v>
      </c>
      <c r="L159" s="26">
        <f t="shared" si="52"/>
        <v>0</v>
      </c>
      <c r="M159" s="26">
        <f t="shared" si="52"/>
        <v>10229</v>
      </c>
      <c r="N159" s="26">
        <f t="shared" si="52"/>
        <v>85356</v>
      </c>
      <c r="O159" s="26">
        <f t="shared" si="52"/>
        <v>62901</v>
      </c>
      <c r="P159" s="26">
        <f>SUM(D159:O159)</f>
        <v>317144</v>
      </c>
      <c r="Q159" s="26"/>
    </row>
    <row r="160" spans="2:18" s="25" customFormat="1">
      <c r="B160" s="25" t="s">
        <v>79</v>
      </c>
      <c r="C160" s="82" t="s">
        <v>60</v>
      </c>
      <c r="D160" s="26">
        <f>ROUND(IF(SUM(D$135:D$137,D$143:D$144)&lt;&gt;0,D$151*D137/SUM(D$135:D$137,D$143:D$144),0),0)</f>
        <v>167857</v>
      </c>
      <c r="E160" s="26">
        <f t="shared" si="52"/>
        <v>-89985</v>
      </c>
      <c r="F160" s="26">
        <f t="shared" si="52"/>
        <v>2749</v>
      </c>
      <c r="G160" s="26">
        <f t="shared" si="52"/>
        <v>37151</v>
      </c>
      <c r="H160" s="26">
        <f t="shared" si="52"/>
        <v>109586</v>
      </c>
      <c r="I160" s="26">
        <f t="shared" si="52"/>
        <v>24947</v>
      </c>
      <c r="J160" s="26">
        <f t="shared" si="52"/>
        <v>0</v>
      </c>
      <c r="K160" s="26">
        <f t="shared" si="52"/>
        <v>0</v>
      </c>
      <c r="L160" s="26">
        <f t="shared" si="52"/>
        <v>0</v>
      </c>
      <c r="M160" s="26">
        <f t="shared" si="52"/>
        <v>13997</v>
      </c>
      <c r="N160" s="26">
        <f t="shared" si="52"/>
        <v>152996</v>
      </c>
      <c r="O160" s="26">
        <f t="shared" si="52"/>
        <v>111414</v>
      </c>
      <c r="P160" s="26">
        <f t="shared" si="53"/>
        <v>530712</v>
      </c>
      <c r="Q160" s="26"/>
    </row>
    <row r="161" spans="2:17" s="25" customFormat="1">
      <c r="B161" s="25" t="s">
        <v>69</v>
      </c>
      <c r="C161" s="25">
        <v>85</v>
      </c>
      <c r="D161" s="26">
        <f t="shared" ref="D161:O161" si="54">ROUND(IF(SUM(D$138:D$140)&lt;&gt;0,D$150*D138/SUM(D$138:D$140),0),0)</f>
        <v>70309</v>
      </c>
      <c r="E161" s="26">
        <f t="shared" si="54"/>
        <v>-43357</v>
      </c>
      <c r="F161" s="26">
        <f t="shared" si="54"/>
        <v>1732</v>
      </c>
      <c r="G161" s="26">
        <f t="shared" si="54"/>
        <v>7108</v>
      </c>
      <c r="H161" s="26">
        <f t="shared" si="54"/>
        <v>0</v>
      </c>
      <c r="I161" s="26">
        <f t="shared" si="54"/>
        <v>0</v>
      </c>
      <c r="J161" s="26">
        <f t="shared" si="54"/>
        <v>0</v>
      </c>
      <c r="K161" s="26">
        <f t="shared" si="54"/>
        <v>0</v>
      </c>
      <c r="L161" s="26">
        <f t="shared" si="54"/>
        <v>0</v>
      </c>
      <c r="M161" s="26">
        <f t="shared" si="54"/>
        <v>7017</v>
      </c>
      <c r="N161" s="26">
        <f t="shared" si="54"/>
        <v>13835</v>
      </c>
      <c r="O161" s="26">
        <f t="shared" si="54"/>
        <v>0</v>
      </c>
      <c r="P161" s="26">
        <f t="shared" si="50"/>
        <v>56644</v>
      </c>
      <c r="Q161" s="26"/>
    </row>
    <row r="162" spans="2:17" s="25" customFormat="1">
      <c r="B162" s="25" t="s">
        <v>70</v>
      </c>
      <c r="C162" s="25">
        <v>86</v>
      </c>
      <c r="D162" s="26">
        <f t="shared" ref="D162:O163" si="55">ROUND(IF(SUM(D$138:D$140)&lt;&gt;0,D$150*D139/SUM(D$138:D$140),0),0)</f>
        <v>71982</v>
      </c>
      <c r="E162" s="26">
        <f t="shared" si="55"/>
        <v>-47007</v>
      </c>
      <c r="F162" s="26">
        <f t="shared" si="55"/>
        <v>1822</v>
      </c>
      <c r="G162" s="26">
        <f t="shared" si="55"/>
        <v>7404</v>
      </c>
      <c r="H162" s="26">
        <f t="shared" si="55"/>
        <v>0</v>
      </c>
      <c r="I162" s="26">
        <f t="shared" si="55"/>
        <v>0</v>
      </c>
      <c r="J162" s="26">
        <f t="shared" si="55"/>
        <v>0</v>
      </c>
      <c r="K162" s="26">
        <f t="shared" si="55"/>
        <v>0</v>
      </c>
      <c r="L162" s="26">
        <f t="shared" si="55"/>
        <v>0</v>
      </c>
      <c r="M162" s="26">
        <f t="shared" si="55"/>
        <v>8460</v>
      </c>
      <c r="N162" s="26">
        <f t="shared" si="55"/>
        <v>15762</v>
      </c>
      <c r="O162" s="26">
        <f t="shared" si="55"/>
        <v>0</v>
      </c>
      <c r="P162" s="26">
        <f t="shared" si="50"/>
        <v>58423</v>
      </c>
      <c r="Q162" s="26"/>
    </row>
    <row r="163" spans="2:17" s="25" customFormat="1">
      <c r="B163" s="25" t="s">
        <v>90</v>
      </c>
      <c r="C163" s="25">
        <v>87</v>
      </c>
      <c r="D163" s="26">
        <f t="shared" si="55"/>
        <v>94022</v>
      </c>
      <c r="E163" s="26">
        <f t="shared" si="55"/>
        <v>-52176</v>
      </c>
      <c r="F163" s="26">
        <f t="shared" si="55"/>
        <v>2076</v>
      </c>
      <c r="G163" s="26">
        <f t="shared" si="55"/>
        <v>8419</v>
      </c>
      <c r="H163" s="26">
        <f t="shared" si="55"/>
        <v>0</v>
      </c>
      <c r="I163" s="26">
        <f t="shared" si="55"/>
        <v>0</v>
      </c>
      <c r="J163" s="26">
        <f t="shared" si="55"/>
        <v>0</v>
      </c>
      <c r="K163" s="26">
        <f t="shared" si="55"/>
        <v>0</v>
      </c>
      <c r="L163" s="26">
        <f t="shared" si="55"/>
        <v>0</v>
      </c>
      <c r="M163" s="26">
        <f t="shared" si="55"/>
        <v>9079</v>
      </c>
      <c r="N163" s="26">
        <f t="shared" si="55"/>
        <v>18997</v>
      </c>
      <c r="O163" s="26">
        <f t="shared" si="55"/>
        <v>0</v>
      </c>
      <c r="P163" s="26">
        <f t="shared" si="50"/>
        <v>80417</v>
      </c>
      <c r="Q163" s="26"/>
    </row>
    <row r="164" spans="2:17" s="25" customFormat="1">
      <c r="B164" s="25" t="s">
        <v>72</v>
      </c>
      <c r="C164" s="25">
        <v>31</v>
      </c>
      <c r="D164" s="26">
        <f t="shared" ref="D164:O165" si="56">ROUND(IF(SUM(D$132:D$134,D$141:D$142)&lt;&gt;0,D$149*D141/SUM(D$132:D$134,D$141:D$142),0),0)</f>
        <v>255055</v>
      </c>
      <c r="E164" s="26">
        <f t="shared" si="56"/>
        <v>-158025</v>
      </c>
      <c r="F164" s="26">
        <f t="shared" si="56"/>
        <v>9703</v>
      </c>
      <c r="G164" s="26">
        <f t="shared" si="56"/>
        <v>44942</v>
      </c>
      <c r="H164" s="26">
        <f t="shared" si="56"/>
        <v>118434</v>
      </c>
      <c r="I164" s="26">
        <f t="shared" si="56"/>
        <v>24530</v>
      </c>
      <c r="J164" s="26">
        <f t="shared" si="56"/>
        <v>0</v>
      </c>
      <c r="K164" s="26">
        <f t="shared" si="56"/>
        <v>0</v>
      </c>
      <c r="L164" s="26">
        <f t="shared" si="56"/>
        <v>17098</v>
      </c>
      <c r="M164" s="26">
        <f t="shared" si="56"/>
        <v>29615</v>
      </c>
      <c r="N164" s="26">
        <f t="shared" si="56"/>
        <v>207590</v>
      </c>
      <c r="O164" s="26">
        <f t="shared" si="56"/>
        <v>238309</v>
      </c>
      <c r="P164" s="26">
        <f t="shared" si="50"/>
        <v>787251</v>
      </c>
      <c r="Q164" s="26"/>
    </row>
    <row r="165" spans="2:17" s="25" customFormat="1">
      <c r="B165" s="25" t="s">
        <v>73</v>
      </c>
      <c r="C165" s="25">
        <v>41</v>
      </c>
      <c r="D165" s="26">
        <f t="shared" si="56"/>
        <v>38488</v>
      </c>
      <c r="E165" s="26">
        <f t="shared" si="56"/>
        <v>-19749</v>
      </c>
      <c r="F165" s="26">
        <f t="shared" si="56"/>
        <v>2024</v>
      </c>
      <c r="G165" s="26">
        <f t="shared" si="56"/>
        <v>8442</v>
      </c>
      <c r="H165" s="26">
        <f t="shared" si="56"/>
        <v>25001</v>
      </c>
      <c r="I165" s="26">
        <f t="shared" si="56"/>
        <v>0</v>
      </c>
      <c r="J165" s="26">
        <f t="shared" si="56"/>
        <v>0</v>
      </c>
      <c r="K165" s="26">
        <f t="shared" si="56"/>
        <v>0</v>
      </c>
      <c r="L165" s="26">
        <f t="shared" si="56"/>
        <v>0</v>
      </c>
      <c r="M165" s="26">
        <f t="shared" si="56"/>
        <v>7436</v>
      </c>
      <c r="N165" s="26">
        <f t="shared" si="56"/>
        <v>33148</v>
      </c>
      <c r="O165" s="26">
        <f t="shared" si="56"/>
        <v>32958</v>
      </c>
      <c r="P165" s="26">
        <f t="shared" si="50"/>
        <v>127748</v>
      </c>
      <c r="Q165" s="26"/>
    </row>
    <row r="166" spans="2:17" s="25" customFormat="1">
      <c r="B166" s="25" t="s">
        <v>294</v>
      </c>
      <c r="C166" s="82" t="s">
        <v>160</v>
      </c>
      <c r="D166" s="26">
        <f>ROUND(IF(SUM(D$135:D$137,D$143:D$144)&lt;&gt;0,D$151*D143/SUM(D$135:D$137,D$143:D$144),0),0)</f>
        <v>115</v>
      </c>
      <c r="E166" s="26">
        <f t="shared" ref="E166:O167" si="57">ROUND(IF(SUM(E$135:E$137,E$143:E$144)&lt;&gt;0,E$151*E143/SUM(E$135:E$137,E$143:E$144),0),0)</f>
        <v>-69</v>
      </c>
      <c r="F166" s="26">
        <f t="shared" si="57"/>
        <v>2</v>
      </c>
      <c r="G166" s="26">
        <f t="shared" si="57"/>
        <v>22</v>
      </c>
      <c r="H166" s="26">
        <f t="shared" si="57"/>
        <v>47</v>
      </c>
      <c r="I166" s="26">
        <f t="shared" si="57"/>
        <v>10</v>
      </c>
      <c r="J166" s="26">
        <f t="shared" si="57"/>
        <v>0</v>
      </c>
      <c r="K166" s="26">
        <f t="shared" si="57"/>
        <v>0</v>
      </c>
      <c r="L166" s="26">
        <f t="shared" si="57"/>
        <v>0</v>
      </c>
      <c r="M166" s="26">
        <f t="shared" si="57"/>
        <v>0</v>
      </c>
      <c r="N166" s="26">
        <f t="shared" si="57"/>
        <v>0</v>
      </c>
      <c r="O166" s="26">
        <f t="shared" si="57"/>
        <v>0</v>
      </c>
      <c r="P166" s="22">
        <f t="shared" si="50"/>
        <v>127</v>
      </c>
      <c r="Q166" s="26"/>
    </row>
    <row r="167" spans="2:17" s="24" customFormat="1" ht="15">
      <c r="B167" s="24" t="s">
        <v>84</v>
      </c>
      <c r="C167" s="387" t="s">
        <v>140</v>
      </c>
      <c r="D167" s="22">
        <f>ROUND(IF(SUM(D$135:D$137,D$143:D$144)&lt;&gt;0,D$151*D144/SUM(D$135:D$137,D$143:D$144),0),0)</f>
        <v>411040</v>
      </c>
      <c r="E167" s="22">
        <f t="shared" si="57"/>
        <v>-247412</v>
      </c>
      <c r="F167" s="22">
        <f t="shared" si="57"/>
        <v>7408</v>
      </c>
      <c r="G167" s="22">
        <f t="shared" si="57"/>
        <v>109805</v>
      </c>
      <c r="H167" s="22">
        <f t="shared" si="57"/>
        <v>290178</v>
      </c>
      <c r="I167" s="22">
        <f t="shared" si="57"/>
        <v>87068</v>
      </c>
      <c r="J167" s="22">
        <f t="shared" si="57"/>
        <v>0</v>
      </c>
      <c r="K167" s="22">
        <f t="shared" si="57"/>
        <v>0</v>
      </c>
      <c r="L167" s="22">
        <f t="shared" si="57"/>
        <v>76403</v>
      </c>
      <c r="M167" s="22">
        <f t="shared" si="57"/>
        <v>48603</v>
      </c>
      <c r="N167" s="22">
        <f t="shared" si="57"/>
        <v>412742</v>
      </c>
      <c r="O167" s="22">
        <f t="shared" si="57"/>
        <v>246614</v>
      </c>
      <c r="P167" s="22">
        <f t="shared" si="50"/>
        <v>1442449</v>
      </c>
      <c r="Q167" s="22"/>
    </row>
    <row r="168" spans="2:17" s="25" customFormat="1">
      <c r="B168" s="25" t="s">
        <v>101</v>
      </c>
      <c r="C168" s="82"/>
      <c r="D168" s="87">
        <f>SUM(D155:D167)</f>
        <v>17210129</v>
      </c>
      <c r="E168" s="87">
        <f t="shared" ref="E168:O168" si="58">SUM(E155:E167)</f>
        <v>-10646444</v>
      </c>
      <c r="F168" s="87">
        <f t="shared" si="58"/>
        <v>648869</v>
      </c>
      <c r="G168" s="87">
        <f t="shared" si="58"/>
        <v>3342489</v>
      </c>
      <c r="H168" s="87">
        <f t="shared" si="58"/>
        <v>9176347</v>
      </c>
      <c r="I168" s="87">
        <f t="shared" si="58"/>
        <v>1839914</v>
      </c>
      <c r="J168" s="87">
        <f t="shared" si="58"/>
        <v>0</v>
      </c>
      <c r="K168" s="87">
        <f t="shared" si="58"/>
        <v>0</v>
      </c>
      <c r="L168" s="87">
        <f t="shared" si="58"/>
        <v>1144318</v>
      </c>
      <c r="M168" s="87">
        <f t="shared" si="58"/>
        <v>2278998</v>
      </c>
      <c r="N168" s="87">
        <f t="shared" si="58"/>
        <v>15409033</v>
      </c>
      <c r="O168" s="87">
        <f t="shared" si="58"/>
        <v>16280307</v>
      </c>
      <c r="P168" s="87">
        <f>SUM(P155:P167)</f>
        <v>56683960</v>
      </c>
      <c r="Q168" s="22"/>
    </row>
    <row r="169" spans="2:17" s="25" customFormat="1">
      <c r="B169" s="25" t="s">
        <v>102</v>
      </c>
      <c r="C169" s="82"/>
      <c r="D169" s="11">
        <f t="shared" ref="D169:O169" si="59">IFERROR(D168/D32,0)</f>
        <v>0.11523976981347252</v>
      </c>
      <c r="E169" s="11">
        <f t="shared" si="59"/>
        <v>-7.4259071279215924E-2</v>
      </c>
      <c r="F169" s="11">
        <f t="shared" si="59"/>
        <v>4.7228308884913308E-3</v>
      </c>
      <c r="G169" s="11">
        <f t="shared" si="59"/>
        <v>3.4939567255194384E-2</v>
      </c>
      <c r="H169" s="11">
        <f t="shared" si="59"/>
        <v>0.15101441028138468</v>
      </c>
      <c r="I169" s="11">
        <f t="shared" si="59"/>
        <v>3.6445573046688315E-2</v>
      </c>
      <c r="J169" s="11">
        <f t="shared" si="59"/>
        <v>0</v>
      </c>
      <c r="K169" s="11">
        <f t="shared" si="59"/>
        <v>0</v>
      </c>
      <c r="L169" s="11">
        <f t="shared" si="59"/>
        <v>2.1025849933538007E-2</v>
      </c>
      <c r="M169" s="11">
        <f t="shared" si="59"/>
        <v>2.6202951455520349E-2</v>
      </c>
      <c r="N169" s="11">
        <f t="shared" si="59"/>
        <v>0.12920487551238835</v>
      </c>
      <c r="O169" s="11">
        <f t="shared" si="59"/>
        <v>0.10980412718650728</v>
      </c>
      <c r="P169" s="11">
        <f>P168/P32</f>
        <v>4.992847999731885E-2</v>
      </c>
      <c r="Q169" s="11"/>
    </row>
    <row r="170" spans="2:17" s="25" customFormat="1">
      <c r="C170" s="8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2:17" s="25" customFormat="1">
      <c r="B171" s="91" t="s">
        <v>106</v>
      </c>
      <c r="C171" s="8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2:17" s="25" customFormat="1">
      <c r="B172" s="25" t="s">
        <v>0</v>
      </c>
      <c r="C172" s="82">
        <v>23</v>
      </c>
      <c r="D172" s="26">
        <f t="shared" ref="D172:O172" si="60">D9+D155</f>
        <v>97231115.094999999</v>
      </c>
      <c r="E172" s="26">
        <f t="shared" si="60"/>
        <v>73373166.540999994</v>
      </c>
      <c r="F172" s="26">
        <f t="shared" si="60"/>
        <v>75850006.523000002</v>
      </c>
      <c r="G172" s="26">
        <f t="shared" si="60"/>
        <v>50273385.369000003</v>
      </c>
      <c r="H172" s="26">
        <f t="shared" si="60"/>
        <v>30885641.842999998</v>
      </c>
      <c r="I172" s="26">
        <f t="shared" si="60"/>
        <v>19280944.662999999</v>
      </c>
      <c r="J172" s="26">
        <f t="shared" si="60"/>
        <v>13445152.333000001</v>
      </c>
      <c r="K172" s="26">
        <f t="shared" si="60"/>
        <v>13243856.593</v>
      </c>
      <c r="L172" s="26">
        <f t="shared" si="60"/>
        <v>21691921.379000001</v>
      </c>
      <c r="M172" s="26">
        <f t="shared" si="60"/>
        <v>44274554.725000001</v>
      </c>
      <c r="N172" s="26">
        <f t="shared" si="60"/>
        <v>77701213.745000005</v>
      </c>
      <c r="O172" s="26">
        <f t="shared" si="60"/>
        <v>96411150.341000006</v>
      </c>
      <c r="P172" s="26">
        <f t="shared" ref="P172:P184" si="61">SUM(D172:O172)</f>
        <v>613662109.14999998</v>
      </c>
      <c r="Q172" s="26"/>
    </row>
    <row r="173" spans="2:17" s="25" customFormat="1">
      <c r="B173" s="25" t="s">
        <v>67</v>
      </c>
      <c r="C173" s="85">
        <v>31</v>
      </c>
      <c r="D173" s="26">
        <f t="shared" ref="D173:O174" si="62">D11+D156</f>
        <v>31599790.447999999</v>
      </c>
      <c r="E173" s="26">
        <f t="shared" si="62"/>
        <v>25012813.162999999</v>
      </c>
      <c r="F173" s="26">
        <f t="shared" si="62"/>
        <v>25673601.024</v>
      </c>
      <c r="G173" s="26">
        <f t="shared" si="62"/>
        <v>18118326.907000002</v>
      </c>
      <c r="H173" s="26">
        <f t="shared" si="62"/>
        <v>12139669.619000001</v>
      </c>
      <c r="I173" s="26">
        <f t="shared" si="62"/>
        <v>8913208.3239999991</v>
      </c>
      <c r="J173" s="26">
        <f t="shared" si="62"/>
        <v>7744332.8169999998</v>
      </c>
      <c r="K173" s="26">
        <f t="shared" si="62"/>
        <v>7814835.7249999996</v>
      </c>
      <c r="L173" s="26">
        <f t="shared" si="62"/>
        <v>9638896.5759999994</v>
      </c>
      <c r="M173" s="26">
        <f t="shared" si="62"/>
        <v>15665379.589</v>
      </c>
      <c r="N173" s="26">
        <f t="shared" si="62"/>
        <v>24779677.57</v>
      </c>
      <c r="O173" s="26">
        <f t="shared" si="62"/>
        <v>31215171.552999999</v>
      </c>
      <c r="P173" s="26">
        <f t="shared" si="61"/>
        <v>218315703.315</v>
      </c>
      <c r="Q173" s="26"/>
    </row>
    <row r="174" spans="2:17" s="25" customFormat="1">
      <c r="B174" s="25" t="s">
        <v>68</v>
      </c>
      <c r="C174" s="25">
        <v>41</v>
      </c>
      <c r="D174" s="26">
        <f t="shared" si="62"/>
        <v>7214330.9359999998</v>
      </c>
      <c r="E174" s="26">
        <f t="shared" si="62"/>
        <v>5993204.6500000004</v>
      </c>
      <c r="F174" s="26">
        <f t="shared" si="62"/>
        <v>6265431.6940000001</v>
      </c>
      <c r="G174" s="26">
        <f t="shared" si="62"/>
        <v>4928872.6160000004</v>
      </c>
      <c r="H174" s="26">
        <f t="shared" si="62"/>
        <v>3787247.0380000006</v>
      </c>
      <c r="I174" s="26">
        <f t="shared" si="62"/>
        <v>2913206.142</v>
      </c>
      <c r="J174" s="26">
        <f t="shared" si="62"/>
        <v>2291089.585</v>
      </c>
      <c r="K174" s="26">
        <f t="shared" si="62"/>
        <v>2322664.8089999999</v>
      </c>
      <c r="L174" s="26">
        <f t="shared" si="62"/>
        <v>2910931.1799999997</v>
      </c>
      <c r="M174" s="26">
        <f t="shared" si="62"/>
        <v>4284148.7210000008</v>
      </c>
      <c r="N174" s="26">
        <f t="shared" si="62"/>
        <v>5931243.1579999998</v>
      </c>
      <c r="O174" s="26">
        <f t="shared" si="62"/>
        <v>7062947.8090000004</v>
      </c>
      <c r="P174" s="26">
        <f t="shared" si="61"/>
        <v>55905318.338</v>
      </c>
      <c r="Q174" s="26"/>
    </row>
    <row r="175" spans="2:17" s="25" customFormat="1">
      <c r="B175" s="16" t="s">
        <v>77</v>
      </c>
      <c r="C175" s="85" t="s">
        <v>57</v>
      </c>
      <c r="D175" s="26">
        <f t="shared" ref="D175:O177" si="63">D23+D158</f>
        <v>1309932.3900000001</v>
      </c>
      <c r="E175" s="26">
        <f t="shared" si="63"/>
        <v>1187686.01</v>
      </c>
      <c r="F175" s="26">
        <f t="shared" si="63"/>
        <v>1250467.8599999999</v>
      </c>
      <c r="G175" s="26">
        <f t="shared" si="63"/>
        <v>1133840.93</v>
      </c>
      <c r="H175" s="26">
        <f t="shared" si="63"/>
        <v>1082136.8500000001</v>
      </c>
      <c r="I175" s="26">
        <f t="shared" si="63"/>
        <v>1066639.25</v>
      </c>
      <c r="J175" s="26">
        <f t="shared" si="63"/>
        <v>1034134.1400000001</v>
      </c>
      <c r="K175" s="26">
        <f t="shared" si="63"/>
        <v>1072055.8500000001</v>
      </c>
      <c r="L175" s="26">
        <f t="shared" si="63"/>
        <v>1024131.41</v>
      </c>
      <c r="M175" s="26">
        <f t="shared" si="63"/>
        <v>1221207.47</v>
      </c>
      <c r="N175" s="26">
        <f t="shared" si="63"/>
        <v>1315468.25</v>
      </c>
      <c r="O175" s="26">
        <f t="shared" si="63"/>
        <v>1430166.51</v>
      </c>
      <c r="P175" s="26">
        <f t="shared" si="61"/>
        <v>14127866.920000002</v>
      </c>
      <c r="Q175" s="26"/>
    </row>
    <row r="176" spans="2:17" s="25" customFormat="1">
      <c r="B176" s="16" t="s">
        <v>78</v>
      </c>
      <c r="C176" s="85" t="s">
        <v>58</v>
      </c>
      <c r="D176" s="26">
        <f t="shared" si="63"/>
        <v>2213984.92</v>
      </c>
      <c r="E176" s="26">
        <f t="shared" si="63"/>
        <v>1964790.4500000002</v>
      </c>
      <c r="F176" s="26">
        <f t="shared" si="63"/>
        <v>2105813.58</v>
      </c>
      <c r="G176" s="26">
        <f t="shared" si="63"/>
        <v>1852946.1</v>
      </c>
      <c r="H176" s="26">
        <f t="shared" si="63"/>
        <v>1863363.12</v>
      </c>
      <c r="I176" s="26">
        <f t="shared" si="63"/>
        <v>1750711.3499999999</v>
      </c>
      <c r="J176" s="26">
        <f t="shared" si="63"/>
        <v>1682576.31</v>
      </c>
      <c r="K176" s="26">
        <f t="shared" si="63"/>
        <v>1684575.62</v>
      </c>
      <c r="L176" s="26">
        <f t="shared" si="63"/>
        <v>1685124.68</v>
      </c>
      <c r="M176" s="26">
        <f t="shared" si="63"/>
        <v>1965727.8</v>
      </c>
      <c r="N176" s="26">
        <f t="shared" si="63"/>
        <v>2082837.5599999998</v>
      </c>
      <c r="O176" s="26">
        <f t="shared" si="63"/>
        <v>2203010.7199999997</v>
      </c>
      <c r="P176" s="26">
        <f t="shared" si="61"/>
        <v>23055462.210000001</v>
      </c>
      <c r="Q176" s="26"/>
    </row>
    <row r="177" spans="2:17" s="25" customFormat="1">
      <c r="B177" s="16" t="s">
        <v>79</v>
      </c>
      <c r="C177" s="85" t="s">
        <v>60</v>
      </c>
      <c r="D177" s="26">
        <f t="shared" si="63"/>
        <v>2119316.87</v>
      </c>
      <c r="E177" s="26">
        <f t="shared" si="63"/>
        <v>1871108.9500000002</v>
      </c>
      <c r="F177" s="26">
        <f t="shared" si="63"/>
        <v>1860191.65</v>
      </c>
      <c r="G177" s="26">
        <f t="shared" si="63"/>
        <v>1637011.8800000001</v>
      </c>
      <c r="H177" s="26">
        <f t="shared" si="63"/>
        <v>1388275.8499999999</v>
      </c>
      <c r="I177" s="26">
        <f t="shared" si="63"/>
        <v>1192987.95</v>
      </c>
      <c r="J177" s="26">
        <f t="shared" si="63"/>
        <v>1014527.5199999999</v>
      </c>
      <c r="K177" s="26">
        <f t="shared" si="63"/>
        <v>1093444.0699999998</v>
      </c>
      <c r="L177" s="26">
        <f t="shared" si="63"/>
        <v>1127081.6299999999</v>
      </c>
      <c r="M177" s="26">
        <f t="shared" si="63"/>
        <v>1451825.25</v>
      </c>
      <c r="N177" s="26">
        <f t="shared" si="63"/>
        <v>1692684.79</v>
      </c>
      <c r="O177" s="26">
        <f t="shared" si="63"/>
        <v>2024831.47</v>
      </c>
      <c r="P177" s="26">
        <f t="shared" si="61"/>
        <v>18473287.879999999</v>
      </c>
      <c r="Q177" s="26"/>
    </row>
    <row r="178" spans="2:17" s="25" customFormat="1">
      <c r="B178" s="25" t="s">
        <v>69</v>
      </c>
      <c r="C178" s="25">
        <v>85</v>
      </c>
      <c r="D178" s="26">
        <f t="shared" ref="D178:O182" si="64">D14+D161</f>
        <v>1780824.939</v>
      </c>
      <c r="E178" s="26">
        <f t="shared" si="64"/>
        <v>1536379.5380000002</v>
      </c>
      <c r="F178" s="26">
        <f t="shared" si="64"/>
        <v>1643991.1359999999</v>
      </c>
      <c r="G178" s="26">
        <f t="shared" si="64"/>
        <v>1250763.1359999999</v>
      </c>
      <c r="H178" s="26">
        <f t="shared" si="64"/>
        <v>920234.88600000006</v>
      </c>
      <c r="I178" s="26">
        <f t="shared" si="64"/>
        <v>733125.50200000009</v>
      </c>
      <c r="J178" s="26">
        <f t="shared" si="64"/>
        <v>646476.62700000009</v>
      </c>
      <c r="K178" s="26">
        <f t="shared" si="64"/>
        <v>706237.19299999997</v>
      </c>
      <c r="L178" s="26">
        <f t="shared" si="64"/>
        <v>840775.34</v>
      </c>
      <c r="M178" s="26">
        <f t="shared" si="64"/>
        <v>1118634.04</v>
      </c>
      <c r="N178" s="26">
        <f t="shared" si="64"/>
        <v>1393486.9010000001</v>
      </c>
      <c r="O178" s="26">
        <f t="shared" si="64"/>
        <v>1648219.5559999999</v>
      </c>
      <c r="P178" s="26">
        <f t="shared" si="61"/>
        <v>14219148.794000002</v>
      </c>
      <c r="Q178" s="26"/>
    </row>
    <row r="179" spans="2:17" s="25" customFormat="1">
      <c r="B179" s="25" t="s">
        <v>70</v>
      </c>
      <c r="C179" s="25">
        <v>86</v>
      </c>
      <c r="D179" s="26">
        <f t="shared" si="64"/>
        <v>1258725.409</v>
      </c>
      <c r="E179" s="26">
        <f t="shared" si="64"/>
        <v>1049738.9580000001</v>
      </c>
      <c r="F179" s="26">
        <f t="shared" si="64"/>
        <v>1110165.9139999999</v>
      </c>
      <c r="G179" s="26">
        <f t="shared" si="64"/>
        <v>842756.56900000002</v>
      </c>
      <c r="H179" s="26">
        <f t="shared" si="64"/>
        <v>473406.78399999999</v>
      </c>
      <c r="I179" s="26">
        <f t="shared" si="64"/>
        <v>313206.79399999999</v>
      </c>
      <c r="J179" s="26">
        <f t="shared" si="64"/>
        <v>213503.913</v>
      </c>
      <c r="K179" s="26">
        <f t="shared" si="64"/>
        <v>207293.03100000002</v>
      </c>
      <c r="L179" s="26">
        <f t="shared" si="64"/>
        <v>346636.48600000003</v>
      </c>
      <c r="M179" s="26">
        <f t="shared" si="64"/>
        <v>678088.19</v>
      </c>
      <c r="N179" s="26">
        <f t="shared" si="64"/>
        <v>927404.93400000001</v>
      </c>
      <c r="O179" s="26">
        <f t="shared" si="64"/>
        <v>1140251.9819999998</v>
      </c>
      <c r="P179" s="26">
        <f t="shared" si="61"/>
        <v>8561178.9639999978</v>
      </c>
      <c r="Q179" s="26"/>
    </row>
    <row r="180" spans="2:17" s="25" customFormat="1">
      <c r="B180" s="25" t="s">
        <v>90</v>
      </c>
      <c r="C180" s="25">
        <v>87</v>
      </c>
      <c r="D180" s="26">
        <f t="shared" si="64"/>
        <v>2582095.4070000001</v>
      </c>
      <c r="E180" s="26">
        <f t="shared" si="64"/>
        <v>2453869.7620000001</v>
      </c>
      <c r="F180" s="26">
        <f t="shared" si="64"/>
        <v>2432020.3769999999</v>
      </c>
      <c r="G180" s="26">
        <f t="shared" si="64"/>
        <v>2074669.916</v>
      </c>
      <c r="H180" s="26">
        <f t="shared" si="64"/>
        <v>1485710.202</v>
      </c>
      <c r="I180" s="26">
        <f t="shared" si="64"/>
        <v>1430551.095</v>
      </c>
      <c r="J180" s="26">
        <f t="shared" si="64"/>
        <v>1280281.31</v>
      </c>
      <c r="K180" s="26">
        <f t="shared" si="64"/>
        <v>1275025.321</v>
      </c>
      <c r="L180" s="26">
        <f t="shared" si="64"/>
        <v>1372715.9339999999</v>
      </c>
      <c r="M180" s="26">
        <f t="shared" si="64"/>
        <v>1756849.892</v>
      </c>
      <c r="N180" s="26">
        <f t="shared" si="64"/>
        <v>2152439.2620000001</v>
      </c>
      <c r="O180" s="26">
        <f t="shared" si="64"/>
        <v>2585495.1809999999</v>
      </c>
      <c r="P180" s="26">
        <f t="shared" si="61"/>
        <v>22881723.659000002</v>
      </c>
      <c r="Q180" s="26"/>
    </row>
    <row r="181" spans="2:17" s="25" customFormat="1">
      <c r="B181" s="25" t="s">
        <v>72</v>
      </c>
      <c r="C181" s="25">
        <v>31</v>
      </c>
      <c r="D181" s="26">
        <f t="shared" si="64"/>
        <v>2219902.1689999998</v>
      </c>
      <c r="E181" s="26">
        <f t="shared" si="64"/>
        <v>1725084.105</v>
      </c>
      <c r="F181" s="26">
        <f t="shared" si="64"/>
        <v>1692829.1610000001</v>
      </c>
      <c r="G181" s="26">
        <f t="shared" si="64"/>
        <v>1110311.402</v>
      </c>
      <c r="H181" s="26">
        <f t="shared" si="64"/>
        <v>680689.93900000001</v>
      </c>
      <c r="I181" s="26">
        <f t="shared" si="64"/>
        <v>454548.24099999998</v>
      </c>
      <c r="J181" s="26">
        <f t="shared" si="64"/>
        <v>369763.20400000003</v>
      </c>
      <c r="K181" s="26">
        <f t="shared" si="64"/>
        <v>382878.80200000003</v>
      </c>
      <c r="L181" s="26">
        <f t="shared" si="64"/>
        <v>552107.95400000003</v>
      </c>
      <c r="M181" s="26">
        <f t="shared" si="64"/>
        <v>975720.03599999996</v>
      </c>
      <c r="N181" s="26">
        <f t="shared" si="64"/>
        <v>1668489.1029999999</v>
      </c>
      <c r="O181" s="26">
        <f t="shared" si="64"/>
        <v>2097195.4720000001</v>
      </c>
      <c r="P181" s="26">
        <f t="shared" si="61"/>
        <v>13929519.588</v>
      </c>
      <c r="Q181" s="26"/>
    </row>
    <row r="182" spans="2:17" s="25" customFormat="1">
      <c r="B182" s="25" t="s">
        <v>73</v>
      </c>
      <c r="C182" s="25">
        <v>41</v>
      </c>
      <c r="D182" s="26">
        <f t="shared" si="64"/>
        <v>984923.92099999997</v>
      </c>
      <c r="E182" s="26">
        <f t="shared" si="64"/>
        <v>881329.02300000004</v>
      </c>
      <c r="F182" s="26">
        <f t="shared" si="64"/>
        <v>921278.62699999998</v>
      </c>
      <c r="G182" s="26">
        <f t="shared" si="64"/>
        <v>819888.06</v>
      </c>
      <c r="H182" s="26">
        <f t="shared" si="64"/>
        <v>725124.46399999992</v>
      </c>
      <c r="I182" s="26">
        <f t="shared" si="64"/>
        <v>670894.69999999995</v>
      </c>
      <c r="J182" s="26">
        <f t="shared" si="64"/>
        <v>638238.12899999996</v>
      </c>
      <c r="K182" s="26">
        <f t="shared" si="64"/>
        <v>644626.09299999999</v>
      </c>
      <c r="L182" s="26">
        <f t="shared" si="64"/>
        <v>662632.26500000001</v>
      </c>
      <c r="M182" s="26">
        <f t="shared" si="64"/>
        <v>802616.78899999999</v>
      </c>
      <c r="N182" s="26">
        <f t="shared" si="64"/>
        <v>909906.92299999995</v>
      </c>
      <c r="O182" s="26">
        <f t="shared" si="64"/>
        <v>931087.22600000002</v>
      </c>
      <c r="P182" s="26">
        <f t="shared" si="61"/>
        <v>9592546.2199999988</v>
      </c>
      <c r="Q182" s="26"/>
    </row>
    <row r="183" spans="2:17" s="25" customFormat="1">
      <c r="B183" s="25" t="s">
        <v>294</v>
      </c>
      <c r="C183" s="82" t="s">
        <v>160</v>
      </c>
      <c r="D183" s="26">
        <f>D26+D166</f>
        <v>2645.87</v>
      </c>
      <c r="E183" s="26">
        <f t="shared" ref="E183:O183" si="65">E26+E166</f>
        <v>3836.98</v>
      </c>
      <c r="F183" s="26">
        <f t="shared" si="65"/>
        <v>2823.34</v>
      </c>
      <c r="G183" s="26">
        <f t="shared" si="65"/>
        <v>2002.65</v>
      </c>
      <c r="H183" s="26">
        <f t="shared" si="65"/>
        <v>642.91</v>
      </c>
      <c r="I183" s="26">
        <f t="shared" si="65"/>
        <v>37.44</v>
      </c>
      <c r="J183" s="26">
        <f t="shared" si="65"/>
        <v>0</v>
      </c>
      <c r="K183" s="26">
        <f t="shared" si="65"/>
        <v>0</v>
      </c>
      <c r="L183" s="26">
        <f t="shared" si="65"/>
        <v>0</v>
      </c>
      <c r="M183" s="26">
        <f t="shared" si="65"/>
        <v>0</v>
      </c>
      <c r="N183" s="26">
        <f t="shared" si="65"/>
        <v>0</v>
      </c>
      <c r="O183" s="26">
        <f t="shared" si="65"/>
        <v>0</v>
      </c>
      <c r="P183" s="26">
        <f t="shared" si="61"/>
        <v>11989.19</v>
      </c>
      <c r="Q183" s="26"/>
    </row>
    <row r="184" spans="2:17" s="24" customFormat="1" ht="15">
      <c r="B184" s="24" t="s">
        <v>84</v>
      </c>
      <c r="C184" s="387" t="s">
        <v>140</v>
      </c>
      <c r="D184" s="22">
        <f t="shared" ref="D184:O184" si="66">D31+D167</f>
        <v>4443467.74</v>
      </c>
      <c r="E184" s="22">
        <f t="shared" si="66"/>
        <v>3867486.2699999996</v>
      </c>
      <c r="F184" s="22">
        <f t="shared" si="66"/>
        <v>3813818.93</v>
      </c>
      <c r="G184" s="22">
        <f t="shared" si="66"/>
        <v>3266173.4099999997</v>
      </c>
      <c r="H184" s="22">
        <f t="shared" si="66"/>
        <v>2607580.04</v>
      </c>
      <c r="I184" s="22">
        <f t="shared" si="66"/>
        <v>2223953.0499999998</v>
      </c>
      <c r="J184" s="22">
        <f t="shared" si="66"/>
        <v>1816114.2500000002</v>
      </c>
      <c r="K184" s="22">
        <f t="shared" si="66"/>
        <v>1897095.8699999999</v>
      </c>
      <c r="L184" s="22">
        <f t="shared" si="66"/>
        <v>2237328.9500000002</v>
      </c>
      <c r="M184" s="22">
        <f t="shared" si="66"/>
        <v>2944518.8099999996</v>
      </c>
      <c r="N184" s="22">
        <f t="shared" si="66"/>
        <v>3753743.19</v>
      </c>
      <c r="O184" s="22">
        <f t="shared" si="66"/>
        <v>4219586.24</v>
      </c>
      <c r="P184" s="22">
        <f t="shared" si="61"/>
        <v>37090866.75</v>
      </c>
      <c r="Q184" s="22"/>
    </row>
    <row r="185" spans="2:17" s="25" customFormat="1">
      <c r="B185" s="25" t="s">
        <v>99</v>
      </c>
      <c r="C185" s="82"/>
      <c r="D185" s="87">
        <f t="shared" ref="D185:P185" si="67">SUM(D172:D184)</f>
        <v>154961056.11400002</v>
      </c>
      <c r="E185" s="87">
        <f t="shared" si="67"/>
        <v>120920494.40000002</v>
      </c>
      <c r="F185" s="87">
        <f t="shared" si="67"/>
        <v>124622439.81600003</v>
      </c>
      <c r="G185" s="87">
        <f t="shared" si="67"/>
        <v>87310948.944999993</v>
      </c>
      <c r="H185" s="87">
        <f t="shared" si="67"/>
        <v>58039723.545000002</v>
      </c>
      <c r="I185" s="87">
        <f t="shared" si="67"/>
        <v>40944014.500999987</v>
      </c>
      <c r="J185" s="87">
        <f t="shared" si="67"/>
        <v>32176190.137999997</v>
      </c>
      <c r="K185" s="87">
        <f t="shared" si="67"/>
        <v>32344588.977000002</v>
      </c>
      <c r="L185" s="87">
        <f t="shared" si="67"/>
        <v>44090283.784000009</v>
      </c>
      <c r="M185" s="87">
        <f t="shared" si="67"/>
        <v>77139271.312000021</v>
      </c>
      <c r="N185" s="87">
        <f t="shared" si="67"/>
        <v>124308595.38599998</v>
      </c>
      <c r="O185" s="87">
        <f t="shared" si="67"/>
        <v>152969114.06</v>
      </c>
      <c r="P185" s="87">
        <f t="shared" si="67"/>
        <v>1049826720.9780002</v>
      </c>
      <c r="Q185" s="22"/>
    </row>
    <row r="186" spans="2:17" s="25" customFormat="1"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2:17" s="25" customFormat="1">
      <c r="B187" s="25" t="s">
        <v>107</v>
      </c>
      <c r="C187" s="25">
        <v>16</v>
      </c>
      <c r="D187" s="26">
        <f t="shared" ref="D187:O187" si="68">D8</f>
        <v>797.62900000000002</v>
      </c>
      <c r="E187" s="26">
        <f t="shared" si="68"/>
        <v>723.62300000000005</v>
      </c>
      <c r="F187" s="26">
        <f t="shared" si="68"/>
        <v>835.85599999999999</v>
      </c>
      <c r="G187" s="26">
        <f t="shared" si="68"/>
        <v>821.65099999999995</v>
      </c>
      <c r="H187" s="26">
        <f t="shared" si="68"/>
        <v>818.67499999999995</v>
      </c>
      <c r="I187" s="26">
        <f t="shared" si="68"/>
        <v>776.11900000000003</v>
      </c>
      <c r="J187" s="26">
        <f t="shared" si="68"/>
        <v>813.22500000000002</v>
      </c>
      <c r="K187" s="26">
        <f t="shared" si="68"/>
        <v>791.37</v>
      </c>
      <c r="L187" s="26">
        <f t="shared" si="68"/>
        <v>794.43100000000004</v>
      </c>
      <c r="M187" s="26">
        <f t="shared" si="68"/>
        <v>846.26900000000001</v>
      </c>
      <c r="N187" s="26">
        <f t="shared" si="68"/>
        <v>670.62199999999996</v>
      </c>
      <c r="O187" s="26">
        <f t="shared" si="68"/>
        <v>654.63400000000001</v>
      </c>
      <c r="P187" s="26">
        <f t="shared" ref="P187:P197" si="69">SUM(D187:O187)</f>
        <v>9344.1039999999994</v>
      </c>
      <c r="Q187" s="26"/>
    </row>
    <row r="188" spans="2:17" s="25" customFormat="1">
      <c r="B188" s="25" t="str">
        <f t="shared" ref="B188:O188" si="70">B10</f>
        <v>Propane</v>
      </c>
      <c r="C188" s="82">
        <f t="shared" si="70"/>
        <v>53</v>
      </c>
      <c r="D188" s="26">
        <f t="shared" si="70"/>
        <v>56.914999999999999</v>
      </c>
      <c r="E188" s="26">
        <f t="shared" si="70"/>
        <v>7.5629999999999997</v>
      </c>
      <c r="F188" s="26">
        <f t="shared" si="70"/>
        <v>0</v>
      </c>
      <c r="G188" s="26">
        <f t="shared" si="70"/>
        <v>0</v>
      </c>
      <c r="H188" s="26">
        <f t="shared" si="70"/>
        <v>0</v>
      </c>
      <c r="I188" s="26">
        <f t="shared" si="70"/>
        <v>0</v>
      </c>
      <c r="J188" s="26">
        <f t="shared" si="70"/>
        <v>0</v>
      </c>
      <c r="K188" s="26">
        <f t="shared" si="70"/>
        <v>0</v>
      </c>
      <c r="L188" s="26">
        <f t="shared" si="70"/>
        <v>0</v>
      </c>
      <c r="M188" s="26">
        <f t="shared" si="70"/>
        <v>0</v>
      </c>
      <c r="N188" s="26">
        <f t="shared" si="70"/>
        <v>0</v>
      </c>
      <c r="O188" s="26">
        <f t="shared" si="70"/>
        <v>0</v>
      </c>
      <c r="P188" s="26">
        <f t="shared" si="69"/>
        <v>64.477999999999994</v>
      </c>
      <c r="Q188" s="26"/>
    </row>
    <row r="189" spans="2:17" s="25" customFormat="1">
      <c r="B189" s="25" t="s">
        <v>273</v>
      </c>
      <c r="C189" s="25">
        <v>50</v>
      </c>
      <c r="D189" s="26">
        <f t="shared" ref="D189:O189" si="71">D13</f>
        <v>0</v>
      </c>
      <c r="E189" s="26">
        <f t="shared" si="71"/>
        <v>0</v>
      </c>
      <c r="F189" s="26">
        <f t="shared" si="71"/>
        <v>0</v>
      </c>
      <c r="G189" s="26">
        <f t="shared" si="71"/>
        <v>0</v>
      </c>
      <c r="H189" s="26">
        <f t="shared" si="71"/>
        <v>0</v>
      </c>
      <c r="I189" s="26">
        <f t="shared" si="71"/>
        <v>0</v>
      </c>
      <c r="J189" s="26">
        <f t="shared" si="71"/>
        <v>0</v>
      </c>
      <c r="K189" s="26">
        <f t="shared" si="71"/>
        <v>0</v>
      </c>
      <c r="L189" s="26">
        <f t="shared" si="71"/>
        <v>0</v>
      </c>
      <c r="M189" s="26">
        <f t="shared" si="71"/>
        <v>0</v>
      </c>
      <c r="N189" s="26">
        <f t="shared" si="71"/>
        <v>0</v>
      </c>
      <c r="O189" s="26">
        <f t="shared" si="71"/>
        <v>0</v>
      </c>
      <c r="P189" s="26">
        <f t="shared" si="69"/>
        <v>0</v>
      </c>
      <c r="Q189" s="26"/>
    </row>
    <row r="190" spans="2:17" s="25" customFormat="1">
      <c r="B190" s="25" t="s">
        <v>161</v>
      </c>
      <c r="C190" s="82" t="s">
        <v>160</v>
      </c>
      <c r="D190" s="26">
        <f t="shared" ref="D190:O190" si="72">D22</f>
        <v>2356.8000000000002</v>
      </c>
      <c r="E190" s="26">
        <f t="shared" si="72"/>
        <v>2713.47</v>
      </c>
      <c r="F190" s="26">
        <f t="shared" si="72"/>
        <v>2240.84</v>
      </c>
      <c r="G190" s="26">
        <f t="shared" si="72"/>
        <v>1514.91</v>
      </c>
      <c r="H190" s="26">
        <f t="shared" si="72"/>
        <v>975.42</v>
      </c>
      <c r="I190" s="26">
        <f t="shared" si="72"/>
        <v>955</v>
      </c>
      <c r="J190" s="26">
        <f t="shared" si="72"/>
        <v>798.62</v>
      </c>
      <c r="K190" s="26">
        <f t="shared" si="72"/>
        <v>838.78</v>
      </c>
      <c r="L190" s="26">
        <f t="shared" si="72"/>
        <v>1047.7</v>
      </c>
      <c r="M190" s="26">
        <f t="shared" si="72"/>
        <v>1466.72</v>
      </c>
      <c r="N190" s="26">
        <f t="shared" si="72"/>
        <v>2139.9299999999998</v>
      </c>
      <c r="O190" s="26">
        <f t="shared" si="72"/>
        <v>2460.83</v>
      </c>
      <c r="P190" s="26">
        <f t="shared" si="69"/>
        <v>19509.020000000004</v>
      </c>
      <c r="Q190" s="26"/>
    </row>
    <row r="191" spans="2:17" s="25" customFormat="1">
      <c r="B191" s="25" t="str">
        <f t="shared" ref="B191:O193" si="73">B19</f>
        <v>Interruptible with firm option - ind</v>
      </c>
      <c r="C191" s="82">
        <f t="shared" si="73"/>
        <v>85</v>
      </c>
      <c r="D191" s="26">
        <f t="shared" si="73"/>
        <v>152783.32999999999</v>
      </c>
      <c r="E191" s="26">
        <f t="shared" si="73"/>
        <v>144144.49599999998</v>
      </c>
      <c r="F191" s="26">
        <f t="shared" si="73"/>
        <v>145396.611</v>
      </c>
      <c r="G191" s="26">
        <f t="shared" si="73"/>
        <v>149688.77699999997</v>
      </c>
      <c r="H191" s="26">
        <f t="shared" si="73"/>
        <v>126713.5</v>
      </c>
      <c r="I191" s="26">
        <f t="shared" si="73"/>
        <v>113441.361</v>
      </c>
      <c r="J191" s="26">
        <f t="shared" si="73"/>
        <v>104798.53</v>
      </c>
      <c r="K191" s="26">
        <f t="shared" si="73"/>
        <v>112355.647</v>
      </c>
      <c r="L191" s="26">
        <f t="shared" si="73"/>
        <v>110712.698</v>
      </c>
      <c r="M191" s="26">
        <f t="shared" si="73"/>
        <v>127995.837</v>
      </c>
      <c r="N191" s="26">
        <f t="shared" si="73"/>
        <v>132757.14499999999</v>
      </c>
      <c r="O191" s="26">
        <f t="shared" si="73"/>
        <v>148061.82799999998</v>
      </c>
      <c r="P191" s="26">
        <f t="shared" si="69"/>
        <v>1568849.7600000002</v>
      </c>
      <c r="Q191" s="26"/>
    </row>
    <row r="192" spans="2:17" s="25" customFormat="1">
      <c r="B192" s="25" t="str">
        <f t="shared" si="73"/>
        <v>Limited interrupt w/ firm option - ind</v>
      </c>
      <c r="C192" s="82">
        <f t="shared" si="73"/>
        <v>86</v>
      </c>
      <c r="D192" s="26">
        <f t="shared" si="73"/>
        <v>17702.267</v>
      </c>
      <c r="E192" s="26">
        <f t="shared" si="73"/>
        <v>18723.310999999998</v>
      </c>
      <c r="F192" s="26">
        <f t="shared" si="73"/>
        <v>17030.457000000002</v>
      </c>
      <c r="G192" s="26">
        <f t="shared" si="73"/>
        <v>21970.927</v>
      </c>
      <c r="H192" s="26">
        <f t="shared" si="73"/>
        <v>11131.916000000001</v>
      </c>
      <c r="I192" s="26">
        <f t="shared" si="73"/>
        <v>8571.3490000000002</v>
      </c>
      <c r="J192" s="26">
        <f t="shared" si="73"/>
        <v>6458.3860000000004</v>
      </c>
      <c r="K192" s="26">
        <f t="shared" si="73"/>
        <v>7712.2290000000003</v>
      </c>
      <c r="L192" s="26">
        <f t="shared" si="73"/>
        <v>16207.902</v>
      </c>
      <c r="M192" s="26">
        <f t="shared" si="73"/>
        <v>24308.588</v>
      </c>
      <c r="N192" s="26">
        <f t="shared" si="73"/>
        <v>21355.864999999998</v>
      </c>
      <c r="O192" s="26">
        <f t="shared" si="73"/>
        <v>20284.632000000001</v>
      </c>
      <c r="P192" s="26">
        <f t="shared" si="69"/>
        <v>191457.829</v>
      </c>
      <c r="Q192" s="26"/>
    </row>
    <row r="193" spans="2:17" s="25" customFormat="1">
      <c r="B193" s="25" t="str">
        <f t="shared" si="73"/>
        <v>Non-excl interrupt w/ firm option - ind</v>
      </c>
      <c r="C193" s="82">
        <f t="shared" si="73"/>
        <v>87</v>
      </c>
      <c r="D193" s="26">
        <f t="shared" si="73"/>
        <v>0</v>
      </c>
      <c r="E193" s="26">
        <f t="shared" si="73"/>
        <v>0</v>
      </c>
      <c r="F193" s="26">
        <f t="shared" si="73"/>
        <v>0</v>
      </c>
      <c r="G193" s="26">
        <f t="shared" si="73"/>
        <v>0</v>
      </c>
      <c r="H193" s="26">
        <f t="shared" si="73"/>
        <v>0</v>
      </c>
      <c r="I193" s="26">
        <f t="shared" si="73"/>
        <v>0</v>
      </c>
      <c r="J193" s="26">
        <f t="shared" si="73"/>
        <v>0</v>
      </c>
      <c r="K193" s="26">
        <f t="shared" si="73"/>
        <v>0</v>
      </c>
      <c r="L193" s="26">
        <f t="shared" si="73"/>
        <v>0</v>
      </c>
      <c r="M193" s="26">
        <f t="shared" si="73"/>
        <v>0</v>
      </c>
      <c r="N193" s="26">
        <f t="shared" si="73"/>
        <v>0</v>
      </c>
      <c r="O193" s="26">
        <f t="shared" si="73"/>
        <v>0</v>
      </c>
      <c r="P193" s="26">
        <f t="shared" si="69"/>
        <v>0</v>
      </c>
      <c r="Q193" s="26"/>
    </row>
    <row r="194" spans="2:17" s="25" customFormat="1">
      <c r="B194" s="25" t="s">
        <v>80</v>
      </c>
      <c r="C194" s="82" t="s">
        <v>57</v>
      </c>
      <c r="D194" s="26">
        <f t="shared" ref="D194:O197" si="74">D27</f>
        <v>587041.71</v>
      </c>
      <c r="E194" s="26">
        <f t="shared" si="74"/>
        <v>560063.15999999992</v>
      </c>
      <c r="F194" s="26">
        <f t="shared" si="74"/>
        <v>653291.67999999993</v>
      </c>
      <c r="G194" s="26">
        <f t="shared" si="74"/>
        <v>562059.31000000006</v>
      </c>
      <c r="H194" s="26">
        <f t="shared" si="74"/>
        <v>533050.39999999991</v>
      </c>
      <c r="I194" s="26">
        <f t="shared" si="74"/>
        <v>518939.12</v>
      </c>
      <c r="J194" s="26">
        <f t="shared" si="74"/>
        <v>498241.05999999994</v>
      </c>
      <c r="K194" s="26">
        <f t="shared" si="74"/>
        <v>524995.74</v>
      </c>
      <c r="L194" s="26">
        <f t="shared" si="74"/>
        <v>494198.93</v>
      </c>
      <c r="M194" s="26">
        <f t="shared" si="74"/>
        <v>563272.6</v>
      </c>
      <c r="N194" s="26">
        <f t="shared" si="74"/>
        <v>523358.36</v>
      </c>
      <c r="O194" s="26">
        <f t="shared" si="74"/>
        <v>470635.43000000005</v>
      </c>
      <c r="P194" s="26">
        <f t="shared" si="69"/>
        <v>6489147.4999999991</v>
      </c>
      <c r="Q194" s="26"/>
    </row>
    <row r="195" spans="2:17" s="25" customFormat="1">
      <c r="B195" s="25" t="s">
        <v>81</v>
      </c>
      <c r="C195" s="82" t="s">
        <v>58</v>
      </c>
      <c r="D195" s="26">
        <f t="shared" si="74"/>
        <v>4463633.12</v>
      </c>
      <c r="E195" s="26">
        <f t="shared" si="74"/>
        <v>4116771.16</v>
      </c>
      <c r="F195" s="26">
        <f t="shared" si="74"/>
        <v>4871480.7699999996</v>
      </c>
      <c r="G195" s="26">
        <f t="shared" si="74"/>
        <v>4319936.82</v>
      </c>
      <c r="H195" s="26">
        <f t="shared" si="74"/>
        <v>4256767.37</v>
      </c>
      <c r="I195" s="26">
        <f t="shared" si="74"/>
        <v>4233782.51</v>
      </c>
      <c r="J195" s="26">
        <f t="shared" si="74"/>
        <v>4106046.0300000003</v>
      </c>
      <c r="K195" s="26">
        <f t="shared" si="74"/>
        <v>4244638.33</v>
      </c>
      <c r="L195" s="26">
        <f t="shared" si="74"/>
        <v>4278513.0999999996</v>
      </c>
      <c r="M195" s="26">
        <f t="shared" si="74"/>
        <v>4815407.16</v>
      </c>
      <c r="N195" s="26">
        <f t="shared" si="74"/>
        <v>4153524.94</v>
      </c>
      <c r="O195" s="26">
        <f t="shared" si="74"/>
        <v>3916194.69</v>
      </c>
      <c r="P195" s="26">
        <f t="shared" si="69"/>
        <v>51776696</v>
      </c>
      <c r="Q195" s="26"/>
    </row>
    <row r="196" spans="2:17" s="25" customFormat="1">
      <c r="B196" s="25" t="s">
        <v>82</v>
      </c>
      <c r="C196" s="82" t="s">
        <v>59</v>
      </c>
      <c r="D196" s="26">
        <f t="shared" si="74"/>
        <v>49343.94</v>
      </c>
      <c r="E196" s="26">
        <f t="shared" si="74"/>
        <v>52603.87</v>
      </c>
      <c r="F196" s="26">
        <f t="shared" si="74"/>
        <v>40825.67</v>
      </c>
      <c r="G196" s="26">
        <f t="shared" si="74"/>
        <v>24785.5</v>
      </c>
      <c r="H196" s="26">
        <f t="shared" si="74"/>
        <v>18363.18</v>
      </c>
      <c r="I196" s="26">
        <f t="shared" si="74"/>
        <v>20942.59</v>
      </c>
      <c r="J196" s="26">
        <f t="shared" si="74"/>
        <v>16363.51</v>
      </c>
      <c r="K196" s="26">
        <f t="shared" si="74"/>
        <v>13568.14</v>
      </c>
      <c r="L196" s="26">
        <f t="shared" si="74"/>
        <v>18972.219999999998</v>
      </c>
      <c r="M196" s="26">
        <f t="shared" si="74"/>
        <v>33141.14</v>
      </c>
      <c r="N196" s="26">
        <f t="shared" si="74"/>
        <v>34143.08</v>
      </c>
      <c r="O196" s="26">
        <f t="shared" si="74"/>
        <v>28235.31</v>
      </c>
      <c r="P196" s="26">
        <f t="shared" si="69"/>
        <v>351288.14999999997</v>
      </c>
      <c r="Q196" s="26"/>
    </row>
    <row r="197" spans="2:17" s="25" customFormat="1">
      <c r="B197" s="25" t="s">
        <v>83</v>
      </c>
      <c r="C197" s="82" t="s">
        <v>60</v>
      </c>
      <c r="D197" s="26">
        <f t="shared" si="74"/>
        <v>6317281.6500000004</v>
      </c>
      <c r="E197" s="26">
        <f t="shared" si="74"/>
        <v>6906246.4400000004</v>
      </c>
      <c r="F197" s="26">
        <f t="shared" si="74"/>
        <v>7685171.5099999998</v>
      </c>
      <c r="G197" s="26">
        <f t="shared" si="74"/>
        <v>6615627.5999999996</v>
      </c>
      <c r="H197" s="26">
        <f t="shared" si="74"/>
        <v>6953514.0099999998</v>
      </c>
      <c r="I197" s="26">
        <f t="shared" si="74"/>
        <v>6482373.2000000002</v>
      </c>
      <c r="J197" s="26">
        <f t="shared" si="74"/>
        <v>7603945.8300000001</v>
      </c>
      <c r="K197" s="26">
        <f t="shared" si="74"/>
        <v>7599367.4900000002</v>
      </c>
      <c r="L197" s="26">
        <f t="shared" si="74"/>
        <v>6557926.9699999997</v>
      </c>
      <c r="M197" s="26">
        <f t="shared" si="74"/>
        <v>6548147.0600000005</v>
      </c>
      <c r="N197" s="26">
        <f t="shared" si="74"/>
        <v>5492948.540000001</v>
      </c>
      <c r="O197" s="26">
        <f t="shared" si="74"/>
        <v>6991469.5500000007</v>
      </c>
      <c r="P197" s="26">
        <f t="shared" si="69"/>
        <v>81754019.850000009</v>
      </c>
      <c r="Q197" s="26"/>
    </row>
    <row r="198" spans="2:17" s="25" customFormat="1">
      <c r="B198" s="25" t="s">
        <v>108</v>
      </c>
      <c r="C198" s="82"/>
      <c r="D198" s="87">
        <f>SUM(D187:D197)</f>
        <v>11590997.361000001</v>
      </c>
      <c r="E198" s="87">
        <f t="shared" ref="E198:O198" si="75">SUM(E187:E197)</f>
        <v>11801997.093</v>
      </c>
      <c r="F198" s="87">
        <f t="shared" si="75"/>
        <v>13416273.393999999</v>
      </c>
      <c r="G198" s="87">
        <f t="shared" si="75"/>
        <v>11696405.495000001</v>
      </c>
      <c r="H198" s="87">
        <f t="shared" si="75"/>
        <v>11901334.470999999</v>
      </c>
      <c r="I198" s="87">
        <f t="shared" si="75"/>
        <v>11379781.249</v>
      </c>
      <c r="J198" s="87">
        <f t="shared" si="75"/>
        <v>12337465.191</v>
      </c>
      <c r="K198" s="87">
        <f t="shared" si="75"/>
        <v>12504267.726</v>
      </c>
      <c r="L198" s="87">
        <f t="shared" si="75"/>
        <v>11478373.950999999</v>
      </c>
      <c r="M198" s="87">
        <f t="shared" si="75"/>
        <v>12114585.374000002</v>
      </c>
      <c r="N198" s="87">
        <f t="shared" si="75"/>
        <v>10360898.482000001</v>
      </c>
      <c r="O198" s="87">
        <f t="shared" si="75"/>
        <v>11577996.903999999</v>
      </c>
      <c r="P198" s="87">
        <f>SUM(P187:P197)</f>
        <v>142160376.69100001</v>
      </c>
      <c r="Q198" s="22"/>
    </row>
    <row r="199" spans="2:17" s="25" customFormat="1">
      <c r="B199" s="25" t="s">
        <v>109</v>
      </c>
      <c r="C199" s="82"/>
      <c r="D199" s="87">
        <f>D185+D198</f>
        <v>166552053.47500002</v>
      </c>
      <c r="E199" s="87">
        <f t="shared" ref="E199:O199" si="76">E185+E198</f>
        <v>132722491.49300002</v>
      </c>
      <c r="F199" s="87">
        <f t="shared" si="76"/>
        <v>138038713.21000004</v>
      </c>
      <c r="G199" s="87">
        <f t="shared" si="76"/>
        <v>99007354.439999998</v>
      </c>
      <c r="H199" s="87">
        <f t="shared" si="76"/>
        <v>69941058.016000003</v>
      </c>
      <c r="I199" s="87">
        <f t="shared" si="76"/>
        <v>52323795.749999985</v>
      </c>
      <c r="J199" s="87">
        <f t="shared" si="76"/>
        <v>44513655.328999996</v>
      </c>
      <c r="K199" s="87">
        <f t="shared" si="76"/>
        <v>44848856.703000002</v>
      </c>
      <c r="L199" s="87">
        <f t="shared" si="76"/>
        <v>55568657.735000007</v>
      </c>
      <c r="M199" s="87">
        <f t="shared" si="76"/>
        <v>89253856.686000019</v>
      </c>
      <c r="N199" s="87">
        <f t="shared" si="76"/>
        <v>134669493.86799997</v>
      </c>
      <c r="O199" s="87">
        <f t="shared" si="76"/>
        <v>164547110.96399999</v>
      </c>
      <c r="P199" s="87">
        <f>P185+P198</f>
        <v>1191987097.6690001</v>
      </c>
      <c r="Q199" s="22"/>
    </row>
    <row r="200" spans="2:17">
      <c r="B200" s="25"/>
      <c r="C200" s="8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2:17">
      <c r="B201" s="91" t="s">
        <v>110</v>
      </c>
      <c r="C201" s="8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2:17">
      <c r="B202" s="391" t="s">
        <v>111</v>
      </c>
      <c r="C202" s="82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6">
        <f t="shared" ref="P202:P216" si="77">SUM(D202:O202)</f>
        <v>0</v>
      </c>
      <c r="Q202" s="26"/>
    </row>
    <row r="203" spans="2:17">
      <c r="B203" s="391" t="s">
        <v>112</v>
      </c>
      <c r="C203" s="82"/>
      <c r="D203" s="22">
        <f>D155</f>
        <v>12126683</v>
      </c>
      <c r="E203" s="22">
        <f t="shared" ref="E203:O203" si="78">E155</f>
        <v>-7614772</v>
      </c>
      <c r="F203" s="22">
        <f t="shared" si="78"/>
        <v>473028</v>
      </c>
      <c r="G203" s="22">
        <f t="shared" si="78"/>
        <v>2407991</v>
      </c>
      <c r="H203" s="22">
        <f t="shared" si="78"/>
        <v>6809472</v>
      </c>
      <c r="I203" s="22">
        <f t="shared" si="78"/>
        <v>1560235</v>
      </c>
      <c r="J203" s="22">
        <f t="shared" si="78"/>
        <v>0</v>
      </c>
      <c r="K203" s="22">
        <f t="shared" si="78"/>
        <v>0</v>
      </c>
      <c r="L203" s="22">
        <f t="shared" si="78"/>
        <v>1001702</v>
      </c>
      <c r="M203" s="22">
        <f t="shared" si="78"/>
        <v>1715731</v>
      </c>
      <c r="N203" s="22">
        <f t="shared" si="78"/>
        <v>11224034</v>
      </c>
      <c r="O203" s="22">
        <f t="shared" si="78"/>
        <v>11883254</v>
      </c>
      <c r="P203" s="26">
        <f t="shared" si="77"/>
        <v>41587358</v>
      </c>
      <c r="Q203" s="26"/>
    </row>
    <row r="204" spans="2:17">
      <c r="B204" s="93" t="s">
        <v>113</v>
      </c>
      <c r="C204" s="82"/>
      <c r="D204" s="22">
        <f>SUM(D156:D156)+D164</f>
        <v>3448555</v>
      </c>
      <c r="E204" s="22">
        <f t="shared" ref="E204:O204" si="79">SUM(E156:E156)+E164</f>
        <v>-2075842</v>
      </c>
      <c r="F204" s="22">
        <f t="shared" si="79"/>
        <v>128378</v>
      </c>
      <c r="G204" s="22">
        <f t="shared" si="79"/>
        <v>585540</v>
      </c>
      <c r="H204" s="22">
        <f t="shared" si="79"/>
        <v>1398065</v>
      </c>
      <c r="I204" s="22">
        <f t="shared" si="79"/>
        <v>24530</v>
      </c>
      <c r="J204" s="22">
        <f t="shared" si="79"/>
        <v>0</v>
      </c>
      <c r="K204" s="22">
        <f t="shared" si="79"/>
        <v>0</v>
      </c>
      <c r="L204" s="22">
        <f t="shared" si="79"/>
        <v>17098</v>
      </c>
      <c r="M204" s="22">
        <f t="shared" si="79"/>
        <v>363530</v>
      </c>
      <c r="N204" s="22">
        <f t="shared" si="79"/>
        <v>2855738</v>
      </c>
      <c r="O204" s="22">
        <f t="shared" si="79"/>
        <v>3322282</v>
      </c>
      <c r="P204" s="26">
        <f t="shared" si="77"/>
        <v>10067874</v>
      </c>
      <c r="Q204" s="26"/>
    </row>
    <row r="205" spans="2:17">
      <c r="B205" s="391" t="s">
        <v>114</v>
      </c>
      <c r="C205" s="82"/>
      <c r="D205" s="22">
        <f>SUM(D157:D157)+D165</f>
        <v>669833</v>
      </c>
      <c r="E205" s="22">
        <f t="shared" ref="E205:O205" si="80">SUM(E157:E157)+E165</f>
        <v>-403520</v>
      </c>
      <c r="F205" s="22">
        <f t="shared" si="80"/>
        <v>28969</v>
      </c>
      <c r="G205" s="22">
        <f t="shared" si="80"/>
        <v>145624</v>
      </c>
      <c r="H205" s="22">
        <f t="shared" si="80"/>
        <v>480685</v>
      </c>
      <c r="I205" s="22">
        <f t="shared" si="80"/>
        <v>124587</v>
      </c>
      <c r="J205" s="22">
        <f t="shared" si="80"/>
        <v>0</v>
      </c>
      <c r="K205" s="22">
        <f t="shared" si="80"/>
        <v>0</v>
      </c>
      <c r="L205" s="22">
        <f t="shared" si="80"/>
        <v>49115</v>
      </c>
      <c r="M205" s="22">
        <f t="shared" si="80"/>
        <v>95773</v>
      </c>
      <c r="N205" s="22">
        <f t="shared" si="80"/>
        <v>576992</v>
      </c>
      <c r="O205" s="22">
        <f t="shared" si="80"/>
        <v>616556</v>
      </c>
      <c r="P205" s="26">
        <f t="shared" si="77"/>
        <v>2384614</v>
      </c>
      <c r="Q205" s="26"/>
    </row>
    <row r="206" spans="2:17">
      <c r="B206" s="391" t="s">
        <v>115</v>
      </c>
      <c r="C206" s="82"/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6">
        <f t="shared" si="77"/>
        <v>0</v>
      </c>
      <c r="Q206" s="26"/>
    </row>
    <row r="207" spans="2:17">
      <c r="B207" s="391" t="s">
        <v>116</v>
      </c>
      <c r="C207" s="82"/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6">
        <f t="shared" si="77"/>
        <v>0</v>
      </c>
      <c r="Q207" s="26"/>
    </row>
    <row r="208" spans="2:17">
      <c r="B208" s="391" t="s">
        <v>117</v>
      </c>
      <c r="C208" s="82"/>
      <c r="D208" s="22">
        <f>D161</f>
        <v>70309</v>
      </c>
      <c r="E208" s="22">
        <f t="shared" ref="E208:O210" si="81">E161</f>
        <v>-43357</v>
      </c>
      <c r="F208" s="22">
        <f t="shared" si="81"/>
        <v>1732</v>
      </c>
      <c r="G208" s="22">
        <f t="shared" si="81"/>
        <v>7108</v>
      </c>
      <c r="H208" s="22">
        <f t="shared" si="81"/>
        <v>0</v>
      </c>
      <c r="I208" s="22">
        <f t="shared" si="81"/>
        <v>0</v>
      </c>
      <c r="J208" s="22">
        <f t="shared" si="81"/>
        <v>0</v>
      </c>
      <c r="K208" s="22">
        <f t="shared" si="81"/>
        <v>0</v>
      </c>
      <c r="L208" s="22">
        <f t="shared" si="81"/>
        <v>0</v>
      </c>
      <c r="M208" s="22">
        <f t="shared" si="81"/>
        <v>7017</v>
      </c>
      <c r="N208" s="22">
        <f t="shared" si="81"/>
        <v>13835</v>
      </c>
      <c r="O208" s="22">
        <f t="shared" si="81"/>
        <v>0</v>
      </c>
      <c r="P208" s="26">
        <f t="shared" si="77"/>
        <v>56644</v>
      </c>
      <c r="Q208" s="26"/>
    </row>
    <row r="209" spans="2:17">
      <c r="B209" s="391" t="s">
        <v>118</v>
      </c>
      <c r="C209" s="82"/>
      <c r="D209" s="22">
        <f>D162</f>
        <v>71982</v>
      </c>
      <c r="E209" s="22">
        <f t="shared" si="81"/>
        <v>-47007</v>
      </c>
      <c r="F209" s="22">
        <f t="shared" si="81"/>
        <v>1822</v>
      </c>
      <c r="G209" s="22">
        <f t="shared" si="81"/>
        <v>7404</v>
      </c>
      <c r="H209" s="22">
        <f t="shared" si="81"/>
        <v>0</v>
      </c>
      <c r="I209" s="22">
        <f t="shared" si="81"/>
        <v>0</v>
      </c>
      <c r="J209" s="22">
        <f t="shared" si="81"/>
        <v>0</v>
      </c>
      <c r="K209" s="22">
        <f t="shared" si="81"/>
        <v>0</v>
      </c>
      <c r="L209" s="22">
        <f t="shared" si="81"/>
        <v>0</v>
      </c>
      <c r="M209" s="22">
        <f t="shared" si="81"/>
        <v>8460</v>
      </c>
      <c r="N209" s="22">
        <f t="shared" si="81"/>
        <v>15762</v>
      </c>
      <c r="O209" s="22">
        <f t="shared" si="81"/>
        <v>0</v>
      </c>
      <c r="P209" s="26">
        <f t="shared" si="77"/>
        <v>58423</v>
      </c>
      <c r="Q209" s="26"/>
    </row>
    <row r="210" spans="2:17">
      <c r="B210" s="391" t="s">
        <v>119</v>
      </c>
      <c r="C210" s="82"/>
      <c r="D210" s="22">
        <f>D163</f>
        <v>94022</v>
      </c>
      <c r="E210" s="22">
        <f t="shared" si="81"/>
        <v>-52176</v>
      </c>
      <c r="F210" s="22">
        <f t="shared" si="81"/>
        <v>2076</v>
      </c>
      <c r="G210" s="22">
        <f t="shared" si="81"/>
        <v>8419</v>
      </c>
      <c r="H210" s="22">
        <f t="shared" si="81"/>
        <v>0</v>
      </c>
      <c r="I210" s="22">
        <f t="shared" si="81"/>
        <v>0</v>
      </c>
      <c r="J210" s="22">
        <f t="shared" si="81"/>
        <v>0</v>
      </c>
      <c r="K210" s="22">
        <f t="shared" si="81"/>
        <v>0</v>
      </c>
      <c r="L210" s="22">
        <f t="shared" si="81"/>
        <v>0</v>
      </c>
      <c r="M210" s="22">
        <f t="shared" si="81"/>
        <v>9079</v>
      </c>
      <c r="N210" s="22">
        <f t="shared" si="81"/>
        <v>18997</v>
      </c>
      <c r="O210" s="22">
        <f t="shared" si="81"/>
        <v>0</v>
      </c>
      <c r="P210" s="26">
        <f t="shared" si="77"/>
        <v>80417</v>
      </c>
      <c r="Q210" s="26"/>
    </row>
    <row r="211" spans="2:17">
      <c r="B211" s="25" t="s">
        <v>162</v>
      </c>
      <c r="C211" s="82"/>
      <c r="D211" s="22">
        <f>D166</f>
        <v>115</v>
      </c>
      <c r="E211" s="22">
        <f t="shared" ref="E211:O211" si="82">E166</f>
        <v>-69</v>
      </c>
      <c r="F211" s="22">
        <f t="shared" si="82"/>
        <v>2</v>
      </c>
      <c r="G211" s="22">
        <f t="shared" si="82"/>
        <v>22</v>
      </c>
      <c r="H211" s="22">
        <f t="shared" si="82"/>
        <v>47</v>
      </c>
      <c r="I211" s="22">
        <f t="shared" si="82"/>
        <v>10</v>
      </c>
      <c r="J211" s="22">
        <f t="shared" si="82"/>
        <v>0</v>
      </c>
      <c r="K211" s="22">
        <f t="shared" si="82"/>
        <v>0</v>
      </c>
      <c r="L211" s="22">
        <f t="shared" si="82"/>
        <v>0</v>
      </c>
      <c r="M211" s="22">
        <f t="shared" si="82"/>
        <v>0</v>
      </c>
      <c r="N211" s="22">
        <f t="shared" si="82"/>
        <v>0</v>
      </c>
      <c r="O211" s="22">
        <f t="shared" si="82"/>
        <v>0</v>
      </c>
      <c r="P211" s="26">
        <f>SUM(D211:O211)</f>
        <v>127</v>
      </c>
      <c r="Q211" s="26"/>
    </row>
    <row r="212" spans="2:17">
      <c r="B212" s="25" t="s">
        <v>120</v>
      </c>
      <c r="C212" s="82"/>
      <c r="D212" s="22">
        <f>D158</f>
        <v>53960</v>
      </c>
      <c r="E212" s="22">
        <f t="shared" ref="E212:O213" si="83">E158</f>
        <v>-31805</v>
      </c>
      <c r="F212" s="22">
        <f t="shared" si="83"/>
        <v>1092</v>
      </c>
      <c r="G212" s="22">
        <f t="shared" si="83"/>
        <v>12521</v>
      </c>
      <c r="H212" s="22">
        <f t="shared" si="83"/>
        <v>25984</v>
      </c>
      <c r="I212" s="22">
        <f t="shared" si="83"/>
        <v>0</v>
      </c>
      <c r="J212" s="22">
        <f t="shared" si="83"/>
        <v>0</v>
      </c>
      <c r="K212" s="22">
        <f t="shared" si="83"/>
        <v>0</v>
      </c>
      <c r="L212" s="22">
        <f t="shared" si="83"/>
        <v>0</v>
      </c>
      <c r="M212" s="22">
        <f t="shared" si="83"/>
        <v>6579</v>
      </c>
      <c r="N212" s="22">
        <f t="shared" si="83"/>
        <v>52581</v>
      </c>
      <c r="O212" s="22">
        <f t="shared" si="83"/>
        <v>37286</v>
      </c>
      <c r="P212" s="26">
        <f t="shared" si="77"/>
        <v>158198</v>
      </c>
      <c r="Q212" s="26"/>
    </row>
    <row r="213" spans="2:17">
      <c r="B213" s="25" t="s">
        <v>121</v>
      </c>
      <c r="C213" s="82"/>
      <c r="D213" s="22">
        <f>D159</f>
        <v>95773</v>
      </c>
      <c r="E213" s="22">
        <f t="shared" si="83"/>
        <v>-40499</v>
      </c>
      <c r="F213" s="22">
        <f t="shared" si="83"/>
        <v>1613</v>
      </c>
      <c r="G213" s="22">
        <f t="shared" si="83"/>
        <v>20904</v>
      </c>
      <c r="H213" s="22">
        <f t="shared" si="83"/>
        <v>62330</v>
      </c>
      <c r="I213" s="22">
        <f t="shared" si="83"/>
        <v>18537</v>
      </c>
      <c r="J213" s="22">
        <f t="shared" si="83"/>
        <v>0</v>
      </c>
      <c r="K213" s="22">
        <f t="shared" si="83"/>
        <v>0</v>
      </c>
      <c r="L213" s="22">
        <f t="shared" si="83"/>
        <v>0</v>
      </c>
      <c r="M213" s="22">
        <f t="shared" si="83"/>
        <v>10229</v>
      </c>
      <c r="N213" s="22">
        <f t="shared" si="83"/>
        <v>85356</v>
      </c>
      <c r="O213" s="22">
        <f t="shared" si="83"/>
        <v>62901</v>
      </c>
      <c r="P213" s="26">
        <f t="shared" si="77"/>
        <v>317144</v>
      </c>
      <c r="Q213" s="26"/>
    </row>
    <row r="214" spans="2:17">
      <c r="B214" s="25" t="s">
        <v>122</v>
      </c>
      <c r="C214" s="82"/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6">
        <f t="shared" si="77"/>
        <v>0</v>
      </c>
      <c r="Q214" s="26"/>
    </row>
    <row r="215" spans="2:17">
      <c r="B215" s="25" t="s">
        <v>123</v>
      </c>
      <c r="C215" s="82"/>
      <c r="D215" s="22">
        <f>D160</f>
        <v>167857</v>
      </c>
      <c r="E215" s="22">
        <f t="shared" ref="E215:O215" si="84">E160</f>
        <v>-89985</v>
      </c>
      <c r="F215" s="22">
        <f t="shared" si="84"/>
        <v>2749</v>
      </c>
      <c r="G215" s="22">
        <f t="shared" si="84"/>
        <v>37151</v>
      </c>
      <c r="H215" s="22">
        <f t="shared" si="84"/>
        <v>109586</v>
      </c>
      <c r="I215" s="22">
        <f t="shared" si="84"/>
        <v>24947</v>
      </c>
      <c r="J215" s="22">
        <f t="shared" si="84"/>
        <v>0</v>
      </c>
      <c r="K215" s="22">
        <f t="shared" si="84"/>
        <v>0</v>
      </c>
      <c r="L215" s="22">
        <f t="shared" si="84"/>
        <v>0</v>
      </c>
      <c r="M215" s="22">
        <f t="shared" si="84"/>
        <v>13997</v>
      </c>
      <c r="N215" s="22">
        <f t="shared" si="84"/>
        <v>152996</v>
      </c>
      <c r="O215" s="22">
        <f t="shared" si="84"/>
        <v>111414</v>
      </c>
      <c r="P215" s="26">
        <f t="shared" si="77"/>
        <v>530712</v>
      </c>
      <c r="Q215" s="26"/>
    </row>
    <row r="216" spans="2:17" s="18" customFormat="1">
      <c r="B216" s="93" t="s">
        <v>56</v>
      </c>
      <c r="C216" s="392"/>
      <c r="D216" s="22">
        <f>D167</f>
        <v>411040</v>
      </c>
      <c r="E216" s="22">
        <f t="shared" ref="E216:O216" si="85">E167</f>
        <v>-247412</v>
      </c>
      <c r="F216" s="22">
        <f t="shared" si="85"/>
        <v>7408</v>
      </c>
      <c r="G216" s="22">
        <f t="shared" si="85"/>
        <v>109805</v>
      </c>
      <c r="H216" s="22">
        <f t="shared" si="85"/>
        <v>290178</v>
      </c>
      <c r="I216" s="22">
        <f t="shared" si="85"/>
        <v>87068</v>
      </c>
      <c r="J216" s="22">
        <f t="shared" si="85"/>
        <v>0</v>
      </c>
      <c r="K216" s="22">
        <f t="shared" si="85"/>
        <v>0</v>
      </c>
      <c r="L216" s="22">
        <f t="shared" si="85"/>
        <v>76403</v>
      </c>
      <c r="M216" s="22">
        <f t="shared" si="85"/>
        <v>48603</v>
      </c>
      <c r="N216" s="22">
        <f t="shared" si="85"/>
        <v>412742</v>
      </c>
      <c r="O216" s="22">
        <f t="shared" si="85"/>
        <v>246614</v>
      </c>
      <c r="P216" s="22">
        <f t="shared" si="77"/>
        <v>1442449</v>
      </c>
      <c r="Q216" s="22"/>
    </row>
    <row r="217" spans="2:17">
      <c r="B217" s="92" t="s">
        <v>101</v>
      </c>
      <c r="C217" s="85"/>
      <c r="D217" s="33">
        <f>SUM(D202:D216)</f>
        <v>17210129</v>
      </c>
      <c r="E217" s="33">
        <f t="shared" ref="E217:P217" si="86">SUM(E202:E216)</f>
        <v>-10646444</v>
      </c>
      <c r="F217" s="33">
        <f t="shared" si="86"/>
        <v>648869</v>
      </c>
      <c r="G217" s="33">
        <f t="shared" si="86"/>
        <v>3342489</v>
      </c>
      <c r="H217" s="33">
        <f t="shared" si="86"/>
        <v>9176347</v>
      </c>
      <c r="I217" s="33">
        <f t="shared" si="86"/>
        <v>1839914</v>
      </c>
      <c r="J217" s="33">
        <f t="shared" si="86"/>
        <v>0</v>
      </c>
      <c r="K217" s="33">
        <f t="shared" si="86"/>
        <v>0</v>
      </c>
      <c r="L217" s="33">
        <f t="shared" si="86"/>
        <v>1144318</v>
      </c>
      <c r="M217" s="33">
        <f t="shared" si="86"/>
        <v>2278998</v>
      </c>
      <c r="N217" s="33">
        <f t="shared" si="86"/>
        <v>15409033</v>
      </c>
      <c r="O217" s="33">
        <f t="shared" si="86"/>
        <v>16280307</v>
      </c>
      <c r="P217" s="33">
        <f t="shared" si="86"/>
        <v>56683960</v>
      </c>
      <c r="Q217" s="20"/>
    </row>
    <row r="218" spans="2:17">
      <c r="B218" s="95" t="s">
        <v>55</v>
      </c>
      <c r="C218" s="96"/>
      <c r="D218" s="97">
        <f>D217-D152</f>
        <v>-1.0336297564208508</v>
      </c>
      <c r="E218" s="97">
        <f t="shared" ref="E218:O218" si="87">E217-E152</f>
        <v>1.0201138965785503</v>
      </c>
      <c r="F218" s="97">
        <f t="shared" si="87"/>
        <v>1.945725679397583</v>
      </c>
      <c r="G218" s="97">
        <f t="shared" si="87"/>
        <v>-1.1089804284274578</v>
      </c>
      <c r="H218" s="97">
        <v>-0.57264885306358304</v>
      </c>
      <c r="I218" s="97">
        <f t="shared" si="87"/>
        <v>-6.451600044965744E-2</v>
      </c>
      <c r="J218" s="97">
        <f t="shared" si="87"/>
        <v>0</v>
      </c>
      <c r="K218" s="97">
        <f t="shared" si="87"/>
        <v>0</v>
      </c>
      <c r="L218" s="97">
        <f>L217-L152</f>
        <v>-0.46923542395234108</v>
      </c>
      <c r="M218" s="97">
        <f t="shared" si="87"/>
        <v>1.1866466416977346</v>
      </c>
      <c r="N218" s="97">
        <f t="shared" si="87"/>
        <v>-0.28063419461250305</v>
      </c>
      <c r="O218" s="97">
        <f t="shared" si="87"/>
        <v>0.39442460238933563</v>
      </c>
      <c r="P218" s="97">
        <f>P217-P152</f>
        <v>1.7340948134660721</v>
      </c>
      <c r="Q218" s="20"/>
    </row>
    <row r="219" spans="2:17">
      <c r="C219" s="85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2:17">
      <c r="B220" s="91" t="s">
        <v>124</v>
      </c>
      <c r="C220" s="85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2:17">
      <c r="B221" s="92" t="s">
        <v>111</v>
      </c>
      <c r="C221" s="85"/>
      <c r="D221" s="20">
        <f>D187</f>
        <v>797.62900000000002</v>
      </c>
      <c r="E221" s="20">
        <f t="shared" ref="E221:O221" si="88">E187</f>
        <v>723.62300000000005</v>
      </c>
      <c r="F221" s="20">
        <f t="shared" si="88"/>
        <v>835.85599999999999</v>
      </c>
      <c r="G221" s="20">
        <f t="shared" si="88"/>
        <v>821.65099999999995</v>
      </c>
      <c r="H221" s="20">
        <f t="shared" si="88"/>
        <v>818.67499999999995</v>
      </c>
      <c r="I221" s="20">
        <f t="shared" si="88"/>
        <v>776.11900000000003</v>
      </c>
      <c r="J221" s="20">
        <f t="shared" si="88"/>
        <v>813.22500000000002</v>
      </c>
      <c r="K221" s="20">
        <f t="shared" si="88"/>
        <v>791.37</v>
      </c>
      <c r="L221" s="20">
        <f t="shared" si="88"/>
        <v>794.43100000000004</v>
      </c>
      <c r="M221" s="20">
        <f t="shared" si="88"/>
        <v>846.26900000000001</v>
      </c>
      <c r="N221" s="20">
        <f t="shared" si="88"/>
        <v>670.62199999999996</v>
      </c>
      <c r="O221" s="20">
        <f t="shared" si="88"/>
        <v>654.63400000000001</v>
      </c>
      <c r="P221" s="29">
        <f t="shared" ref="P221:P234" si="89">SUM(D221:O221)</f>
        <v>9344.1039999999994</v>
      </c>
      <c r="Q221" s="29"/>
    </row>
    <row r="222" spans="2:17">
      <c r="B222" s="92" t="s">
        <v>112</v>
      </c>
      <c r="C222" s="85"/>
      <c r="D222" s="20">
        <f>D172+D188</f>
        <v>97231172.010000005</v>
      </c>
      <c r="E222" s="20">
        <f t="shared" ref="E222:O222" si="90">E172+E188</f>
        <v>73373174.103999987</v>
      </c>
      <c r="F222" s="20">
        <f t="shared" si="90"/>
        <v>75850006.523000002</v>
      </c>
      <c r="G222" s="20">
        <f t="shared" si="90"/>
        <v>50273385.369000003</v>
      </c>
      <c r="H222" s="20">
        <f t="shared" si="90"/>
        <v>30885641.842999998</v>
      </c>
      <c r="I222" s="20">
        <f t="shared" si="90"/>
        <v>19280944.662999999</v>
      </c>
      <c r="J222" s="20">
        <f t="shared" si="90"/>
        <v>13445152.333000001</v>
      </c>
      <c r="K222" s="20">
        <f t="shared" si="90"/>
        <v>13243856.593</v>
      </c>
      <c r="L222" s="20">
        <f t="shared" si="90"/>
        <v>21691921.379000001</v>
      </c>
      <c r="M222" s="20">
        <f t="shared" si="90"/>
        <v>44274554.725000001</v>
      </c>
      <c r="N222" s="20">
        <f t="shared" si="90"/>
        <v>77701213.745000005</v>
      </c>
      <c r="O222" s="20">
        <f t="shared" si="90"/>
        <v>96411150.341000006</v>
      </c>
      <c r="P222" s="29">
        <f t="shared" si="89"/>
        <v>613662173.62800002</v>
      </c>
      <c r="Q222" s="29"/>
    </row>
    <row r="223" spans="2:17">
      <c r="B223" s="93" t="s">
        <v>113</v>
      </c>
      <c r="C223" s="85"/>
      <c r="D223" s="20">
        <f>SUM(D173:D173)+D181</f>
        <v>33819692.616999999</v>
      </c>
      <c r="E223" s="20">
        <f t="shared" ref="E223:O223" si="91">SUM(E173:E173)+E181</f>
        <v>26737897.267999999</v>
      </c>
      <c r="F223" s="20">
        <f t="shared" si="91"/>
        <v>27366430.184999999</v>
      </c>
      <c r="G223" s="20">
        <f t="shared" si="91"/>
        <v>19228638.309</v>
      </c>
      <c r="H223" s="20">
        <f t="shared" si="91"/>
        <v>12820359.558</v>
      </c>
      <c r="I223" s="20">
        <f t="shared" si="91"/>
        <v>9367756.5649999995</v>
      </c>
      <c r="J223" s="20">
        <f t="shared" si="91"/>
        <v>8114096.0209999997</v>
      </c>
      <c r="K223" s="20">
        <f t="shared" si="91"/>
        <v>8197714.5269999998</v>
      </c>
      <c r="L223" s="20">
        <f t="shared" si="91"/>
        <v>10191004.529999999</v>
      </c>
      <c r="M223" s="20">
        <f t="shared" si="91"/>
        <v>16641099.625</v>
      </c>
      <c r="N223" s="20">
        <f t="shared" si="91"/>
        <v>26448166.673</v>
      </c>
      <c r="O223" s="20">
        <f t="shared" si="91"/>
        <v>33312367.024999999</v>
      </c>
      <c r="P223" s="29">
        <f t="shared" si="89"/>
        <v>232245222.90300003</v>
      </c>
      <c r="Q223" s="29"/>
    </row>
    <row r="224" spans="2:17">
      <c r="B224" s="92" t="s">
        <v>114</v>
      </c>
      <c r="C224" s="85"/>
      <c r="D224" s="20">
        <f>D174+D182</f>
        <v>8199254.8569999998</v>
      </c>
      <c r="E224" s="20">
        <f t="shared" ref="E224:O224" si="92">E174+E182</f>
        <v>6874533.6730000004</v>
      </c>
      <c r="F224" s="20">
        <f t="shared" si="92"/>
        <v>7186710.3210000005</v>
      </c>
      <c r="G224" s="20">
        <f t="shared" si="92"/>
        <v>5748760.6760000009</v>
      </c>
      <c r="H224" s="20">
        <f t="shared" si="92"/>
        <v>4512371.5020000003</v>
      </c>
      <c r="I224" s="20">
        <f t="shared" si="92"/>
        <v>3584100.8420000002</v>
      </c>
      <c r="J224" s="20">
        <f t="shared" si="92"/>
        <v>2929327.7139999997</v>
      </c>
      <c r="K224" s="20">
        <f t="shared" si="92"/>
        <v>2967290.9019999998</v>
      </c>
      <c r="L224" s="20">
        <f t="shared" si="92"/>
        <v>3573563.4449999998</v>
      </c>
      <c r="M224" s="20">
        <f t="shared" si="92"/>
        <v>5086765.5100000007</v>
      </c>
      <c r="N224" s="20">
        <f t="shared" si="92"/>
        <v>6841150.0810000002</v>
      </c>
      <c r="O224" s="20">
        <f t="shared" si="92"/>
        <v>7994035.0350000001</v>
      </c>
      <c r="P224" s="29">
        <f t="shared" si="89"/>
        <v>65497864.558000013</v>
      </c>
      <c r="Q224" s="29"/>
    </row>
    <row r="225" spans="2:17">
      <c r="B225" s="92" t="s">
        <v>115</v>
      </c>
      <c r="C225" s="85"/>
      <c r="D225" s="20">
        <f>D189</f>
        <v>0</v>
      </c>
      <c r="E225" s="20">
        <f t="shared" ref="E225:O225" si="93">E189</f>
        <v>0</v>
      </c>
      <c r="F225" s="20">
        <f t="shared" si="93"/>
        <v>0</v>
      </c>
      <c r="G225" s="20">
        <f t="shared" si="93"/>
        <v>0</v>
      </c>
      <c r="H225" s="20">
        <f t="shared" si="93"/>
        <v>0</v>
      </c>
      <c r="I225" s="20">
        <f t="shared" si="93"/>
        <v>0</v>
      </c>
      <c r="J225" s="20">
        <f t="shared" si="93"/>
        <v>0</v>
      </c>
      <c r="K225" s="20">
        <f t="shared" si="93"/>
        <v>0</v>
      </c>
      <c r="L225" s="20">
        <f t="shared" si="93"/>
        <v>0</v>
      </c>
      <c r="M225" s="20">
        <f t="shared" si="93"/>
        <v>0</v>
      </c>
      <c r="N225" s="20">
        <f t="shared" si="93"/>
        <v>0</v>
      </c>
      <c r="O225" s="20">
        <f t="shared" si="93"/>
        <v>0</v>
      </c>
      <c r="P225" s="29">
        <f t="shared" si="89"/>
        <v>0</v>
      </c>
      <c r="Q225" s="29"/>
    </row>
    <row r="226" spans="2:17">
      <c r="B226" s="92" t="s">
        <v>116</v>
      </c>
      <c r="C226" s="85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9">
        <f t="shared" si="89"/>
        <v>0</v>
      </c>
      <c r="Q226" s="29"/>
    </row>
    <row r="227" spans="2:17">
      <c r="B227" s="391" t="s">
        <v>117</v>
      </c>
      <c r="C227" s="82"/>
      <c r="D227" s="22">
        <f>D178+D191</f>
        <v>1933608.2690000001</v>
      </c>
      <c r="E227" s="22">
        <f t="shared" ref="E227:O229" si="94">E178+E191</f>
        <v>1680524.0340000002</v>
      </c>
      <c r="F227" s="22">
        <f t="shared" si="94"/>
        <v>1789387.747</v>
      </c>
      <c r="G227" s="22">
        <f t="shared" si="94"/>
        <v>1400451.9129999999</v>
      </c>
      <c r="H227" s="22">
        <f t="shared" si="94"/>
        <v>1046948.3860000001</v>
      </c>
      <c r="I227" s="22">
        <f t="shared" si="94"/>
        <v>846566.86300000013</v>
      </c>
      <c r="J227" s="22">
        <f t="shared" si="94"/>
        <v>751275.15700000012</v>
      </c>
      <c r="K227" s="22">
        <f t="shared" si="94"/>
        <v>818592.84</v>
      </c>
      <c r="L227" s="22">
        <f t="shared" si="94"/>
        <v>951488.03799999994</v>
      </c>
      <c r="M227" s="22">
        <f t="shared" si="94"/>
        <v>1246629.8770000001</v>
      </c>
      <c r="N227" s="22">
        <f t="shared" si="94"/>
        <v>1526244.0460000001</v>
      </c>
      <c r="O227" s="22">
        <f t="shared" si="94"/>
        <v>1796281.3839999998</v>
      </c>
      <c r="P227" s="26">
        <f t="shared" si="89"/>
        <v>15787998.554000001</v>
      </c>
      <c r="Q227" s="26"/>
    </row>
    <row r="228" spans="2:17">
      <c r="B228" s="391" t="s">
        <v>118</v>
      </c>
      <c r="C228" s="82"/>
      <c r="D228" s="22">
        <f>D179+D192</f>
        <v>1276427.676</v>
      </c>
      <c r="E228" s="22">
        <f t="shared" si="94"/>
        <v>1068462.2690000001</v>
      </c>
      <c r="F228" s="22">
        <f t="shared" si="94"/>
        <v>1127196.3709999998</v>
      </c>
      <c r="G228" s="22">
        <f t="shared" si="94"/>
        <v>864727.49600000004</v>
      </c>
      <c r="H228" s="22">
        <f t="shared" si="94"/>
        <v>484538.7</v>
      </c>
      <c r="I228" s="22">
        <f t="shared" si="94"/>
        <v>321778.14299999998</v>
      </c>
      <c r="J228" s="22">
        <f t="shared" si="94"/>
        <v>219962.299</v>
      </c>
      <c r="K228" s="22">
        <f t="shared" si="94"/>
        <v>215005.26</v>
      </c>
      <c r="L228" s="22">
        <f t="shared" si="94"/>
        <v>362844.38800000004</v>
      </c>
      <c r="M228" s="22">
        <f t="shared" si="94"/>
        <v>702396.77799999993</v>
      </c>
      <c r="N228" s="22">
        <f t="shared" si="94"/>
        <v>948760.799</v>
      </c>
      <c r="O228" s="22">
        <f t="shared" si="94"/>
        <v>1160536.6139999998</v>
      </c>
      <c r="P228" s="26">
        <f t="shared" si="89"/>
        <v>8752636.7929999996</v>
      </c>
      <c r="Q228" s="26"/>
    </row>
    <row r="229" spans="2:17">
      <c r="B229" s="391" t="s">
        <v>119</v>
      </c>
      <c r="C229" s="82"/>
      <c r="D229" s="22">
        <f>D180+D193</f>
        <v>2582095.4070000001</v>
      </c>
      <c r="E229" s="22">
        <f t="shared" si="94"/>
        <v>2453869.7620000001</v>
      </c>
      <c r="F229" s="22">
        <f t="shared" si="94"/>
        <v>2432020.3769999999</v>
      </c>
      <c r="G229" s="22">
        <f t="shared" si="94"/>
        <v>2074669.916</v>
      </c>
      <c r="H229" s="22">
        <f t="shared" si="94"/>
        <v>1485710.202</v>
      </c>
      <c r="I229" s="22">
        <f t="shared" si="94"/>
        <v>1430551.095</v>
      </c>
      <c r="J229" s="22">
        <f t="shared" si="94"/>
        <v>1280281.31</v>
      </c>
      <c r="K229" s="22">
        <f t="shared" si="94"/>
        <v>1275025.321</v>
      </c>
      <c r="L229" s="22">
        <f t="shared" si="94"/>
        <v>1372715.9339999999</v>
      </c>
      <c r="M229" s="22">
        <f t="shared" si="94"/>
        <v>1756849.892</v>
      </c>
      <c r="N229" s="22">
        <f t="shared" si="94"/>
        <v>2152439.2620000001</v>
      </c>
      <c r="O229" s="22">
        <f t="shared" si="94"/>
        <v>2585495.1809999999</v>
      </c>
      <c r="P229" s="26">
        <f t="shared" si="89"/>
        <v>22881723.659000002</v>
      </c>
      <c r="Q229" s="26"/>
    </row>
    <row r="230" spans="2:17">
      <c r="B230" s="25" t="s">
        <v>162</v>
      </c>
      <c r="C230" s="82"/>
      <c r="D230" s="22">
        <f>D183+D190</f>
        <v>5002.67</v>
      </c>
      <c r="E230" s="22">
        <f t="shared" ref="E230:O230" si="95">E183+E190</f>
        <v>6550.45</v>
      </c>
      <c r="F230" s="22">
        <f t="shared" si="95"/>
        <v>5064.18</v>
      </c>
      <c r="G230" s="22">
        <f t="shared" si="95"/>
        <v>3517.5600000000004</v>
      </c>
      <c r="H230" s="22">
        <f t="shared" si="95"/>
        <v>1618.33</v>
      </c>
      <c r="I230" s="22">
        <f t="shared" si="95"/>
        <v>992.44</v>
      </c>
      <c r="J230" s="22">
        <f t="shared" si="95"/>
        <v>798.62</v>
      </c>
      <c r="K230" s="22">
        <f t="shared" si="95"/>
        <v>838.78</v>
      </c>
      <c r="L230" s="22">
        <f t="shared" si="95"/>
        <v>1047.7</v>
      </c>
      <c r="M230" s="22">
        <f t="shared" si="95"/>
        <v>1466.72</v>
      </c>
      <c r="N230" s="22">
        <f t="shared" si="95"/>
        <v>2139.9299999999998</v>
      </c>
      <c r="O230" s="22">
        <f t="shared" si="95"/>
        <v>2460.83</v>
      </c>
      <c r="P230" s="26">
        <f t="shared" si="89"/>
        <v>31498.21</v>
      </c>
      <c r="Q230" s="26"/>
    </row>
    <row r="231" spans="2:17">
      <c r="B231" s="25" t="s">
        <v>120</v>
      </c>
      <c r="C231" s="82"/>
      <c r="D231" s="22">
        <f>D175+D194</f>
        <v>1896974.1</v>
      </c>
      <c r="E231" s="22">
        <f t="shared" ref="E231:O232" si="96">E175+E194</f>
        <v>1747749.17</v>
      </c>
      <c r="F231" s="22">
        <f t="shared" si="96"/>
        <v>1903759.5399999998</v>
      </c>
      <c r="G231" s="22">
        <f t="shared" si="96"/>
        <v>1695900.24</v>
      </c>
      <c r="H231" s="22">
        <f t="shared" si="96"/>
        <v>1615187.25</v>
      </c>
      <c r="I231" s="22">
        <f t="shared" si="96"/>
        <v>1585578.37</v>
      </c>
      <c r="J231" s="22">
        <f t="shared" si="96"/>
        <v>1532375.2000000002</v>
      </c>
      <c r="K231" s="22">
        <f t="shared" si="96"/>
        <v>1597051.59</v>
      </c>
      <c r="L231" s="22">
        <f t="shared" si="96"/>
        <v>1518330.34</v>
      </c>
      <c r="M231" s="22">
        <f t="shared" si="96"/>
        <v>1784480.0699999998</v>
      </c>
      <c r="N231" s="22">
        <f t="shared" si="96"/>
        <v>1838826.6099999999</v>
      </c>
      <c r="O231" s="22">
        <f t="shared" si="96"/>
        <v>1900801.94</v>
      </c>
      <c r="P231" s="26">
        <f t="shared" si="89"/>
        <v>20617014.420000002</v>
      </c>
      <c r="Q231" s="26"/>
    </row>
    <row r="232" spans="2:17">
      <c r="B232" s="25" t="s">
        <v>121</v>
      </c>
      <c r="C232" s="82"/>
      <c r="D232" s="22">
        <f>D176+D195</f>
        <v>6677618.04</v>
      </c>
      <c r="E232" s="22">
        <f t="shared" si="96"/>
        <v>6081561.6100000003</v>
      </c>
      <c r="F232" s="22">
        <f t="shared" si="96"/>
        <v>6977294.3499999996</v>
      </c>
      <c r="G232" s="22">
        <f t="shared" si="96"/>
        <v>6172882.9199999999</v>
      </c>
      <c r="H232" s="22">
        <f t="shared" si="96"/>
        <v>6120130.4900000002</v>
      </c>
      <c r="I232" s="22">
        <f t="shared" si="96"/>
        <v>5984493.8599999994</v>
      </c>
      <c r="J232" s="22">
        <f t="shared" si="96"/>
        <v>5788622.3399999999</v>
      </c>
      <c r="K232" s="22">
        <f t="shared" si="96"/>
        <v>5929213.9500000002</v>
      </c>
      <c r="L232" s="22">
        <f t="shared" si="96"/>
        <v>5963637.7799999993</v>
      </c>
      <c r="M232" s="22">
        <f t="shared" si="96"/>
        <v>6781134.96</v>
      </c>
      <c r="N232" s="22">
        <f t="shared" si="96"/>
        <v>6236362.5</v>
      </c>
      <c r="O232" s="22">
        <f t="shared" si="96"/>
        <v>6119205.4100000001</v>
      </c>
      <c r="P232" s="26">
        <f t="shared" si="89"/>
        <v>74832158.210000008</v>
      </c>
      <c r="Q232" s="26"/>
    </row>
    <row r="233" spans="2:17">
      <c r="B233" s="25" t="s">
        <v>125</v>
      </c>
      <c r="C233" s="82"/>
      <c r="D233" s="22">
        <f>D196</f>
        <v>49343.94</v>
      </c>
      <c r="E233" s="22">
        <f t="shared" ref="E233:O233" si="97">E196</f>
        <v>52603.87</v>
      </c>
      <c r="F233" s="22">
        <f t="shared" si="97"/>
        <v>40825.67</v>
      </c>
      <c r="G233" s="22">
        <f t="shared" si="97"/>
        <v>24785.5</v>
      </c>
      <c r="H233" s="22">
        <f t="shared" si="97"/>
        <v>18363.18</v>
      </c>
      <c r="I233" s="22">
        <f t="shared" si="97"/>
        <v>20942.59</v>
      </c>
      <c r="J233" s="22">
        <f t="shared" si="97"/>
        <v>16363.51</v>
      </c>
      <c r="K233" s="22">
        <f t="shared" si="97"/>
        <v>13568.14</v>
      </c>
      <c r="L233" s="22">
        <f t="shared" si="97"/>
        <v>18972.219999999998</v>
      </c>
      <c r="M233" s="22">
        <f t="shared" si="97"/>
        <v>33141.14</v>
      </c>
      <c r="N233" s="22">
        <f t="shared" si="97"/>
        <v>34143.08</v>
      </c>
      <c r="O233" s="22">
        <f t="shared" si="97"/>
        <v>28235.31</v>
      </c>
      <c r="P233" s="26">
        <f t="shared" si="89"/>
        <v>351288.14999999997</v>
      </c>
      <c r="Q233" s="26"/>
    </row>
    <row r="234" spans="2:17">
      <c r="B234" s="25" t="s">
        <v>123</v>
      </c>
      <c r="C234" s="82"/>
      <c r="D234" s="22">
        <f>D177+D197</f>
        <v>8436598.5199999996</v>
      </c>
      <c r="E234" s="22">
        <f t="shared" ref="E234:O234" si="98">E177+E197</f>
        <v>8777355.3900000006</v>
      </c>
      <c r="F234" s="22">
        <f t="shared" si="98"/>
        <v>9545363.1600000001</v>
      </c>
      <c r="G234" s="22">
        <f t="shared" si="98"/>
        <v>8252639.4799999995</v>
      </c>
      <c r="H234" s="22">
        <f t="shared" si="98"/>
        <v>8341789.8599999994</v>
      </c>
      <c r="I234" s="22">
        <f t="shared" si="98"/>
        <v>7675361.1500000004</v>
      </c>
      <c r="J234" s="22">
        <f t="shared" si="98"/>
        <v>8618473.3499999996</v>
      </c>
      <c r="K234" s="22">
        <f t="shared" si="98"/>
        <v>8692811.5600000005</v>
      </c>
      <c r="L234" s="22">
        <f t="shared" si="98"/>
        <v>7685008.5999999996</v>
      </c>
      <c r="M234" s="22">
        <f t="shared" si="98"/>
        <v>7999972.3100000005</v>
      </c>
      <c r="N234" s="22">
        <f t="shared" si="98"/>
        <v>7185633.330000001</v>
      </c>
      <c r="O234" s="22">
        <f t="shared" si="98"/>
        <v>9016301.0200000014</v>
      </c>
      <c r="P234" s="26">
        <f t="shared" si="89"/>
        <v>100227307.72999999</v>
      </c>
      <c r="Q234" s="26"/>
    </row>
    <row r="235" spans="2:17" s="18" customFormat="1">
      <c r="B235" s="93" t="s">
        <v>56</v>
      </c>
      <c r="C235" s="392"/>
      <c r="D235" s="22">
        <f>D184</f>
        <v>4443467.74</v>
      </c>
      <c r="E235" s="22">
        <f t="shared" ref="E235:O235" si="99">E184</f>
        <v>3867486.2699999996</v>
      </c>
      <c r="F235" s="22">
        <f t="shared" si="99"/>
        <v>3813818.93</v>
      </c>
      <c r="G235" s="22">
        <f t="shared" si="99"/>
        <v>3266173.4099999997</v>
      </c>
      <c r="H235" s="22">
        <f t="shared" si="99"/>
        <v>2607580.04</v>
      </c>
      <c r="I235" s="22">
        <f t="shared" si="99"/>
        <v>2223953.0499999998</v>
      </c>
      <c r="J235" s="22">
        <f t="shared" si="99"/>
        <v>1816114.2500000002</v>
      </c>
      <c r="K235" s="22">
        <f t="shared" si="99"/>
        <v>1897095.8699999999</v>
      </c>
      <c r="L235" s="22">
        <f t="shared" si="99"/>
        <v>2237328.9500000002</v>
      </c>
      <c r="M235" s="22">
        <f t="shared" si="99"/>
        <v>2944518.8099999996</v>
      </c>
      <c r="N235" s="22">
        <f t="shared" si="99"/>
        <v>3753743.19</v>
      </c>
      <c r="O235" s="22">
        <f t="shared" si="99"/>
        <v>4219586.24</v>
      </c>
      <c r="P235" s="22">
        <f>P184</f>
        <v>37090866.75</v>
      </c>
      <c r="Q235" s="22"/>
    </row>
    <row r="236" spans="2:17">
      <c r="B236" s="391" t="s">
        <v>126</v>
      </c>
      <c r="C236" s="82"/>
      <c r="D236" s="87">
        <f t="shared" ref="D236:P236" si="100">SUM(D221:D235)</f>
        <v>166552053.47499999</v>
      </c>
      <c r="E236" s="87">
        <f t="shared" ref="E236:O236" si="101">SUM(E221:E235)</f>
        <v>132722491.49299997</v>
      </c>
      <c r="F236" s="87">
        <f t="shared" si="101"/>
        <v>138038713.21000004</v>
      </c>
      <c r="G236" s="87">
        <f t="shared" si="101"/>
        <v>99007354.439999998</v>
      </c>
      <c r="H236" s="87">
        <f t="shared" si="101"/>
        <v>69941058.016000003</v>
      </c>
      <c r="I236" s="87">
        <f t="shared" si="101"/>
        <v>52323795.749999993</v>
      </c>
      <c r="J236" s="87">
        <f t="shared" si="101"/>
        <v>44513655.328999996</v>
      </c>
      <c r="K236" s="87">
        <f t="shared" si="101"/>
        <v>44848856.703000002</v>
      </c>
      <c r="L236" s="87">
        <f t="shared" si="101"/>
        <v>55568657.735000014</v>
      </c>
      <c r="M236" s="87">
        <f t="shared" si="101"/>
        <v>89253856.68599999</v>
      </c>
      <c r="N236" s="87">
        <f t="shared" si="101"/>
        <v>134669493.868</v>
      </c>
      <c r="O236" s="87">
        <f t="shared" si="101"/>
        <v>164547110.96400002</v>
      </c>
      <c r="P236" s="87">
        <f t="shared" si="100"/>
        <v>1191987097.6689999</v>
      </c>
      <c r="Q236" s="22"/>
    </row>
    <row r="237" spans="2:17">
      <c r="B237" s="393" t="s">
        <v>55</v>
      </c>
      <c r="C237" s="394"/>
      <c r="D237" s="99">
        <f>D236-D199</f>
        <v>0</v>
      </c>
      <c r="E237" s="99">
        <f t="shared" ref="E237:P237" si="102">E236-E199</f>
        <v>0</v>
      </c>
      <c r="F237" s="99">
        <f t="shared" si="102"/>
        <v>0</v>
      </c>
      <c r="G237" s="99">
        <f t="shared" si="102"/>
        <v>0</v>
      </c>
      <c r="H237" s="99">
        <f t="shared" si="102"/>
        <v>0</v>
      </c>
      <c r="I237" s="99">
        <f t="shared" si="102"/>
        <v>0</v>
      </c>
      <c r="J237" s="99">
        <f t="shared" si="102"/>
        <v>0</v>
      </c>
      <c r="K237" s="99">
        <f t="shared" si="102"/>
        <v>0</v>
      </c>
      <c r="L237" s="99">
        <f t="shared" si="102"/>
        <v>0</v>
      </c>
      <c r="M237" s="99">
        <f t="shared" si="102"/>
        <v>0</v>
      </c>
      <c r="N237" s="99">
        <f t="shared" si="102"/>
        <v>0</v>
      </c>
      <c r="O237" s="99">
        <f t="shared" si="102"/>
        <v>0</v>
      </c>
      <c r="P237" s="99">
        <f t="shared" si="102"/>
        <v>0</v>
      </c>
      <c r="Q237" s="22"/>
    </row>
    <row r="238" spans="2:17">
      <c r="B238" s="25"/>
      <c r="C238" s="8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2:17">
      <c r="B239" s="91" t="s">
        <v>127</v>
      </c>
      <c r="C239" s="8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2:17" s="25" customFormat="1">
      <c r="B240" s="93" t="s">
        <v>128</v>
      </c>
      <c r="C240" s="82"/>
      <c r="D240" s="22">
        <f t="shared" ref="D240:O240" si="103">SUM(D36:D38)</f>
        <v>768045</v>
      </c>
      <c r="E240" s="22">
        <f t="shared" si="103"/>
        <v>769188</v>
      </c>
      <c r="F240" s="22">
        <f t="shared" si="103"/>
        <v>769910</v>
      </c>
      <c r="G240" s="22">
        <f t="shared" si="103"/>
        <v>770300</v>
      </c>
      <c r="H240" s="22">
        <f t="shared" si="103"/>
        <v>770946</v>
      </c>
      <c r="I240" s="22">
        <f t="shared" si="103"/>
        <v>771263</v>
      </c>
      <c r="J240" s="22">
        <f t="shared" si="103"/>
        <v>771479</v>
      </c>
      <c r="K240" s="22">
        <f t="shared" si="103"/>
        <v>772033</v>
      </c>
      <c r="L240" s="22">
        <f t="shared" si="103"/>
        <v>772621</v>
      </c>
      <c r="M240" s="22">
        <f t="shared" si="103"/>
        <v>774710</v>
      </c>
      <c r="N240" s="22">
        <f t="shared" si="103"/>
        <v>776870</v>
      </c>
      <c r="O240" s="22">
        <f t="shared" si="103"/>
        <v>778198</v>
      </c>
      <c r="P240" s="22">
        <f t="shared" ref="P240:P253" si="104">SUM(D240:O240)</f>
        <v>9265563</v>
      </c>
      <c r="Q240" s="22"/>
    </row>
    <row r="241" spans="2:17" s="25" customFormat="1">
      <c r="B241" s="93" t="s">
        <v>113</v>
      </c>
      <c r="C241" s="82"/>
      <c r="D241" s="22">
        <f t="shared" ref="D241:O241" si="105">SUM(D40,D47)</f>
        <v>56658</v>
      </c>
      <c r="E241" s="22">
        <f t="shared" si="105"/>
        <v>56661</v>
      </c>
      <c r="F241" s="22">
        <f t="shared" si="105"/>
        <v>56738</v>
      </c>
      <c r="G241" s="22">
        <f t="shared" si="105"/>
        <v>56700</v>
      </c>
      <c r="H241" s="22">
        <f t="shared" si="105"/>
        <v>56684</v>
      </c>
      <c r="I241" s="22">
        <f t="shared" si="105"/>
        <v>56609</v>
      </c>
      <c r="J241" s="22">
        <f t="shared" si="105"/>
        <v>56581</v>
      </c>
      <c r="K241" s="22">
        <f t="shared" si="105"/>
        <v>56565</v>
      </c>
      <c r="L241" s="22">
        <f t="shared" si="105"/>
        <v>56549</v>
      </c>
      <c r="M241" s="22">
        <f t="shared" si="105"/>
        <v>56699</v>
      </c>
      <c r="N241" s="22">
        <f t="shared" si="105"/>
        <v>56842</v>
      </c>
      <c r="O241" s="22">
        <f t="shared" si="105"/>
        <v>56976</v>
      </c>
      <c r="P241" s="22">
        <f t="shared" si="104"/>
        <v>680262</v>
      </c>
      <c r="Q241" s="22"/>
    </row>
    <row r="242" spans="2:17">
      <c r="B242" s="93" t="s">
        <v>114</v>
      </c>
      <c r="C242" s="82"/>
      <c r="D242" s="22">
        <f t="shared" ref="D242:O242" si="106">D41+D48</f>
        <v>1362</v>
      </c>
      <c r="E242" s="22">
        <f t="shared" si="106"/>
        <v>1357</v>
      </c>
      <c r="F242" s="22">
        <f t="shared" si="106"/>
        <v>1360</v>
      </c>
      <c r="G242" s="22">
        <f t="shared" si="106"/>
        <v>1363</v>
      </c>
      <c r="H242" s="22">
        <f t="shared" si="106"/>
        <v>1361</v>
      </c>
      <c r="I242" s="22">
        <f t="shared" si="106"/>
        <v>1352</v>
      </c>
      <c r="J242" s="22">
        <f t="shared" si="106"/>
        <v>1315</v>
      </c>
      <c r="K242" s="22">
        <f t="shared" si="106"/>
        <v>1302</v>
      </c>
      <c r="L242" s="22">
        <f t="shared" si="106"/>
        <v>1301</v>
      </c>
      <c r="M242" s="22">
        <f t="shared" si="106"/>
        <v>1308</v>
      </c>
      <c r="N242" s="22">
        <f t="shared" si="106"/>
        <v>1318</v>
      </c>
      <c r="O242" s="22">
        <f t="shared" si="106"/>
        <v>1319</v>
      </c>
      <c r="P242" s="22">
        <f t="shared" si="104"/>
        <v>16018</v>
      </c>
      <c r="Q242" s="22"/>
    </row>
    <row r="243" spans="2:17">
      <c r="B243" s="391" t="s">
        <v>115</v>
      </c>
      <c r="C243" s="82"/>
      <c r="D243" s="22">
        <f t="shared" ref="D243:O243" si="107">D42</f>
        <v>0</v>
      </c>
      <c r="E243" s="22">
        <f t="shared" si="107"/>
        <v>0</v>
      </c>
      <c r="F243" s="22">
        <f t="shared" si="107"/>
        <v>0</v>
      </c>
      <c r="G243" s="22">
        <f t="shared" si="107"/>
        <v>0</v>
      </c>
      <c r="H243" s="22">
        <f t="shared" si="107"/>
        <v>0</v>
      </c>
      <c r="I243" s="22">
        <f t="shared" si="107"/>
        <v>0</v>
      </c>
      <c r="J243" s="22">
        <f t="shared" si="107"/>
        <v>0</v>
      </c>
      <c r="K243" s="22">
        <f t="shared" si="107"/>
        <v>0</v>
      </c>
      <c r="L243" s="22">
        <f t="shared" si="107"/>
        <v>0</v>
      </c>
      <c r="M243" s="22">
        <f t="shared" si="107"/>
        <v>0</v>
      </c>
      <c r="N243" s="22">
        <f t="shared" si="107"/>
        <v>0</v>
      </c>
      <c r="O243" s="22">
        <f t="shared" si="107"/>
        <v>0</v>
      </c>
      <c r="P243" s="22">
        <f t="shared" si="104"/>
        <v>0</v>
      </c>
      <c r="Q243" s="22"/>
    </row>
    <row r="244" spans="2:17">
      <c r="B244" s="93" t="s">
        <v>281</v>
      </c>
      <c r="C244" s="82"/>
      <c r="D244" s="22">
        <f t="shared" ref="D244:O244" si="108">SUM(D39,D43,D49)</f>
        <v>0</v>
      </c>
      <c r="E244" s="22">
        <f t="shared" si="108"/>
        <v>0</v>
      </c>
      <c r="F244" s="22">
        <f t="shared" si="108"/>
        <v>0</v>
      </c>
      <c r="G244" s="22">
        <f t="shared" si="108"/>
        <v>0</v>
      </c>
      <c r="H244" s="22">
        <f t="shared" si="108"/>
        <v>0</v>
      </c>
      <c r="I244" s="22">
        <f t="shared" si="108"/>
        <v>0</v>
      </c>
      <c r="J244" s="22">
        <f t="shared" si="108"/>
        <v>0</v>
      </c>
      <c r="K244" s="22">
        <f t="shared" si="108"/>
        <v>0</v>
      </c>
      <c r="L244" s="22">
        <f t="shared" si="108"/>
        <v>0</v>
      </c>
      <c r="M244" s="22">
        <f t="shared" si="108"/>
        <v>0</v>
      </c>
      <c r="N244" s="22">
        <f t="shared" si="108"/>
        <v>0</v>
      </c>
      <c r="O244" s="22">
        <f t="shared" si="108"/>
        <v>0</v>
      </c>
      <c r="P244" s="22">
        <f t="shared" si="104"/>
        <v>0</v>
      </c>
      <c r="Q244" s="22"/>
    </row>
    <row r="245" spans="2:17">
      <c r="B245" s="93" t="s">
        <v>117</v>
      </c>
      <c r="C245" s="82"/>
      <c r="D245" s="22">
        <f t="shared" ref="D245:O247" si="109">D44+D50</f>
        <v>29</v>
      </c>
      <c r="E245" s="22">
        <f t="shared" si="109"/>
        <v>29</v>
      </c>
      <c r="F245" s="22">
        <f t="shared" si="109"/>
        <v>29</v>
      </c>
      <c r="G245" s="22">
        <f t="shared" si="109"/>
        <v>29</v>
      </c>
      <c r="H245" s="22">
        <f t="shared" si="109"/>
        <v>29</v>
      </c>
      <c r="I245" s="22">
        <f t="shared" si="109"/>
        <v>28</v>
      </c>
      <c r="J245" s="22">
        <f t="shared" si="109"/>
        <v>28</v>
      </c>
      <c r="K245" s="22">
        <f t="shared" si="109"/>
        <v>28</v>
      </c>
      <c r="L245" s="22">
        <f t="shared" si="109"/>
        <v>28</v>
      </c>
      <c r="M245" s="22">
        <f t="shared" si="109"/>
        <v>28</v>
      </c>
      <c r="N245" s="22">
        <f t="shared" si="109"/>
        <v>28</v>
      </c>
      <c r="O245" s="22">
        <f t="shared" si="109"/>
        <v>28</v>
      </c>
      <c r="P245" s="22">
        <f t="shared" si="104"/>
        <v>341</v>
      </c>
      <c r="Q245" s="22"/>
    </row>
    <row r="246" spans="2:17">
      <c r="B246" s="93" t="s">
        <v>118</v>
      </c>
      <c r="C246" s="82"/>
      <c r="D246" s="22">
        <f t="shared" si="109"/>
        <v>228</v>
      </c>
      <c r="E246" s="22">
        <f t="shared" si="109"/>
        <v>228</v>
      </c>
      <c r="F246" s="22">
        <f t="shared" si="109"/>
        <v>228</v>
      </c>
      <c r="G246" s="22">
        <f t="shared" si="109"/>
        <v>228</v>
      </c>
      <c r="H246" s="22">
        <f t="shared" si="109"/>
        <v>227</v>
      </c>
      <c r="I246" s="22">
        <f t="shared" si="109"/>
        <v>227</v>
      </c>
      <c r="J246" s="22">
        <f t="shared" si="109"/>
        <v>226</v>
      </c>
      <c r="K246" s="22">
        <f t="shared" si="109"/>
        <v>226</v>
      </c>
      <c r="L246" s="22">
        <f t="shared" si="109"/>
        <v>226</v>
      </c>
      <c r="M246" s="22">
        <f t="shared" si="109"/>
        <v>226</v>
      </c>
      <c r="N246" s="22">
        <f t="shared" si="109"/>
        <v>223</v>
      </c>
      <c r="O246" s="22">
        <f t="shared" si="109"/>
        <v>219</v>
      </c>
      <c r="P246" s="22">
        <f t="shared" si="104"/>
        <v>2712</v>
      </c>
      <c r="Q246" s="22"/>
    </row>
    <row r="247" spans="2:17">
      <c r="B247" s="93" t="s">
        <v>119</v>
      </c>
      <c r="C247" s="82"/>
      <c r="D247" s="22">
        <f t="shared" si="109"/>
        <v>5</v>
      </c>
      <c r="E247" s="22">
        <f t="shared" si="109"/>
        <v>5</v>
      </c>
      <c r="F247" s="22">
        <f t="shared" si="109"/>
        <v>5</v>
      </c>
      <c r="G247" s="22">
        <f t="shared" si="109"/>
        <v>5</v>
      </c>
      <c r="H247" s="22">
        <f t="shared" si="109"/>
        <v>5</v>
      </c>
      <c r="I247" s="22">
        <f t="shared" si="109"/>
        <v>5</v>
      </c>
      <c r="J247" s="22">
        <f t="shared" si="109"/>
        <v>5</v>
      </c>
      <c r="K247" s="22">
        <f t="shared" si="109"/>
        <v>5</v>
      </c>
      <c r="L247" s="22">
        <f t="shared" si="109"/>
        <v>5</v>
      </c>
      <c r="M247" s="22">
        <f t="shared" si="109"/>
        <v>5</v>
      </c>
      <c r="N247" s="22">
        <f t="shared" si="109"/>
        <v>5</v>
      </c>
      <c r="O247" s="22">
        <f t="shared" si="109"/>
        <v>5</v>
      </c>
      <c r="P247" s="22">
        <f t="shared" si="104"/>
        <v>60</v>
      </c>
      <c r="Q247" s="22"/>
    </row>
    <row r="248" spans="2:17">
      <c r="B248" s="25" t="s">
        <v>162</v>
      </c>
      <c r="C248" s="82"/>
      <c r="D248" s="22">
        <f>D53+D58</f>
        <v>3</v>
      </c>
      <c r="E248" s="22">
        <f t="shared" ref="E248:O248" si="110">E53+E58</f>
        <v>3</v>
      </c>
      <c r="F248" s="22">
        <f t="shared" si="110"/>
        <v>3</v>
      </c>
      <c r="G248" s="22">
        <f t="shared" si="110"/>
        <v>3</v>
      </c>
      <c r="H248" s="22">
        <f t="shared" si="110"/>
        <v>3</v>
      </c>
      <c r="I248" s="22">
        <f t="shared" si="110"/>
        <v>3</v>
      </c>
      <c r="J248" s="22">
        <f t="shared" si="110"/>
        <v>3</v>
      </c>
      <c r="K248" s="22">
        <f t="shared" si="110"/>
        <v>2</v>
      </c>
      <c r="L248" s="22">
        <f t="shared" si="110"/>
        <v>2</v>
      </c>
      <c r="M248" s="22">
        <f t="shared" si="110"/>
        <v>2</v>
      </c>
      <c r="N248" s="22">
        <f t="shared" si="110"/>
        <v>2</v>
      </c>
      <c r="O248" s="22">
        <f t="shared" si="110"/>
        <v>2</v>
      </c>
      <c r="P248" s="22">
        <f t="shared" si="104"/>
        <v>31</v>
      </c>
      <c r="Q248" s="22"/>
    </row>
    <row r="249" spans="2:17">
      <c r="B249" s="25" t="s">
        <v>120</v>
      </c>
      <c r="C249" s="82"/>
      <c r="D249" s="22">
        <f t="shared" ref="D249:O251" si="111">D54+D59</f>
        <v>103</v>
      </c>
      <c r="E249" s="22">
        <f t="shared" si="111"/>
        <v>105</v>
      </c>
      <c r="F249" s="22">
        <f t="shared" si="111"/>
        <v>105</v>
      </c>
      <c r="G249" s="22">
        <f t="shared" si="111"/>
        <v>105</v>
      </c>
      <c r="H249" s="22">
        <f t="shared" si="111"/>
        <v>105</v>
      </c>
      <c r="I249" s="22">
        <f t="shared" si="111"/>
        <v>109</v>
      </c>
      <c r="J249" s="22">
        <f t="shared" si="111"/>
        <v>109</v>
      </c>
      <c r="K249" s="22">
        <f t="shared" si="111"/>
        <v>109</v>
      </c>
      <c r="L249" s="22">
        <f t="shared" si="111"/>
        <v>109</v>
      </c>
      <c r="M249" s="22">
        <f t="shared" si="111"/>
        <v>109</v>
      </c>
      <c r="N249" s="22">
        <f t="shared" si="111"/>
        <v>106</v>
      </c>
      <c r="O249" s="22">
        <f t="shared" si="111"/>
        <v>106</v>
      </c>
      <c r="P249" s="22">
        <f t="shared" si="104"/>
        <v>1280</v>
      </c>
      <c r="Q249" s="22"/>
    </row>
    <row r="250" spans="2:17">
      <c r="B250" s="25" t="s">
        <v>121</v>
      </c>
      <c r="C250" s="82"/>
      <c r="D250" s="22">
        <f t="shared" si="111"/>
        <v>101</v>
      </c>
      <c r="E250" s="22">
        <f t="shared" si="111"/>
        <v>101</v>
      </c>
      <c r="F250" s="22">
        <f t="shared" si="111"/>
        <v>101</v>
      </c>
      <c r="G250" s="22">
        <f t="shared" si="111"/>
        <v>101</v>
      </c>
      <c r="H250" s="22">
        <f t="shared" si="111"/>
        <v>102</v>
      </c>
      <c r="I250" s="22">
        <f t="shared" si="111"/>
        <v>103</v>
      </c>
      <c r="J250" s="22">
        <f t="shared" si="111"/>
        <v>103</v>
      </c>
      <c r="K250" s="22">
        <f t="shared" si="111"/>
        <v>103</v>
      </c>
      <c r="L250" s="22">
        <f t="shared" si="111"/>
        <v>103</v>
      </c>
      <c r="M250" s="22">
        <f t="shared" si="111"/>
        <v>103</v>
      </c>
      <c r="N250" s="22">
        <f t="shared" si="111"/>
        <v>103</v>
      </c>
      <c r="O250" s="22">
        <f t="shared" si="111"/>
        <v>103</v>
      </c>
      <c r="P250" s="22">
        <f t="shared" si="104"/>
        <v>1227</v>
      </c>
      <c r="Q250" s="22"/>
    </row>
    <row r="251" spans="2:17">
      <c r="B251" s="25" t="s">
        <v>125</v>
      </c>
      <c r="C251" s="82"/>
      <c r="D251" s="22">
        <f>D56+D61</f>
        <v>2</v>
      </c>
      <c r="E251" s="22">
        <f t="shared" si="111"/>
        <v>2</v>
      </c>
      <c r="F251" s="22">
        <f t="shared" si="111"/>
        <v>2</v>
      </c>
      <c r="G251" s="22">
        <f t="shared" si="111"/>
        <v>2</v>
      </c>
      <c r="H251" s="22">
        <f t="shared" si="111"/>
        <v>2</v>
      </c>
      <c r="I251" s="22">
        <f t="shared" si="111"/>
        <v>2</v>
      </c>
      <c r="J251" s="22">
        <f t="shared" si="111"/>
        <v>2</v>
      </c>
      <c r="K251" s="22">
        <f t="shared" si="111"/>
        <v>2</v>
      </c>
      <c r="L251" s="22">
        <f t="shared" si="111"/>
        <v>2</v>
      </c>
      <c r="M251" s="22">
        <f t="shared" si="111"/>
        <v>2</v>
      </c>
      <c r="N251" s="22">
        <f t="shared" si="111"/>
        <v>2</v>
      </c>
      <c r="O251" s="22">
        <f t="shared" si="111"/>
        <v>3</v>
      </c>
      <c r="P251" s="22">
        <f t="shared" si="104"/>
        <v>25</v>
      </c>
      <c r="Q251" s="22"/>
    </row>
    <row r="252" spans="2:17">
      <c r="B252" s="25" t="s">
        <v>123</v>
      </c>
      <c r="C252" s="82"/>
      <c r="D252" s="22">
        <f t="shared" ref="D252:O252" si="112">D57+D62</f>
        <v>10</v>
      </c>
      <c r="E252" s="22">
        <f t="shared" si="112"/>
        <v>10</v>
      </c>
      <c r="F252" s="22">
        <f t="shared" si="112"/>
        <v>10</v>
      </c>
      <c r="G252" s="22">
        <f t="shared" si="112"/>
        <v>10</v>
      </c>
      <c r="H252" s="22">
        <f t="shared" si="112"/>
        <v>10</v>
      </c>
      <c r="I252" s="22">
        <f t="shared" si="112"/>
        <v>10</v>
      </c>
      <c r="J252" s="22">
        <f t="shared" si="112"/>
        <v>10</v>
      </c>
      <c r="K252" s="22">
        <f t="shared" si="112"/>
        <v>10</v>
      </c>
      <c r="L252" s="22">
        <f t="shared" si="112"/>
        <v>10</v>
      </c>
      <c r="M252" s="22">
        <f t="shared" si="112"/>
        <v>10</v>
      </c>
      <c r="N252" s="22">
        <f t="shared" si="112"/>
        <v>10</v>
      </c>
      <c r="O252" s="22">
        <f t="shared" si="112"/>
        <v>10</v>
      </c>
      <c r="P252" s="22">
        <f t="shared" si="104"/>
        <v>120</v>
      </c>
      <c r="Q252" s="22"/>
    </row>
    <row r="253" spans="2:17" s="18" customFormat="1">
      <c r="B253" s="93" t="s">
        <v>56</v>
      </c>
      <c r="C253" s="392"/>
      <c r="D253" s="22">
        <f t="shared" ref="D253:O253" si="113">SUM(D63:D63)</f>
        <v>10</v>
      </c>
      <c r="E253" s="22">
        <f t="shared" si="113"/>
        <v>10</v>
      </c>
      <c r="F253" s="22">
        <f t="shared" si="113"/>
        <v>10</v>
      </c>
      <c r="G253" s="22">
        <f t="shared" si="113"/>
        <v>10</v>
      </c>
      <c r="H253" s="22">
        <f t="shared" si="113"/>
        <v>10</v>
      </c>
      <c r="I253" s="22">
        <f t="shared" si="113"/>
        <v>10</v>
      </c>
      <c r="J253" s="22">
        <f t="shared" si="113"/>
        <v>10</v>
      </c>
      <c r="K253" s="22">
        <f t="shared" si="113"/>
        <v>10</v>
      </c>
      <c r="L253" s="22">
        <f t="shared" si="113"/>
        <v>10</v>
      </c>
      <c r="M253" s="22">
        <f t="shared" si="113"/>
        <v>10</v>
      </c>
      <c r="N253" s="22">
        <f t="shared" si="113"/>
        <v>10</v>
      </c>
      <c r="O253" s="22">
        <f t="shared" si="113"/>
        <v>10</v>
      </c>
      <c r="P253" s="22">
        <f t="shared" si="104"/>
        <v>120</v>
      </c>
      <c r="Q253" s="22"/>
    </row>
    <row r="254" spans="2:17">
      <c r="B254" s="25" t="s">
        <v>129</v>
      </c>
      <c r="C254" s="82"/>
      <c r="D254" s="87">
        <f t="shared" ref="D254:P254" si="114">SUM(D240:D253)</f>
        <v>826556</v>
      </c>
      <c r="E254" s="87">
        <f t="shared" si="114"/>
        <v>827699</v>
      </c>
      <c r="F254" s="87">
        <f t="shared" si="114"/>
        <v>828501</v>
      </c>
      <c r="G254" s="87">
        <f t="shared" si="114"/>
        <v>828856</v>
      </c>
      <c r="H254" s="87">
        <f t="shared" si="114"/>
        <v>829484</v>
      </c>
      <c r="I254" s="87">
        <f t="shared" si="114"/>
        <v>829721</v>
      </c>
      <c r="J254" s="87">
        <f t="shared" si="114"/>
        <v>829871</v>
      </c>
      <c r="K254" s="87">
        <f t="shared" si="114"/>
        <v>830395</v>
      </c>
      <c r="L254" s="87">
        <f t="shared" si="114"/>
        <v>830966</v>
      </c>
      <c r="M254" s="87">
        <f t="shared" si="114"/>
        <v>833212</v>
      </c>
      <c r="N254" s="87">
        <f t="shared" si="114"/>
        <v>835519</v>
      </c>
      <c r="O254" s="87">
        <f t="shared" si="114"/>
        <v>836979</v>
      </c>
      <c r="P254" s="87">
        <f t="shared" si="114"/>
        <v>9967759</v>
      </c>
      <c r="Q254" s="22"/>
    </row>
    <row r="255" spans="2:17">
      <c r="B255" s="98" t="s">
        <v>55</v>
      </c>
      <c r="C255" s="394"/>
      <c r="D255" s="99">
        <f t="shared" ref="D255:P255" si="115">D254-D64</f>
        <v>0</v>
      </c>
      <c r="E255" s="99">
        <f t="shared" si="115"/>
        <v>0</v>
      </c>
      <c r="F255" s="99">
        <f t="shared" si="115"/>
        <v>0</v>
      </c>
      <c r="G255" s="99">
        <f t="shared" si="115"/>
        <v>0</v>
      </c>
      <c r="H255" s="99">
        <f t="shared" si="115"/>
        <v>0</v>
      </c>
      <c r="I255" s="99">
        <f t="shared" si="115"/>
        <v>0</v>
      </c>
      <c r="J255" s="99">
        <f t="shared" si="115"/>
        <v>0</v>
      </c>
      <c r="K255" s="99">
        <f t="shared" si="115"/>
        <v>0</v>
      </c>
      <c r="L255" s="99">
        <f t="shared" si="115"/>
        <v>0</v>
      </c>
      <c r="M255" s="99">
        <f t="shared" si="115"/>
        <v>0</v>
      </c>
      <c r="N255" s="99">
        <f t="shared" si="115"/>
        <v>0</v>
      </c>
      <c r="O255" s="99">
        <f t="shared" si="115"/>
        <v>0</v>
      </c>
      <c r="P255" s="99">
        <f t="shared" si="115"/>
        <v>0</v>
      </c>
      <c r="Q255" s="22"/>
    </row>
    <row r="256" spans="2:17">
      <c r="B256" s="25"/>
      <c r="C256" s="8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2:17">
      <c r="B257" s="91" t="s">
        <v>130</v>
      </c>
      <c r="C257" s="85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</row>
    <row r="258" spans="2:17">
      <c r="B258" s="12" t="s">
        <v>128</v>
      </c>
      <c r="C258" s="85"/>
      <c r="D258" s="20">
        <f>SUM(D221:D222)</f>
        <v>97231969.638999999</v>
      </c>
      <c r="E258" s="20">
        <f t="shared" ref="E258:O258" si="116">SUM(E221:E222)</f>
        <v>73373897.726999983</v>
      </c>
      <c r="F258" s="20">
        <f t="shared" si="116"/>
        <v>75850842.379000008</v>
      </c>
      <c r="G258" s="20">
        <f t="shared" si="116"/>
        <v>50274207.020000003</v>
      </c>
      <c r="H258" s="20">
        <f t="shared" si="116"/>
        <v>30886460.517999999</v>
      </c>
      <c r="I258" s="20">
        <f t="shared" si="116"/>
        <v>19281720.781999998</v>
      </c>
      <c r="J258" s="20">
        <f t="shared" si="116"/>
        <v>13445965.558</v>
      </c>
      <c r="K258" s="20">
        <f t="shared" si="116"/>
        <v>13244647.963</v>
      </c>
      <c r="L258" s="20">
        <f t="shared" si="116"/>
        <v>21692715.810000002</v>
      </c>
      <c r="M258" s="20">
        <f t="shared" si="116"/>
        <v>44275400.994000003</v>
      </c>
      <c r="N258" s="20">
        <f t="shared" si="116"/>
        <v>77701884.366999999</v>
      </c>
      <c r="O258" s="20">
        <f t="shared" si="116"/>
        <v>96411804.975000009</v>
      </c>
      <c r="P258" s="20">
        <f t="shared" ref="P258:P270" si="117">SUM(D258:O258)</f>
        <v>613671517.73199999</v>
      </c>
      <c r="Q258" s="20"/>
    </row>
    <row r="259" spans="2:17">
      <c r="B259" s="93" t="s">
        <v>113</v>
      </c>
      <c r="C259" s="85"/>
      <c r="D259" s="20">
        <f>SUM(D223:D223,D226:D226)</f>
        <v>33819692.616999999</v>
      </c>
      <c r="E259" s="20">
        <f t="shared" ref="E259:O259" si="118">SUM(E223:E223,E226:E226)</f>
        <v>26737897.267999999</v>
      </c>
      <c r="F259" s="20">
        <f t="shared" si="118"/>
        <v>27366430.184999999</v>
      </c>
      <c r="G259" s="20">
        <f t="shared" si="118"/>
        <v>19228638.309</v>
      </c>
      <c r="H259" s="20">
        <f t="shared" si="118"/>
        <v>12820359.558</v>
      </c>
      <c r="I259" s="20">
        <f t="shared" si="118"/>
        <v>9367756.5649999995</v>
      </c>
      <c r="J259" s="20">
        <f t="shared" si="118"/>
        <v>8114096.0209999997</v>
      </c>
      <c r="K259" s="20">
        <f t="shared" si="118"/>
        <v>8197714.5269999998</v>
      </c>
      <c r="L259" s="20">
        <f t="shared" si="118"/>
        <v>10191004.529999999</v>
      </c>
      <c r="M259" s="20">
        <f t="shared" si="118"/>
        <v>16641099.625</v>
      </c>
      <c r="N259" s="20">
        <f t="shared" si="118"/>
        <v>26448166.673</v>
      </c>
      <c r="O259" s="20">
        <f t="shared" si="118"/>
        <v>33312367.024999999</v>
      </c>
      <c r="P259" s="20">
        <f t="shared" si="117"/>
        <v>232245222.90300003</v>
      </c>
      <c r="Q259" s="20"/>
    </row>
    <row r="260" spans="2:17">
      <c r="B260" s="12" t="s">
        <v>114</v>
      </c>
      <c r="C260" s="85"/>
      <c r="D260" s="20">
        <f>D224</f>
        <v>8199254.8569999998</v>
      </c>
      <c r="E260" s="20">
        <f t="shared" ref="E260:O261" si="119">E224</f>
        <v>6874533.6730000004</v>
      </c>
      <c r="F260" s="20">
        <f t="shared" si="119"/>
        <v>7186710.3210000005</v>
      </c>
      <c r="G260" s="20">
        <f t="shared" si="119"/>
        <v>5748760.6760000009</v>
      </c>
      <c r="H260" s="20">
        <f t="shared" si="119"/>
        <v>4512371.5020000003</v>
      </c>
      <c r="I260" s="20">
        <f t="shared" si="119"/>
        <v>3584100.8420000002</v>
      </c>
      <c r="J260" s="20">
        <f t="shared" si="119"/>
        <v>2929327.7139999997</v>
      </c>
      <c r="K260" s="20">
        <f t="shared" si="119"/>
        <v>2967290.9019999998</v>
      </c>
      <c r="L260" s="20">
        <f t="shared" si="119"/>
        <v>3573563.4449999998</v>
      </c>
      <c r="M260" s="20">
        <f t="shared" si="119"/>
        <v>5086765.5100000007</v>
      </c>
      <c r="N260" s="20">
        <f t="shared" si="119"/>
        <v>6841150.0810000002</v>
      </c>
      <c r="O260" s="20">
        <f t="shared" si="119"/>
        <v>7994035.0350000001</v>
      </c>
      <c r="P260" s="20">
        <f t="shared" si="117"/>
        <v>65497864.558000013</v>
      </c>
      <c r="Q260" s="20"/>
    </row>
    <row r="261" spans="2:17">
      <c r="B261" s="92" t="s">
        <v>115</v>
      </c>
      <c r="C261" s="85"/>
      <c r="D261" s="20">
        <f>D225</f>
        <v>0</v>
      </c>
      <c r="E261" s="20">
        <f t="shared" si="119"/>
        <v>0</v>
      </c>
      <c r="F261" s="20">
        <f t="shared" si="119"/>
        <v>0</v>
      </c>
      <c r="G261" s="20">
        <f t="shared" si="119"/>
        <v>0</v>
      </c>
      <c r="H261" s="20">
        <f t="shared" si="119"/>
        <v>0</v>
      </c>
      <c r="I261" s="20">
        <f t="shared" si="119"/>
        <v>0</v>
      </c>
      <c r="J261" s="20">
        <f t="shared" si="119"/>
        <v>0</v>
      </c>
      <c r="K261" s="20">
        <f t="shared" si="119"/>
        <v>0</v>
      </c>
      <c r="L261" s="20">
        <f t="shared" si="119"/>
        <v>0</v>
      </c>
      <c r="M261" s="20">
        <f t="shared" si="119"/>
        <v>0</v>
      </c>
      <c r="N261" s="20">
        <f t="shared" si="119"/>
        <v>0</v>
      </c>
      <c r="O261" s="20">
        <f t="shared" si="119"/>
        <v>0</v>
      </c>
      <c r="P261" s="20">
        <f t="shared" si="117"/>
        <v>0</v>
      </c>
      <c r="Q261" s="20"/>
    </row>
    <row r="262" spans="2:17">
      <c r="B262" s="12" t="s">
        <v>117</v>
      </c>
      <c r="C262" s="85"/>
      <c r="D262" s="20">
        <f t="shared" ref="D262:O270" si="120">D227</f>
        <v>1933608.2690000001</v>
      </c>
      <c r="E262" s="20">
        <f t="shared" si="120"/>
        <v>1680524.0340000002</v>
      </c>
      <c r="F262" s="20">
        <f t="shared" si="120"/>
        <v>1789387.747</v>
      </c>
      <c r="G262" s="20">
        <f t="shared" si="120"/>
        <v>1400451.9129999999</v>
      </c>
      <c r="H262" s="20">
        <f t="shared" si="120"/>
        <v>1046948.3860000001</v>
      </c>
      <c r="I262" s="20">
        <f t="shared" si="120"/>
        <v>846566.86300000013</v>
      </c>
      <c r="J262" s="20">
        <f t="shared" si="120"/>
        <v>751275.15700000012</v>
      </c>
      <c r="K262" s="20">
        <f t="shared" si="120"/>
        <v>818592.84</v>
      </c>
      <c r="L262" s="20">
        <f t="shared" si="120"/>
        <v>951488.03799999994</v>
      </c>
      <c r="M262" s="20">
        <f t="shared" si="120"/>
        <v>1246629.8770000001</v>
      </c>
      <c r="N262" s="20">
        <f t="shared" si="120"/>
        <v>1526244.0460000001</v>
      </c>
      <c r="O262" s="20">
        <f t="shared" si="120"/>
        <v>1796281.3839999998</v>
      </c>
      <c r="P262" s="20">
        <f t="shared" si="117"/>
        <v>15787998.554000001</v>
      </c>
      <c r="Q262" s="20"/>
    </row>
    <row r="263" spans="2:17">
      <c r="B263" s="12" t="s">
        <v>118</v>
      </c>
      <c r="C263" s="85"/>
      <c r="D263" s="20">
        <f t="shared" si="120"/>
        <v>1276427.676</v>
      </c>
      <c r="E263" s="20">
        <f t="shared" si="120"/>
        <v>1068462.2690000001</v>
      </c>
      <c r="F263" s="20">
        <f t="shared" si="120"/>
        <v>1127196.3709999998</v>
      </c>
      <c r="G263" s="20">
        <f t="shared" si="120"/>
        <v>864727.49600000004</v>
      </c>
      <c r="H263" s="20">
        <f t="shared" si="120"/>
        <v>484538.7</v>
      </c>
      <c r="I263" s="20">
        <f t="shared" si="120"/>
        <v>321778.14299999998</v>
      </c>
      <c r="J263" s="20">
        <f t="shared" si="120"/>
        <v>219962.299</v>
      </c>
      <c r="K263" s="20">
        <f t="shared" si="120"/>
        <v>215005.26</v>
      </c>
      <c r="L263" s="20">
        <f t="shared" si="120"/>
        <v>362844.38800000004</v>
      </c>
      <c r="M263" s="20">
        <f t="shared" si="120"/>
        <v>702396.77799999993</v>
      </c>
      <c r="N263" s="20">
        <f t="shared" si="120"/>
        <v>948760.799</v>
      </c>
      <c r="O263" s="20">
        <f t="shared" si="120"/>
        <v>1160536.6139999998</v>
      </c>
      <c r="P263" s="20">
        <f t="shared" si="117"/>
        <v>8752636.7929999996</v>
      </c>
      <c r="Q263" s="20"/>
    </row>
    <row r="264" spans="2:17">
      <c r="B264" s="12" t="s">
        <v>119</v>
      </c>
      <c r="C264" s="85"/>
      <c r="D264" s="20">
        <f t="shared" si="120"/>
        <v>2582095.4070000001</v>
      </c>
      <c r="E264" s="20">
        <f t="shared" si="120"/>
        <v>2453869.7620000001</v>
      </c>
      <c r="F264" s="20">
        <f t="shared" si="120"/>
        <v>2432020.3769999999</v>
      </c>
      <c r="G264" s="20">
        <f t="shared" si="120"/>
        <v>2074669.916</v>
      </c>
      <c r="H264" s="20">
        <f t="shared" si="120"/>
        <v>1485710.202</v>
      </c>
      <c r="I264" s="20">
        <f t="shared" si="120"/>
        <v>1430551.095</v>
      </c>
      <c r="J264" s="20">
        <f t="shared" si="120"/>
        <v>1280281.31</v>
      </c>
      <c r="K264" s="20">
        <f t="shared" si="120"/>
        <v>1275025.321</v>
      </c>
      <c r="L264" s="20">
        <f t="shared" si="120"/>
        <v>1372715.9339999999</v>
      </c>
      <c r="M264" s="20">
        <f t="shared" si="120"/>
        <v>1756849.892</v>
      </c>
      <c r="N264" s="20">
        <f t="shared" si="120"/>
        <v>2152439.2620000001</v>
      </c>
      <c r="O264" s="20">
        <f t="shared" si="120"/>
        <v>2585495.1809999999</v>
      </c>
      <c r="P264" s="20">
        <f t="shared" si="117"/>
        <v>22881723.659000002</v>
      </c>
      <c r="Q264" s="20"/>
    </row>
    <row r="265" spans="2:17">
      <c r="B265" s="16" t="s">
        <v>162</v>
      </c>
      <c r="C265" s="85"/>
      <c r="D265" s="20">
        <f t="shared" si="120"/>
        <v>5002.67</v>
      </c>
      <c r="E265" s="20">
        <f t="shared" si="120"/>
        <v>6550.45</v>
      </c>
      <c r="F265" s="20">
        <f t="shared" si="120"/>
        <v>5064.18</v>
      </c>
      <c r="G265" s="20">
        <f t="shared" si="120"/>
        <v>3517.5600000000004</v>
      </c>
      <c r="H265" s="20">
        <f t="shared" si="120"/>
        <v>1618.33</v>
      </c>
      <c r="I265" s="20">
        <f t="shared" si="120"/>
        <v>992.44</v>
      </c>
      <c r="J265" s="20">
        <f t="shared" si="120"/>
        <v>798.62</v>
      </c>
      <c r="K265" s="20">
        <f t="shared" si="120"/>
        <v>838.78</v>
      </c>
      <c r="L265" s="20">
        <f t="shared" si="120"/>
        <v>1047.7</v>
      </c>
      <c r="M265" s="20">
        <f t="shared" si="120"/>
        <v>1466.72</v>
      </c>
      <c r="N265" s="20">
        <f t="shared" si="120"/>
        <v>2139.9299999999998</v>
      </c>
      <c r="O265" s="20">
        <f t="shared" si="120"/>
        <v>2460.83</v>
      </c>
      <c r="P265" s="20">
        <f t="shared" si="117"/>
        <v>31498.21</v>
      </c>
      <c r="Q265" s="20"/>
    </row>
    <row r="266" spans="2:17">
      <c r="B266" s="16" t="s">
        <v>120</v>
      </c>
      <c r="C266" s="85"/>
      <c r="D266" s="20">
        <f t="shared" si="120"/>
        <v>1896974.1</v>
      </c>
      <c r="E266" s="20">
        <f t="shared" si="120"/>
        <v>1747749.17</v>
      </c>
      <c r="F266" s="20">
        <f t="shared" si="120"/>
        <v>1903759.5399999998</v>
      </c>
      <c r="G266" s="20">
        <f t="shared" si="120"/>
        <v>1695900.24</v>
      </c>
      <c r="H266" s="20">
        <f t="shared" si="120"/>
        <v>1615187.25</v>
      </c>
      <c r="I266" s="20">
        <f t="shared" si="120"/>
        <v>1585578.37</v>
      </c>
      <c r="J266" s="20">
        <f t="shared" si="120"/>
        <v>1532375.2000000002</v>
      </c>
      <c r="K266" s="20">
        <f t="shared" si="120"/>
        <v>1597051.59</v>
      </c>
      <c r="L266" s="20">
        <f t="shared" si="120"/>
        <v>1518330.34</v>
      </c>
      <c r="M266" s="20">
        <f t="shared" si="120"/>
        <v>1784480.0699999998</v>
      </c>
      <c r="N266" s="20">
        <f t="shared" si="120"/>
        <v>1838826.6099999999</v>
      </c>
      <c r="O266" s="20">
        <f t="shared" si="120"/>
        <v>1900801.94</v>
      </c>
      <c r="P266" s="20">
        <f t="shared" si="117"/>
        <v>20617014.420000002</v>
      </c>
      <c r="Q266" s="20"/>
    </row>
    <row r="267" spans="2:17">
      <c r="B267" s="16" t="s">
        <v>121</v>
      </c>
      <c r="C267" s="85"/>
      <c r="D267" s="20">
        <f t="shared" si="120"/>
        <v>6677618.04</v>
      </c>
      <c r="E267" s="20">
        <f t="shared" si="120"/>
        <v>6081561.6100000003</v>
      </c>
      <c r="F267" s="20">
        <f t="shared" si="120"/>
        <v>6977294.3499999996</v>
      </c>
      <c r="G267" s="20">
        <f t="shared" si="120"/>
        <v>6172882.9199999999</v>
      </c>
      <c r="H267" s="20">
        <f t="shared" si="120"/>
        <v>6120130.4900000002</v>
      </c>
      <c r="I267" s="20">
        <f t="shared" si="120"/>
        <v>5984493.8599999994</v>
      </c>
      <c r="J267" s="20">
        <f t="shared" si="120"/>
        <v>5788622.3399999999</v>
      </c>
      <c r="K267" s="20">
        <f t="shared" si="120"/>
        <v>5929213.9500000002</v>
      </c>
      <c r="L267" s="20">
        <f t="shared" si="120"/>
        <v>5963637.7799999993</v>
      </c>
      <c r="M267" s="20">
        <f t="shared" si="120"/>
        <v>6781134.96</v>
      </c>
      <c r="N267" s="20">
        <f t="shared" si="120"/>
        <v>6236362.5</v>
      </c>
      <c r="O267" s="20">
        <f t="shared" si="120"/>
        <v>6119205.4100000001</v>
      </c>
      <c r="P267" s="20">
        <f t="shared" si="117"/>
        <v>74832158.210000008</v>
      </c>
      <c r="Q267" s="20"/>
    </row>
    <row r="268" spans="2:17">
      <c r="B268" s="25" t="s">
        <v>125</v>
      </c>
      <c r="C268" s="85"/>
      <c r="D268" s="20">
        <f t="shared" si="120"/>
        <v>49343.94</v>
      </c>
      <c r="E268" s="20">
        <f t="shared" si="120"/>
        <v>52603.87</v>
      </c>
      <c r="F268" s="20">
        <f t="shared" si="120"/>
        <v>40825.67</v>
      </c>
      <c r="G268" s="20">
        <f t="shared" si="120"/>
        <v>24785.5</v>
      </c>
      <c r="H268" s="20">
        <f t="shared" si="120"/>
        <v>18363.18</v>
      </c>
      <c r="I268" s="20">
        <f t="shared" si="120"/>
        <v>20942.59</v>
      </c>
      <c r="J268" s="20">
        <f t="shared" si="120"/>
        <v>16363.51</v>
      </c>
      <c r="K268" s="20">
        <f t="shared" si="120"/>
        <v>13568.14</v>
      </c>
      <c r="L268" s="20">
        <f t="shared" si="120"/>
        <v>18972.219999999998</v>
      </c>
      <c r="M268" s="20">
        <f t="shared" si="120"/>
        <v>33141.14</v>
      </c>
      <c r="N268" s="20">
        <f t="shared" si="120"/>
        <v>34143.08</v>
      </c>
      <c r="O268" s="20">
        <f t="shared" si="120"/>
        <v>28235.31</v>
      </c>
      <c r="P268" s="20">
        <f t="shared" si="117"/>
        <v>351288.14999999997</v>
      </c>
      <c r="Q268" s="20"/>
    </row>
    <row r="269" spans="2:17">
      <c r="B269" s="16" t="s">
        <v>123</v>
      </c>
      <c r="C269" s="85"/>
      <c r="D269" s="20">
        <f t="shared" si="120"/>
        <v>8436598.5199999996</v>
      </c>
      <c r="E269" s="20">
        <f t="shared" si="120"/>
        <v>8777355.3900000006</v>
      </c>
      <c r="F269" s="20">
        <f t="shared" si="120"/>
        <v>9545363.1600000001</v>
      </c>
      <c r="G269" s="20">
        <f t="shared" si="120"/>
        <v>8252639.4799999995</v>
      </c>
      <c r="H269" s="20">
        <f t="shared" si="120"/>
        <v>8341789.8599999994</v>
      </c>
      <c r="I269" s="20">
        <f t="shared" si="120"/>
        <v>7675361.1500000004</v>
      </c>
      <c r="J269" s="20">
        <f t="shared" si="120"/>
        <v>8618473.3499999996</v>
      </c>
      <c r="K269" s="20">
        <f t="shared" si="120"/>
        <v>8692811.5600000005</v>
      </c>
      <c r="L269" s="20">
        <f t="shared" si="120"/>
        <v>7685008.5999999996</v>
      </c>
      <c r="M269" s="20">
        <f t="shared" si="120"/>
        <v>7999972.3100000005</v>
      </c>
      <c r="N269" s="20">
        <f t="shared" si="120"/>
        <v>7185633.330000001</v>
      </c>
      <c r="O269" s="20">
        <f t="shared" si="120"/>
        <v>9016301.0200000014</v>
      </c>
      <c r="P269" s="20">
        <f t="shared" si="117"/>
        <v>100227307.72999999</v>
      </c>
      <c r="Q269" s="20"/>
    </row>
    <row r="270" spans="2:17" s="18" customFormat="1">
      <c r="B270" s="12" t="s">
        <v>56</v>
      </c>
      <c r="C270" s="94"/>
      <c r="D270" s="20">
        <f t="shared" si="120"/>
        <v>4443467.74</v>
      </c>
      <c r="E270" s="20">
        <f t="shared" si="120"/>
        <v>3867486.2699999996</v>
      </c>
      <c r="F270" s="20">
        <f t="shared" si="120"/>
        <v>3813818.93</v>
      </c>
      <c r="G270" s="20">
        <f t="shared" si="120"/>
        <v>3266173.4099999997</v>
      </c>
      <c r="H270" s="20">
        <f t="shared" si="120"/>
        <v>2607580.04</v>
      </c>
      <c r="I270" s="20">
        <f t="shared" si="120"/>
        <v>2223953.0499999998</v>
      </c>
      <c r="J270" s="20">
        <f t="shared" si="120"/>
        <v>1816114.2500000002</v>
      </c>
      <c r="K270" s="20">
        <f t="shared" si="120"/>
        <v>1897095.8699999999</v>
      </c>
      <c r="L270" s="20">
        <f t="shared" si="120"/>
        <v>2237328.9500000002</v>
      </c>
      <c r="M270" s="20">
        <f t="shared" si="120"/>
        <v>2944518.8099999996</v>
      </c>
      <c r="N270" s="20">
        <f t="shared" si="120"/>
        <v>3753743.19</v>
      </c>
      <c r="O270" s="20">
        <f t="shared" si="120"/>
        <v>4219586.24</v>
      </c>
      <c r="P270" s="20">
        <f t="shared" si="117"/>
        <v>37090866.75</v>
      </c>
      <c r="Q270" s="20"/>
    </row>
    <row r="271" spans="2:17">
      <c r="B271" s="92" t="s">
        <v>126</v>
      </c>
      <c r="C271" s="85"/>
      <c r="D271" s="33">
        <f t="shared" ref="D271:P271" si="121">SUM(D258:D270)</f>
        <v>166552053.47499999</v>
      </c>
      <c r="E271" s="33">
        <f t="shared" ref="E271:O271" si="122">SUM(E258:E270)</f>
        <v>132722491.49299997</v>
      </c>
      <c r="F271" s="33">
        <f t="shared" si="122"/>
        <v>138038713.21000004</v>
      </c>
      <c r="G271" s="33">
        <f t="shared" si="122"/>
        <v>99007354.439999998</v>
      </c>
      <c r="H271" s="33">
        <f t="shared" si="122"/>
        <v>69941058.016000003</v>
      </c>
      <c r="I271" s="33">
        <f t="shared" si="122"/>
        <v>52323795.749999993</v>
      </c>
      <c r="J271" s="33">
        <f t="shared" si="122"/>
        <v>44513655.328999996</v>
      </c>
      <c r="K271" s="33">
        <f t="shared" si="122"/>
        <v>44848856.703000002</v>
      </c>
      <c r="L271" s="33">
        <f t="shared" si="122"/>
        <v>55568657.735000014</v>
      </c>
      <c r="M271" s="33">
        <f t="shared" si="122"/>
        <v>89253856.68599999</v>
      </c>
      <c r="N271" s="33">
        <f t="shared" si="122"/>
        <v>134669493.868</v>
      </c>
      <c r="O271" s="33">
        <f t="shared" si="122"/>
        <v>164547110.96400002</v>
      </c>
      <c r="P271" s="33">
        <f t="shared" si="121"/>
        <v>1191987097.6689999</v>
      </c>
      <c r="Q271" s="20"/>
    </row>
    <row r="272" spans="2:17">
      <c r="B272" s="92" t="s">
        <v>55</v>
      </c>
      <c r="C272" s="85"/>
      <c r="D272" s="20">
        <f t="shared" ref="D272:P272" si="123">D271-D236</f>
        <v>0</v>
      </c>
      <c r="E272" s="20">
        <f t="shared" si="123"/>
        <v>0</v>
      </c>
      <c r="F272" s="20">
        <f t="shared" si="123"/>
        <v>0</v>
      </c>
      <c r="G272" s="20">
        <f t="shared" si="123"/>
        <v>0</v>
      </c>
      <c r="H272" s="20">
        <f t="shared" si="123"/>
        <v>0</v>
      </c>
      <c r="I272" s="20">
        <f t="shared" si="123"/>
        <v>0</v>
      </c>
      <c r="J272" s="20">
        <f t="shared" si="123"/>
        <v>0</v>
      </c>
      <c r="K272" s="20">
        <f t="shared" si="123"/>
        <v>0</v>
      </c>
      <c r="L272" s="20">
        <f t="shared" si="123"/>
        <v>0</v>
      </c>
      <c r="M272" s="20">
        <f t="shared" si="123"/>
        <v>0</v>
      </c>
      <c r="N272" s="20">
        <f t="shared" si="123"/>
        <v>0</v>
      </c>
      <c r="O272" s="20">
        <f t="shared" si="123"/>
        <v>0</v>
      </c>
      <c r="P272" s="20">
        <f t="shared" si="123"/>
        <v>0</v>
      </c>
      <c r="Q272" s="20"/>
    </row>
    <row r="273" spans="2:17">
      <c r="B273" s="92"/>
      <c r="C273" s="85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</row>
    <row r="274" spans="2:17">
      <c r="B274" s="92" t="s">
        <v>131</v>
      </c>
      <c r="C274" s="85"/>
      <c r="D274" s="20">
        <f>SUM(D258:D264)</f>
        <v>145043048.465</v>
      </c>
      <c r="E274" s="20">
        <f t="shared" ref="E274:O274" si="124">SUM(E258:E264)</f>
        <v>112189184.73299997</v>
      </c>
      <c r="F274" s="20">
        <f t="shared" si="124"/>
        <v>115752587.38000001</v>
      </c>
      <c r="G274" s="20">
        <f t="shared" si="124"/>
        <v>79591455.329999998</v>
      </c>
      <c r="H274" s="20">
        <f t="shared" si="124"/>
        <v>51236388.865999997</v>
      </c>
      <c r="I274" s="20">
        <f t="shared" si="124"/>
        <v>34832474.289999999</v>
      </c>
      <c r="J274" s="20">
        <f t="shared" si="124"/>
        <v>26740908.058999997</v>
      </c>
      <c r="K274" s="20">
        <f t="shared" si="124"/>
        <v>26718276.812999997</v>
      </c>
      <c r="L274" s="20">
        <f t="shared" si="124"/>
        <v>38144332.145000003</v>
      </c>
      <c r="M274" s="20">
        <f t="shared" si="124"/>
        <v>69709142.675999999</v>
      </c>
      <c r="N274" s="20">
        <f t="shared" si="124"/>
        <v>115618645.22799999</v>
      </c>
      <c r="O274" s="20">
        <f t="shared" si="124"/>
        <v>143260520.21399999</v>
      </c>
      <c r="P274" s="20">
        <f>SUM(D274:O274)</f>
        <v>958836964.19899988</v>
      </c>
      <c r="Q274" s="20"/>
    </row>
    <row r="275" spans="2:17">
      <c r="B275" s="92" t="s">
        <v>132</v>
      </c>
      <c r="C275" s="85"/>
      <c r="D275" s="20">
        <f>SUM(D265:D270)</f>
        <v>21509005.009999998</v>
      </c>
      <c r="E275" s="20">
        <f t="shared" ref="E275:O275" si="125">SUM(E265:E270)</f>
        <v>20533306.760000002</v>
      </c>
      <c r="F275" s="20">
        <f t="shared" si="125"/>
        <v>22286125.829999998</v>
      </c>
      <c r="G275" s="20">
        <f t="shared" si="125"/>
        <v>19415899.109999999</v>
      </c>
      <c r="H275" s="20">
        <f t="shared" si="125"/>
        <v>18704669.149999999</v>
      </c>
      <c r="I275" s="20">
        <f t="shared" si="125"/>
        <v>17491321.460000001</v>
      </c>
      <c r="J275" s="20">
        <f t="shared" si="125"/>
        <v>17772747.27</v>
      </c>
      <c r="K275" s="20">
        <f t="shared" si="125"/>
        <v>18130579.890000001</v>
      </c>
      <c r="L275" s="20">
        <f t="shared" si="125"/>
        <v>17424325.59</v>
      </c>
      <c r="M275" s="20">
        <f t="shared" si="125"/>
        <v>19544714.010000002</v>
      </c>
      <c r="N275" s="20">
        <f t="shared" si="125"/>
        <v>19050848.640000001</v>
      </c>
      <c r="O275" s="20">
        <f t="shared" si="125"/>
        <v>21286590.75</v>
      </c>
      <c r="P275" s="20">
        <f>SUM(D275:O275)</f>
        <v>233150133.47000003</v>
      </c>
      <c r="Q275" s="20"/>
    </row>
    <row r="276" spans="2:17">
      <c r="B276" s="92" t="s">
        <v>43</v>
      </c>
      <c r="C276" s="85"/>
      <c r="D276" s="33">
        <f t="shared" ref="D276:P276" si="126">SUM(D274:D275)</f>
        <v>166552053.47499999</v>
      </c>
      <c r="E276" s="33">
        <f t="shared" si="126"/>
        <v>132722491.49299997</v>
      </c>
      <c r="F276" s="33">
        <f t="shared" si="126"/>
        <v>138038713.21000001</v>
      </c>
      <c r="G276" s="33">
        <f t="shared" si="126"/>
        <v>99007354.439999998</v>
      </c>
      <c r="H276" s="33">
        <f t="shared" si="126"/>
        <v>69941058.016000003</v>
      </c>
      <c r="I276" s="33">
        <f t="shared" si="126"/>
        <v>52323795.75</v>
      </c>
      <c r="J276" s="33">
        <f t="shared" si="126"/>
        <v>44513655.328999996</v>
      </c>
      <c r="K276" s="33">
        <f t="shared" si="126"/>
        <v>44848856.702999994</v>
      </c>
      <c r="L276" s="33">
        <f t="shared" si="126"/>
        <v>55568657.734999999</v>
      </c>
      <c r="M276" s="33">
        <f t="shared" si="126"/>
        <v>89253856.686000004</v>
      </c>
      <c r="N276" s="33">
        <f t="shared" si="126"/>
        <v>134669493.86799997</v>
      </c>
      <c r="O276" s="33">
        <f t="shared" si="126"/>
        <v>164547110.96399999</v>
      </c>
      <c r="P276" s="33">
        <f t="shared" si="126"/>
        <v>1191987097.6689999</v>
      </c>
      <c r="Q276" s="20"/>
    </row>
    <row r="277" spans="2:17">
      <c r="B277" s="95" t="s">
        <v>55</v>
      </c>
      <c r="C277" s="96"/>
      <c r="D277" s="97">
        <f t="shared" ref="D277:P277" si="127">D276-D271</f>
        <v>0</v>
      </c>
      <c r="E277" s="97">
        <f t="shared" si="127"/>
        <v>0</v>
      </c>
      <c r="F277" s="97">
        <f t="shared" si="127"/>
        <v>0</v>
      </c>
      <c r="G277" s="97">
        <f t="shared" si="127"/>
        <v>0</v>
      </c>
      <c r="H277" s="97">
        <f t="shared" si="127"/>
        <v>0</v>
      </c>
      <c r="I277" s="97">
        <f t="shared" si="127"/>
        <v>0</v>
      </c>
      <c r="J277" s="97">
        <f t="shared" si="127"/>
        <v>0</v>
      </c>
      <c r="K277" s="97">
        <f t="shared" si="127"/>
        <v>0</v>
      </c>
      <c r="L277" s="97">
        <f t="shared" si="127"/>
        <v>0</v>
      </c>
      <c r="M277" s="97">
        <f t="shared" si="127"/>
        <v>0</v>
      </c>
      <c r="N277" s="97">
        <f t="shared" si="127"/>
        <v>0</v>
      </c>
      <c r="O277" s="97">
        <f t="shared" si="127"/>
        <v>0</v>
      </c>
      <c r="P277" s="97">
        <f t="shared" si="127"/>
        <v>0</v>
      </c>
      <c r="Q277" s="20"/>
    </row>
    <row r="278" spans="2:17" s="25" customFormat="1">
      <c r="B278" s="92"/>
      <c r="C278" s="85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</row>
    <row r="279" spans="2:17" s="25" customFormat="1">
      <c r="B279" s="100" t="s">
        <v>133</v>
      </c>
      <c r="C279" s="85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</row>
    <row r="280" spans="2:17" s="25" customFormat="1">
      <c r="B280" s="25" t="s">
        <v>134</v>
      </c>
      <c r="C280" s="82">
        <v>23</v>
      </c>
      <c r="D280" s="22">
        <f t="shared" ref="D280:O293" si="128">IFERROR(ROUND(SUMIF($C$172:$C$197,$C280,D$172:D$197),0)/ROUND(SUMIF($C$36:$C$63,$C280,D$36:D$63),0),0)</f>
        <v>126.59691525278079</v>
      </c>
      <c r="E280" s="22">
        <f t="shared" si="128"/>
        <v>95.391164899854644</v>
      </c>
      <c r="F280" s="22">
        <f t="shared" si="128"/>
        <v>98.518785458966306</v>
      </c>
      <c r="G280" s="22">
        <f t="shared" si="128"/>
        <v>65.265190953064675</v>
      </c>
      <c r="H280" s="22">
        <f t="shared" si="128"/>
        <v>40.062316133551249</v>
      </c>
      <c r="I280" s="22">
        <f t="shared" si="128"/>
        <v>24.999410053211903</v>
      </c>
      <c r="J280" s="22">
        <f t="shared" si="128"/>
        <v>17.427919613414357</v>
      </c>
      <c r="K280" s="22">
        <f t="shared" si="128"/>
        <v>17.154677433143444</v>
      </c>
      <c r="L280" s="22">
        <f t="shared" si="128"/>
        <v>28.076013377961051</v>
      </c>
      <c r="M280" s="22">
        <f t="shared" si="128"/>
        <v>57.150433327911891</v>
      </c>
      <c r="N280" s="22">
        <f t="shared" si="128"/>
        <v>100.01919772212089</v>
      </c>
      <c r="O280" s="22">
        <f t="shared" si="128"/>
        <v>123.8912119374139</v>
      </c>
      <c r="P280" s="22">
        <f>SUM(D280:O280)</f>
        <v>794.55323616339513</v>
      </c>
      <c r="Q280" s="22"/>
    </row>
    <row r="281" spans="2:17" s="25" customFormat="1">
      <c r="B281" s="25" t="s">
        <v>135</v>
      </c>
      <c r="C281" s="82">
        <v>31</v>
      </c>
      <c r="D281" s="22">
        <f t="shared" si="128"/>
        <v>596.90940379116807</v>
      </c>
      <c r="E281" s="22">
        <f t="shared" si="128"/>
        <v>471.89243041951255</v>
      </c>
      <c r="F281" s="22">
        <f t="shared" si="128"/>
        <v>482.32983185871905</v>
      </c>
      <c r="G281" s="22">
        <f t="shared" si="128"/>
        <v>339.12941798941802</v>
      </c>
      <c r="H281" s="22">
        <f t="shared" si="128"/>
        <v>226.17246489309153</v>
      </c>
      <c r="I281" s="22">
        <f t="shared" si="128"/>
        <v>165.48176085074812</v>
      </c>
      <c r="J281" s="22">
        <f t="shared" si="128"/>
        <v>143.40672663968471</v>
      </c>
      <c r="K281" s="22">
        <f t="shared" si="128"/>
        <v>144.92557235039337</v>
      </c>
      <c r="L281" s="22">
        <f t="shared" si="128"/>
        <v>180.21547684309184</v>
      </c>
      <c r="M281" s="22">
        <f t="shared" si="128"/>
        <v>293.49900350976208</v>
      </c>
      <c r="N281" s="22">
        <f t="shared" si="128"/>
        <v>465.29268850497868</v>
      </c>
      <c r="O281" s="22">
        <f t="shared" si="128"/>
        <v>584.67366961527659</v>
      </c>
      <c r="P281" s="22">
        <f>SUM(D281:O281)</f>
        <v>4093.9284472658451</v>
      </c>
      <c r="Q281" s="22"/>
    </row>
    <row r="282" spans="2:17" s="25" customFormat="1">
      <c r="B282" s="25" t="s">
        <v>136</v>
      </c>
      <c r="C282" s="82">
        <v>41</v>
      </c>
      <c r="D282" s="22">
        <f t="shared" si="128"/>
        <v>6020.0110132158588</v>
      </c>
      <c r="E282" s="22">
        <f t="shared" si="128"/>
        <v>5065.9793662490792</v>
      </c>
      <c r="F282" s="22">
        <f t="shared" si="128"/>
        <v>5284.3455882352937</v>
      </c>
      <c r="G282" s="22">
        <f t="shared" si="128"/>
        <v>4217.7263389581803</v>
      </c>
      <c r="H282" s="22">
        <f t="shared" si="128"/>
        <v>3315.4827332843497</v>
      </c>
      <c r="I282" s="22">
        <f t="shared" si="128"/>
        <v>2650.9622781065091</v>
      </c>
      <c r="J282" s="22">
        <f t="shared" si="128"/>
        <v>2227.6258555133081</v>
      </c>
      <c r="K282" s="22">
        <f t="shared" si="128"/>
        <v>2279.0253456221199</v>
      </c>
      <c r="L282" s="22">
        <f t="shared" si="128"/>
        <v>2746.7817063797079</v>
      </c>
      <c r="M282" s="22">
        <f t="shared" si="128"/>
        <v>3888.9648318042814</v>
      </c>
      <c r="N282" s="22">
        <f t="shared" si="128"/>
        <v>5190.553869499241</v>
      </c>
      <c r="O282" s="22">
        <f t="shared" si="128"/>
        <v>6060.678544351782</v>
      </c>
      <c r="P282" s="22">
        <f>SUM(D282:O282)</f>
        <v>48948.137471219707</v>
      </c>
      <c r="Q282" s="22"/>
    </row>
    <row r="283" spans="2:17" s="25" customFormat="1">
      <c r="B283" s="25" t="s">
        <v>66</v>
      </c>
      <c r="C283" s="82">
        <v>53</v>
      </c>
      <c r="D283" s="22">
        <f t="shared" si="128"/>
        <v>57</v>
      </c>
      <c r="E283" s="22">
        <f t="shared" si="128"/>
        <v>0</v>
      </c>
      <c r="F283" s="22">
        <f t="shared" si="128"/>
        <v>0</v>
      </c>
      <c r="G283" s="22">
        <f t="shared" si="128"/>
        <v>0</v>
      </c>
      <c r="H283" s="22">
        <f t="shared" si="128"/>
        <v>0</v>
      </c>
      <c r="I283" s="22">
        <f t="shared" si="128"/>
        <v>0</v>
      </c>
      <c r="J283" s="22">
        <f t="shared" si="128"/>
        <v>0</v>
      </c>
      <c r="K283" s="22">
        <f t="shared" si="128"/>
        <v>0</v>
      </c>
      <c r="L283" s="22">
        <f t="shared" si="128"/>
        <v>0</v>
      </c>
      <c r="M283" s="22">
        <f t="shared" si="128"/>
        <v>0</v>
      </c>
      <c r="N283" s="22">
        <f t="shared" si="128"/>
        <v>0</v>
      </c>
      <c r="O283" s="22">
        <f t="shared" si="128"/>
        <v>0</v>
      </c>
      <c r="P283" s="22">
        <f>SUM(D283:O283)</f>
        <v>57</v>
      </c>
      <c r="Q283" s="22"/>
    </row>
    <row r="284" spans="2:17" s="25" customFormat="1">
      <c r="B284" s="25" t="s">
        <v>273</v>
      </c>
      <c r="C284" s="82">
        <v>50</v>
      </c>
      <c r="D284" s="22">
        <f t="shared" si="128"/>
        <v>0</v>
      </c>
      <c r="E284" s="22">
        <f t="shared" si="128"/>
        <v>0</v>
      </c>
      <c r="F284" s="22">
        <f t="shared" si="128"/>
        <v>0</v>
      </c>
      <c r="G284" s="22">
        <f t="shared" si="128"/>
        <v>0</v>
      </c>
      <c r="H284" s="22">
        <f t="shared" si="128"/>
        <v>0</v>
      </c>
      <c r="I284" s="22">
        <f t="shared" si="128"/>
        <v>0</v>
      </c>
      <c r="J284" s="22">
        <f t="shared" si="128"/>
        <v>0</v>
      </c>
      <c r="K284" s="22">
        <f t="shared" si="128"/>
        <v>0</v>
      </c>
      <c r="L284" s="22">
        <f t="shared" si="128"/>
        <v>0</v>
      </c>
      <c r="M284" s="22">
        <f t="shared" si="128"/>
        <v>0</v>
      </c>
      <c r="N284" s="22">
        <f t="shared" si="128"/>
        <v>0</v>
      </c>
      <c r="O284" s="22">
        <f t="shared" si="128"/>
        <v>0</v>
      </c>
      <c r="P284" s="22"/>
      <c r="Q284" s="22"/>
    </row>
    <row r="285" spans="2:17" s="25" customFormat="1">
      <c r="B285" s="16" t="s">
        <v>162</v>
      </c>
      <c r="C285" s="82" t="s">
        <v>160</v>
      </c>
      <c r="D285" s="22">
        <f t="shared" si="128"/>
        <v>1667.6666666666667</v>
      </c>
      <c r="E285" s="22">
        <f t="shared" si="128"/>
        <v>2183.3333333333335</v>
      </c>
      <c r="F285" s="22">
        <f t="shared" si="128"/>
        <v>1688</v>
      </c>
      <c r="G285" s="22">
        <f t="shared" si="128"/>
        <v>1172.6666666666667</v>
      </c>
      <c r="H285" s="22">
        <f t="shared" si="128"/>
        <v>539.33333333333337</v>
      </c>
      <c r="I285" s="22">
        <f t="shared" si="128"/>
        <v>330.66666666666669</v>
      </c>
      <c r="J285" s="22">
        <f t="shared" si="128"/>
        <v>266.33333333333331</v>
      </c>
      <c r="K285" s="22">
        <f t="shared" si="128"/>
        <v>419.5</v>
      </c>
      <c r="L285" s="22">
        <f t="shared" si="128"/>
        <v>524</v>
      </c>
      <c r="M285" s="22">
        <f t="shared" si="128"/>
        <v>733.5</v>
      </c>
      <c r="N285" s="22">
        <f t="shared" si="128"/>
        <v>1070</v>
      </c>
      <c r="O285" s="22">
        <f t="shared" si="128"/>
        <v>1230.5</v>
      </c>
      <c r="P285" s="22">
        <f>ROUND(SUMIF($C$172:$C$197,$C285,P$172:P$197),0)/ROUND(SUMIF($C$37:$C$63,$C285,P$37:P$63),0)</f>
        <v>1016.0645161290323</v>
      </c>
      <c r="Q285" s="22"/>
    </row>
    <row r="286" spans="2:17" s="25" customFormat="1">
      <c r="B286" s="25" t="s">
        <v>120</v>
      </c>
      <c r="C286" s="82" t="s">
        <v>57</v>
      </c>
      <c r="D286" s="22">
        <f t="shared" si="128"/>
        <v>18417.223300970873</v>
      </c>
      <c r="E286" s="22">
        <f t="shared" si="128"/>
        <v>16645.228571428572</v>
      </c>
      <c r="F286" s="22">
        <f t="shared" si="128"/>
        <v>18131.047619047618</v>
      </c>
      <c r="G286" s="22">
        <f t="shared" si="128"/>
        <v>16151.428571428571</v>
      </c>
      <c r="H286" s="22">
        <f t="shared" si="128"/>
        <v>15382.733333333334</v>
      </c>
      <c r="I286" s="22">
        <f t="shared" si="128"/>
        <v>14546.587155963303</v>
      </c>
      <c r="J286" s="22">
        <f t="shared" si="128"/>
        <v>14058.48623853211</v>
      </c>
      <c r="K286" s="22">
        <f t="shared" si="128"/>
        <v>14651.853211009175</v>
      </c>
      <c r="L286" s="22">
        <f t="shared" si="128"/>
        <v>13929.633027522936</v>
      </c>
      <c r="M286" s="22">
        <f t="shared" si="128"/>
        <v>16371.376146788991</v>
      </c>
      <c r="N286" s="22">
        <f t="shared" si="128"/>
        <v>17347.424528301886</v>
      </c>
      <c r="O286" s="22">
        <f t="shared" si="128"/>
        <v>17932.094339622643</v>
      </c>
      <c r="P286" s="22">
        <f t="shared" ref="P286:P294" si="129">SUM(D286:O286)</f>
        <v>193565.11604395005</v>
      </c>
      <c r="Q286" s="22"/>
    </row>
    <row r="287" spans="2:17" s="25" customFormat="1">
      <c r="B287" s="25" t="s">
        <v>121</v>
      </c>
      <c r="C287" s="82" t="s">
        <v>58</v>
      </c>
      <c r="D287" s="22">
        <f t="shared" si="128"/>
        <v>66115.029702970292</v>
      </c>
      <c r="E287" s="22">
        <f t="shared" si="128"/>
        <v>60213.485148514854</v>
      </c>
      <c r="F287" s="22">
        <f t="shared" si="128"/>
        <v>69082.118811881184</v>
      </c>
      <c r="G287" s="22">
        <f t="shared" si="128"/>
        <v>61117.653465346535</v>
      </c>
      <c r="H287" s="22">
        <f t="shared" si="128"/>
        <v>60001.274509803923</v>
      </c>
      <c r="I287" s="22">
        <f t="shared" si="128"/>
        <v>58101.88349514563</v>
      </c>
      <c r="J287" s="22">
        <f t="shared" si="128"/>
        <v>56200.213592233013</v>
      </c>
      <c r="K287" s="22">
        <f t="shared" si="128"/>
        <v>57565.184466019418</v>
      </c>
      <c r="L287" s="22">
        <f t="shared" si="128"/>
        <v>57899.398058252424</v>
      </c>
      <c r="M287" s="22">
        <f t="shared" si="128"/>
        <v>65836.262135922327</v>
      </c>
      <c r="N287" s="22">
        <f t="shared" si="128"/>
        <v>60547.213592233013</v>
      </c>
      <c r="O287" s="22">
        <f t="shared" si="128"/>
        <v>59409.7572815534</v>
      </c>
      <c r="P287" s="22">
        <f t="shared" si="129"/>
        <v>732089.47425987595</v>
      </c>
      <c r="Q287" s="22"/>
    </row>
    <row r="288" spans="2:17" s="25" customFormat="1">
      <c r="B288" s="25" t="s">
        <v>125</v>
      </c>
      <c r="C288" s="82" t="s">
        <v>59</v>
      </c>
      <c r="D288" s="22">
        <f t="shared" si="128"/>
        <v>24672</v>
      </c>
      <c r="E288" s="22">
        <f t="shared" si="128"/>
        <v>26302</v>
      </c>
      <c r="F288" s="22">
        <f t="shared" si="128"/>
        <v>20413</v>
      </c>
      <c r="G288" s="22">
        <f t="shared" si="128"/>
        <v>12393</v>
      </c>
      <c r="H288" s="22">
        <f t="shared" si="128"/>
        <v>9181.5</v>
      </c>
      <c r="I288" s="22">
        <f t="shared" si="128"/>
        <v>10471.5</v>
      </c>
      <c r="J288" s="22">
        <f t="shared" si="128"/>
        <v>8182</v>
      </c>
      <c r="K288" s="22">
        <f t="shared" si="128"/>
        <v>6784</v>
      </c>
      <c r="L288" s="22">
        <f t="shared" si="128"/>
        <v>9486</v>
      </c>
      <c r="M288" s="22">
        <f t="shared" si="128"/>
        <v>16570.5</v>
      </c>
      <c r="N288" s="22">
        <f t="shared" si="128"/>
        <v>17071.5</v>
      </c>
      <c r="O288" s="22">
        <f t="shared" si="128"/>
        <v>9411.6666666666661</v>
      </c>
      <c r="P288" s="22">
        <f t="shared" si="129"/>
        <v>170938.66666666666</v>
      </c>
      <c r="Q288" s="22"/>
    </row>
    <row r="289" spans="2:17" s="25" customFormat="1">
      <c r="B289" s="25" t="s">
        <v>123</v>
      </c>
      <c r="C289" s="82" t="s">
        <v>60</v>
      </c>
      <c r="D289" s="22">
        <f t="shared" si="128"/>
        <v>843659.9</v>
      </c>
      <c r="E289" s="22">
        <f t="shared" si="128"/>
        <v>877735.5</v>
      </c>
      <c r="F289" s="22">
        <f t="shared" si="128"/>
        <v>954536.3</v>
      </c>
      <c r="G289" s="22">
        <f t="shared" si="128"/>
        <v>825263.9</v>
      </c>
      <c r="H289" s="22">
        <f t="shared" si="128"/>
        <v>834179</v>
      </c>
      <c r="I289" s="22">
        <f t="shared" si="128"/>
        <v>767536.1</v>
      </c>
      <c r="J289" s="22">
        <f t="shared" si="128"/>
        <v>861847.3</v>
      </c>
      <c r="K289" s="22">
        <f t="shared" si="128"/>
        <v>869281.2</v>
      </c>
      <c r="L289" s="22">
        <f t="shared" si="128"/>
        <v>768500.9</v>
      </c>
      <c r="M289" s="22">
        <f t="shared" si="128"/>
        <v>799997.2</v>
      </c>
      <c r="N289" s="22">
        <f t="shared" si="128"/>
        <v>718563.3</v>
      </c>
      <c r="O289" s="22">
        <f t="shared" si="128"/>
        <v>901630.1</v>
      </c>
      <c r="P289" s="22">
        <f t="shared" si="129"/>
        <v>10022730.699999999</v>
      </c>
      <c r="Q289" s="22"/>
    </row>
    <row r="290" spans="2:17" s="25" customFormat="1">
      <c r="B290" s="25" t="s">
        <v>137</v>
      </c>
      <c r="C290" s="25">
        <v>85</v>
      </c>
      <c r="D290" s="22">
        <f t="shared" si="128"/>
        <v>66676.137931034478</v>
      </c>
      <c r="E290" s="22">
        <f t="shared" si="128"/>
        <v>57949.103448275862</v>
      </c>
      <c r="F290" s="22">
        <f t="shared" si="128"/>
        <v>61703.034482758623</v>
      </c>
      <c r="G290" s="22">
        <f t="shared" si="128"/>
        <v>48291.448275862072</v>
      </c>
      <c r="H290" s="22">
        <f t="shared" si="128"/>
        <v>36101.65517241379</v>
      </c>
      <c r="I290" s="22">
        <f t="shared" si="128"/>
        <v>30234.535714285714</v>
      </c>
      <c r="J290" s="22">
        <f t="shared" si="128"/>
        <v>26831.25</v>
      </c>
      <c r="K290" s="22">
        <f t="shared" si="128"/>
        <v>29235.464285714286</v>
      </c>
      <c r="L290" s="22">
        <f t="shared" si="128"/>
        <v>33981.714285714283</v>
      </c>
      <c r="M290" s="22">
        <f t="shared" si="128"/>
        <v>44522.5</v>
      </c>
      <c r="N290" s="22">
        <f t="shared" si="128"/>
        <v>54508.714285714283</v>
      </c>
      <c r="O290" s="22">
        <f t="shared" si="128"/>
        <v>64152.892857142855</v>
      </c>
      <c r="P290" s="22">
        <f t="shared" si="129"/>
        <v>554188.45073891629</v>
      </c>
      <c r="Q290" s="22"/>
    </row>
    <row r="291" spans="2:17" s="25" customFormat="1">
      <c r="B291" s="25" t="s">
        <v>138</v>
      </c>
      <c r="C291" s="25">
        <v>86</v>
      </c>
      <c r="D291" s="22">
        <f t="shared" si="128"/>
        <v>5598.3684210526317</v>
      </c>
      <c r="E291" s="22">
        <f t="shared" si="128"/>
        <v>4686.2368421052633</v>
      </c>
      <c r="F291" s="22">
        <f t="shared" si="128"/>
        <v>4943.8421052631575</v>
      </c>
      <c r="G291" s="22">
        <f t="shared" si="128"/>
        <v>3792.6622807017543</v>
      </c>
      <c r="H291" s="22">
        <f t="shared" si="128"/>
        <v>2134.533039647577</v>
      </c>
      <c r="I291" s="22">
        <f t="shared" si="128"/>
        <v>1417.5242290748899</v>
      </c>
      <c r="J291" s="22">
        <f t="shared" si="128"/>
        <v>973.28318584070792</v>
      </c>
      <c r="K291" s="22">
        <f t="shared" si="128"/>
        <v>951.34955752212386</v>
      </c>
      <c r="L291" s="22">
        <f t="shared" si="128"/>
        <v>1605.5044247787609</v>
      </c>
      <c r="M291" s="22">
        <f t="shared" si="128"/>
        <v>3107.9513274336282</v>
      </c>
      <c r="N291" s="22">
        <f t="shared" si="128"/>
        <v>4254.5336322869953</v>
      </c>
      <c r="O291" s="22">
        <f t="shared" si="128"/>
        <v>5299.255707762557</v>
      </c>
      <c r="P291" s="22">
        <f t="shared" si="129"/>
        <v>38765.044753470051</v>
      </c>
      <c r="Q291" s="22"/>
    </row>
    <row r="292" spans="2:17" s="25" customFormat="1">
      <c r="B292" s="25" t="s">
        <v>139</v>
      </c>
      <c r="C292" s="25">
        <v>87</v>
      </c>
      <c r="D292" s="22">
        <f t="shared" si="128"/>
        <v>516419</v>
      </c>
      <c r="E292" s="22">
        <f t="shared" si="128"/>
        <v>490774</v>
      </c>
      <c r="F292" s="22">
        <f t="shared" si="128"/>
        <v>486404</v>
      </c>
      <c r="G292" s="22">
        <f t="shared" si="128"/>
        <v>414934</v>
      </c>
      <c r="H292" s="22">
        <f t="shared" si="128"/>
        <v>297142</v>
      </c>
      <c r="I292" s="22">
        <f t="shared" si="128"/>
        <v>286110.2</v>
      </c>
      <c r="J292" s="22">
        <f t="shared" si="128"/>
        <v>256056.2</v>
      </c>
      <c r="K292" s="22">
        <f t="shared" si="128"/>
        <v>255005</v>
      </c>
      <c r="L292" s="22">
        <f t="shared" si="128"/>
        <v>274543.2</v>
      </c>
      <c r="M292" s="22">
        <f t="shared" si="128"/>
        <v>351370</v>
      </c>
      <c r="N292" s="22">
        <f t="shared" si="128"/>
        <v>430487.8</v>
      </c>
      <c r="O292" s="22">
        <f t="shared" si="128"/>
        <v>517099</v>
      </c>
      <c r="P292" s="22">
        <f t="shared" si="129"/>
        <v>4576344.4000000004</v>
      </c>
      <c r="Q292" s="22"/>
    </row>
    <row r="293" spans="2:17" s="24" customFormat="1" ht="15">
      <c r="B293" s="93" t="s">
        <v>56</v>
      </c>
      <c r="C293" s="390" t="s">
        <v>140</v>
      </c>
      <c r="D293" s="22">
        <f t="shared" si="128"/>
        <v>444346.8</v>
      </c>
      <c r="E293" s="22">
        <f t="shared" si="128"/>
        <v>386748.6</v>
      </c>
      <c r="F293" s="22">
        <f t="shared" si="128"/>
        <v>381381.9</v>
      </c>
      <c r="G293" s="22">
        <f t="shared" si="128"/>
        <v>326617.3</v>
      </c>
      <c r="H293" s="22">
        <f t="shared" si="128"/>
        <v>260758</v>
      </c>
      <c r="I293" s="22">
        <f t="shared" si="128"/>
        <v>222395.3</v>
      </c>
      <c r="J293" s="22">
        <f t="shared" si="128"/>
        <v>181611.4</v>
      </c>
      <c r="K293" s="22">
        <f t="shared" si="128"/>
        <v>189709.6</v>
      </c>
      <c r="L293" s="22">
        <f t="shared" si="128"/>
        <v>223732.9</v>
      </c>
      <c r="M293" s="22">
        <f t="shared" si="128"/>
        <v>294451.90000000002</v>
      </c>
      <c r="N293" s="22">
        <f t="shared" si="128"/>
        <v>375374.3</v>
      </c>
      <c r="O293" s="22">
        <f t="shared" si="128"/>
        <v>421958.6</v>
      </c>
      <c r="P293" s="22">
        <f t="shared" si="129"/>
        <v>3709086.5999999996</v>
      </c>
      <c r="Q293" s="22"/>
    </row>
    <row r="294" spans="2:17">
      <c r="B294" s="25" t="s">
        <v>43</v>
      </c>
      <c r="C294" s="25"/>
      <c r="D294" s="22">
        <f t="shared" ref="D294:O294" si="130">IFERROR(ROUND(D199,0)/ROUND(D64,0),0)</f>
        <v>201.50123282632998</v>
      </c>
      <c r="E294" s="22">
        <f t="shared" si="130"/>
        <v>160.35115543210756</v>
      </c>
      <c r="F294" s="22">
        <f t="shared" si="130"/>
        <v>166.61260879588559</v>
      </c>
      <c r="G294" s="22">
        <f t="shared" si="130"/>
        <v>119.45060903220825</v>
      </c>
      <c r="H294" s="22">
        <f t="shared" si="130"/>
        <v>84.318754792135834</v>
      </c>
      <c r="I294" s="22">
        <f t="shared" si="130"/>
        <v>63.061915993448402</v>
      </c>
      <c r="J294" s="22">
        <f t="shared" si="130"/>
        <v>53.639246340696324</v>
      </c>
      <c r="K294" s="22">
        <f t="shared" si="130"/>
        <v>54.009064360936662</v>
      </c>
      <c r="L294" s="22">
        <f t="shared" si="130"/>
        <v>66.872360601998153</v>
      </c>
      <c r="M294" s="22">
        <f t="shared" si="130"/>
        <v>107.12022510477526</v>
      </c>
      <c r="N294" s="22">
        <f t="shared" si="130"/>
        <v>161.18064819591177</v>
      </c>
      <c r="O294" s="22">
        <f t="shared" si="130"/>
        <v>196.59646299369518</v>
      </c>
      <c r="P294" s="22">
        <f t="shared" si="129"/>
        <v>1434.7142844701291</v>
      </c>
      <c r="Q294" s="22"/>
    </row>
    <row r="295" spans="2:17">
      <c r="B295" s="25"/>
      <c r="C295" s="82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13"/>
      <c r="Q295" s="13"/>
    </row>
    <row r="296" spans="2:17">
      <c r="B296" s="25"/>
      <c r="C296" s="82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13"/>
      <c r="Q296" s="13"/>
    </row>
    <row r="297" spans="2:17"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</row>
    <row r="298" spans="2:17"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</row>
    <row r="299" spans="2:17"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2:17"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</row>
    <row r="301" spans="2:17"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</row>
    <row r="302" spans="2:17"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</row>
    <row r="303" spans="2:17"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</row>
    <row r="304" spans="2:17"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</row>
    <row r="305" spans="4:17"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</row>
    <row r="306" spans="4:17"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</row>
    <row r="307" spans="4:17"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4:17"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4:17"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</row>
    <row r="310" spans="4:17"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</row>
    <row r="311" spans="4:17"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4:17"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</row>
    <row r="313" spans="4:17"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4:17"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</row>
    <row r="315" spans="4:17"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</row>
    <row r="316" spans="4:17"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</row>
    <row r="317" spans="4:17"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</row>
    <row r="318" spans="4:17"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</row>
    <row r="319" spans="4:17"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</row>
    <row r="320" spans="4:17"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4:17"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</row>
    <row r="322" spans="4:17"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</row>
    <row r="323" spans="4:17"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</row>
    <row r="324" spans="4:17"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</row>
    <row r="325" spans="4:17"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</row>
    <row r="326" spans="4:17"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</row>
    <row r="327" spans="4:17"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</row>
    <row r="328" spans="4:17"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</row>
    <row r="329" spans="4:17"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</row>
    <row r="330" spans="4:17"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</row>
    <row r="331" spans="4:17"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</row>
    <row r="332" spans="4:17"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</row>
    <row r="333" spans="4:17"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</row>
    <row r="334" spans="4:17"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</row>
    <row r="335" spans="4:17"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</row>
    <row r="336" spans="4:17"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</row>
    <row r="337" spans="4:17"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</row>
    <row r="338" spans="4:17"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</row>
    <row r="339" spans="4:17"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</row>
    <row r="340" spans="4:17"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</row>
  </sheetData>
  <printOptions horizontalCentered="1"/>
  <pageMargins left="0.7" right="0.7" top="0.75" bottom="0.75" header="0.3" footer="0.3"/>
  <pageSetup scale="71" fitToWidth="2" fitToHeight="0" pageOrder="overThenDown" orientation="landscape" horizontalDpi="300" verticalDpi="300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  <rowBreaks count="9" manualBreakCount="9">
    <brk id="34" max="16383" man="1"/>
    <brk id="65" max="16383" man="1"/>
    <brk id="99" max="16383" man="1"/>
    <brk id="130" max="16383" man="1"/>
    <brk id="153" max="16383" man="1"/>
    <brk id="186" max="16383" man="1"/>
    <brk id="219" max="16383" man="1"/>
    <brk id="256" max="16383" man="1"/>
    <brk id="278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20"/>
  <sheetViews>
    <sheetView view="pageLayout" zoomScale="93" zoomScaleNormal="100" zoomScalePageLayoutView="93" workbookViewId="0">
      <selection activeCell="C11" sqref="C11"/>
    </sheetView>
  </sheetViews>
  <sheetFormatPr baseColWidth="10" defaultColWidth="8.83203125" defaultRowHeight="15"/>
  <cols>
    <col min="1" max="1" width="43.5" bestFit="1" customWidth="1"/>
    <col min="2" max="2" width="1.1640625" customWidth="1"/>
    <col min="3" max="14" width="9" bestFit="1" customWidth="1"/>
    <col min="15" max="16" width="9.1640625" bestFit="1" customWidth="1"/>
  </cols>
  <sheetData>
    <row r="1" spans="1:16">
      <c r="A1" s="526" t="s">
        <v>17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6">
      <c r="A2" s="526" t="s">
        <v>292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</row>
    <row r="3" spans="1:16">
      <c r="A3" s="526" t="s">
        <v>280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</row>
    <row r="5" spans="1:16">
      <c r="A5" s="91" t="s">
        <v>127</v>
      </c>
      <c r="B5" s="78" t="s">
        <v>64</v>
      </c>
      <c r="C5" s="79">
        <v>43101</v>
      </c>
      <c r="D5" s="79">
        <f>EDATE(C5,1)</f>
        <v>43132</v>
      </c>
      <c r="E5" s="79">
        <f t="shared" ref="E5:N5" si="0">EDATE(D5,1)</f>
        <v>43160</v>
      </c>
      <c r="F5" s="79">
        <f t="shared" si="0"/>
        <v>43191</v>
      </c>
      <c r="G5" s="79">
        <f t="shared" si="0"/>
        <v>43221</v>
      </c>
      <c r="H5" s="79">
        <f t="shared" si="0"/>
        <v>43252</v>
      </c>
      <c r="I5" s="79">
        <f t="shared" si="0"/>
        <v>43282</v>
      </c>
      <c r="J5" s="79">
        <f t="shared" si="0"/>
        <v>43313</v>
      </c>
      <c r="K5" s="79">
        <f t="shared" si="0"/>
        <v>43344</v>
      </c>
      <c r="L5" s="79">
        <f t="shared" si="0"/>
        <v>43374</v>
      </c>
      <c r="M5" s="79">
        <f t="shared" si="0"/>
        <v>43405</v>
      </c>
      <c r="N5" s="79">
        <f t="shared" si="0"/>
        <v>43435</v>
      </c>
      <c r="O5" s="80" t="s">
        <v>43</v>
      </c>
      <c r="P5" s="80" t="s">
        <v>301</v>
      </c>
    </row>
    <row r="6" spans="1:16">
      <c r="A6" s="93" t="s">
        <v>128</v>
      </c>
      <c r="B6" s="82"/>
      <c r="C6" s="21">
        <f>'(JAP-04) Weather Adj'!D240</f>
        <v>768045</v>
      </c>
      <c r="D6" s="21">
        <f>'(JAP-04) Weather Adj'!E240</f>
        <v>769188</v>
      </c>
      <c r="E6" s="21">
        <f>'(JAP-04) Weather Adj'!F240</f>
        <v>769910</v>
      </c>
      <c r="F6" s="21">
        <f>'(JAP-04) Weather Adj'!G240</f>
        <v>770300</v>
      </c>
      <c r="G6" s="21">
        <f>'(JAP-04) Weather Adj'!H240</f>
        <v>770946</v>
      </c>
      <c r="H6" s="21">
        <f>'(JAP-04) Weather Adj'!I240</f>
        <v>771263</v>
      </c>
      <c r="I6" s="21">
        <f>'(JAP-04) Weather Adj'!J240</f>
        <v>771479</v>
      </c>
      <c r="J6" s="21">
        <f>'(JAP-04) Weather Adj'!K240</f>
        <v>772033</v>
      </c>
      <c r="K6" s="21">
        <f>'(JAP-04) Weather Adj'!L240</f>
        <v>772621</v>
      </c>
      <c r="L6" s="21">
        <f>'(JAP-04) Weather Adj'!M240</f>
        <v>774710</v>
      </c>
      <c r="M6" s="21">
        <f>'(JAP-04) Weather Adj'!N240</f>
        <v>776870</v>
      </c>
      <c r="N6" s="21">
        <f>'(JAP-04) Weather Adj'!O240</f>
        <v>778198</v>
      </c>
      <c r="O6" s="21">
        <f>'(JAP-04) Weather Adj'!P240</f>
        <v>9265563</v>
      </c>
      <c r="P6" s="477">
        <f>ROUND(O6/12,0)</f>
        <v>772130</v>
      </c>
    </row>
    <row r="7" spans="1:16">
      <c r="A7" s="93" t="s">
        <v>113</v>
      </c>
      <c r="B7" s="82"/>
      <c r="C7" s="21">
        <f>'(JAP-04) Weather Adj'!D241</f>
        <v>56658</v>
      </c>
      <c r="D7" s="21">
        <f>'(JAP-04) Weather Adj'!E241</f>
        <v>56661</v>
      </c>
      <c r="E7" s="21">
        <f>'(JAP-04) Weather Adj'!F241</f>
        <v>56738</v>
      </c>
      <c r="F7" s="21">
        <f>'(JAP-04) Weather Adj'!G241</f>
        <v>56700</v>
      </c>
      <c r="G7" s="21">
        <f>'(JAP-04) Weather Adj'!H241</f>
        <v>56684</v>
      </c>
      <c r="H7" s="21">
        <f>'(JAP-04) Weather Adj'!I241</f>
        <v>56609</v>
      </c>
      <c r="I7" s="21">
        <f>'(JAP-04) Weather Adj'!J241</f>
        <v>56581</v>
      </c>
      <c r="J7" s="21">
        <f>'(JAP-04) Weather Adj'!K241</f>
        <v>56565</v>
      </c>
      <c r="K7" s="21">
        <f>'(JAP-04) Weather Adj'!L241</f>
        <v>56549</v>
      </c>
      <c r="L7" s="21">
        <f>'(JAP-04) Weather Adj'!M241</f>
        <v>56699</v>
      </c>
      <c r="M7" s="21">
        <f>'(JAP-04) Weather Adj'!N241</f>
        <v>56842</v>
      </c>
      <c r="N7" s="21">
        <f>'(JAP-04) Weather Adj'!O241</f>
        <v>56976</v>
      </c>
      <c r="O7" s="21">
        <f>'(JAP-04) Weather Adj'!P241</f>
        <v>680262</v>
      </c>
      <c r="P7" s="477">
        <f t="shared" ref="P7:P20" si="1">ROUND(O7/12,0)</f>
        <v>56689</v>
      </c>
    </row>
    <row r="8" spans="1:16">
      <c r="A8" s="93" t="s">
        <v>114</v>
      </c>
      <c r="B8" s="82"/>
      <c r="C8" s="21">
        <f>'(JAP-04) Weather Adj'!D242</f>
        <v>1362</v>
      </c>
      <c r="D8" s="21">
        <f>'(JAP-04) Weather Adj'!E242</f>
        <v>1357</v>
      </c>
      <c r="E8" s="21">
        <f>'(JAP-04) Weather Adj'!F242</f>
        <v>1360</v>
      </c>
      <c r="F8" s="21">
        <f>'(JAP-04) Weather Adj'!G242</f>
        <v>1363</v>
      </c>
      <c r="G8" s="21">
        <f>'(JAP-04) Weather Adj'!H242</f>
        <v>1361</v>
      </c>
      <c r="H8" s="21">
        <f>'(JAP-04) Weather Adj'!I242</f>
        <v>1352</v>
      </c>
      <c r="I8" s="21">
        <f>'(JAP-04) Weather Adj'!J242</f>
        <v>1315</v>
      </c>
      <c r="J8" s="21">
        <f>'(JAP-04) Weather Adj'!K242</f>
        <v>1302</v>
      </c>
      <c r="K8" s="21">
        <f>'(JAP-04) Weather Adj'!L242</f>
        <v>1301</v>
      </c>
      <c r="L8" s="21">
        <f>'(JAP-04) Weather Adj'!M242</f>
        <v>1308</v>
      </c>
      <c r="M8" s="21">
        <f>'(JAP-04) Weather Adj'!N242</f>
        <v>1318</v>
      </c>
      <c r="N8" s="21">
        <f>'(JAP-04) Weather Adj'!O242</f>
        <v>1319</v>
      </c>
      <c r="O8" s="21">
        <f>'(JAP-04) Weather Adj'!P242</f>
        <v>16018</v>
      </c>
      <c r="P8" s="477">
        <f t="shared" si="1"/>
        <v>1335</v>
      </c>
    </row>
    <row r="9" spans="1:16">
      <c r="A9" s="391" t="s">
        <v>115</v>
      </c>
      <c r="B9" s="82"/>
      <c r="C9" s="21">
        <f>'(JAP-04) Weather Adj'!D243</f>
        <v>0</v>
      </c>
      <c r="D9" s="21">
        <f>'(JAP-04) Weather Adj'!E243</f>
        <v>0</v>
      </c>
      <c r="E9" s="21">
        <f>'(JAP-04) Weather Adj'!F243</f>
        <v>0</v>
      </c>
      <c r="F9" s="21">
        <f>'(JAP-04) Weather Adj'!G243</f>
        <v>0</v>
      </c>
      <c r="G9" s="21">
        <f>'(JAP-04) Weather Adj'!H243</f>
        <v>0</v>
      </c>
      <c r="H9" s="21">
        <f>'(JAP-04) Weather Adj'!I243</f>
        <v>0</v>
      </c>
      <c r="I9" s="21">
        <f>'(JAP-04) Weather Adj'!J243</f>
        <v>0</v>
      </c>
      <c r="J9" s="21">
        <f>'(JAP-04) Weather Adj'!K243</f>
        <v>0</v>
      </c>
      <c r="K9" s="21">
        <f>'(JAP-04) Weather Adj'!L243</f>
        <v>0</v>
      </c>
      <c r="L9" s="21">
        <f>'(JAP-04) Weather Adj'!M243</f>
        <v>0</v>
      </c>
      <c r="M9" s="21">
        <f>'(JAP-04) Weather Adj'!N243</f>
        <v>0</v>
      </c>
      <c r="N9" s="21">
        <f>'(JAP-04) Weather Adj'!O243</f>
        <v>0</v>
      </c>
      <c r="O9" s="21">
        <f>'(JAP-04) Weather Adj'!P243</f>
        <v>0</v>
      </c>
      <c r="P9" s="477">
        <f t="shared" si="1"/>
        <v>0</v>
      </c>
    </row>
    <row r="10" spans="1:16">
      <c r="A10" s="93" t="s">
        <v>281</v>
      </c>
      <c r="B10" s="82"/>
      <c r="C10" s="21">
        <f>'(JAP-04) Weather Adj'!D244</f>
        <v>0</v>
      </c>
      <c r="D10" s="21">
        <f>'(JAP-04) Weather Adj'!E244</f>
        <v>0</v>
      </c>
      <c r="E10" s="21">
        <f>'(JAP-04) Weather Adj'!F244</f>
        <v>0</v>
      </c>
      <c r="F10" s="21">
        <f>'(JAP-04) Weather Adj'!G244</f>
        <v>0</v>
      </c>
      <c r="G10" s="21">
        <f>'(JAP-04) Weather Adj'!H244</f>
        <v>0</v>
      </c>
      <c r="H10" s="21">
        <f>'(JAP-04) Weather Adj'!I244</f>
        <v>0</v>
      </c>
      <c r="I10" s="21">
        <f>'(JAP-04) Weather Adj'!J244</f>
        <v>0</v>
      </c>
      <c r="J10" s="21">
        <f>'(JAP-04) Weather Adj'!K244</f>
        <v>0</v>
      </c>
      <c r="K10" s="21">
        <f>'(JAP-04) Weather Adj'!L244</f>
        <v>0</v>
      </c>
      <c r="L10" s="21">
        <f>'(JAP-04) Weather Adj'!M244</f>
        <v>0</v>
      </c>
      <c r="M10" s="21">
        <f>'(JAP-04) Weather Adj'!N244</f>
        <v>0</v>
      </c>
      <c r="N10" s="21">
        <f>'(JAP-04) Weather Adj'!O244</f>
        <v>0</v>
      </c>
      <c r="O10" s="21">
        <f>'(JAP-04) Weather Adj'!P244</f>
        <v>0</v>
      </c>
      <c r="P10" s="477">
        <f t="shared" si="1"/>
        <v>0</v>
      </c>
    </row>
    <row r="11" spans="1:16">
      <c r="A11" s="93" t="s">
        <v>117</v>
      </c>
      <c r="B11" s="82"/>
      <c r="C11" s="21">
        <f>'(JAP-04) Weather Adj'!D245</f>
        <v>29</v>
      </c>
      <c r="D11" s="21">
        <f>'(JAP-04) Weather Adj'!E245</f>
        <v>29</v>
      </c>
      <c r="E11" s="21">
        <f>'(JAP-04) Weather Adj'!F245</f>
        <v>29</v>
      </c>
      <c r="F11" s="21">
        <f>'(JAP-04) Weather Adj'!G245</f>
        <v>29</v>
      </c>
      <c r="G11" s="21">
        <f>'(JAP-04) Weather Adj'!H245</f>
        <v>29</v>
      </c>
      <c r="H11" s="21">
        <f>'(JAP-04) Weather Adj'!I245</f>
        <v>28</v>
      </c>
      <c r="I11" s="21">
        <f>'(JAP-04) Weather Adj'!J245</f>
        <v>28</v>
      </c>
      <c r="J11" s="21">
        <f>'(JAP-04) Weather Adj'!K245</f>
        <v>28</v>
      </c>
      <c r="K11" s="21">
        <f>'(JAP-04) Weather Adj'!L245</f>
        <v>28</v>
      </c>
      <c r="L11" s="21">
        <f>'(JAP-04) Weather Adj'!M245</f>
        <v>28</v>
      </c>
      <c r="M11" s="21">
        <f>'(JAP-04) Weather Adj'!N245</f>
        <v>28</v>
      </c>
      <c r="N11" s="21">
        <f>'(JAP-04) Weather Adj'!O245</f>
        <v>28</v>
      </c>
      <c r="O11" s="21">
        <f>'(JAP-04) Weather Adj'!P245</f>
        <v>341</v>
      </c>
      <c r="P11" s="477">
        <f t="shared" si="1"/>
        <v>28</v>
      </c>
    </row>
    <row r="12" spans="1:16">
      <c r="A12" s="93" t="s">
        <v>118</v>
      </c>
      <c r="B12" s="82"/>
      <c r="C12" s="21">
        <f>'(JAP-04) Weather Adj'!D246</f>
        <v>228</v>
      </c>
      <c r="D12" s="21">
        <f>'(JAP-04) Weather Adj'!E246</f>
        <v>228</v>
      </c>
      <c r="E12" s="21">
        <f>'(JAP-04) Weather Adj'!F246</f>
        <v>228</v>
      </c>
      <c r="F12" s="21">
        <f>'(JAP-04) Weather Adj'!G246</f>
        <v>228</v>
      </c>
      <c r="G12" s="21">
        <f>'(JAP-04) Weather Adj'!H246</f>
        <v>227</v>
      </c>
      <c r="H12" s="21">
        <f>'(JAP-04) Weather Adj'!I246</f>
        <v>227</v>
      </c>
      <c r="I12" s="21">
        <f>'(JAP-04) Weather Adj'!J246</f>
        <v>226</v>
      </c>
      <c r="J12" s="21">
        <f>'(JAP-04) Weather Adj'!K246</f>
        <v>226</v>
      </c>
      <c r="K12" s="21">
        <f>'(JAP-04) Weather Adj'!L246</f>
        <v>226</v>
      </c>
      <c r="L12" s="21">
        <f>'(JAP-04) Weather Adj'!M246</f>
        <v>226</v>
      </c>
      <c r="M12" s="21">
        <f>'(JAP-04) Weather Adj'!N246</f>
        <v>223</v>
      </c>
      <c r="N12" s="21">
        <f>'(JAP-04) Weather Adj'!O246</f>
        <v>219</v>
      </c>
      <c r="O12" s="21">
        <f>'(JAP-04) Weather Adj'!P246</f>
        <v>2712</v>
      </c>
      <c r="P12" s="477">
        <f t="shared" si="1"/>
        <v>226</v>
      </c>
    </row>
    <row r="13" spans="1:16">
      <c r="A13" s="93" t="s">
        <v>119</v>
      </c>
      <c r="B13" s="82"/>
      <c r="C13" s="21">
        <f>'(JAP-04) Weather Adj'!D247</f>
        <v>5</v>
      </c>
      <c r="D13" s="21">
        <f>'(JAP-04) Weather Adj'!E247</f>
        <v>5</v>
      </c>
      <c r="E13" s="21">
        <f>'(JAP-04) Weather Adj'!F247</f>
        <v>5</v>
      </c>
      <c r="F13" s="21">
        <f>'(JAP-04) Weather Adj'!G247</f>
        <v>5</v>
      </c>
      <c r="G13" s="21">
        <f>'(JAP-04) Weather Adj'!H247</f>
        <v>5</v>
      </c>
      <c r="H13" s="21">
        <f>'(JAP-04) Weather Adj'!I247</f>
        <v>5</v>
      </c>
      <c r="I13" s="21">
        <f>'(JAP-04) Weather Adj'!J247</f>
        <v>5</v>
      </c>
      <c r="J13" s="21">
        <f>'(JAP-04) Weather Adj'!K247</f>
        <v>5</v>
      </c>
      <c r="K13" s="21">
        <f>'(JAP-04) Weather Adj'!L247</f>
        <v>5</v>
      </c>
      <c r="L13" s="21">
        <f>'(JAP-04) Weather Adj'!M247</f>
        <v>5</v>
      </c>
      <c r="M13" s="21">
        <f>'(JAP-04) Weather Adj'!N247</f>
        <v>5</v>
      </c>
      <c r="N13" s="21">
        <f>'(JAP-04) Weather Adj'!O247</f>
        <v>5</v>
      </c>
      <c r="O13" s="21">
        <f>'(JAP-04) Weather Adj'!P247</f>
        <v>60</v>
      </c>
      <c r="P13" s="477">
        <f t="shared" si="1"/>
        <v>5</v>
      </c>
    </row>
    <row r="14" spans="1:16">
      <c r="A14" s="25" t="s">
        <v>162</v>
      </c>
      <c r="B14" s="82"/>
      <c r="C14" s="21">
        <f>'(JAP-04) Weather Adj'!D248</f>
        <v>3</v>
      </c>
      <c r="D14" s="21">
        <f>'(JAP-04) Weather Adj'!E248</f>
        <v>3</v>
      </c>
      <c r="E14" s="21">
        <f>'(JAP-04) Weather Adj'!F248</f>
        <v>3</v>
      </c>
      <c r="F14" s="21">
        <f>'(JAP-04) Weather Adj'!G248</f>
        <v>3</v>
      </c>
      <c r="G14" s="21">
        <f>'(JAP-04) Weather Adj'!H248</f>
        <v>3</v>
      </c>
      <c r="H14" s="21">
        <f>'(JAP-04) Weather Adj'!I248</f>
        <v>3</v>
      </c>
      <c r="I14" s="21">
        <f>'(JAP-04) Weather Adj'!J248</f>
        <v>3</v>
      </c>
      <c r="J14" s="21">
        <f>'(JAP-04) Weather Adj'!K248</f>
        <v>2</v>
      </c>
      <c r="K14" s="21">
        <f>'(JAP-04) Weather Adj'!L248</f>
        <v>2</v>
      </c>
      <c r="L14" s="21">
        <f>'(JAP-04) Weather Adj'!M248</f>
        <v>2</v>
      </c>
      <c r="M14" s="21">
        <f>'(JAP-04) Weather Adj'!N248</f>
        <v>2</v>
      </c>
      <c r="N14" s="21">
        <f>'(JAP-04) Weather Adj'!O248</f>
        <v>2</v>
      </c>
      <c r="O14" s="21">
        <f>'(JAP-04) Weather Adj'!P248</f>
        <v>31</v>
      </c>
      <c r="P14" s="477">
        <f t="shared" si="1"/>
        <v>3</v>
      </c>
    </row>
    <row r="15" spans="1:16">
      <c r="A15" s="25" t="s">
        <v>120</v>
      </c>
      <c r="B15" s="82"/>
      <c r="C15" s="21">
        <f>'(JAP-04) Weather Adj'!D249</f>
        <v>103</v>
      </c>
      <c r="D15" s="21">
        <f>'(JAP-04) Weather Adj'!E249</f>
        <v>105</v>
      </c>
      <c r="E15" s="21">
        <f>'(JAP-04) Weather Adj'!F249</f>
        <v>105</v>
      </c>
      <c r="F15" s="21">
        <f>'(JAP-04) Weather Adj'!G249</f>
        <v>105</v>
      </c>
      <c r="G15" s="21">
        <f>'(JAP-04) Weather Adj'!H249</f>
        <v>105</v>
      </c>
      <c r="H15" s="21">
        <f>'(JAP-04) Weather Adj'!I249</f>
        <v>109</v>
      </c>
      <c r="I15" s="21">
        <f>'(JAP-04) Weather Adj'!J249</f>
        <v>109</v>
      </c>
      <c r="J15" s="21">
        <f>'(JAP-04) Weather Adj'!K249</f>
        <v>109</v>
      </c>
      <c r="K15" s="21">
        <f>'(JAP-04) Weather Adj'!L249</f>
        <v>109</v>
      </c>
      <c r="L15" s="21">
        <f>'(JAP-04) Weather Adj'!M249</f>
        <v>109</v>
      </c>
      <c r="M15" s="21">
        <f>'(JAP-04) Weather Adj'!N249</f>
        <v>106</v>
      </c>
      <c r="N15" s="21">
        <f>'(JAP-04) Weather Adj'!O249</f>
        <v>106</v>
      </c>
      <c r="O15" s="21">
        <f>'(JAP-04) Weather Adj'!P249</f>
        <v>1280</v>
      </c>
      <c r="P15" s="477">
        <f t="shared" si="1"/>
        <v>107</v>
      </c>
    </row>
    <row r="16" spans="1:16">
      <c r="A16" s="25" t="s">
        <v>121</v>
      </c>
      <c r="B16" s="82"/>
      <c r="C16" s="21">
        <f>'(JAP-04) Weather Adj'!D250</f>
        <v>101</v>
      </c>
      <c r="D16" s="21">
        <f>'(JAP-04) Weather Adj'!E250</f>
        <v>101</v>
      </c>
      <c r="E16" s="21">
        <f>'(JAP-04) Weather Adj'!F250</f>
        <v>101</v>
      </c>
      <c r="F16" s="21">
        <f>'(JAP-04) Weather Adj'!G250</f>
        <v>101</v>
      </c>
      <c r="G16" s="21">
        <f>'(JAP-04) Weather Adj'!H250</f>
        <v>102</v>
      </c>
      <c r="H16" s="21">
        <f>'(JAP-04) Weather Adj'!I250</f>
        <v>103</v>
      </c>
      <c r="I16" s="21">
        <f>'(JAP-04) Weather Adj'!J250</f>
        <v>103</v>
      </c>
      <c r="J16" s="21">
        <f>'(JAP-04) Weather Adj'!K250</f>
        <v>103</v>
      </c>
      <c r="K16" s="21">
        <f>'(JAP-04) Weather Adj'!L250</f>
        <v>103</v>
      </c>
      <c r="L16" s="21">
        <f>'(JAP-04) Weather Adj'!M250</f>
        <v>103</v>
      </c>
      <c r="M16" s="21">
        <f>'(JAP-04) Weather Adj'!N250</f>
        <v>103</v>
      </c>
      <c r="N16" s="21">
        <f>'(JAP-04) Weather Adj'!O250</f>
        <v>103</v>
      </c>
      <c r="O16" s="21">
        <f>'(JAP-04) Weather Adj'!P250</f>
        <v>1227</v>
      </c>
      <c r="P16" s="477">
        <f t="shared" si="1"/>
        <v>102</v>
      </c>
    </row>
    <row r="17" spans="1:16">
      <c r="A17" s="25" t="s">
        <v>125</v>
      </c>
      <c r="B17" s="82"/>
      <c r="C17" s="21">
        <f>'(JAP-04) Weather Adj'!D251</f>
        <v>2</v>
      </c>
      <c r="D17" s="21">
        <f>'(JAP-04) Weather Adj'!E251</f>
        <v>2</v>
      </c>
      <c r="E17" s="21">
        <f>'(JAP-04) Weather Adj'!F251</f>
        <v>2</v>
      </c>
      <c r="F17" s="21">
        <f>'(JAP-04) Weather Adj'!G251</f>
        <v>2</v>
      </c>
      <c r="G17" s="21">
        <f>'(JAP-04) Weather Adj'!H251</f>
        <v>2</v>
      </c>
      <c r="H17" s="21">
        <f>'(JAP-04) Weather Adj'!I251</f>
        <v>2</v>
      </c>
      <c r="I17" s="21">
        <f>'(JAP-04) Weather Adj'!J251</f>
        <v>2</v>
      </c>
      <c r="J17" s="21">
        <f>'(JAP-04) Weather Adj'!K251</f>
        <v>2</v>
      </c>
      <c r="K17" s="21">
        <f>'(JAP-04) Weather Adj'!L251</f>
        <v>2</v>
      </c>
      <c r="L17" s="21">
        <f>'(JAP-04) Weather Adj'!M251</f>
        <v>2</v>
      </c>
      <c r="M17" s="21">
        <f>'(JAP-04) Weather Adj'!N251</f>
        <v>2</v>
      </c>
      <c r="N17" s="21">
        <f>'(JAP-04) Weather Adj'!O251</f>
        <v>3</v>
      </c>
      <c r="O17" s="21">
        <f>'(JAP-04) Weather Adj'!P251</f>
        <v>25</v>
      </c>
      <c r="P17" s="477">
        <f t="shared" si="1"/>
        <v>2</v>
      </c>
    </row>
    <row r="18" spans="1:16">
      <c r="A18" s="25" t="s">
        <v>123</v>
      </c>
      <c r="B18" s="82"/>
      <c r="C18" s="21">
        <f>'(JAP-04) Weather Adj'!D252</f>
        <v>10</v>
      </c>
      <c r="D18" s="21">
        <f>'(JAP-04) Weather Adj'!E252</f>
        <v>10</v>
      </c>
      <c r="E18" s="21">
        <f>'(JAP-04) Weather Adj'!F252</f>
        <v>10</v>
      </c>
      <c r="F18" s="21">
        <f>'(JAP-04) Weather Adj'!G252</f>
        <v>10</v>
      </c>
      <c r="G18" s="21">
        <f>'(JAP-04) Weather Adj'!H252</f>
        <v>10</v>
      </c>
      <c r="H18" s="21">
        <f>'(JAP-04) Weather Adj'!I252</f>
        <v>10</v>
      </c>
      <c r="I18" s="21">
        <f>'(JAP-04) Weather Adj'!J252</f>
        <v>10</v>
      </c>
      <c r="J18" s="21">
        <f>'(JAP-04) Weather Adj'!K252</f>
        <v>10</v>
      </c>
      <c r="K18" s="21">
        <f>'(JAP-04) Weather Adj'!L252</f>
        <v>10</v>
      </c>
      <c r="L18" s="21">
        <f>'(JAP-04) Weather Adj'!M252</f>
        <v>10</v>
      </c>
      <c r="M18" s="21">
        <f>'(JAP-04) Weather Adj'!N252</f>
        <v>10</v>
      </c>
      <c r="N18" s="21">
        <f>'(JAP-04) Weather Adj'!O252</f>
        <v>10</v>
      </c>
      <c r="O18" s="21">
        <f>'(JAP-04) Weather Adj'!P252</f>
        <v>120</v>
      </c>
      <c r="P18" s="477">
        <f t="shared" si="1"/>
        <v>10</v>
      </c>
    </row>
    <row r="19" spans="1:16">
      <c r="A19" s="93" t="s">
        <v>56</v>
      </c>
      <c r="B19" s="392"/>
      <c r="C19" s="21">
        <f>'(JAP-04) Weather Adj'!D253</f>
        <v>10</v>
      </c>
      <c r="D19" s="21">
        <f>'(JAP-04) Weather Adj'!E253</f>
        <v>10</v>
      </c>
      <c r="E19" s="21">
        <f>'(JAP-04) Weather Adj'!F253</f>
        <v>10</v>
      </c>
      <c r="F19" s="21">
        <f>'(JAP-04) Weather Adj'!G253</f>
        <v>10</v>
      </c>
      <c r="G19" s="21">
        <f>'(JAP-04) Weather Adj'!H253</f>
        <v>10</v>
      </c>
      <c r="H19" s="21">
        <f>'(JAP-04) Weather Adj'!I253</f>
        <v>10</v>
      </c>
      <c r="I19" s="21">
        <f>'(JAP-04) Weather Adj'!J253</f>
        <v>10</v>
      </c>
      <c r="J19" s="21">
        <f>'(JAP-04) Weather Adj'!K253</f>
        <v>10</v>
      </c>
      <c r="K19" s="21">
        <f>'(JAP-04) Weather Adj'!L253</f>
        <v>10</v>
      </c>
      <c r="L19" s="21">
        <f>'(JAP-04) Weather Adj'!M253</f>
        <v>10</v>
      </c>
      <c r="M19" s="21">
        <f>'(JAP-04) Weather Adj'!N253</f>
        <v>10</v>
      </c>
      <c r="N19" s="21">
        <f>'(JAP-04) Weather Adj'!O253</f>
        <v>10</v>
      </c>
      <c r="O19" s="21">
        <f>'(JAP-04) Weather Adj'!P253</f>
        <v>120</v>
      </c>
      <c r="P19" s="42">
        <f t="shared" si="1"/>
        <v>10</v>
      </c>
    </row>
    <row r="20" spans="1:16">
      <c r="A20" s="25" t="s">
        <v>129</v>
      </c>
      <c r="B20" s="82"/>
      <c r="C20" s="87">
        <f t="shared" ref="C20:O20" si="2">SUM(C6:C19)</f>
        <v>826556</v>
      </c>
      <c r="D20" s="87">
        <f t="shared" si="2"/>
        <v>827699</v>
      </c>
      <c r="E20" s="87">
        <f t="shared" si="2"/>
        <v>828501</v>
      </c>
      <c r="F20" s="87">
        <f t="shared" si="2"/>
        <v>828856</v>
      </c>
      <c r="G20" s="87">
        <f t="shared" si="2"/>
        <v>829484</v>
      </c>
      <c r="H20" s="87">
        <f t="shared" si="2"/>
        <v>829721</v>
      </c>
      <c r="I20" s="87">
        <f t="shared" si="2"/>
        <v>829871</v>
      </c>
      <c r="J20" s="87">
        <f t="shared" si="2"/>
        <v>830395</v>
      </c>
      <c r="K20" s="87">
        <f t="shared" si="2"/>
        <v>830966</v>
      </c>
      <c r="L20" s="87">
        <f t="shared" si="2"/>
        <v>833212</v>
      </c>
      <c r="M20" s="87">
        <f t="shared" si="2"/>
        <v>835519</v>
      </c>
      <c r="N20" s="87">
        <f t="shared" si="2"/>
        <v>836979</v>
      </c>
      <c r="O20" s="87">
        <f t="shared" si="2"/>
        <v>9967759</v>
      </c>
      <c r="P20" s="477">
        <f t="shared" si="1"/>
        <v>830647</v>
      </c>
    </row>
  </sheetData>
  <mergeCells count="3">
    <mergeCell ref="A1:O1"/>
    <mergeCell ref="A2:O2"/>
    <mergeCell ref="A3:O3"/>
  </mergeCells>
  <pageMargins left="0.7" right="0.7" top="0.75" bottom="0.75" header="0.3" footer="0.3"/>
  <pageSetup fitToWidth="2" fitToHeight="0" orientation="landscape" horizontalDpi="0" verticalDpi="0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C20"/>
  <sheetViews>
    <sheetView view="pageLayout" zoomScaleNormal="100" workbookViewId="0">
      <selection activeCell="C11" sqref="C11"/>
    </sheetView>
  </sheetViews>
  <sheetFormatPr baseColWidth="10" defaultColWidth="8.83203125" defaultRowHeight="15"/>
  <cols>
    <col min="1" max="1" width="43" bestFit="1" customWidth="1"/>
    <col min="2" max="3" width="13.5" bestFit="1" customWidth="1"/>
  </cols>
  <sheetData>
    <row r="1" spans="1:3">
      <c r="A1" s="514" t="s">
        <v>17</v>
      </c>
      <c r="B1" s="514"/>
      <c r="C1" s="514"/>
    </row>
    <row r="2" spans="1:3">
      <c r="A2" s="515" t="s">
        <v>307</v>
      </c>
      <c r="B2" s="514"/>
      <c r="C2" s="514"/>
    </row>
    <row r="5" spans="1:3">
      <c r="A5" s="41" t="s">
        <v>254</v>
      </c>
      <c r="B5" s="39" t="s">
        <v>268</v>
      </c>
      <c r="C5" s="39" t="s">
        <v>269</v>
      </c>
    </row>
    <row r="6" spans="1:3">
      <c r="A6" t="s">
        <v>247</v>
      </c>
      <c r="C6" s="508">
        <f>'(JDT-07) Rate Design C&amp;I'!I35/'(JAP-13) Page 2'!E13/C7</f>
        <v>34.468078697170675</v>
      </c>
    </row>
    <row r="7" spans="1:3">
      <c r="A7" t="s">
        <v>240</v>
      </c>
      <c r="C7" s="507">
        <v>12</v>
      </c>
    </row>
    <row r="8" spans="1:3">
      <c r="A8" t="s">
        <v>248</v>
      </c>
      <c r="C8" s="43">
        <f>C6*C7</f>
        <v>413.61694436604807</v>
      </c>
    </row>
    <row r="10" spans="1:3">
      <c r="A10" t="s">
        <v>242</v>
      </c>
      <c r="B10" s="509">
        <f>'(JAP-13) Page 2'!E15</f>
        <v>1726.95</v>
      </c>
      <c r="C10" s="44">
        <f>B10</f>
        <v>1726.95</v>
      </c>
    </row>
    <row r="12" spans="1:3" ht="16" thickBot="1">
      <c r="A12" s="45" t="s">
        <v>243</v>
      </c>
      <c r="B12" s="46">
        <f>B8+B10</f>
        <v>1726.95</v>
      </c>
      <c r="C12" s="46">
        <f t="shared" ref="C12" si="0">C8+C10</f>
        <v>2140.5669443660481</v>
      </c>
    </row>
    <row r="13" spans="1:3" ht="16" thickTop="1"/>
    <row r="14" spans="1:3">
      <c r="A14" t="s">
        <v>244</v>
      </c>
      <c r="B14" s="506">
        <f>'Sch 85-87 Allowance'!B16</f>
        <v>9.3100000000000002E-2</v>
      </c>
      <c r="C14" s="47">
        <f>B14</f>
        <v>9.3100000000000002E-2</v>
      </c>
    </row>
    <row r="16" spans="1:3" ht="16" thickBot="1">
      <c r="A16" s="48" t="s">
        <v>249</v>
      </c>
      <c r="B16" s="49">
        <f t="shared" ref="B16" si="1">B12/B14</f>
        <v>18549.409237379161</v>
      </c>
      <c r="C16" s="49">
        <f>C12/C14</f>
        <v>22992.126147863029</v>
      </c>
    </row>
    <row r="17" spans="1:3">
      <c r="A17" s="40"/>
      <c r="B17" s="50"/>
      <c r="C17" s="51"/>
    </row>
    <row r="18" spans="1:3">
      <c r="A18" t="s">
        <v>270</v>
      </c>
      <c r="B18" s="510">
        <f>'(JAP-13) Page 4'!Q14/'(JAP-13) Page 2'!E13</f>
        <v>4097.1692851372318</v>
      </c>
      <c r="C18" s="42">
        <f>B18</f>
        <v>4097.1692851372318</v>
      </c>
    </row>
    <row r="19" spans="1:3">
      <c r="B19" s="40"/>
    </row>
    <row r="20" spans="1:3" ht="16" thickBot="1">
      <c r="A20" s="48" t="s">
        <v>246</v>
      </c>
      <c r="B20" s="74">
        <f>ROUND(B16/B18,2)</f>
        <v>4.53</v>
      </c>
      <c r="C20" s="74">
        <f>ROUND(C16/C18,2)</f>
        <v>5.61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C20"/>
  <sheetViews>
    <sheetView view="pageLayout" zoomScaleNormal="100" workbookViewId="0">
      <selection activeCell="C11" sqref="C11"/>
    </sheetView>
  </sheetViews>
  <sheetFormatPr baseColWidth="10" defaultColWidth="8.83203125" defaultRowHeight="15"/>
  <cols>
    <col min="1" max="1" width="43" bestFit="1" customWidth="1"/>
    <col min="2" max="2" width="13.5" bestFit="1" customWidth="1"/>
    <col min="3" max="3" width="14.5" bestFit="1" customWidth="1"/>
  </cols>
  <sheetData>
    <row r="1" spans="1:3">
      <c r="A1" s="514" t="s">
        <v>17</v>
      </c>
      <c r="B1" s="514"/>
      <c r="C1" s="514"/>
    </row>
    <row r="2" spans="1:3">
      <c r="A2" s="515" t="s">
        <v>307</v>
      </c>
      <c r="B2" s="514"/>
      <c r="C2" s="514"/>
    </row>
    <row r="5" spans="1:3">
      <c r="A5" s="41" t="s">
        <v>255</v>
      </c>
      <c r="B5" s="39" t="s">
        <v>268</v>
      </c>
      <c r="C5" s="39" t="s">
        <v>269</v>
      </c>
    </row>
    <row r="6" spans="1:3">
      <c r="A6" t="s">
        <v>247</v>
      </c>
      <c r="C6" s="508">
        <f>('(JDT-07) Rate Design C&amp;I'!I87+'(JDT-07) Rate Design Int&amp;Trans'!I107)/'(JAP-13) Page 2'!F13/C7</f>
        <v>136.70355538922152</v>
      </c>
    </row>
    <row r="7" spans="1:3">
      <c r="A7" t="s">
        <v>240</v>
      </c>
      <c r="C7" s="507">
        <v>12</v>
      </c>
    </row>
    <row r="8" spans="1:3">
      <c r="A8" t="s">
        <v>248</v>
      </c>
      <c r="C8" s="43">
        <f>C6*C7</f>
        <v>1640.4426646706584</v>
      </c>
    </row>
    <row r="10" spans="1:3">
      <c r="A10" t="s">
        <v>242</v>
      </c>
      <c r="B10" s="509">
        <f>'(JAP-13) Page 2'!F15</f>
        <v>11008.35</v>
      </c>
      <c r="C10" s="44">
        <f>B10</f>
        <v>11008.35</v>
      </c>
    </row>
    <row r="12" spans="1:3" ht="16" thickBot="1">
      <c r="A12" s="45" t="s">
        <v>243</v>
      </c>
      <c r="B12" s="46">
        <f>B8+B10</f>
        <v>11008.35</v>
      </c>
      <c r="C12" s="46">
        <f t="shared" ref="C12" si="0">C8+C10</f>
        <v>12648.792664670658</v>
      </c>
    </row>
    <row r="13" spans="1:3" ht="16" thickTop="1"/>
    <row r="14" spans="1:3">
      <c r="A14" t="s">
        <v>244</v>
      </c>
      <c r="B14" s="506">
        <f>'Sch 85-87 Allowance'!B16</f>
        <v>9.3100000000000002E-2</v>
      </c>
      <c r="C14" s="47">
        <f>B14</f>
        <v>9.3100000000000002E-2</v>
      </c>
    </row>
    <row r="16" spans="1:3" ht="16" thickBot="1">
      <c r="A16" s="48" t="s">
        <v>249</v>
      </c>
      <c r="B16" s="49">
        <f t="shared" ref="B16" si="1">B12/B14</f>
        <v>118242.21267454351</v>
      </c>
      <c r="C16" s="49">
        <f>C12/C14</f>
        <v>135862.43463663434</v>
      </c>
    </row>
    <row r="17" spans="1:3">
      <c r="A17" s="40"/>
      <c r="B17" s="50"/>
      <c r="C17" s="51"/>
    </row>
    <row r="18" spans="1:3">
      <c r="A18" t="s">
        <v>271</v>
      </c>
      <c r="B18" s="510">
        <f>'(JAP-13) Page 4'!Q18/'(JAP-13) Page 2'!F13</f>
        <v>57017.247856886221</v>
      </c>
      <c r="C18" s="42">
        <f>B18</f>
        <v>57017.247856886221</v>
      </c>
    </row>
    <row r="19" spans="1:3">
      <c r="B19" s="40"/>
    </row>
    <row r="20" spans="1:3" ht="16" thickBot="1">
      <c r="A20" s="48" t="s">
        <v>246</v>
      </c>
      <c r="B20" s="74">
        <f>ROUND(B16/B18,2)</f>
        <v>2.0699999999999998</v>
      </c>
      <c r="C20" s="74">
        <f>ROUND(C16/C18,2)</f>
        <v>2.38</v>
      </c>
    </row>
  </sheetData>
  <mergeCells count="2">
    <mergeCell ref="A1:C1"/>
    <mergeCell ref="A2:C2"/>
  </mergeCells>
  <pageMargins left="0.7" right="0.7" top="0.75" bottom="0.75" header="0.3" footer="0.3"/>
  <pageSetup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E22"/>
  <sheetViews>
    <sheetView view="pageLayout" zoomScaleNormal="100" workbookViewId="0">
      <selection activeCell="C11" sqref="C11"/>
    </sheetView>
  </sheetViews>
  <sheetFormatPr baseColWidth="10" defaultColWidth="8.83203125" defaultRowHeight="15"/>
  <cols>
    <col min="1" max="1" width="43" bestFit="1" customWidth="1"/>
    <col min="2" max="2" width="12.5" bestFit="1" customWidth="1"/>
    <col min="3" max="5" width="14.5" bestFit="1" customWidth="1"/>
  </cols>
  <sheetData>
    <row r="1" spans="1:5">
      <c r="A1" s="518" t="s">
        <v>17</v>
      </c>
      <c r="B1" s="518"/>
      <c r="C1" s="518"/>
      <c r="D1" s="519"/>
      <c r="E1" s="519"/>
    </row>
    <row r="2" spans="1:5">
      <c r="A2" s="520" t="s">
        <v>307</v>
      </c>
      <c r="B2" s="518"/>
      <c r="C2" s="518"/>
      <c r="D2" s="519"/>
      <c r="E2" s="519"/>
    </row>
    <row r="4" spans="1:5">
      <c r="B4" s="516" t="s">
        <v>268</v>
      </c>
      <c r="C4" s="517"/>
      <c r="D4" s="516" t="s">
        <v>269</v>
      </c>
      <c r="E4" s="517"/>
    </row>
    <row r="5" spans="1:5">
      <c r="A5" s="41" t="s">
        <v>250</v>
      </c>
      <c r="B5" s="52" t="s">
        <v>251</v>
      </c>
      <c r="C5" s="53" t="s">
        <v>252</v>
      </c>
      <c r="D5" s="52" t="s">
        <v>251</v>
      </c>
      <c r="E5" s="53" t="s">
        <v>252</v>
      </c>
    </row>
    <row r="6" spans="1:5">
      <c r="A6" t="s">
        <v>247</v>
      </c>
      <c r="B6" s="54"/>
      <c r="C6" s="55"/>
      <c r="D6" s="501">
        <f>'(JDT-07) Rate Design Int&amp;Trans'!I50/B11/D7</f>
        <v>820.035705128205</v>
      </c>
      <c r="E6" s="502">
        <f>'(JDT-07) Rate Design Int&amp;Trans'!I172/C11/E7</f>
        <v>808.16544444444446</v>
      </c>
    </row>
    <row r="7" spans="1:5">
      <c r="A7" t="s">
        <v>240</v>
      </c>
      <c r="B7" s="54"/>
      <c r="C7" s="55"/>
      <c r="D7" s="478">
        <v>12</v>
      </c>
      <c r="E7" s="479">
        <v>12</v>
      </c>
    </row>
    <row r="8" spans="1:5">
      <c r="A8" t="s">
        <v>248</v>
      </c>
      <c r="B8" s="54"/>
      <c r="C8" s="55"/>
      <c r="D8" s="58">
        <f>D6*D7</f>
        <v>9840.4284615384604</v>
      </c>
      <c r="E8" s="59">
        <f>E6*E7</f>
        <v>9697.985333333334</v>
      </c>
    </row>
    <row r="9" spans="1:5">
      <c r="B9" s="54"/>
      <c r="C9" s="55"/>
      <c r="D9" s="54"/>
      <c r="E9" s="55"/>
    </row>
    <row r="10" spans="1:5">
      <c r="A10" t="s">
        <v>272</v>
      </c>
      <c r="B10" s="505">
        <f>'(JDT-07) Rate Design Int&amp;Trans'!I59-'(JDT-07) Rate Design Int&amp;Trans'!I53-'(JDT-07) Rate Design Int&amp;Trans'!I50</f>
        <v>8943606.4900000021</v>
      </c>
      <c r="C10" s="513">
        <f>'(JDT-07) Rate Design Int&amp;Trans'!I184-'(JDT-07) Rate Design Int&amp;Trans'!I175-'(JDT-07) Rate Design Int&amp;Trans'!I172</f>
        <v>5839392.6700000009</v>
      </c>
      <c r="D10" s="503">
        <f>B10</f>
        <v>8943606.4900000021</v>
      </c>
      <c r="E10" s="504">
        <f>C10</f>
        <v>5839392.6700000009</v>
      </c>
    </row>
    <row r="11" spans="1:5">
      <c r="A11" t="s">
        <v>302</v>
      </c>
      <c r="B11" s="480">
        <f>'Average Customer Counts '!P11+'Average Customer Counts '!P16</f>
        <v>130</v>
      </c>
      <c r="C11" s="481">
        <f>'Average Customer Counts '!P13+'Average Customer Counts '!P18</f>
        <v>15</v>
      </c>
      <c r="D11" s="60">
        <f>B11</f>
        <v>130</v>
      </c>
      <c r="E11" s="61">
        <f>C11</f>
        <v>15</v>
      </c>
    </row>
    <row r="12" spans="1:5">
      <c r="A12" t="s">
        <v>253</v>
      </c>
      <c r="B12" s="62">
        <f>B10/B11</f>
        <v>68796.973000000013</v>
      </c>
      <c r="C12" s="63">
        <f>C10/C11</f>
        <v>389292.8446666667</v>
      </c>
      <c r="D12" s="62">
        <f>D10/D11</f>
        <v>68796.973000000013</v>
      </c>
      <c r="E12" s="63">
        <f>E10/E11</f>
        <v>389292.8446666667</v>
      </c>
    </row>
    <row r="13" spans="1:5">
      <c r="B13" s="54"/>
      <c r="C13" s="55"/>
      <c r="D13" s="54"/>
      <c r="E13" s="55"/>
    </row>
    <row r="14" spans="1:5" ht="16" thickBot="1">
      <c r="A14" s="45" t="s">
        <v>243</v>
      </c>
      <c r="B14" s="64">
        <f>B8+B12</f>
        <v>68796.973000000013</v>
      </c>
      <c r="C14" s="65">
        <f>C8+C12</f>
        <v>389292.8446666667</v>
      </c>
      <c r="D14" s="64">
        <f>D8+D12</f>
        <v>78637.40146153848</v>
      </c>
      <c r="E14" s="65">
        <f>E8+E12</f>
        <v>398990.83</v>
      </c>
    </row>
    <row r="15" spans="1:5" ht="16" thickTop="1">
      <c r="B15" s="54"/>
      <c r="C15" s="55"/>
      <c r="D15" s="54"/>
      <c r="E15" s="55"/>
    </row>
    <row r="16" spans="1:5">
      <c r="A16" t="s">
        <v>244</v>
      </c>
      <c r="B16" s="500">
        <f>ROUND('(SEF-3.02E-3.02G)CostOfCapital'!E16/'(SEF-3.02E-3.02G)Conv Factor'!E21,4)</f>
        <v>9.3100000000000002E-2</v>
      </c>
      <c r="C16" s="67">
        <f>B16</f>
        <v>9.3100000000000002E-2</v>
      </c>
      <c r="D16" s="66">
        <f>B16</f>
        <v>9.3100000000000002E-2</v>
      </c>
      <c r="E16" s="67">
        <f>B16</f>
        <v>9.3100000000000002E-2</v>
      </c>
    </row>
    <row r="17" spans="1:5">
      <c r="B17" s="54"/>
      <c r="C17" s="55"/>
      <c r="D17" s="54"/>
      <c r="E17" s="55"/>
    </row>
    <row r="18" spans="1:5" ht="16" thickBot="1">
      <c r="A18" s="48" t="s">
        <v>249</v>
      </c>
      <c r="B18" s="68">
        <f t="shared" ref="B18:C18" si="0">B14/B16</f>
        <v>738957.8195488723</v>
      </c>
      <c r="C18" s="69">
        <f t="shared" si="0"/>
        <v>4181448.3852488366</v>
      </c>
      <c r="D18" s="68">
        <f>D14/D16</f>
        <v>844655.22515078925</v>
      </c>
      <c r="E18" s="69">
        <f>E14/E16</f>
        <v>4285615.7894736845</v>
      </c>
    </row>
    <row r="19" spans="1:5">
      <c r="A19" s="40"/>
      <c r="B19" s="70"/>
      <c r="C19" s="71"/>
      <c r="D19" s="72"/>
      <c r="E19" s="73"/>
    </row>
    <row r="20" spans="1:5">
      <c r="A20" t="s">
        <v>270</v>
      </c>
      <c r="B20" s="511">
        <f>'(JDT-07) Rate Design Int&amp;Trans'!D59/B11</f>
        <v>697078.12895384617</v>
      </c>
      <c r="C20" s="512">
        <f>'(JDT-07) Rate Design Int&amp;Trans'!D184/C11</f>
        <v>8207268.7592666661</v>
      </c>
      <c r="D20" s="56">
        <f>B20</f>
        <v>697078.12895384617</v>
      </c>
      <c r="E20" s="57">
        <f>C20</f>
        <v>8207268.7592666661</v>
      </c>
    </row>
    <row r="21" spans="1:5">
      <c r="B21" s="54"/>
      <c r="C21" s="55"/>
      <c r="D21" s="54"/>
      <c r="E21" s="55"/>
    </row>
    <row r="22" spans="1:5" ht="16" thickBot="1">
      <c r="A22" s="48" t="s">
        <v>246</v>
      </c>
      <c r="B22" s="75">
        <f>ROUND(B18/B20,2)</f>
        <v>1.06</v>
      </c>
      <c r="C22" s="76">
        <f>ROUND(C18/C20,2)</f>
        <v>0.51</v>
      </c>
      <c r="D22" s="75">
        <f>ROUND(D18/D20,2)</f>
        <v>1.21</v>
      </c>
      <c r="E22" s="76">
        <f>ROUND(E18/E20,2)</f>
        <v>0.52</v>
      </c>
    </row>
  </sheetData>
  <mergeCells count="4">
    <mergeCell ref="B4:C4"/>
    <mergeCell ref="D4:E4"/>
    <mergeCell ref="A1:E1"/>
    <mergeCell ref="A2:E2"/>
  </mergeCells>
  <pageMargins left="0.7" right="0.7" top="0.75" bottom="0.75" header="0.3" footer="0.3"/>
  <pageSetup fitToHeight="0"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Layout" zoomScaleNormal="100" workbookViewId="0">
      <selection activeCell="C11" sqref="C11"/>
    </sheetView>
  </sheetViews>
  <sheetFormatPr baseColWidth="10" defaultColWidth="8.83203125" defaultRowHeight="15"/>
  <sheetData/>
  <pageMargins left="0.7" right="0.7" top="0.75" bottom="0.75" header="0.3" footer="0.3"/>
  <pageSetup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"/>
  <sheetViews>
    <sheetView view="pageLayout" topLeftCell="A19" zoomScaleNormal="100" workbookViewId="0">
      <selection activeCell="C11" sqref="C11"/>
    </sheetView>
  </sheetViews>
  <sheetFormatPr baseColWidth="10" defaultColWidth="8.83203125" defaultRowHeight="15"/>
  <sheetData/>
  <pageMargins left="0.7" right="0.7" top="0.75" bottom="0.75" header="0.3" footer="0.3"/>
  <pageSetup orientation="landscape" horizontalDpi="0" verticalDpi="0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4"/>
  <sheetViews>
    <sheetView view="pageLayout" zoomScaleNormal="100" workbookViewId="0">
      <selection activeCell="C11" sqref="C11"/>
    </sheetView>
  </sheetViews>
  <sheetFormatPr baseColWidth="10" defaultColWidth="9.83203125" defaultRowHeight="13"/>
  <cols>
    <col min="1" max="1" width="4.83203125" style="395" bestFit="1" customWidth="1"/>
    <col min="2" max="2" width="47.1640625" style="395" bestFit="1" customWidth="1"/>
    <col min="3" max="3" width="12.6640625" style="395" customWidth="1"/>
    <col min="4" max="4" width="11.5" style="395" customWidth="1"/>
    <col min="5" max="5" width="11.33203125" style="395" customWidth="1"/>
    <col min="6" max="6" width="11.5" style="395" customWidth="1"/>
    <col min="7" max="7" width="9.83203125" style="395" customWidth="1"/>
    <col min="8" max="8" width="11.83203125" style="395" customWidth="1"/>
    <col min="9" max="9" width="9.5" style="395" customWidth="1"/>
    <col min="10" max="10" width="7.33203125" style="395" customWidth="1"/>
    <col min="11" max="11" width="7.6640625" style="395" customWidth="1"/>
    <col min="12" max="12" width="7.5" style="395" customWidth="1"/>
    <col min="13" max="16384" width="9.83203125" style="395"/>
  </cols>
  <sheetData>
    <row r="1" spans="1:12" ht="17">
      <c r="B1" s="396" t="s">
        <v>295</v>
      </c>
      <c r="C1" s="396"/>
      <c r="D1" s="396"/>
      <c r="E1" s="396"/>
      <c r="F1" s="396"/>
    </row>
    <row r="2" spans="1:12" ht="17">
      <c r="A2" s="397"/>
      <c r="B2" s="398" t="s">
        <v>296</v>
      </c>
      <c r="C2" s="399"/>
      <c r="D2" s="399"/>
      <c r="E2" s="399"/>
      <c r="F2" s="399"/>
    </row>
    <row r="3" spans="1:12" ht="17">
      <c r="B3" s="398" t="s">
        <v>297</v>
      </c>
      <c r="C3" s="398"/>
      <c r="D3" s="398"/>
      <c r="E3" s="398"/>
      <c r="F3" s="398"/>
    </row>
    <row r="4" spans="1:12" ht="16">
      <c r="B4" s="521" t="s">
        <v>298</v>
      </c>
      <c r="C4" s="521"/>
      <c r="D4" s="521"/>
      <c r="E4" s="521"/>
      <c r="F4" s="521"/>
      <c r="H4" s="400"/>
      <c r="L4" s="401"/>
    </row>
    <row r="5" spans="1:12">
      <c r="A5" s="402"/>
      <c r="B5" s="403"/>
      <c r="C5" s="404"/>
      <c r="D5" s="404"/>
      <c r="E5" s="404"/>
      <c r="F5" s="404"/>
      <c r="H5" s="400"/>
      <c r="L5" s="401"/>
    </row>
    <row r="6" spans="1:12">
      <c r="A6" s="405"/>
      <c r="C6" s="406"/>
      <c r="H6" s="400"/>
      <c r="L6" s="401"/>
    </row>
    <row r="7" spans="1:12">
      <c r="A7" s="407" t="s">
        <v>230</v>
      </c>
      <c r="B7" s="408"/>
      <c r="C7" s="408"/>
      <c r="D7" s="408"/>
      <c r="E7" s="408"/>
      <c r="F7" s="408"/>
      <c r="H7" s="400"/>
      <c r="L7" s="401"/>
    </row>
    <row r="8" spans="1:12">
      <c r="A8" s="409" t="s">
        <v>228</v>
      </c>
      <c r="B8" s="410" t="s">
        <v>258</v>
      </c>
      <c r="C8" s="411"/>
      <c r="D8" s="411"/>
      <c r="E8" s="411"/>
      <c r="F8" s="412"/>
      <c r="H8" s="400"/>
      <c r="L8" s="401"/>
    </row>
    <row r="9" spans="1:12">
      <c r="A9" s="413"/>
      <c r="B9" s="408"/>
      <c r="C9" s="408"/>
      <c r="D9" s="408"/>
      <c r="E9" s="408"/>
      <c r="F9" s="408"/>
      <c r="H9" s="400"/>
      <c r="L9" s="401"/>
    </row>
    <row r="10" spans="1:12">
      <c r="A10" s="413">
        <f t="shared" ref="A10:A16" si="0">A9+1</f>
        <v>1</v>
      </c>
      <c r="B10" s="414" t="s">
        <v>299</v>
      </c>
      <c r="C10" s="468">
        <v>0.51500000000000001</v>
      </c>
      <c r="D10" s="469">
        <v>5.5728155339805824E-2</v>
      </c>
      <c r="E10" s="415">
        <f>ROUND(C10*D10,4)</f>
        <v>2.87E-2</v>
      </c>
      <c r="F10" s="416"/>
      <c r="H10" s="400"/>
      <c r="L10" s="401"/>
    </row>
    <row r="11" spans="1:12">
      <c r="A11" s="413">
        <f t="shared" si="0"/>
        <v>2</v>
      </c>
      <c r="B11" s="414" t="s">
        <v>259</v>
      </c>
      <c r="C11" s="470">
        <v>0.48499999999999999</v>
      </c>
      <c r="D11" s="471">
        <v>9.8000000000000004E-2</v>
      </c>
      <c r="E11" s="417">
        <f t="shared" ref="E11" si="1">ROUND(C11*D11,4)</f>
        <v>4.7500000000000001E-2</v>
      </c>
      <c r="F11" s="418"/>
      <c r="H11" s="400"/>
      <c r="L11" s="401"/>
    </row>
    <row r="12" spans="1:12">
      <c r="A12" s="413">
        <f t="shared" si="0"/>
        <v>3</v>
      </c>
      <c r="B12" s="414" t="s">
        <v>154</v>
      </c>
      <c r="C12" s="419">
        <f>SUM(C10:C11)</f>
        <v>1</v>
      </c>
      <c r="D12" s="419"/>
      <c r="E12" s="419">
        <f>SUM(E10:E11)</f>
        <v>7.6200000000000004E-2</v>
      </c>
      <c r="F12" s="420"/>
      <c r="H12" s="400"/>
      <c r="L12" s="401"/>
    </row>
    <row r="13" spans="1:12">
      <c r="A13" s="413">
        <f t="shared" si="0"/>
        <v>4</v>
      </c>
      <c r="B13" s="421"/>
      <c r="C13" s="422"/>
      <c r="D13" s="422"/>
      <c r="E13" s="422"/>
      <c r="F13" s="421"/>
      <c r="H13" s="400"/>
      <c r="L13" s="401"/>
    </row>
    <row r="14" spans="1:12">
      <c r="A14" s="413">
        <f t="shared" si="0"/>
        <v>5</v>
      </c>
      <c r="B14" s="414" t="s">
        <v>300</v>
      </c>
      <c r="C14" s="472">
        <f>C10</f>
        <v>0.51500000000000001</v>
      </c>
      <c r="D14" s="473">
        <f>D10*0.79</f>
        <v>4.40252427184466E-2</v>
      </c>
      <c r="E14" s="423">
        <f>ROUND(E10*0.79,4)</f>
        <v>2.2700000000000001E-2</v>
      </c>
      <c r="F14" s="424"/>
      <c r="L14" s="400"/>
    </row>
    <row r="15" spans="1:12">
      <c r="A15" s="413">
        <f t="shared" si="0"/>
        <v>6</v>
      </c>
      <c r="B15" s="414" t="s">
        <v>259</v>
      </c>
      <c r="C15" s="474">
        <f>C11</f>
        <v>0.48499999999999999</v>
      </c>
      <c r="D15" s="474">
        <f>D11</f>
        <v>9.8000000000000004E-2</v>
      </c>
      <c r="E15" s="425">
        <f>ROUND(C15*D15,4)</f>
        <v>4.7500000000000001E-2</v>
      </c>
      <c r="F15" s="424"/>
      <c r="L15" s="400"/>
    </row>
    <row r="16" spans="1:12">
      <c r="A16" s="413">
        <f t="shared" si="0"/>
        <v>7</v>
      </c>
      <c r="B16" s="414" t="s">
        <v>260</v>
      </c>
      <c r="C16" s="420">
        <f>SUM(C14:C15)</f>
        <v>1</v>
      </c>
      <c r="D16" s="426"/>
      <c r="E16" s="420">
        <f>SUM(E14:E15)</f>
        <v>7.0199999999999999E-2</v>
      </c>
      <c r="F16" s="424"/>
      <c r="L16" s="400"/>
    </row>
    <row r="17" spans="1:12">
      <c r="A17" s="413"/>
      <c r="B17" s="427"/>
      <c r="C17" s="428"/>
      <c r="D17" s="424"/>
      <c r="E17" s="429"/>
      <c r="F17" s="430"/>
      <c r="H17" s="431"/>
      <c r="I17" s="432"/>
      <c r="J17" s="432"/>
      <c r="K17" s="432"/>
      <c r="L17" s="433"/>
    </row>
    <row r="18" spans="1:12">
      <c r="A18" s="413"/>
      <c r="B18" s="408"/>
      <c r="C18" s="428"/>
      <c r="D18" s="424"/>
      <c r="E18" s="429"/>
      <c r="F18" s="430"/>
      <c r="H18" s="434"/>
      <c r="I18" s="432"/>
      <c r="J18" s="432"/>
      <c r="K18" s="432"/>
      <c r="L18" s="433"/>
    </row>
    <row r="19" spans="1:12">
      <c r="A19" s="413"/>
      <c r="B19" s="427"/>
      <c r="C19" s="428"/>
      <c r="D19" s="424"/>
      <c r="E19" s="429"/>
      <c r="F19" s="430"/>
      <c r="H19" s="431"/>
      <c r="I19" s="432"/>
      <c r="J19" s="432"/>
      <c r="K19" s="432"/>
      <c r="L19" s="433"/>
    </row>
    <row r="20" spans="1:12">
      <c r="A20" s="435"/>
      <c r="B20" s="408"/>
      <c r="C20" s="428"/>
      <c r="D20" s="424"/>
      <c r="E20" s="429"/>
      <c r="F20" s="430"/>
      <c r="H20" s="431"/>
      <c r="I20" s="432"/>
      <c r="J20" s="432"/>
      <c r="K20" s="432"/>
      <c r="L20" s="433"/>
    </row>
    <row r="21" spans="1:12">
      <c r="A21" s="435"/>
      <c r="B21" s="427"/>
      <c r="C21" s="428"/>
      <c r="D21" s="424"/>
      <c r="E21" s="429"/>
      <c r="F21" s="430"/>
      <c r="H21" s="431"/>
      <c r="I21" s="432"/>
      <c r="J21" s="432"/>
      <c r="K21" s="432"/>
      <c r="L21" s="433"/>
    </row>
    <row r="22" spans="1:12">
      <c r="A22" s="435"/>
      <c r="B22" s="408"/>
      <c r="C22" s="428"/>
      <c r="D22" s="424"/>
      <c r="E22" s="429"/>
      <c r="F22" s="430"/>
      <c r="H22" s="431"/>
      <c r="I22" s="432"/>
      <c r="J22" s="432"/>
      <c r="K22" s="432"/>
      <c r="L22" s="433"/>
    </row>
    <row r="23" spans="1:12">
      <c r="A23" s="435"/>
      <c r="B23" s="427"/>
      <c r="C23" s="428"/>
      <c r="D23" s="424"/>
      <c r="E23" s="429"/>
      <c r="F23" s="430"/>
      <c r="H23" s="431"/>
      <c r="I23" s="432"/>
      <c r="J23" s="432"/>
      <c r="K23" s="432"/>
      <c r="L23" s="433"/>
    </row>
    <row r="24" spans="1:12">
      <c r="A24" s="435"/>
      <c r="B24" s="408"/>
      <c r="C24" s="428"/>
      <c r="D24" s="424"/>
      <c r="E24" s="429"/>
      <c r="F24" s="430"/>
      <c r="H24" s="431"/>
      <c r="I24" s="432"/>
      <c r="J24" s="432"/>
      <c r="K24" s="432"/>
      <c r="L24" s="433"/>
    </row>
    <row r="25" spans="1:12" ht="15">
      <c r="A25" s="435"/>
      <c r="B25" s="427"/>
      <c r="C25" s="436"/>
      <c r="D25" s="424"/>
      <c r="E25" s="429"/>
      <c r="F25" s="430"/>
      <c r="H25"/>
      <c r="I25" s="432"/>
      <c r="J25" s="432"/>
      <c r="K25" s="432"/>
      <c r="L25" s="433"/>
    </row>
    <row r="26" spans="1:12" ht="15">
      <c r="A26" s="435"/>
      <c r="B26" s="427"/>
      <c r="C26" s="436"/>
      <c r="D26" s="424"/>
      <c r="E26" s="437"/>
      <c r="F26" s="438"/>
      <c r="G26" s="439"/>
      <c r="H26"/>
      <c r="I26" s="432"/>
      <c r="J26" s="432"/>
      <c r="K26" s="432"/>
      <c r="L26" s="433"/>
    </row>
    <row r="27" spans="1:12" ht="15">
      <c r="A27" s="435"/>
      <c r="B27" s="427"/>
      <c r="C27" s="436"/>
      <c r="D27" s="424"/>
      <c r="E27" s="429"/>
      <c r="F27" s="430"/>
      <c r="H27"/>
      <c r="I27" s="432"/>
      <c r="J27" s="432"/>
      <c r="K27" s="432"/>
      <c r="L27" s="433"/>
    </row>
    <row r="28" spans="1:12" ht="15">
      <c r="A28" s="435"/>
      <c r="B28" s="440"/>
      <c r="C28" s="441"/>
      <c r="D28" s="442"/>
      <c r="E28" s="443"/>
      <c r="F28" s="444"/>
      <c r="H28"/>
      <c r="I28" s="445"/>
      <c r="J28" s="446"/>
      <c r="K28" s="447"/>
      <c r="L28" s="429"/>
    </row>
    <row r="29" spans="1:12" ht="15">
      <c r="A29" s="435"/>
      <c r="B29" s="427"/>
      <c r="C29" s="438"/>
      <c r="D29" s="448"/>
      <c r="E29" s="449"/>
      <c r="F29" s="429"/>
      <c r="H29"/>
      <c r="I29" s="445"/>
      <c r="J29" s="446"/>
      <c r="K29" s="447"/>
      <c r="L29" s="429"/>
    </row>
    <row r="30" spans="1:12" ht="15">
      <c r="A30" s="435"/>
      <c r="B30" s="440"/>
      <c r="C30" s="450"/>
      <c r="D30" s="451"/>
      <c r="E30" s="452"/>
      <c r="F30" s="453"/>
      <c r="H30"/>
      <c r="I30" s="454"/>
      <c r="J30" s="446"/>
      <c r="K30" s="429"/>
      <c r="L30" s="455"/>
    </row>
    <row r="31" spans="1:12" ht="15">
      <c r="A31" s="435"/>
      <c r="B31" s="408"/>
      <c r="C31" s="456"/>
      <c r="D31" s="454"/>
      <c r="E31" s="457"/>
      <c r="F31" s="454"/>
      <c r="H31"/>
      <c r="I31" s="408"/>
      <c r="J31" s="408"/>
    </row>
    <row r="32" spans="1:12" ht="15">
      <c r="A32" s="435"/>
      <c r="B32" s="408"/>
      <c r="C32" s="458"/>
      <c r="D32" s="408"/>
      <c r="E32" s="454"/>
      <c r="F32" s="408"/>
      <c r="H32"/>
    </row>
    <row r="33" spans="1:8" ht="15">
      <c r="A33" s="435"/>
      <c r="B33" s="459"/>
      <c r="C33" s="458"/>
      <c r="D33" s="408"/>
      <c r="E33" s="460"/>
      <c r="F33" s="408"/>
      <c r="G33" s="461"/>
      <c r="H33"/>
    </row>
    <row r="34" spans="1:8">
      <c r="A34" s="462"/>
      <c r="B34" s="408"/>
      <c r="C34" s="408"/>
      <c r="D34" s="408"/>
      <c r="E34" s="408"/>
      <c r="F34" s="408"/>
    </row>
    <row r="35" spans="1:8">
      <c r="A35" s="462"/>
      <c r="B35" s="408"/>
      <c r="C35" s="463"/>
      <c r="D35" s="408"/>
      <c r="E35" s="408"/>
      <c r="F35" s="408"/>
    </row>
    <row r="36" spans="1:8">
      <c r="A36" s="462"/>
      <c r="B36" s="408"/>
      <c r="C36" s="463"/>
      <c r="D36" s="408"/>
      <c r="E36" s="408"/>
      <c r="F36" s="408"/>
    </row>
    <row r="37" spans="1:8">
      <c r="A37" s="462"/>
      <c r="B37" s="408"/>
      <c r="C37" s="463"/>
      <c r="D37" s="408"/>
      <c r="E37" s="408"/>
      <c r="F37" s="408"/>
    </row>
    <row r="38" spans="1:8">
      <c r="A38" s="462"/>
      <c r="B38" s="408"/>
      <c r="D38" s="408"/>
      <c r="E38" s="408"/>
      <c r="F38" s="408"/>
    </row>
    <row r="39" spans="1:8">
      <c r="A39" s="462"/>
      <c r="B39" s="408"/>
      <c r="C39" s="464"/>
      <c r="D39" s="408"/>
      <c r="E39" s="408"/>
      <c r="F39" s="408"/>
    </row>
    <row r="40" spans="1:8">
      <c r="A40" s="462"/>
      <c r="B40" s="408"/>
      <c r="C40" s="408"/>
      <c r="D40" s="408"/>
      <c r="E40" s="408"/>
      <c r="F40" s="408"/>
    </row>
    <row r="41" spans="1:8">
      <c r="A41" s="462"/>
      <c r="B41" s="408"/>
      <c r="C41" s="408"/>
      <c r="D41" s="408"/>
      <c r="E41" s="408"/>
      <c r="F41" s="408"/>
    </row>
    <row r="42" spans="1:8">
      <c r="B42" s="408"/>
      <c r="C42" s="408"/>
      <c r="D42" s="408"/>
      <c r="E42" s="408"/>
      <c r="F42" s="408"/>
    </row>
    <row r="43" spans="1:8">
      <c r="B43" s="408"/>
      <c r="C43" s="408"/>
      <c r="D43" s="408"/>
      <c r="E43" s="408"/>
      <c r="F43" s="408"/>
    </row>
    <row r="44" spans="1:8">
      <c r="E44" s="408"/>
    </row>
    <row r="46" spans="1:8">
      <c r="C46" s="465"/>
      <c r="D46" s="466"/>
    </row>
    <row r="47" spans="1:8">
      <c r="D47" s="466"/>
    </row>
    <row r="48" spans="1:8">
      <c r="C48" s="465"/>
      <c r="D48" s="466"/>
    </row>
    <row r="49" spans="3:4">
      <c r="C49" s="465"/>
      <c r="D49" s="466"/>
    </row>
    <row r="50" spans="3:4">
      <c r="C50" s="465"/>
      <c r="D50" s="466"/>
    </row>
    <row r="51" spans="3:4">
      <c r="C51" s="465"/>
      <c r="D51" s="466"/>
    </row>
    <row r="52" spans="3:4">
      <c r="D52" s="466"/>
    </row>
    <row r="53" spans="3:4">
      <c r="C53" s="465"/>
      <c r="D53" s="466"/>
    </row>
    <row r="54" spans="3:4">
      <c r="D54" s="467"/>
    </row>
  </sheetData>
  <mergeCells count="1">
    <mergeCell ref="B4:F4"/>
  </mergeCells>
  <pageMargins left="0.7" right="0.7" top="0.75" bottom="0.75" header="0.3" footer="0.3"/>
  <pageSetup fitToHeight="0" orientation="landscape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25"/>
  <sheetViews>
    <sheetView view="pageLayout" zoomScaleNormal="100" workbookViewId="0">
      <selection activeCell="C11" sqref="C11"/>
    </sheetView>
  </sheetViews>
  <sheetFormatPr baseColWidth="10" defaultColWidth="9.1640625" defaultRowHeight="13"/>
  <cols>
    <col min="1" max="1" width="5.5" style="484" customWidth="1"/>
    <col min="2" max="2" width="63.33203125" style="484" bestFit="1" customWidth="1"/>
    <col min="3" max="3" width="3.5" style="484" customWidth="1"/>
    <col min="4" max="4" width="10" style="484" bestFit="1" customWidth="1"/>
    <col min="5" max="5" width="18.1640625" style="484" customWidth="1"/>
    <col min="6" max="16384" width="9.1640625" style="484"/>
  </cols>
  <sheetData>
    <row r="2" spans="1:5">
      <c r="A2" s="482"/>
      <c r="B2" s="414"/>
      <c r="C2" s="414"/>
      <c r="D2" s="414"/>
      <c r="E2" s="483"/>
    </row>
    <row r="3" spans="1:5">
      <c r="A3" s="482"/>
      <c r="B3" s="482"/>
      <c r="C3" s="482"/>
      <c r="D3" s="482"/>
      <c r="E3" s="483"/>
    </row>
    <row r="4" spans="1:5">
      <c r="A4" s="482"/>
      <c r="B4" s="482"/>
      <c r="C4" s="482"/>
      <c r="D4" s="482"/>
    </row>
    <row r="5" spans="1:5">
      <c r="A5" s="485" t="s">
        <v>261</v>
      </c>
      <c r="B5" s="486"/>
      <c r="C5" s="485"/>
      <c r="D5" s="485"/>
      <c r="E5" s="485"/>
    </row>
    <row r="6" spans="1:5">
      <c r="A6" s="487" t="s">
        <v>303</v>
      </c>
      <c r="B6" s="486"/>
      <c r="C6" s="487"/>
      <c r="D6" s="487"/>
      <c r="E6" s="487"/>
    </row>
    <row r="7" spans="1:5">
      <c r="A7" s="488" t="s">
        <v>304</v>
      </c>
      <c r="B7" s="488"/>
      <c r="C7" s="488"/>
      <c r="D7" s="488"/>
      <c r="E7" s="488"/>
    </row>
    <row r="8" spans="1:5">
      <c r="A8" s="488" t="s">
        <v>296</v>
      </c>
      <c r="B8" s="486"/>
      <c r="C8" s="488"/>
      <c r="D8" s="488"/>
      <c r="E8" s="488"/>
    </row>
    <row r="9" spans="1:5">
      <c r="A9" s="482"/>
      <c r="B9" s="482"/>
      <c r="C9" s="482"/>
      <c r="D9" s="482"/>
      <c r="E9" s="482"/>
    </row>
    <row r="10" spans="1:5">
      <c r="A10" s="489" t="s">
        <v>256</v>
      </c>
      <c r="B10" s="489"/>
      <c r="C10" s="489"/>
      <c r="D10" s="489"/>
      <c r="E10" s="489"/>
    </row>
    <row r="11" spans="1:5">
      <c r="A11" s="410" t="s">
        <v>257</v>
      </c>
      <c r="B11" s="490" t="s">
        <v>258</v>
      </c>
      <c r="C11" s="410"/>
      <c r="D11" s="410" t="s">
        <v>305</v>
      </c>
      <c r="E11" s="410" t="s">
        <v>262</v>
      </c>
    </row>
    <row r="12" spans="1:5">
      <c r="A12" s="414"/>
      <c r="B12" s="414"/>
      <c r="C12" s="414"/>
      <c r="D12" s="414"/>
      <c r="E12" s="413"/>
    </row>
    <row r="13" spans="1:5">
      <c r="A13" s="413">
        <v>1</v>
      </c>
      <c r="B13" s="491" t="s">
        <v>263</v>
      </c>
      <c r="C13" s="414"/>
      <c r="D13" s="414"/>
      <c r="E13" s="499">
        <v>5.1240000000000001E-3</v>
      </c>
    </row>
    <row r="14" spans="1:5">
      <c r="A14" s="413">
        <v>2</v>
      </c>
      <c r="B14" s="491" t="s">
        <v>264</v>
      </c>
      <c r="C14" s="414"/>
      <c r="D14" s="414"/>
      <c r="E14" s="499">
        <v>2E-3</v>
      </c>
    </row>
    <row r="15" spans="1:5">
      <c r="A15" s="413">
        <v>3</v>
      </c>
      <c r="B15" s="491" t="str">
        <f>"STATE UTILITY TAX - NET OF BAD DEBTS ( "&amp;D15*100&amp;"% - ( LINE 1 * "&amp;D15*100&amp;"%) )"</f>
        <v>STATE UTILITY TAX - NET OF BAD DEBTS ( 3.852% - ( LINE 1 * 3.852%) )</v>
      </c>
      <c r="C15" s="414"/>
      <c r="D15" s="498">
        <v>3.8519999999999999E-2</v>
      </c>
      <c r="E15" s="493">
        <f>ROUND(D15-(D15*E13),6)</f>
        <v>3.8323000000000003E-2</v>
      </c>
    </row>
    <row r="16" spans="1:5">
      <c r="A16" s="413">
        <v>4</v>
      </c>
      <c r="B16" s="491"/>
      <c r="C16" s="414"/>
      <c r="D16" s="413"/>
      <c r="E16" s="494"/>
    </row>
    <row r="17" spans="1:5">
      <c r="A17" s="413">
        <v>5</v>
      </c>
      <c r="B17" s="491" t="s">
        <v>265</v>
      </c>
      <c r="C17" s="414"/>
      <c r="D17" s="413"/>
      <c r="E17" s="492">
        <f>ROUND(SUM(E13:E15),6)</f>
        <v>4.5447000000000001E-2</v>
      </c>
    </row>
    <row r="18" spans="1:5">
      <c r="A18" s="413">
        <v>6</v>
      </c>
      <c r="B18" s="414"/>
      <c r="C18" s="414"/>
      <c r="D18" s="413"/>
      <c r="E18" s="492"/>
    </row>
    <row r="19" spans="1:5">
      <c r="A19" s="413">
        <v>7</v>
      </c>
      <c r="B19" s="414" t="s">
        <v>266</v>
      </c>
      <c r="C19" s="414"/>
      <c r="D19" s="413"/>
      <c r="E19" s="492">
        <f>ROUND(1-E17,6)</f>
        <v>0.95455299999999998</v>
      </c>
    </row>
    <row r="20" spans="1:5">
      <c r="A20" s="413">
        <v>8</v>
      </c>
      <c r="B20" s="491" t="s">
        <v>306</v>
      </c>
      <c r="C20" s="414"/>
      <c r="D20" s="495">
        <v>0.21</v>
      </c>
      <c r="E20" s="492">
        <f>ROUND((E19)*D20,6)</f>
        <v>0.200456</v>
      </c>
    </row>
    <row r="21" spans="1:5">
      <c r="A21" s="413">
        <v>9</v>
      </c>
      <c r="B21" s="491" t="s">
        <v>267</v>
      </c>
      <c r="C21" s="414"/>
      <c r="D21" s="414"/>
      <c r="E21" s="496">
        <f>ROUND(1-E20-E17,6)</f>
        <v>0.75409700000000002</v>
      </c>
    </row>
    <row r="22" spans="1:5">
      <c r="A22" s="414"/>
      <c r="B22" s="414"/>
      <c r="C22" s="414"/>
      <c r="D22" s="414"/>
      <c r="E22" s="413"/>
    </row>
    <row r="25" spans="1:5">
      <c r="E25" s="497"/>
    </row>
  </sheetData>
  <pageMargins left="0.7" right="0.7" top="0.75" bottom="0.75" header="0.3" footer="0.3"/>
  <pageSetup orientation="landscape" horizontalDpi="0" verticalDpi="0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view="pageLayout" zoomScaleNormal="100" workbookViewId="0">
      <selection activeCell="C11" sqref="C11"/>
    </sheetView>
  </sheetViews>
  <sheetFormatPr baseColWidth="10" defaultColWidth="9.1640625" defaultRowHeight="11"/>
  <cols>
    <col min="1" max="1" width="5.33203125" style="353" customWidth="1"/>
    <col min="2" max="2" width="40.5" style="353" bestFit="1" customWidth="1"/>
    <col min="3" max="4" width="13.5" style="353" bestFit="1" customWidth="1"/>
    <col min="5" max="5" width="12.5" style="353" bestFit="1" customWidth="1"/>
    <col min="6" max="6" width="16" style="353" bestFit="1" customWidth="1"/>
    <col min="7" max="7" width="14.5" style="353" bestFit="1" customWidth="1"/>
    <col min="8" max="8" width="9.1640625" style="353"/>
    <col min="9" max="9" width="10.33203125" style="353" bestFit="1" customWidth="1"/>
    <col min="10" max="16384" width="9.1640625" style="353"/>
  </cols>
  <sheetData>
    <row r="1" spans="1:16">
      <c r="A1" s="522" t="s">
        <v>17</v>
      </c>
      <c r="B1" s="522"/>
      <c r="C1" s="522"/>
      <c r="D1" s="522"/>
      <c r="E1" s="522"/>
      <c r="F1" s="522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>
      <c r="A2" s="523" t="s">
        <v>308</v>
      </c>
      <c r="B2" s="523"/>
      <c r="C2" s="523"/>
      <c r="D2" s="523"/>
      <c r="E2" s="523"/>
      <c r="F2" s="523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>
      <c r="A3" s="522" t="s">
        <v>286</v>
      </c>
      <c r="B3" s="522"/>
      <c r="C3" s="522"/>
      <c r="D3" s="522"/>
      <c r="E3" s="522"/>
      <c r="F3" s="522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>
      <c r="A4" s="522" t="s">
        <v>234</v>
      </c>
      <c r="B4" s="522"/>
      <c r="C4" s="522"/>
      <c r="D4" s="522"/>
      <c r="E4" s="522"/>
      <c r="F4" s="522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16">
      <c r="A5" s="361"/>
      <c r="B5" s="361"/>
      <c r="C5" s="361"/>
      <c r="D5" s="361"/>
      <c r="E5" s="361"/>
      <c r="F5" s="354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>
      <c r="A6" s="352"/>
      <c r="B6" s="352"/>
      <c r="C6" s="352"/>
      <c r="D6" s="352"/>
      <c r="E6" s="352"/>
      <c r="F6" s="352"/>
    </row>
    <row r="7" spans="1:16">
      <c r="A7" s="355" t="s">
        <v>230</v>
      </c>
      <c r="B7" s="352"/>
      <c r="C7" s="352"/>
      <c r="D7" s="355" t="s">
        <v>229</v>
      </c>
      <c r="E7" s="355" t="s">
        <v>229</v>
      </c>
      <c r="F7" s="355" t="s">
        <v>229</v>
      </c>
    </row>
    <row r="8" spans="1:16">
      <c r="A8" s="356" t="s">
        <v>228</v>
      </c>
      <c r="B8" s="362"/>
      <c r="C8" s="356" t="s">
        <v>15</v>
      </c>
      <c r="D8" s="356" t="s">
        <v>231</v>
      </c>
      <c r="E8" s="356" t="s">
        <v>232</v>
      </c>
      <c r="F8" s="356" t="s">
        <v>233</v>
      </c>
    </row>
    <row r="9" spans="1:16">
      <c r="A9" s="352"/>
      <c r="B9" s="357" t="s">
        <v>14</v>
      </c>
      <c r="C9" s="357" t="s">
        <v>13</v>
      </c>
      <c r="D9" s="357" t="s">
        <v>12</v>
      </c>
      <c r="E9" s="357" t="s">
        <v>11</v>
      </c>
      <c r="F9" s="357" t="s">
        <v>10</v>
      </c>
    </row>
    <row r="10" spans="1:16">
      <c r="A10" s="357"/>
      <c r="B10" s="358"/>
      <c r="C10" s="357"/>
      <c r="D10" s="357"/>
      <c r="E10" s="357"/>
      <c r="F10" s="357"/>
    </row>
    <row r="11" spans="1:16">
      <c r="A11" s="357">
        <v>1</v>
      </c>
      <c r="B11" s="352" t="s">
        <v>235</v>
      </c>
      <c r="C11" s="363" t="s">
        <v>287</v>
      </c>
      <c r="D11" s="359">
        <v>272232813.46000004</v>
      </c>
      <c r="E11" s="359">
        <v>97904252.089999989</v>
      </c>
      <c r="F11" s="359">
        <v>18383942.378394403</v>
      </c>
    </row>
    <row r="12" spans="1:16">
      <c r="A12" s="357">
        <f>A11+1</f>
        <v>2</v>
      </c>
      <c r="B12" s="352"/>
      <c r="C12" s="352"/>
      <c r="D12" s="364"/>
      <c r="E12" s="364"/>
      <c r="F12" s="364"/>
    </row>
    <row r="13" spans="1:16">
      <c r="A13" s="357">
        <f t="shared" ref="A13:A15" si="0">A12+1</f>
        <v>3</v>
      </c>
      <c r="B13" s="352" t="s">
        <v>18</v>
      </c>
      <c r="C13" s="363" t="s">
        <v>288</v>
      </c>
      <c r="D13" s="365">
        <v>772124</v>
      </c>
      <c r="E13" s="365">
        <v>56692</v>
      </c>
      <c r="F13" s="365">
        <v>1670</v>
      </c>
    </row>
    <row r="14" spans="1:16">
      <c r="A14" s="357">
        <f t="shared" si="0"/>
        <v>4</v>
      </c>
      <c r="B14" s="352"/>
      <c r="C14" s="352"/>
      <c r="D14" s="366"/>
      <c r="E14" s="366"/>
      <c r="F14" s="366"/>
    </row>
    <row r="15" spans="1:16" ht="12" thickBot="1">
      <c r="A15" s="357">
        <f t="shared" si="0"/>
        <v>5</v>
      </c>
      <c r="B15" s="352" t="s">
        <v>236</v>
      </c>
      <c r="C15" s="357" t="str">
        <f>"("&amp;A11&amp;") / ("&amp;A13&amp;")"</f>
        <v>(1) / (3)</v>
      </c>
      <c r="D15" s="367">
        <f>ROUND(D11/D13,2)</f>
        <v>352.58</v>
      </c>
      <c r="E15" s="367">
        <f>ROUND(E11/E13,2)</f>
        <v>1726.95</v>
      </c>
      <c r="F15" s="367">
        <f>ROUND(F11/F13,2)</f>
        <v>11008.35</v>
      </c>
    </row>
    <row r="16" spans="1:16" ht="12" thickTop="1">
      <c r="A16" s="352"/>
      <c r="B16" s="352"/>
      <c r="C16" s="352"/>
      <c r="D16" s="352"/>
      <c r="E16" s="352"/>
      <c r="F16" s="352"/>
      <c r="G16" s="352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horizontalDpi="1200" verticalDpi="1200" r:id="rId1"/>
  <headerFooter>
    <oddHeader>&amp;R&amp;"Times New Roman,Regular"&amp;12Exh. AEW-04</oddHeader>
    <oddFooter xml:space="preserve">&amp;L&amp;"Times New Roman,Regular"&amp;12Tab: &amp;A&amp;R&amp;"Times New Roman,Regular"&amp;12Page &amp;P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71C52D-6F10-4876-BE04-59BE7EDB3025}"/>
</file>

<file path=customXml/itemProps2.xml><?xml version="1.0" encoding="utf-8"?>
<ds:datastoreItem xmlns:ds="http://schemas.openxmlformats.org/officeDocument/2006/customXml" ds:itemID="{D152A299-5E5B-430D-B80C-5C8ACD67F284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c463f71-b30c-4ab2-9473-d307f9d35888"/>
    <ds:schemaRef ds:uri="http://purl.org/dc/elements/1.1/"/>
    <ds:schemaRef ds:uri="http://schemas.microsoft.com/sharepoint/v3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CBC48A-E8C5-45CF-87D3-0FE8C301D4DA}"/>
</file>

<file path=customXml/itemProps4.xml><?xml version="1.0" encoding="utf-8"?>
<ds:datastoreItem xmlns:ds="http://schemas.openxmlformats.org/officeDocument/2006/customXml" ds:itemID="{07C31136-6A59-4753-82CD-0229D0ADE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Residential Allowance</vt:lpstr>
      <vt:lpstr>Sch 31 Allowance</vt:lpstr>
      <vt:lpstr>Sch 41-86 Allowance</vt:lpstr>
      <vt:lpstr>Sch 85-87 Allowance</vt:lpstr>
      <vt:lpstr>Rule No. 6</vt:lpstr>
      <vt:lpstr>2019 GRC Work Papers-&gt;</vt:lpstr>
      <vt:lpstr>(SEF-3.02E-3.02G)CostOfCapital</vt:lpstr>
      <vt:lpstr>(SEF-3.02E-3.02G)Conv Factor</vt:lpstr>
      <vt:lpstr>(JAP-13) Page 2</vt:lpstr>
      <vt:lpstr>(JAP-13) Page 4</vt:lpstr>
      <vt:lpstr>(JDT-07) Rate Design Res</vt:lpstr>
      <vt:lpstr>(JDT-07) Rate Design C&amp;I</vt:lpstr>
      <vt:lpstr>(JDT-07) Rate Design Int&amp;Trans</vt:lpstr>
      <vt:lpstr>(JAP-04) Weather Adj</vt:lpstr>
      <vt:lpstr>Average Customer Counts </vt:lpstr>
      <vt:lpstr>'(JDT-07) Rate Design C&amp;I'!Print_Area</vt:lpstr>
      <vt:lpstr>'(JDT-07) Rate Design Int&amp;Trans'!Print_Area</vt:lpstr>
      <vt:lpstr>'(JDT-07) Rate Design Res'!Print_Area</vt:lpstr>
      <vt:lpstr>'(JAP-04) Weather Adj'!Print_Titles</vt:lpstr>
      <vt:lpstr>'(JDT-07) Rate Design C&amp;I'!Print_Titles</vt:lpstr>
      <vt:lpstr>'(JDT-07) Rate Design Int&amp;Trans'!Print_Titles</vt:lpstr>
      <vt:lpstr>'(JDT-07) Rate Design Res'!Print_Titles</vt:lpstr>
      <vt:lpstr>Return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Marie Barlow</cp:lastModifiedBy>
  <cp:lastPrinted>2019-11-22T21:46:17Z</cp:lastPrinted>
  <dcterms:created xsi:type="dcterms:W3CDTF">2019-11-19T23:45:33Z</dcterms:created>
  <dcterms:modified xsi:type="dcterms:W3CDTF">2019-11-22T21:51:51Z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