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7.xml" ContentType="application/vnd.openxmlformats-officedocument.drawing+xml"/>
  <Override PartName="/xl/charts/colors12.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style12.xml" ContentType="application/vnd.ms-office.chartstyle+xml"/>
  <Override PartName="/xl/charts/chart15.xml" ContentType="application/vnd.openxmlformats-officedocument.drawingml.chart+xml"/>
  <Override PartName="/xl/charts/colors11.xml" ContentType="application/vnd.ms-office.chartcolorstyle+xml"/>
  <Override PartName="/xl/charts/chart12.xml" ContentType="application/vnd.openxmlformats-officedocument.drawingml.chart+xml"/>
  <Override PartName="/xl/drawings/drawing6.xml" ContentType="application/vnd.openxmlformats-officedocument.drawing+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hart13.xml" ContentType="application/vnd.openxmlformats-officedocument.drawingml.chart+xml"/>
  <Override PartName="/xl/charts/style11.xml" ContentType="application/vnd.ms-office.chartstyle+xml"/>
  <Override PartName="/xl/charts/chart14.xml" ContentType="application/vnd.openxmlformats-officedocument.drawingml.chart+xml"/>
  <Override PartName="/xl/charts/colors10.xml" ContentType="application/vnd.ms-office.chartcolorstyle+xml"/>
  <Override PartName="/xl/worksheets/sheet1.xml" ContentType="application/vnd.openxmlformats-officedocument.spreadsheetml.worksheet+xml"/>
  <Override PartName="/xl/charts/chart11.xml" ContentType="application/vnd.openxmlformats-officedocument.drawingml.chart+xml"/>
  <Override PartName="/xl/charts/style10.xml" ContentType="application/vnd.ms-office.chartstyle+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colors3.xml" ContentType="application/vnd.ms-office.chartcolorstyle+xml"/>
  <Override PartName="/xl/worksheets/sheet10.xml" ContentType="application/vnd.openxmlformats-officedocument.spreadsheetml.worksheet+xml"/>
  <Override PartName="/xl/sharedStrings.xml" ContentType="application/vnd.openxmlformats-officedocument.spreadsheetml.sharedStrings+xml"/>
  <Override PartName="/xl/drawings/drawing5.xml" ContentType="application/vnd.openxmlformats-officedocument.drawing+xml"/>
  <Override PartName="/xl/charts/style3.xml" ContentType="application/vnd.ms-office.chartsty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charts/colors5.xml" ContentType="application/vnd.ms-office.chartcolorstyle+xml"/>
  <Override PartName="/xl/charts/chart8.xml" ContentType="application/vnd.openxmlformats-officedocument.drawingml.chart+xml"/>
  <Override PartName="/xl/worksheets/sheet7.xml" ContentType="application/vnd.openxmlformats-officedocument.spreadsheetml.worksheet+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hart6.xml" ContentType="application/vnd.openxmlformats-officedocument.drawingml.chart+xml"/>
  <Override PartName="/xl/worksheets/sheet6.xml" ContentType="application/vnd.openxmlformats-officedocument.spreadsheetml.worksheet+xml"/>
  <Override PartName="/xl/drawings/drawing3.xml" ContentType="application/vnd.openxmlformats-officedocument.drawing+xml"/>
  <Override PartName="/xl/charts/chart7.xml" ContentType="application/vnd.openxmlformats-officedocument.drawingml.chart+xml"/>
  <Override PartName="/xl/worksheets/sheet5.xml" ContentType="application/vnd.openxmlformats-officedocument.spreadsheetml.worksheet+xml"/>
  <Override PartName="/docProps/custom.xml" ContentType="application/vnd.openxmlformats-officedocument.custom-propertie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omments1.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ttps://home.utc.wa.gov/sites/ue-150204/Data Requests and Responses/"/>
    </mc:Choice>
  </mc:AlternateContent>
  <bookViews>
    <workbookView xWindow="0" yWindow="0" windowWidth="25200" windowHeight="11985" tabRatio="744"/>
  </bookViews>
  <sheets>
    <sheet name="Summary" sheetId="9" r:id="rId1"/>
    <sheet name="ROR" sheetId="7" r:id="rId2"/>
    <sheet name="Attrition 09.2014 to 2016" sheetId="5" r:id="rId3"/>
    <sheet name="Cost Trends" sheetId="1" r:id="rId4"/>
    <sheet name="Net plant" sheetId="14" r:id="rId5"/>
    <sheet name="Dep Amort" sheetId="12" r:id="rId6"/>
    <sheet name="Taxes (other than income)" sheetId="13" r:id="rId7"/>
    <sheet name="Other Revenue" sheetId="17" state="hidden" r:id="rId8"/>
    <sheet name="Op Exp" sheetId="15" r:id="rId9"/>
    <sheet name="Weighted Revenue Growth" sheetId="4" r:id="rId10"/>
    <sheet name="Plant trends" sheetId="16" state="hidden" r:id="rId11"/>
    <sheet name="09.2014 Revenue Model" sheetId="11" state="hidden" r:id="rId12"/>
    <sheet name="Forecast Bill Determinants" sheetId="8" state="hidden" r:id="rId13"/>
    <sheet name="Riders and Gas Cost Revenue" sheetId="2" state="hidden" r:id="rId14"/>
    <sheet name="Reg Amort and Other RB" sheetId="6" state="hidden" r:id="rId15"/>
  </sheets>
  <definedNames>
    <definedName name="Base1_Billing2">#REF!</definedName>
    <definedName name="ID_Elec">#REF!</definedName>
    <definedName name="ID_Gas">#REF!</definedName>
    <definedName name="_xlnm.Print_Area" localSheetId="11">'09.2014 Revenue Model'!$A$1:$J$277</definedName>
    <definedName name="_xlnm.Print_Area" localSheetId="2">'Attrition 09.2014 to 2016'!$A$1:$S$100</definedName>
    <definedName name="_xlnm.Print_Area" localSheetId="3">'Cost Trends'!$A$2:$T$150</definedName>
    <definedName name="_xlnm.Print_Area" localSheetId="5">'Dep Amort'!$A$1:$I$61</definedName>
    <definedName name="_xlnm.Print_Area" localSheetId="4">'Net plant'!$A$1:$I$63</definedName>
    <definedName name="_xlnm.Print_Area" localSheetId="13">'Riders and Gas Cost Revenue'!$A$1:$AO$65</definedName>
    <definedName name="_xlnm.Print_Area" localSheetId="1">ROR!$A$1:$H$43</definedName>
    <definedName name="_xlnm.Print_Area" localSheetId="0">Summary!$A$1:$I$49</definedName>
    <definedName name="_xlnm.Print_Area" localSheetId="6">'Taxes (other than income)'!$A$1:$I$62</definedName>
    <definedName name="_xlnm.Print_Area" localSheetId="9">'Weighted Revenue Growth'!$A$1:$M$46</definedName>
    <definedName name="Print_for_CBReport">#REF!</definedName>
    <definedName name="Print_for_Checking">#REF!</definedName>
    <definedName name="_xlnm.Print_Titles" localSheetId="3">'Cost Trends'!$2:$2</definedName>
    <definedName name="_xlnm.Print_Titles" localSheetId="13">'Riders and Gas Cost Revenue'!$A:$F,'Riders and Gas Cost Revenue'!$5:$9</definedName>
    <definedName name="Summary">#REF!</definedName>
    <definedName name="WA_Elec">#REF!</definedName>
    <definedName name="WA_Gas">#REF!</definedName>
    <definedName name="Z_5BE913A1_B14F_11D2_B0DC_0000832CDFF0_.wvu.Cols" localSheetId="3" hidden="1">'Cost Trends'!#REF!</definedName>
    <definedName name="Z_5BE913A1_B14F_11D2_B0DC_0000832CDFF0_.wvu.PrintArea" localSheetId="3" hidden="1">'Cost Trends'!$Q$11:$Q$91</definedName>
    <definedName name="Z_5BE913A1_B14F_11D2_B0DC_0000832CDFF0_.wvu.PrintTitles" localSheetId="3" hidden="1">'Cost Trends'!$A:$D,'Cost Trends'!$1:$8</definedName>
    <definedName name="Z_A15D1964_B049_11D2_8670_0000832CEEE8_.wvu.Cols" localSheetId="3" hidden="1">'Cost Trends'!#REF!</definedName>
    <definedName name="Z_A15D1964_B049_11D2_8670_0000832CEEE8_.wvu.PrintArea" localSheetId="3" hidden="1">'Cost Trends'!$Q$11:$Q$91</definedName>
    <definedName name="Z_A15D1964_B049_11D2_8670_0000832CEEE8_.wvu.PrintTitles" localSheetId="3" hidden="1">'Cost Trends'!$A:$D,'Cost Trends'!$1:$8</definedName>
  </definedNames>
  <calcPr calcId="152511"/>
  <customWorkbookViews>
    <customWorkbookView name="Kathy Mitchell - Personal View" guid="{A15D1964-B049-11D2-8670-0000832CEEE8}" mergeInterval="0" personalView="1" maximized="1" windowWidth="796" windowHeight="436" activeSheetId="1"/>
    <customWorkbookView name="Don Falkner - Personal View" guid="{5BE913A1-B14F-11D2-B0DC-0000832CDFF0}" mergeInterval="0" personalView="1" maximized="1" windowWidth="1020" windowHeight="604" activeSheetId="2"/>
  </customWorkbookViews>
</workbook>
</file>

<file path=xl/calcChain.xml><?xml version="1.0" encoding="utf-8"?>
<calcChain xmlns="http://schemas.openxmlformats.org/spreadsheetml/2006/main">
  <c r="F19" i="9" l="1"/>
  <c r="F13" i="9"/>
  <c r="K69" i="5"/>
  <c r="H37" i="9" l="1"/>
  <c r="D30" i="14" l="1"/>
  <c r="D12" i="15"/>
  <c r="I21" i="9" l="1"/>
  <c r="I15" i="9"/>
  <c r="I17" i="9" s="1"/>
  <c r="I23" i="9" s="1"/>
  <c r="I27" i="9" s="1"/>
  <c r="S54" i="5"/>
  <c r="R45" i="5"/>
  <c r="R34" i="5"/>
  <c r="Q78" i="5"/>
  <c r="Q72" i="5"/>
  <c r="Q79" i="5" s="1"/>
  <c r="Q81" i="5" s="1"/>
  <c r="Q86" i="5" s="1"/>
  <c r="R46" i="5" l="1"/>
  <c r="R48" i="5" s="1"/>
  <c r="I33" i="9"/>
  <c r="I31" i="9"/>
  <c r="R60" i="5"/>
  <c r="B26" i="13"/>
  <c r="B27" i="13" s="1"/>
  <c r="C28" i="13" s="1"/>
  <c r="C6" i="13"/>
  <c r="D6" i="13"/>
  <c r="E6" i="13"/>
  <c r="F6" i="13"/>
  <c r="G6" i="13"/>
  <c r="H6" i="13"/>
  <c r="I6" i="13"/>
  <c r="B6" i="13"/>
  <c r="M40" i="13"/>
  <c r="B25" i="12"/>
  <c r="B26" i="12" s="1"/>
  <c r="K39" i="12"/>
  <c r="C5" i="12"/>
  <c r="D5" i="12"/>
  <c r="E5" i="12"/>
  <c r="F5" i="12"/>
  <c r="G5" i="12"/>
  <c r="H5" i="12"/>
  <c r="I5" i="12"/>
  <c r="B5" i="12"/>
  <c r="R65" i="5" l="1"/>
  <c r="C29" i="13"/>
  <c r="C30" i="13" s="1"/>
  <c r="K27" i="5" s="1"/>
  <c r="C27" i="12" l="1"/>
  <c r="C28" i="12" s="1"/>
  <c r="C29" i="12" s="1"/>
  <c r="K26" i="5" s="1"/>
  <c r="B26" i="14"/>
  <c r="B27" i="14" s="1"/>
  <c r="C28" i="14" s="1"/>
  <c r="C5" i="14"/>
  <c r="D5" i="14"/>
  <c r="E5" i="14"/>
  <c r="F5" i="14"/>
  <c r="G5" i="14"/>
  <c r="H5" i="14"/>
  <c r="I5" i="14"/>
  <c r="B5" i="14"/>
  <c r="O40" i="14"/>
  <c r="P43" i="14" s="1"/>
  <c r="L40" i="14"/>
  <c r="C29" i="14" l="1"/>
  <c r="C30" i="14" s="1"/>
  <c r="R54" i="5" l="1"/>
  <c r="G15" i="4" l="1"/>
  <c r="G17" i="4"/>
  <c r="G16" i="4"/>
  <c r="Q54" i="5" l="1"/>
  <c r="Q45" i="5"/>
  <c r="Q46" i="5" s="1"/>
  <c r="Q48" i="5" s="1"/>
  <c r="Q60" i="5" l="1"/>
  <c r="B40" i="14"/>
  <c r="B40" i="13"/>
  <c r="B41" i="13" s="1"/>
  <c r="C42" i="13" s="1"/>
  <c r="B40" i="12"/>
  <c r="C41" i="12" s="1"/>
  <c r="F13" i="16"/>
  <c r="G13" i="16"/>
  <c r="H13" i="16"/>
  <c r="N191" i="1"/>
  <c r="B41" i="14" l="1"/>
  <c r="C42" i="14" s="1"/>
  <c r="B8" i="17"/>
  <c r="B7" i="17"/>
  <c r="D11" i="15"/>
  <c r="C11" i="16" l="1"/>
  <c r="D11" i="16"/>
  <c r="E11" i="16"/>
  <c r="F11" i="16"/>
  <c r="G11" i="16"/>
  <c r="H11" i="16"/>
  <c r="C12" i="16"/>
  <c r="D12" i="16"/>
  <c r="E12" i="16"/>
  <c r="F12" i="16"/>
  <c r="G12" i="16"/>
  <c r="H12" i="16"/>
  <c r="C13" i="16"/>
  <c r="D13" i="16"/>
  <c r="E13" i="16"/>
  <c r="T73" i="1" l="1"/>
  <c r="T83" i="1"/>
  <c r="S14" i="6" l="1"/>
  <c r="S17" i="6" s="1"/>
  <c r="AR20" i="2"/>
  <c r="AO20" i="2"/>
  <c r="AR19" i="2"/>
  <c r="AR18" i="2"/>
  <c r="T109" i="1"/>
  <c r="T54" i="1"/>
  <c r="T15" i="1"/>
  <c r="T22" i="1"/>
  <c r="T28" i="1"/>
  <c r="T34" i="1"/>
  <c r="T45" i="1"/>
  <c r="T75" i="1"/>
  <c r="T81" i="1"/>
  <c r="T100" i="1"/>
  <c r="T102" i="1"/>
  <c r="T103" i="1"/>
  <c r="T104" i="1"/>
  <c r="T105" i="1"/>
  <c r="T106" i="1"/>
  <c r="T107" i="1"/>
  <c r="T117" i="1"/>
  <c r="T118" i="1"/>
  <c r="T119" i="1"/>
  <c r="T120" i="1" s="1"/>
  <c r="T124" i="1"/>
  <c r="T125" i="1"/>
  <c r="T129" i="1"/>
  <c r="T130" i="1"/>
  <c r="T131" i="1"/>
  <c r="T132" i="1"/>
  <c r="T146" i="1"/>
  <c r="S25" i="6"/>
  <c r="S30" i="6" s="1"/>
  <c r="S38" i="6"/>
  <c r="S44" i="6"/>
  <c r="S64" i="6"/>
  <c r="T87" i="1" s="1"/>
  <c r="S68" i="6"/>
  <c r="AR27" i="2"/>
  <c r="AQ27" i="2"/>
  <c r="AP27" i="2"/>
  <c r="AQ21" i="2"/>
  <c r="AP21" i="2"/>
  <c r="AR13" i="2"/>
  <c r="T147" i="1" s="1"/>
  <c r="G35" i="12" l="1"/>
  <c r="G33" i="12"/>
  <c r="T149" i="1"/>
  <c r="G2" i="17" s="1"/>
  <c r="S27" i="6"/>
  <c r="S28" i="6" s="1"/>
  <c r="C42" i="12"/>
  <c r="C43" i="12" s="1"/>
  <c r="K38" i="12"/>
  <c r="L39" i="12"/>
  <c r="T126" i="1"/>
  <c r="S45" i="6"/>
  <c r="S47" i="6" s="1"/>
  <c r="S54" i="6" s="1"/>
  <c r="AR21" i="2"/>
  <c r="T82" i="1"/>
  <c r="T84" i="1" s="1"/>
  <c r="T46" i="1"/>
  <c r="T48" i="1" s="1"/>
  <c r="T56" i="1" s="1"/>
  <c r="T108" i="1"/>
  <c r="E63" i="5"/>
  <c r="B97" i="1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Q45" i="6"/>
  <c r="N45" i="6"/>
  <c r="I45" i="6"/>
  <c r="F45" i="6"/>
  <c r="Q44" i="6"/>
  <c r="P44" i="6"/>
  <c r="O44" i="6"/>
  <c r="N44" i="6"/>
  <c r="M44" i="6"/>
  <c r="L44" i="6"/>
  <c r="K44" i="6"/>
  <c r="J44" i="6"/>
  <c r="I44" i="6"/>
  <c r="H44" i="6"/>
  <c r="G44" i="6"/>
  <c r="F44" i="6"/>
  <c r="E44" i="6"/>
  <c r="R43" i="6"/>
  <c r="R41" i="6"/>
  <c r="R44" i="6" s="1"/>
  <c r="R45" i="6" s="1"/>
  <c r="R38" i="6"/>
  <c r="Q38" i="6"/>
  <c r="P38" i="6"/>
  <c r="P45" i="6" s="1"/>
  <c r="O38" i="6"/>
  <c r="O45" i="6" s="1"/>
  <c r="N38" i="6"/>
  <c r="M38" i="6"/>
  <c r="M45" i="6" s="1"/>
  <c r="L38" i="6"/>
  <c r="L45" i="6" s="1"/>
  <c r="K38" i="6"/>
  <c r="K45" i="6" s="1"/>
  <c r="J38" i="6"/>
  <c r="J45" i="6" s="1"/>
  <c r="I38" i="6"/>
  <c r="H38" i="6"/>
  <c r="H45" i="6" s="1"/>
  <c r="G38" i="6"/>
  <c r="G45" i="6" s="1"/>
  <c r="F38" i="6"/>
  <c r="E38" i="6"/>
  <c r="E45" i="6" s="1"/>
  <c r="L38" i="12" l="1"/>
  <c r="L43" i="12" s="1"/>
  <c r="K43" i="12"/>
  <c r="K40" i="12"/>
  <c r="K41" i="12" s="1"/>
  <c r="R47" i="6"/>
  <c r="Q47" i="6" s="1"/>
  <c r="P47" i="6" s="1"/>
  <c r="O47" i="6" s="1"/>
  <c r="N47" i="6" s="1"/>
  <c r="M47" i="6" s="1"/>
  <c r="L47" i="6" s="1"/>
  <c r="K47" i="6" s="1"/>
  <c r="J47" i="6" s="1"/>
  <c r="I47" i="6" s="1"/>
  <c r="H47" i="6" s="1"/>
  <c r="G47" i="6" s="1"/>
  <c r="F47" i="6" s="1"/>
  <c r="E47" i="6" s="1"/>
  <c r="AR65" i="2"/>
  <c r="T91" i="1"/>
  <c r="T139" i="1"/>
  <c r="R25" i="6"/>
  <c r="R30" i="6" s="1"/>
  <c r="Q25" i="6"/>
  <c r="P25" i="6"/>
  <c r="O25" i="6"/>
  <c r="N25" i="6"/>
  <c r="M25" i="6"/>
  <c r="L25" i="6"/>
  <c r="K25" i="6"/>
  <c r="J25" i="6"/>
  <c r="I25" i="6"/>
  <c r="H25" i="6"/>
  <c r="G25" i="6"/>
  <c r="F25" i="6"/>
  <c r="E25" i="6"/>
  <c r="G36" i="14" l="1"/>
  <c r="G34" i="14"/>
  <c r="L40" i="12"/>
  <c r="L41" i="12" s="1"/>
  <c r="Q30" i="6"/>
  <c r="P30" i="6" s="1"/>
  <c r="O30" i="6" s="1"/>
  <c r="N30" i="6" s="1"/>
  <c r="M30" i="6" s="1"/>
  <c r="L30" i="6" s="1"/>
  <c r="K30" i="6" s="1"/>
  <c r="J30" i="6" s="1"/>
  <c r="I30" i="6" s="1"/>
  <c r="H30" i="6" s="1"/>
  <c r="G30" i="6" s="1"/>
  <c r="F30" i="6" s="1"/>
  <c r="E30" i="6" s="1"/>
  <c r="T142" i="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J14" i="6"/>
  <c r="I14" i="6"/>
  <c r="AL63" i="2"/>
  <c r="AI63" i="2"/>
  <c r="AF63" i="2"/>
  <c r="R63" i="2"/>
  <c r="P63" i="2"/>
  <c r="N63" i="2"/>
  <c r="L63" i="2"/>
  <c r="J63" i="2"/>
  <c r="H63" i="2"/>
  <c r="AL61" i="2"/>
  <c r="AI61" i="2"/>
  <c r="AF61" i="2"/>
  <c r="AC61" i="2"/>
  <c r="Z61" i="2"/>
  <c r="W61" i="2"/>
  <c r="T61" i="2"/>
  <c r="R61" i="2"/>
  <c r="AK41" i="2"/>
  <c r="Q28" i="6" l="1"/>
  <c r="P28" i="6" s="1"/>
  <c r="L39" i="14"/>
  <c r="M40" i="14"/>
  <c r="C43" i="14"/>
  <c r="C44" i="14" s="1"/>
  <c r="M17" i="6"/>
  <c r="N27" i="6"/>
  <c r="N28" i="6" s="1"/>
  <c r="J17" i="6"/>
  <c r="K27" i="6"/>
  <c r="G17" i="6"/>
  <c r="H27" i="6"/>
  <c r="E40" i="2"/>
  <c r="AJ36" i="2"/>
  <c r="E35" i="2"/>
  <c r="L41" i="14" l="1"/>
  <c r="L42" i="14" s="1"/>
  <c r="M39" i="14"/>
  <c r="M44" i="14" s="1"/>
  <c r="L44" i="14"/>
  <c r="I17" i="6"/>
  <c r="I27" i="6" s="1"/>
  <c r="J27" i="6"/>
  <c r="F17" i="6"/>
  <c r="G27" i="6"/>
  <c r="L17" i="6"/>
  <c r="L27" i="6" s="1"/>
  <c r="M27" i="6"/>
  <c r="M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L28" i="6" l="1"/>
  <c r="K28" i="6" s="1"/>
  <c r="J28" i="6" s="1"/>
  <c r="I28" i="6" s="1"/>
  <c r="H28" i="6" s="1"/>
  <c r="G28" i="6" s="1"/>
  <c r="M41" i="14"/>
  <c r="M42" i="14" s="1"/>
  <c r="E17" i="6"/>
  <c r="E27" i="6" s="1"/>
  <c r="F27" i="6"/>
  <c r="F28" i="6" s="1"/>
  <c r="E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W21" i="2" l="1"/>
  <c r="AC21" i="2"/>
  <c r="N21" i="2"/>
  <c r="AI21" i="2"/>
  <c r="AO21" i="2"/>
  <c r="H21" i="2"/>
  <c r="P21" i="2"/>
  <c r="Z21" i="2"/>
  <c r="AL21" i="2"/>
  <c r="L21" i="2"/>
  <c r="T21" i="2"/>
  <c r="AF21" i="2"/>
  <c r="J21" i="2"/>
  <c r="R21" i="2"/>
  <c r="F59" i="8" l="1"/>
  <c r="D58" i="8"/>
  <c r="F58" i="8" s="1"/>
  <c r="D57" i="8"/>
  <c r="F57" i="8" s="1"/>
  <c r="D56" i="8"/>
  <c r="D60" i="8" s="1"/>
  <c r="F60" i="8" s="1"/>
  <c r="F53" i="8"/>
  <c r="F52" i="8"/>
  <c r="F51" i="8"/>
  <c r="F50" i="8"/>
  <c r="F49" i="8"/>
  <c r="F48" i="8"/>
  <c r="F47" i="8"/>
  <c r="F46" i="8"/>
  <c r="F45" i="8"/>
  <c r="F44" i="8"/>
  <c r="F43" i="8"/>
  <c r="F42" i="8"/>
  <c r="F41" i="8"/>
  <c r="F40" i="8"/>
  <c r="F39" i="8"/>
  <c r="F38" i="8"/>
  <c r="F37" i="8"/>
  <c r="F36" i="8"/>
  <c r="F35" i="8"/>
  <c r="D30" i="8"/>
  <c r="D28" i="8"/>
  <c r="D27" i="8"/>
  <c r="D26" i="8"/>
  <c r="F56" i="8" l="1"/>
  <c r="D267" i="11"/>
  <c r="C267" i="11"/>
  <c r="D266" i="11"/>
  <c r="C266" i="11"/>
  <c r="D265" i="11"/>
  <c r="C265" i="11"/>
  <c r="D264" i="11"/>
  <c r="D269" i="11" s="1"/>
  <c r="C264" i="11"/>
  <c r="D263" i="11"/>
  <c r="C263" i="11"/>
  <c r="F257" i="11"/>
  <c r="F269" i="11" s="1"/>
  <c r="F263" i="11" s="1"/>
  <c r="E263" i="11" s="1"/>
  <c r="D255" i="11"/>
  <c r="C255" i="11"/>
  <c r="D254" i="11"/>
  <c r="C254" i="11"/>
  <c r="D253" i="11"/>
  <c r="C253" i="11"/>
  <c r="D252" i="11"/>
  <c r="C252" i="11"/>
  <c r="D251" i="11"/>
  <c r="C251" i="11"/>
  <c r="E266" i="11" l="1"/>
  <c r="F251" i="11"/>
  <c r="B273" i="11"/>
  <c r="E254" i="11"/>
  <c r="H263" i="11"/>
  <c r="F264" i="11"/>
  <c r="G263" i="11"/>
  <c r="E237" i="11"/>
  <c r="D237" i="11"/>
  <c r="C237" i="11"/>
  <c r="D236" i="11"/>
  <c r="C236" i="11"/>
  <c r="D235" i="11"/>
  <c r="C235" i="11"/>
  <c r="F229" i="11"/>
  <c r="B244" i="11" s="1"/>
  <c r="D239" i="11" l="1"/>
  <c r="F239" i="11"/>
  <c r="F235" i="11" s="1"/>
  <c r="E251" i="11"/>
  <c r="G251" i="11"/>
  <c r="H251" i="11"/>
  <c r="I263" i="11"/>
  <c r="E264" i="11"/>
  <c r="G264" i="11"/>
  <c r="H264" i="11"/>
  <c r="I264" i="11" s="1"/>
  <c r="F265" i="11"/>
  <c r="D227" i="11"/>
  <c r="C227" i="11"/>
  <c r="D226" i="11"/>
  <c r="C226" i="11"/>
  <c r="D225" i="11"/>
  <c r="F225" i="11" s="1"/>
  <c r="C225" i="11"/>
  <c r="D214" i="11"/>
  <c r="C214" i="11"/>
  <c r="D213" i="11"/>
  <c r="C213" i="11"/>
  <c r="F207" i="11"/>
  <c r="F216" i="11" s="1"/>
  <c r="F213" i="11" s="1"/>
  <c r="D205" i="11"/>
  <c r="C205" i="11"/>
  <c r="D204" i="11"/>
  <c r="C204" i="11"/>
  <c r="E225" i="11" l="1"/>
  <c r="G225" i="11"/>
  <c r="E235" i="11"/>
  <c r="G235" i="11"/>
  <c r="H235" i="11"/>
  <c r="H225" i="11"/>
  <c r="D216" i="11"/>
  <c r="I225" i="11"/>
  <c r="E213" i="11"/>
  <c r="G213" i="11"/>
  <c r="F204" i="11"/>
  <c r="H213" i="11"/>
  <c r="I213" i="11" s="1"/>
  <c r="F214" i="11"/>
  <c r="B221" i="11"/>
  <c r="F226" i="11"/>
  <c r="E226" i="11" s="1"/>
  <c r="I251" i="11"/>
  <c r="D229" i="11"/>
  <c r="D207" i="11"/>
  <c r="E265" i="11"/>
  <c r="H265" i="11"/>
  <c r="I265" i="11" s="1"/>
  <c r="G265" i="11"/>
  <c r="I235" i="11"/>
  <c r="E214" i="11" l="1"/>
  <c r="E216" i="11" s="1"/>
  <c r="E217" i="11" s="1"/>
  <c r="G214" i="11"/>
  <c r="E204" i="11"/>
  <c r="F205" i="11"/>
  <c r="G204" i="11"/>
  <c r="H214" i="11"/>
  <c r="F227" i="11"/>
  <c r="H226" i="11"/>
  <c r="H204" i="11"/>
  <c r="I204" i="11" l="1"/>
  <c r="H216" i="11"/>
  <c r="G216" i="11" s="1"/>
  <c r="I214" i="11"/>
  <c r="I216" i="11" s="1"/>
  <c r="G226" i="11"/>
  <c r="I226" i="11"/>
  <c r="E227" i="11"/>
  <c r="E229" i="11" s="1"/>
  <c r="G227" i="11"/>
  <c r="H227" i="11"/>
  <c r="I227" i="11" s="1"/>
  <c r="E205" i="11"/>
  <c r="E207" i="11" s="1"/>
  <c r="E208" i="11" s="1"/>
  <c r="G205" i="11"/>
  <c r="H205" i="11"/>
  <c r="H229" i="11" l="1"/>
  <c r="G229" i="11" s="1"/>
  <c r="I205" i="11"/>
  <c r="I207" i="11" s="1"/>
  <c r="I208" i="11" s="1"/>
  <c r="I229" i="11"/>
  <c r="I217" i="11"/>
  <c r="G217" i="11" s="1"/>
  <c r="H207" i="11"/>
  <c r="J190" i="11"/>
  <c r="I190" i="11"/>
  <c r="H190" i="11"/>
  <c r="G190" i="11"/>
  <c r="F185" i="11"/>
  <c r="E185" i="11"/>
  <c r="D185" i="11"/>
  <c r="C185" i="11" s="1"/>
  <c r="G207" i="11" l="1"/>
  <c r="G208" i="11" s="1"/>
  <c r="K204" i="11"/>
  <c r="K205" i="11"/>
  <c r="I230" i="11"/>
  <c r="G230" i="11" s="1"/>
  <c r="E230" i="11" s="1"/>
  <c r="F179" i="11"/>
  <c r="D179" i="11"/>
  <c r="F178" i="11"/>
  <c r="E178" i="11"/>
  <c r="D178" i="11"/>
  <c r="F175" i="11"/>
  <c r="E175" i="11"/>
  <c r="D175" i="11"/>
  <c r="F174" i="11"/>
  <c r="E174" i="11"/>
  <c r="D174" i="11"/>
  <c r="C174" i="11" s="1"/>
  <c r="F182" i="11" l="1"/>
  <c r="E182" i="11" s="1"/>
  <c r="D182" i="11" s="1"/>
  <c r="C178" i="11"/>
  <c r="F176" i="11" s="1"/>
  <c r="C162" i="11"/>
  <c r="J161" i="11"/>
  <c r="I161" i="11"/>
  <c r="H161" i="11"/>
  <c r="G161" i="11"/>
  <c r="F161" i="11"/>
  <c r="E161" i="11"/>
  <c r="D161" i="11"/>
  <c r="J160" i="11"/>
  <c r="I160" i="11"/>
  <c r="H160" i="11"/>
  <c r="G160" i="11"/>
  <c r="F160" i="11"/>
  <c r="E160" i="11"/>
  <c r="D160" i="11"/>
  <c r="J159" i="11"/>
  <c r="I159" i="11"/>
  <c r="H159" i="11"/>
  <c r="G159" i="11"/>
  <c r="F159" i="11"/>
  <c r="E159" i="11"/>
  <c r="D159" i="11"/>
  <c r="J158" i="11"/>
  <c r="I158" i="11"/>
  <c r="H158" i="11"/>
  <c r="G158" i="11"/>
  <c r="F158" i="11"/>
  <c r="E158" i="11"/>
  <c r="D158" i="11"/>
  <c r="C158" i="11" s="1"/>
  <c r="J157" i="11"/>
  <c r="I157" i="11"/>
  <c r="H157" i="11"/>
  <c r="G157" i="11"/>
  <c r="F157" i="11"/>
  <c r="E157" i="11"/>
  <c r="D157" i="11"/>
  <c r="J156" i="11"/>
  <c r="I156" i="11"/>
  <c r="G156" i="11"/>
  <c r="J142" i="11"/>
  <c r="I142" i="11"/>
  <c r="H142" i="11"/>
  <c r="G142" i="11"/>
  <c r="E138" i="11"/>
  <c r="D138" i="11" s="1"/>
  <c r="C137" i="11"/>
  <c r="C157" i="11" l="1"/>
  <c r="C160" i="11"/>
  <c r="C182" i="11"/>
  <c r="F180" i="11" s="1"/>
  <c r="F183" i="11" s="1"/>
  <c r="C161" i="11"/>
  <c r="C159" i="11"/>
  <c r="E176" i="11"/>
  <c r="D176" i="11" s="1"/>
  <c r="F134" i="11"/>
  <c r="E134" i="11"/>
  <c r="D134" i="11"/>
  <c r="E131" i="11"/>
  <c r="D131" i="11"/>
  <c r="C130" i="11"/>
  <c r="F127" i="11"/>
  <c r="E127" i="11"/>
  <c r="D127" i="11"/>
  <c r="C126" i="11"/>
  <c r="J119" i="11"/>
  <c r="I119" i="11"/>
  <c r="H119" i="11"/>
  <c r="G119" i="11"/>
  <c r="F119" i="11"/>
  <c r="E119" i="11"/>
  <c r="D119" i="11"/>
  <c r="C119" i="11" s="1"/>
  <c r="C113" i="11"/>
  <c r="J112" i="11"/>
  <c r="I112" i="11"/>
  <c r="H112" i="11"/>
  <c r="G112" i="11"/>
  <c r="F112" i="11"/>
  <c r="E112" i="11"/>
  <c r="D112" i="11"/>
  <c r="C112" i="11" s="1"/>
  <c r="J111" i="11"/>
  <c r="I111" i="11"/>
  <c r="H111" i="11"/>
  <c r="G111" i="11"/>
  <c r="F111" i="11"/>
  <c r="E111" i="11"/>
  <c r="D111" i="11"/>
  <c r="J110" i="11"/>
  <c r="I110" i="11"/>
  <c r="H110" i="11"/>
  <c r="G110" i="11"/>
  <c r="F110" i="11"/>
  <c r="E110" i="11"/>
  <c r="D110" i="11"/>
  <c r="J109" i="11"/>
  <c r="I109" i="11"/>
  <c r="H109" i="11"/>
  <c r="G109" i="11"/>
  <c r="F109" i="11"/>
  <c r="E109" i="11"/>
  <c r="C109" i="11" s="1"/>
  <c r="D109" i="11"/>
  <c r="J108" i="11"/>
  <c r="I108" i="11"/>
  <c r="H108" i="11"/>
  <c r="G108" i="11"/>
  <c r="F108" i="11"/>
  <c r="E108" i="11"/>
  <c r="D108" i="11"/>
  <c r="J107" i="11"/>
  <c r="I107" i="11"/>
  <c r="G107" i="11"/>
  <c r="F107" i="11"/>
  <c r="E107" i="11"/>
  <c r="D107" i="11"/>
  <c r="J106" i="11"/>
  <c r="I106" i="11"/>
  <c r="I115" i="11" s="1"/>
  <c r="H106" i="11"/>
  <c r="G106" i="11"/>
  <c r="F106" i="11"/>
  <c r="E106" i="11"/>
  <c r="D106" i="11"/>
  <c r="M54" i="11"/>
  <c r="M55" i="11" s="1"/>
  <c r="M53" i="11"/>
  <c r="F49" i="11"/>
  <c r="F156" i="11" s="1"/>
  <c r="E49" i="11"/>
  <c r="E156" i="11" s="1"/>
  <c r="D49" i="11"/>
  <c r="D156" i="11" s="1"/>
  <c r="J48" i="11"/>
  <c r="I48" i="11"/>
  <c r="H48" i="11"/>
  <c r="H155" i="11" s="1"/>
  <c r="G48" i="11"/>
  <c r="G155" i="11" s="1"/>
  <c r="F48" i="11"/>
  <c r="F155" i="11" s="1"/>
  <c r="E48" i="11"/>
  <c r="E155" i="11" s="1"/>
  <c r="E164" i="11" s="1"/>
  <c r="D48" i="11"/>
  <c r="J41" i="11"/>
  <c r="I41" i="11"/>
  <c r="H41" i="11"/>
  <c r="G41" i="11"/>
  <c r="G168" i="11" s="1"/>
  <c r="F41" i="11"/>
  <c r="F168" i="11" s="1"/>
  <c r="E41" i="11"/>
  <c r="E168" i="11" s="1"/>
  <c r="D41" i="11"/>
  <c r="D168" i="11" s="1"/>
  <c r="J38" i="11"/>
  <c r="I38" i="11"/>
  <c r="H38" i="11"/>
  <c r="G38" i="11"/>
  <c r="F38" i="11"/>
  <c r="E38" i="11"/>
  <c r="D38" i="11"/>
  <c r="J37" i="11"/>
  <c r="I37" i="11"/>
  <c r="H37" i="11"/>
  <c r="G37" i="11"/>
  <c r="F37" i="11"/>
  <c r="E37" i="11"/>
  <c r="D37" i="11"/>
  <c r="F115" i="11" l="1"/>
  <c r="E115" i="11" s="1"/>
  <c r="C37" i="11"/>
  <c r="M56" i="11"/>
  <c r="G115" i="11"/>
  <c r="D40" i="11"/>
  <c r="J115" i="11"/>
  <c r="D115" i="11"/>
  <c r="D118" i="11" s="1"/>
  <c r="H115" i="11"/>
  <c r="C110" i="11"/>
  <c r="J118" i="11"/>
  <c r="I118" i="11" s="1"/>
  <c r="C40" i="11"/>
  <c r="D43" i="11"/>
  <c r="F164" i="11"/>
  <c r="C106" i="11"/>
  <c r="C107" i="11"/>
  <c r="C115" i="11" s="1"/>
  <c r="C38" i="11"/>
  <c r="C156" i="11"/>
  <c r="J155" i="11" s="1"/>
  <c r="I155" i="11" s="1"/>
  <c r="I164" i="11" s="1"/>
  <c r="H164" i="11" s="1"/>
  <c r="G164" i="11" s="1"/>
  <c r="C111" i="11"/>
  <c r="F128" i="11"/>
  <c r="C134" i="11"/>
  <c r="E132" i="11" s="1"/>
  <c r="D132" i="11" s="1"/>
  <c r="C132" i="11" s="1"/>
  <c r="C41" i="11"/>
  <c r="J40" i="11" s="1"/>
  <c r="I40" i="11" s="1"/>
  <c r="H40" i="11" s="1"/>
  <c r="G40" i="11" s="1"/>
  <c r="F40" i="11" s="1"/>
  <c r="E40" i="11" s="1"/>
  <c r="D155" i="11"/>
  <c r="C108" i="11"/>
  <c r="C176" i="11"/>
  <c r="J21" i="11"/>
  <c r="J44" i="11" s="1"/>
  <c r="I21" i="11"/>
  <c r="I44" i="11" s="1"/>
  <c r="H44" i="11" s="1"/>
  <c r="G44" i="11" s="1"/>
  <c r="H21" i="11"/>
  <c r="G21" i="11"/>
  <c r="F21" i="11"/>
  <c r="F44" i="11" s="1"/>
  <c r="E21" i="11"/>
  <c r="E44" i="11" s="1"/>
  <c r="D44" i="11" s="1"/>
  <c r="D21" i="11"/>
  <c r="H118" i="11" l="1"/>
  <c r="G118" i="11" s="1"/>
  <c r="F118" i="11" s="1"/>
  <c r="E118" i="11" s="1"/>
  <c r="J121" i="11"/>
  <c r="I121" i="11" s="1"/>
  <c r="H121" i="11" s="1"/>
  <c r="G121" i="11" s="1"/>
  <c r="F121" i="11" s="1"/>
  <c r="E121" i="11" s="1"/>
  <c r="D164" i="11"/>
  <c r="C155" i="11"/>
  <c r="E128" i="11"/>
  <c r="F135" i="11"/>
  <c r="C21" i="11"/>
  <c r="C44" i="11"/>
  <c r="J43" i="11" s="1"/>
  <c r="D46" i="11"/>
  <c r="C118" i="11"/>
  <c r="D121" i="11"/>
  <c r="C18" i="11"/>
  <c r="J14" i="11"/>
  <c r="I14" i="11"/>
  <c r="H14" i="11"/>
  <c r="G14" i="11"/>
  <c r="F14" i="11"/>
  <c r="E14" i="11"/>
  <c r="D14" i="11"/>
  <c r="Q6" i="11"/>
  <c r="C14" i="11" l="1"/>
  <c r="D17" i="11"/>
  <c r="J17" i="11"/>
  <c r="I17" i="11" s="1"/>
  <c r="H17" i="11" s="1"/>
  <c r="G17" i="11" s="1"/>
  <c r="F17" i="11" s="1"/>
  <c r="E17" i="11" s="1"/>
  <c r="D128" i="11"/>
  <c r="E135" i="11"/>
  <c r="I43" i="11"/>
  <c r="H43" i="11" s="1"/>
  <c r="G43" i="11" s="1"/>
  <c r="F43" i="11" s="1"/>
  <c r="E43" i="11" s="1"/>
  <c r="C43" i="11" s="1"/>
  <c r="J46" i="11"/>
  <c r="I46" i="11" s="1"/>
  <c r="H46" i="11" s="1"/>
  <c r="C121" i="11"/>
  <c r="D167" i="11"/>
  <c r="F36" i="4"/>
  <c r="E36" i="4"/>
  <c r="J20" i="11" l="1"/>
  <c r="D135" i="11"/>
  <c r="C128" i="11"/>
  <c r="C135" i="11" s="1"/>
  <c r="D170" i="11"/>
  <c r="D191" i="11" s="1"/>
  <c r="G46" i="11"/>
  <c r="F46" i="11" s="1"/>
  <c r="E46" i="11" s="1"/>
  <c r="H277" i="11"/>
  <c r="G277" i="11" s="1"/>
  <c r="F277" i="11" s="1"/>
  <c r="E277" i="11" s="1"/>
  <c r="D277" i="11" s="1"/>
  <c r="I20" i="11"/>
  <c r="H20" i="11" s="1"/>
  <c r="G20" i="11" s="1"/>
  <c r="F20" i="11" s="1"/>
  <c r="E20" i="11" s="1"/>
  <c r="J23" i="11"/>
  <c r="I23" i="11" s="1"/>
  <c r="H23" i="11" s="1"/>
  <c r="G23" i="11" s="1"/>
  <c r="F23" i="11" s="1"/>
  <c r="E23" i="11" s="1"/>
  <c r="C46" i="11"/>
  <c r="D20" i="11"/>
  <c r="C17" i="11"/>
  <c r="F24" i="4"/>
  <c r="F43" i="4" s="1"/>
  <c r="F23" i="4"/>
  <c r="H22" i="4"/>
  <c r="E22" i="4"/>
  <c r="E23" i="4" l="1"/>
  <c r="G23" i="4" s="1"/>
  <c r="E24" i="4"/>
  <c r="E25" i="4" s="1"/>
  <c r="D23" i="11"/>
  <c r="E15" i="4" s="1"/>
  <c r="C20" i="11"/>
  <c r="C23" i="11" s="1"/>
  <c r="F42" i="4"/>
  <c r="F44" i="4" s="1"/>
  <c r="F25" i="4"/>
  <c r="E43" i="4"/>
  <c r="G43" i="4" s="1"/>
  <c r="E42" i="4"/>
  <c r="G24" i="4"/>
  <c r="H21" i="4"/>
  <c r="E21" i="4"/>
  <c r="F18" i="4"/>
  <c r="F40" i="4" s="1"/>
  <c r="E18" i="4"/>
  <c r="E17" i="4"/>
  <c r="E16" i="4"/>
  <c r="H14" i="4"/>
  <c r="E14" i="4"/>
  <c r="H13" i="4"/>
  <c r="E13" i="4"/>
  <c r="H12" i="4"/>
  <c r="E12" i="4"/>
  <c r="H11" i="4"/>
  <c r="E11" i="4"/>
  <c r="L28" i="4" l="1"/>
  <c r="F15" i="4" s="1"/>
  <c r="F37" i="4" s="1"/>
  <c r="L30" i="4"/>
  <c r="F17" i="4" s="1"/>
  <c r="F39" i="4" s="1"/>
  <c r="F16" i="4"/>
  <c r="F38" i="4" s="1"/>
  <c r="L29" i="4"/>
  <c r="E38" i="4"/>
  <c r="E40" i="4"/>
  <c r="E37" i="4"/>
  <c r="E44" i="4"/>
  <c r="E39" i="4"/>
  <c r="G18" i="4"/>
  <c r="E19" i="4"/>
  <c r="F41" i="4" l="1"/>
  <c r="G37" i="4"/>
  <c r="F19" i="4"/>
  <c r="I37" i="4"/>
  <c r="G39" i="4"/>
  <c r="I39" i="4" s="1"/>
  <c r="E41" i="4"/>
  <c r="E46" i="4" l="1"/>
  <c r="G185" i="1" l="1"/>
  <c r="G201" i="1" s="1"/>
  <c r="S147" i="1" l="1"/>
  <c r="R147" i="1"/>
  <c r="Q147" i="1"/>
  <c r="P147" i="1"/>
  <c r="O147" i="1"/>
  <c r="N147" i="1"/>
  <c r="M147" i="1" s="1"/>
  <c r="L147" i="1"/>
  <c r="K147" i="1" s="1"/>
  <c r="J147" i="1"/>
  <c r="I147" i="1"/>
  <c r="H147" i="1"/>
  <c r="G147" i="1"/>
  <c r="F147" i="1"/>
  <c r="S146" i="1"/>
  <c r="S149" i="1" s="1"/>
  <c r="R146" i="1"/>
  <c r="Q146" i="1"/>
  <c r="P146" i="1"/>
  <c r="O146" i="1"/>
  <c r="N146" i="1"/>
  <c r="M146" i="1"/>
  <c r="K146" i="1"/>
  <c r="J146" i="1"/>
  <c r="H146" i="1"/>
  <c r="G146" i="1"/>
  <c r="F146" i="1"/>
  <c r="T150" i="1" l="1"/>
  <c r="F2" i="17"/>
  <c r="H149" i="1"/>
  <c r="G149" i="1"/>
  <c r="Q149" i="1"/>
  <c r="D2" i="17" s="1"/>
  <c r="O149" i="1"/>
  <c r="B2" i="17" s="1"/>
  <c r="R149" i="1"/>
  <c r="E2" i="17" s="1"/>
  <c r="F149" i="1"/>
  <c r="J149" i="1"/>
  <c r="P149" i="1"/>
  <c r="C2" i="17" s="1"/>
  <c r="N149" i="1"/>
  <c r="O150" i="1" l="1"/>
  <c r="G150" i="1"/>
  <c r="R150" i="1"/>
  <c r="H150" i="1"/>
  <c r="P150" i="1"/>
  <c r="Q150" i="1"/>
  <c r="M149" i="1"/>
  <c r="K149" i="1"/>
  <c r="K150" i="1" s="1"/>
  <c r="N150"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D33" i="12" s="1"/>
  <c r="F108" i="1"/>
  <c r="J108" i="1"/>
  <c r="N108" i="1"/>
  <c r="R108" i="1"/>
  <c r="S120" i="1"/>
  <c r="R120" i="1"/>
  <c r="F35" i="12" l="1"/>
  <c r="F33" i="12"/>
  <c r="E35" i="12"/>
  <c r="E33" i="12"/>
  <c r="R177" i="1"/>
  <c r="R193" i="1" s="1"/>
  <c r="D35" i="12"/>
  <c r="R161" i="1"/>
  <c r="S177" i="1"/>
  <c r="S193" i="1" s="1"/>
  <c r="S121" i="1"/>
  <c r="T177" i="1"/>
  <c r="T193" i="1" s="1"/>
  <c r="T121" i="1"/>
  <c r="T161" i="1"/>
  <c r="R121" i="1"/>
  <c r="S161"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49" i="1" s="1"/>
  <c r="I14" i="1"/>
  <c r="I146" i="1" s="1"/>
  <c r="I149" i="1" s="1"/>
  <c r="J150" i="1" s="1"/>
  <c r="I150" i="1" s="1"/>
  <c r="L13" i="1"/>
  <c r="I13" i="1"/>
  <c r="I85" i="5"/>
  <c r="L85" i="5" s="1"/>
  <c r="I84" i="5"/>
  <c r="L84" i="5" s="1"/>
  <c r="I83" i="5"/>
  <c r="I82" i="5"/>
  <c r="I80" i="5"/>
  <c r="S46" i="1" l="1"/>
  <c r="I82" i="1"/>
  <c r="M82" i="1"/>
  <c r="Q82" i="1"/>
  <c r="AF65" i="2"/>
  <c r="AC65" i="2" s="1"/>
  <c r="L82" i="5"/>
  <c r="M82" i="5" s="1"/>
  <c r="S82" i="5" s="1"/>
  <c r="L83" i="5"/>
  <c r="M83" i="5" s="1"/>
  <c r="S83" i="5" s="1"/>
  <c r="M84" i="5"/>
  <c r="S84" i="5" s="1"/>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0" i="1"/>
  <c r="L150" i="1"/>
  <c r="G82" i="1"/>
  <c r="K82" i="1"/>
  <c r="O82" i="1"/>
  <c r="I15" i="1"/>
  <c r="I45" i="1"/>
  <c r="I46" i="1" s="1"/>
  <c r="M45" i="1"/>
  <c r="M46" i="1" s="1"/>
  <c r="S75" i="1"/>
  <c r="S82" i="1" s="1"/>
  <c r="O119" i="1"/>
  <c r="P120" i="1"/>
  <c r="C33" i="12" s="1"/>
  <c r="O124" i="1"/>
  <c r="P126" i="1"/>
  <c r="Q177" i="1" l="1"/>
  <c r="Q193" i="1" s="1"/>
  <c r="C35" i="12"/>
  <c r="N119" i="1"/>
  <c r="O120" i="1"/>
  <c r="N124" i="1"/>
  <c r="O126" i="1"/>
  <c r="Q161" i="1"/>
  <c r="Q121" i="1"/>
  <c r="N78" i="5"/>
  <c r="H78" i="5"/>
  <c r="G78" i="5"/>
  <c r="F78" i="5"/>
  <c r="E78" i="5"/>
  <c r="I77" i="5"/>
  <c r="I76" i="5"/>
  <c r="I75" i="5"/>
  <c r="J72" i="5"/>
  <c r="H72" i="5"/>
  <c r="H79" i="5" s="1"/>
  <c r="G72" i="5"/>
  <c r="E72" i="5"/>
  <c r="B35" i="12" l="1"/>
  <c r="B33" i="12"/>
  <c r="P161" i="1"/>
  <c r="P177" i="1"/>
  <c r="P193" i="1" s="1"/>
  <c r="I78" i="5"/>
  <c r="G79" i="5"/>
  <c r="E79" i="5"/>
  <c r="M119" i="1"/>
  <c r="N120" i="1"/>
  <c r="P121" i="1"/>
  <c r="M124" i="1"/>
  <c r="N126" i="1"/>
  <c r="I70" i="5"/>
  <c r="I69" i="5"/>
  <c r="O161" i="1" l="1"/>
  <c r="O177" i="1"/>
  <c r="O193" i="1" s="1"/>
  <c r="F72" i="5"/>
  <c r="F79" i="5" s="1"/>
  <c r="F81" i="5" s="1"/>
  <c r="E81" i="5" s="1"/>
  <c r="I71" i="5"/>
  <c r="I72" i="5" s="1"/>
  <c r="I79" i="5" s="1"/>
  <c r="O121" i="1"/>
  <c r="L124" i="1"/>
  <c r="M126" i="1"/>
  <c r="L119" i="1"/>
  <c r="M120" i="1"/>
  <c r="N161" i="1" l="1"/>
  <c r="N177" i="1"/>
  <c r="N193" i="1" s="1"/>
  <c r="N121" i="1"/>
  <c r="K124" i="1"/>
  <c r="L126" i="1"/>
  <c r="K119" i="1"/>
  <c r="L120" i="1"/>
  <c r="M161" i="1" l="1"/>
  <c r="M177" i="1"/>
  <c r="M193" i="1" s="1"/>
  <c r="M121" i="1"/>
  <c r="J124" i="1"/>
  <c r="K126" i="1"/>
  <c r="J119" i="1"/>
  <c r="K120" i="1"/>
  <c r="I63" i="5"/>
  <c r="I62" i="5"/>
  <c r="L161" i="1" l="1"/>
  <c r="L177" i="1"/>
  <c r="L193" i="1" s="1"/>
  <c r="L121" i="1"/>
  <c r="I124" i="1"/>
  <c r="J126" i="1"/>
  <c r="I119" i="1"/>
  <c r="J120" i="1"/>
  <c r="K177" i="1" s="1"/>
  <c r="K193" i="1" s="1"/>
  <c r="H124" i="1" l="1"/>
  <c r="I126" i="1"/>
  <c r="H119" i="1"/>
  <c r="I120" i="1"/>
  <c r="K161" i="1"/>
  <c r="K121" i="1"/>
  <c r="S58" i="5"/>
  <c r="P58" i="5"/>
  <c r="O58" i="5"/>
  <c r="M58" i="5"/>
  <c r="L58" i="5"/>
  <c r="K58" i="5"/>
  <c r="I58" i="5"/>
  <c r="H58" i="5"/>
  <c r="G58" i="5"/>
  <c r="F58" i="5"/>
  <c r="E58" i="5"/>
  <c r="P54" i="5"/>
  <c r="O54" i="5"/>
  <c r="M54" i="5"/>
  <c r="L54" i="5"/>
  <c r="K54" i="5"/>
  <c r="I54" i="5"/>
  <c r="H54" i="5"/>
  <c r="G54" i="5"/>
  <c r="F54" i="5"/>
  <c r="A50" i="5"/>
  <c r="J161" i="1" l="1"/>
  <c r="J177" i="1"/>
  <c r="J193" i="1" s="1"/>
  <c r="J121" i="1"/>
  <c r="G119" i="1"/>
  <c r="H120" i="1"/>
  <c r="I177" i="1" s="1"/>
  <c r="I193" i="1" s="1"/>
  <c r="G124" i="1"/>
  <c r="H126" i="1"/>
  <c r="I121" i="1"/>
  <c r="I161" i="1" l="1"/>
  <c r="F119" i="1"/>
  <c r="F120" i="1" s="1"/>
  <c r="G120" i="1"/>
  <c r="F124" i="1"/>
  <c r="F126" i="1" s="1"/>
  <c r="G126" i="1"/>
  <c r="H121" i="1" l="1"/>
  <c r="H177" i="1"/>
  <c r="H193" i="1" s="1"/>
  <c r="H161" i="1"/>
  <c r="G121" i="1"/>
  <c r="N45" i="5" l="1"/>
  <c r="J45" i="5"/>
  <c r="E45" i="5"/>
  <c r="I44" i="5"/>
  <c r="I43" i="5"/>
  <c r="L43" i="5" s="1"/>
  <c r="I42" i="5"/>
  <c r="F45" i="5"/>
  <c r="M43" i="5" l="1"/>
  <c r="S43" i="5" s="1"/>
  <c r="I38" i="5"/>
  <c r="I37" i="5"/>
  <c r="N34" i="5" l="1"/>
  <c r="F34" i="5"/>
  <c r="E34" i="5"/>
  <c r="I32" i="5" l="1"/>
  <c r="I31" i="5"/>
  <c r="P28" i="5"/>
  <c r="O28" i="5"/>
  <c r="N28" i="5"/>
  <c r="H28" i="5"/>
  <c r="G28" i="5"/>
  <c r="F28" i="5"/>
  <c r="E28" i="5"/>
  <c r="I27" i="5"/>
  <c r="I26" i="5"/>
  <c r="I25" i="5"/>
  <c r="I28" i="5" l="1"/>
  <c r="N22" i="5"/>
  <c r="N46" i="5" s="1"/>
  <c r="H22" i="5"/>
  <c r="G22" i="5"/>
  <c r="F22" i="5"/>
  <c r="F46" i="5" s="1"/>
  <c r="E22" i="5"/>
  <c r="I21" i="5"/>
  <c r="L21" i="5" s="1"/>
  <c r="M21" i="5" s="1"/>
  <c r="S21" i="5" l="1"/>
  <c r="E46" i="5"/>
  <c r="I20" i="5"/>
  <c r="O19" i="5"/>
  <c r="I19" i="5"/>
  <c r="M19" i="5" s="1"/>
  <c r="N15" i="5"/>
  <c r="L15" i="5"/>
  <c r="G15" i="5"/>
  <c r="F15" i="5"/>
  <c r="E15" i="5"/>
  <c r="I22" i="5" l="1"/>
  <c r="G41" i="5"/>
  <c r="G36" i="5"/>
  <c r="G33" i="5"/>
  <c r="I14" i="5"/>
  <c r="I13" i="5"/>
  <c r="F60" i="7" l="1"/>
  <c r="D58" i="7"/>
  <c r="F58" i="7" s="1"/>
  <c r="F62" i="7" s="1"/>
  <c r="D62" i="7" l="1"/>
  <c r="F33" i="7"/>
  <c r="F13" i="7" l="1"/>
  <c r="D11" i="7"/>
  <c r="D15" i="7" l="1"/>
  <c r="F11" i="7"/>
  <c r="F11" i="4"/>
  <c r="G11" i="4" s="1"/>
  <c r="F12" i="4"/>
  <c r="G12" i="4" s="1"/>
  <c r="F13" i="4"/>
  <c r="G13" i="4" s="1"/>
  <c r="F14" i="4"/>
  <c r="G14" i="4" s="1"/>
  <c r="F21" i="4"/>
  <c r="G21" i="4" s="1"/>
  <c r="F22" i="4"/>
  <c r="G22" i="4" s="1"/>
  <c r="G38" i="4"/>
  <c r="I38" i="4" s="1"/>
  <c r="G40" i="4"/>
  <c r="I40" i="4" s="1"/>
  <c r="G42" i="4"/>
  <c r="I42" i="4" s="1"/>
  <c r="G34" i="5"/>
  <c r="G45" i="5"/>
  <c r="J46" i="5"/>
  <c r="J48" i="5" s="1"/>
  <c r="M13" i="5"/>
  <c r="O22" i="5"/>
  <c r="N48" i="5"/>
  <c r="N65" i="5" s="1"/>
  <c r="F48" i="5"/>
  <c r="F60" i="5" s="1"/>
  <c r="E48" i="5"/>
  <c r="S83" i="1"/>
  <c r="S84" i="1" s="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1" i="5"/>
  <c r="H81" i="5"/>
  <c r="G81" i="5"/>
  <c r="N79" i="5"/>
  <c r="G84" i="1"/>
  <c r="F84" i="1"/>
  <c r="F91" i="1" s="1"/>
  <c r="L84" i="1"/>
  <c r="K84" i="1"/>
  <c r="J84" i="1"/>
  <c r="I84" i="1"/>
  <c r="H84" i="1"/>
  <c r="R84" i="1"/>
  <c r="S181" i="1" s="1"/>
  <c r="S197" i="1" s="1"/>
  <c r="N84" i="1"/>
  <c r="M84" i="1"/>
  <c r="N181" i="1" s="1"/>
  <c r="N197" i="1" s="1"/>
  <c r="Q84" i="1"/>
  <c r="R181" i="1" s="1"/>
  <c r="R197" i="1" s="1"/>
  <c r="O84" i="1"/>
  <c r="P84" i="1"/>
  <c r="S150" i="1"/>
  <c r="F46" i="4"/>
  <c r="R54" i="6"/>
  <c r="Q54" i="6"/>
  <c r="P54" i="6"/>
  <c r="O54" i="6"/>
  <c r="N54" i="6"/>
  <c r="M54" i="6"/>
  <c r="L54" i="6"/>
  <c r="K54" i="6"/>
  <c r="J54" i="6"/>
  <c r="I54" i="6"/>
  <c r="H54" i="6"/>
  <c r="G54" i="6"/>
  <c r="F54" i="6"/>
  <c r="E54" i="6"/>
  <c r="Q61" i="5" l="1"/>
  <c r="Q65" i="5" s="1"/>
  <c r="F15" i="7"/>
  <c r="E91" i="5" s="1"/>
  <c r="G44" i="4"/>
  <c r="H139" i="1"/>
  <c r="I181" i="1"/>
  <c r="I197" i="1" s="1"/>
  <c r="I91" i="1"/>
  <c r="H56" i="6" s="1"/>
  <c r="J181" i="1"/>
  <c r="J197" i="1" s="1"/>
  <c r="J139" i="1"/>
  <c r="K181" i="1"/>
  <c r="K197" i="1" s="1"/>
  <c r="P91" i="1"/>
  <c r="Q183" i="1" s="1"/>
  <c r="Q199" i="1" s="1"/>
  <c r="Q181" i="1"/>
  <c r="Q197" i="1" s="1"/>
  <c r="N139" i="1"/>
  <c r="O181" i="1"/>
  <c r="O197" i="1" s="1"/>
  <c r="G91" i="1"/>
  <c r="H181" i="1"/>
  <c r="H197" i="1" s="1"/>
  <c r="T181" i="1"/>
  <c r="T197" i="1" s="1"/>
  <c r="T165" i="1"/>
  <c r="O139" i="1"/>
  <c r="O140" i="1" s="1"/>
  <c r="P181" i="1"/>
  <c r="P197" i="1" s="1"/>
  <c r="K139" i="1"/>
  <c r="L181" i="1"/>
  <c r="L197" i="1" s="1"/>
  <c r="I86" i="5"/>
  <c r="H86" i="5" s="1"/>
  <c r="H61" i="5" s="1"/>
  <c r="L139" i="1"/>
  <c r="M181" i="1"/>
  <c r="M197" i="1" s="1"/>
  <c r="K32" i="5"/>
  <c r="L32" i="5" s="1"/>
  <c r="M32" i="5" s="1"/>
  <c r="S32" i="5" s="1"/>
  <c r="H15" i="9"/>
  <c r="G46" i="5"/>
  <c r="G48" i="5" s="1"/>
  <c r="G60" i="5" s="1"/>
  <c r="I44" i="4"/>
  <c r="P19" i="5" s="1"/>
  <c r="G41" i="4"/>
  <c r="G46" i="4" s="1"/>
  <c r="G86" i="5"/>
  <c r="R56" i="1"/>
  <c r="N165" i="1"/>
  <c r="L91" i="1"/>
  <c r="M183" i="1" s="1"/>
  <c r="M199" i="1" s="1"/>
  <c r="M165" i="1"/>
  <c r="P165" i="1"/>
  <c r="P139" i="1"/>
  <c r="C34" i="14" s="1"/>
  <c r="O91" i="1"/>
  <c r="I139" i="1"/>
  <c r="M91" i="1"/>
  <c r="N183" i="1" s="1"/>
  <c r="N199" i="1" s="1"/>
  <c r="G139" i="1"/>
  <c r="H140" i="1" s="1"/>
  <c r="R139" i="1"/>
  <c r="L165" i="1"/>
  <c r="K91" i="1"/>
  <c r="H91" i="1"/>
  <c r="M139" i="1"/>
  <c r="Q165" i="1"/>
  <c r="J91" i="1"/>
  <c r="Q139" i="1"/>
  <c r="I165" i="1"/>
  <c r="H165" i="1"/>
  <c r="Q91" i="1"/>
  <c r="O165" i="1"/>
  <c r="E56" i="6"/>
  <c r="F142" i="1"/>
  <c r="S91" i="1"/>
  <c r="S165" i="1"/>
  <c r="S139" i="1"/>
  <c r="F34" i="14" s="1"/>
  <c r="G142" i="1"/>
  <c r="L140" i="1"/>
  <c r="R165" i="1"/>
  <c r="R91" i="1"/>
  <c r="S183" i="1" s="1"/>
  <c r="S199" i="1" s="1"/>
  <c r="J165" i="1"/>
  <c r="F139" i="1"/>
  <c r="K165" i="1"/>
  <c r="N91" i="1"/>
  <c r="O183" i="1" s="1"/>
  <c r="O199" i="1" s="1"/>
  <c r="Q56" i="1"/>
  <c r="S91" i="5" l="1"/>
  <c r="P142" i="1"/>
  <c r="O56" i="6"/>
  <c r="D36" i="14"/>
  <c r="D34" i="14"/>
  <c r="E36" i="14"/>
  <c r="E34" i="14"/>
  <c r="B36" i="14"/>
  <c r="B34" i="14"/>
  <c r="J140" i="1"/>
  <c r="M140" i="1"/>
  <c r="P140" i="1"/>
  <c r="C36" i="14"/>
  <c r="T140" i="1"/>
  <c r="F36" i="14"/>
  <c r="T183" i="1"/>
  <c r="T199" i="1" s="1"/>
  <c r="T167" i="1"/>
  <c r="Q167" i="1"/>
  <c r="R183" i="1"/>
  <c r="R199" i="1" s="1"/>
  <c r="N56" i="6"/>
  <c r="P183" i="1"/>
  <c r="P199" i="1" s="1"/>
  <c r="J167" i="1"/>
  <c r="K183" i="1"/>
  <c r="K199" i="1" s="1"/>
  <c r="H142" i="1"/>
  <c r="I183" i="1"/>
  <c r="I199" i="1" s="1"/>
  <c r="K140" i="1"/>
  <c r="H183" i="1"/>
  <c r="H199" i="1" s="1"/>
  <c r="F56" i="6"/>
  <c r="K142" i="1"/>
  <c r="L183" i="1"/>
  <c r="L199" i="1" s="1"/>
  <c r="K70" i="5"/>
  <c r="L70" i="5" s="1"/>
  <c r="M70" i="5" s="1"/>
  <c r="S70" i="5" s="1"/>
  <c r="I142" i="1"/>
  <c r="J183" i="1"/>
  <c r="J199" i="1" s="1"/>
  <c r="K80" i="5"/>
  <c r="L80" i="5" s="1"/>
  <c r="M80" i="5" s="1"/>
  <c r="S80" i="5" s="1"/>
  <c r="L69" i="5"/>
  <c r="M69" i="5" s="1"/>
  <c r="K71" i="5"/>
  <c r="L71" i="5" s="1"/>
  <c r="M71" i="5" s="1"/>
  <c r="S71" i="5" s="1"/>
  <c r="K75" i="5"/>
  <c r="L75" i="5" s="1"/>
  <c r="M75" i="5" s="1"/>
  <c r="K77" i="5"/>
  <c r="L77" i="5" s="1"/>
  <c r="M77" i="5" s="1"/>
  <c r="S77" i="5" s="1"/>
  <c r="L26" i="5"/>
  <c r="M26" i="5" s="1"/>
  <c r="S26" i="5" s="1"/>
  <c r="K42" i="5"/>
  <c r="L42" i="5" s="1"/>
  <c r="M42" i="5" s="1"/>
  <c r="S42" i="5" s="1"/>
  <c r="P22" i="5"/>
  <c r="S19" i="5"/>
  <c r="M167" i="1"/>
  <c r="F86" i="5"/>
  <c r="E86" i="5" s="1"/>
  <c r="G61" i="5"/>
  <c r="P167" i="1"/>
  <c r="G56" i="6"/>
  <c r="M142" i="1"/>
  <c r="H167" i="1"/>
  <c r="L142" i="1"/>
  <c r="K56" i="6"/>
  <c r="J56" i="6"/>
  <c r="K167" i="1"/>
  <c r="L167" i="1"/>
  <c r="I56" i="6"/>
  <c r="J142" i="1"/>
  <c r="J143" i="1" s="1"/>
  <c r="Q140" i="1"/>
  <c r="G140" i="1"/>
  <c r="O142" i="1"/>
  <c r="P143" i="1" s="1"/>
  <c r="I167" i="1"/>
  <c r="N140" i="1"/>
  <c r="L56" i="6"/>
  <c r="I140" i="1"/>
  <c r="R140" i="1"/>
  <c r="G143" i="1"/>
  <c r="S140" i="1"/>
  <c r="Q142" i="1"/>
  <c r="Q143" i="1" s="1"/>
  <c r="P56" i="6"/>
  <c r="R142" i="1"/>
  <c r="Q56" i="6"/>
  <c r="R167" i="1"/>
  <c r="S142" i="1"/>
  <c r="T143" i="1" s="1"/>
  <c r="S167" i="1"/>
  <c r="N142" i="1"/>
  <c r="N167" i="1"/>
  <c r="M56" i="6"/>
  <c r="O167" i="1"/>
  <c r="I143" i="1" l="1"/>
  <c r="L143" i="1"/>
  <c r="H143" i="1"/>
  <c r="K76" i="5"/>
  <c r="L76" i="5" s="1"/>
  <c r="M76" i="5" s="1"/>
  <c r="S76" i="5" s="1"/>
  <c r="L72" i="5"/>
  <c r="F61" i="5"/>
  <c r="G65" i="5"/>
  <c r="E92" i="5"/>
  <c r="N143" i="1"/>
  <c r="R143" i="1"/>
  <c r="O143" i="1"/>
  <c r="K143" i="1"/>
  <c r="M143" i="1"/>
  <c r="S75" i="5"/>
  <c r="S69" i="5"/>
  <c r="S72" i="5" s="1"/>
  <c r="M72" i="5"/>
  <c r="S143" i="1"/>
  <c r="S78" i="5" l="1"/>
  <c r="S79" i="5" s="1"/>
  <c r="S81" i="5" s="1"/>
  <c r="M78" i="5"/>
  <c r="M79" i="5" s="1"/>
  <c r="M81" i="5" s="1"/>
  <c r="L78" i="5"/>
  <c r="L79" i="5" s="1"/>
  <c r="L81" i="5" s="1"/>
  <c r="L86" i="5" s="1"/>
  <c r="L61" i="5" s="1"/>
  <c r="I61" i="5"/>
  <c r="F65" i="5"/>
  <c r="E65" i="5" s="1"/>
  <c r="M61" i="5" l="1"/>
  <c r="S61" i="5" s="1"/>
  <c r="E88" i="5"/>
  <c r="E93" i="5"/>
  <c r="E94" i="5" s="1"/>
  <c r="M85" i="5"/>
  <c r="S85" i="5" s="1"/>
  <c r="S86" i="5" s="1"/>
  <c r="F35" i="7"/>
  <c r="E11" i="2" s="1"/>
  <c r="M14" i="5"/>
  <c r="P14" i="5" s="1"/>
  <c r="S14" i="5" s="1"/>
  <c r="M62" i="5"/>
  <c r="S62" i="5" s="1"/>
  <c r="M63" i="5"/>
  <c r="S63" i="5" s="1"/>
  <c r="M86" i="5" l="1"/>
  <c r="AE11" i="2"/>
  <c r="Y11" i="2"/>
  <c r="AH11" i="2"/>
  <c r="AD11" i="2"/>
  <c r="H12" i="5"/>
  <c r="AA11" i="2"/>
  <c r="AQ11" i="2"/>
  <c r="AG11" i="2"/>
  <c r="AP11" i="2"/>
  <c r="AR11" i="2"/>
  <c r="AF11" i="2"/>
  <c r="L11" i="2"/>
  <c r="AI11" i="2"/>
  <c r="AC11" i="2"/>
  <c r="T11" i="2"/>
  <c r="R11" i="2"/>
  <c r="N11" i="2"/>
  <c r="F37" i="7"/>
  <c r="F39" i="7" s="1"/>
  <c r="E95" i="5" s="1"/>
  <c r="U11" i="2"/>
  <c r="AL11" i="2"/>
  <c r="AJ11" i="2"/>
  <c r="AK11" i="2"/>
  <c r="AB11" i="2"/>
  <c r="Z11" i="2"/>
  <c r="K11" i="2"/>
  <c r="W11" i="2"/>
  <c r="AN11" i="2"/>
  <c r="V11" i="2"/>
  <c r="AO11" i="2"/>
  <c r="M11" i="2"/>
  <c r="X11" i="2"/>
  <c r="H11" i="2"/>
  <c r="P11" i="2"/>
  <c r="O11" i="2"/>
  <c r="AM11" i="2"/>
  <c r="J11" i="2"/>
  <c r="G11" i="2"/>
  <c r="Q11" i="2"/>
  <c r="S11" i="2"/>
  <c r="I11" i="2"/>
  <c r="S92" i="5"/>
  <c r="F236" i="11"/>
  <c r="F237" i="11" s="1"/>
  <c r="H237" i="11" s="1"/>
  <c r="H236" i="11"/>
  <c r="I236" i="11" s="1"/>
  <c r="E236" i="11"/>
  <c r="E239" i="11" s="1"/>
  <c r="E240" i="11" s="1"/>
  <c r="D186" i="11"/>
  <c r="D187" i="11" s="1"/>
  <c r="D180" i="11"/>
  <c r="D183" i="11" s="1"/>
  <c r="F266" i="11"/>
  <c r="G266" i="11" s="1"/>
  <c r="H266" i="11"/>
  <c r="I266" i="11" s="1"/>
  <c r="F267" i="11"/>
  <c r="G267" i="11" s="1"/>
  <c r="E267" i="11"/>
  <c r="E269" i="11"/>
  <c r="E270" i="11" s="1"/>
  <c r="S95" i="5" l="1"/>
  <c r="H25" i="9" s="1"/>
  <c r="G236" i="11"/>
  <c r="G269" i="11"/>
  <c r="G270" i="11" s="1"/>
  <c r="H239" i="11"/>
  <c r="I237" i="11"/>
  <c r="I239" i="11" s="1"/>
  <c r="I240" i="11" s="1"/>
  <c r="H267" i="11"/>
  <c r="G237" i="11"/>
  <c r="G239" i="11" s="1"/>
  <c r="G240" i="11" s="1"/>
  <c r="AQ32" i="2"/>
  <c r="AQ40" i="2"/>
  <c r="AQ44" i="2" s="1"/>
  <c r="AQ14" i="2"/>
  <c r="AQ35" i="2"/>
  <c r="AR40" i="2"/>
  <c r="AR44" i="2" s="1"/>
  <c r="AR35" i="2"/>
  <c r="AR32" i="2"/>
  <c r="AR14" i="2"/>
  <c r="AP40" i="2"/>
  <c r="AP44" i="2" s="1"/>
  <c r="AP14" i="2"/>
  <c r="AP35" i="2"/>
  <c r="AP32" i="2"/>
  <c r="E96"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H36" i="5"/>
  <c r="H33" i="5"/>
  <c r="O12" i="5"/>
  <c r="O15" i="5" s="1"/>
  <c r="I12" i="5"/>
  <c r="H41" i="5"/>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U40" i="2"/>
  <c r="U44" i="2" s="1"/>
  <c r="U32" i="2"/>
  <c r="U14" i="2"/>
  <c r="D190" i="11"/>
  <c r="L111" i="1" l="1"/>
  <c r="T112" i="1"/>
  <c r="M111" i="1"/>
  <c r="O33" i="5"/>
  <c r="O34" i="5" s="1"/>
  <c r="H34" i="5"/>
  <c r="P110" i="1"/>
  <c r="T110" i="1"/>
  <c r="H110" i="1"/>
  <c r="E186" i="11"/>
  <c r="E187" i="11" s="1"/>
  <c r="E179" i="11"/>
  <c r="E180" i="11" s="1"/>
  <c r="R112" i="1"/>
  <c r="N111" i="1"/>
  <c r="AP33" i="2"/>
  <c r="AP45" i="2" s="1"/>
  <c r="AP47" i="2" s="1"/>
  <c r="AP55" i="2" s="1"/>
  <c r="T134" i="1"/>
  <c r="AQ33" i="2"/>
  <c r="AQ45" i="2" s="1"/>
  <c r="AQ47" i="2" s="1"/>
  <c r="AQ55" i="2" s="1"/>
  <c r="T135" i="1"/>
  <c r="T111" i="1"/>
  <c r="O112" i="1"/>
  <c r="K110" i="1"/>
  <c r="N112" i="1"/>
  <c r="S111" i="1"/>
  <c r="T133" i="1"/>
  <c r="AR33" i="2"/>
  <c r="AR45" i="2" s="1"/>
  <c r="AR47" i="2" s="1"/>
  <c r="AR55" i="2" s="1"/>
  <c r="I267" i="11"/>
  <c r="I269" i="11" s="1"/>
  <c r="I270" i="11" s="1"/>
  <c r="F186" i="11" s="1"/>
  <c r="F187" i="11" s="1"/>
  <c r="F190" i="11" s="1"/>
  <c r="H269" i="11"/>
  <c r="Q112" i="1"/>
  <c r="O111" i="1"/>
  <c r="M112" i="1"/>
  <c r="G110" i="1"/>
  <c r="R111" i="1"/>
  <c r="S112" i="1"/>
  <c r="K111" i="1"/>
  <c r="S110" i="1"/>
  <c r="N133" i="1"/>
  <c r="Z33" i="2"/>
  <c r="Z45" i="2" s="1"/>
  <c r="Z47" i="2" s="1"/>
  <c r="Z55" i="2" s="1"/>
  <c r="W33" i="2"/>
  <c r="W45" i="2" s="1"/>
  <c r="W47" i="2" s="1"/>
  <c r="W55" i="2" s="1"/>
  <c r="M133" i="1"/>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S47" i="2" s="1"/>
  <c r="S55" i="2" s="1"/>
  <c r="AF33" i="2"/>
  <c r="AF45" i="2" s="1"/>
  <c r="AF47" i="2" s="1"/>
  <c r="AF55" i="2" s="1"/>
  <c r="P133" i="1"/>
  <c r="S135" i="1"/>
  <c r="AN33" i="2"/>
  <c r="AN45" i="2" s="1"/>
  <c r="AN47" i="2" s="1"/>
  <c r="AN55" i="2" s="1"/>
  <c r="J133" i="1"/>
  <c r="P33" i="2"/>
  <c r="P45" i="2" s="1"/>
  <c r="P47" i="2" s="1"/>
  <c r="P55" i="2" s="1"/>
  <c r="K134" i="1"/>
  <c r="Q33" i="2"/>
  <c r="Q45" i="2" s="1"/>
  <c r="Q47" i="2" s="1"/>
  <c r="Q55" i="2" s="1"/>
  <c r="O41" i="5"/>
  <c r="O45" i="5" s="1"/>
  <c r="H45" i="5"/>
  <c r="I41" i="5"/>
  <c r="O36" i="5"/>
  <c r="I36" i="5"/>
  <c r="AO33" i="2"/>
  <c r="AO45" i="2" s="1"/>
  <c r="AO47" i="2" s="1"/>
  <c r="AO55" i="2" s="1"/>
  <c r="S133" i="1"/>
  <c r="S136" i="1" s="1"/>
  <c r="F34" i="13" s="1"/>
  <c r="AD33" i="2"/>
  <c r="AD45" i="2" s="1"/>
  <c r="AD47" i="2" s="1"/>
  <c r="AD55" i="2" s="1"/>
  <c r="P134" i="1"/>
  <c r="P112" i="1"/>
  <c r="Q110" i="1"/>
  <c r="Q111" i="1"/>
  <c r="N110" i="1"/>
  <c r="F111" i="1"/>
  <c r="O110" i="1"/>
  <c r="I111" i="1"/>
  <c r="J111" i="1"/>
  <c r="L110" i="1"/>
  <c r="L113" i="1" s="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M12" i="5"/>
  <c r="H29" i="9" s="1"/>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D192" i="11"/>
  <c r="K113" i="1" l="1"/>
  <c r="N113" i="1"/>
  <c r="S113" i="1"/>
  <c r="F5" i="15" s="1"/>
  <c r="F7" i="15" s="1"/>
  <c r="T113" i="1"/>
  <c r="G5" i="15" s="1"/>
  <c r="G7" i="15" s="1"/>
  <c r="H113" i="1"/>
  <c r="J136" i="1"/>
  <c r="G136" i="1"/>
  <c r="M113" i="1"/>
  <c r="T136" i="1"/>
  <c r="F36" i="13"/>
  <c r="R113" i="1"/>
  <c r="E6" i="15" s="1"/>
  <c r="H136" i="1"/>
  <c r="E183" i="11"/>
  <c r="E190" i="11" s="1"/>
  <c r="C180" i="11"/>
  <c r="C183" i="11" s="1"/>
  <c r="C187" i="11"/>
  <c r="O113" i="1"/>
  <c r="B5" i="15" s="1"/>
  <c r="G113" i="1"/>
  <c r="P113" i="1"/>
  <c r="C5" i="15" s="1"/>
  <c r="K136" i="1"/>
  <c r="L136" i="1"/>
  <c r="I34" i="5"/>
  <c r="M15" i="5"/>
  <c r="F113" i="1"/>
  <c r="J113" i="1"/>
  <c r="Q136" i="1"/>
  <c r="D34" i="13" s="1"/>
  <c r="I136" i="1"/>
  <c r="Q113" i="1"/>
  <c r="D5" i="15" s="1"/>
  <c r="R136" i="1"/>
  <c r="O46" i="5"/>
  <c r="O48" i="5" s="1"/>
  <c r="N136" i="1"/>
  <c r="L159" i="1"/>
  <c r="L114" i="1"/>
  <c r="I45" i="5"/>
  <c r="P136" i="1"/>
  <c r="C34" i="13" s="1"/>
  <c r="F136" i="1"/>
  <c r="H46" i="5"/>
  <c r="H48" i="5" s="1"/>
  <c r="O136" i="1"/>
  <c r="M136" i="1"/>
  <c r="T159" i="1" l="1"/>
  <c r="O173" i="1"/>
  <c r="O189" i="1" s="1"/>
  <c r="L173" i="1"/>
  <c r="L189" i="1" s="1"/>
  <c r="T173" i="1"/>
  <c r="T189" i="1" s="1"/>
  <c r="T114" i="1"/>
  <c r="B11" i="15"/>
  <c r="I173" i="1"/>
  <c r="I189" i="1" s="1"/>
  <c r="I114" i="1"/>
  <c r="I159" i="1"/>
  <c r="M173" i="1"/>
  <c r="M189" i="1" s="1"/>
  <c r="C10" i="15"/>
  <c r="H114" i="1"/>
  <c r="J173" i="1"/>
  <c r="J189" i="1" s="1"/>
  <c r="E36" i="13"/>
  <c r="E34" i="13"/>
  <c r="B36" i="13"/>
  <c r="B34" i="13"/>
  <c r="G36" i="13"/>
  <c r="G34" i="13"/>
  <c r="M114" i="1"/>
  <c r="S137" i="1"/>
  <c r="S159" i="1"/>
  <c r="T179" i="1"/>
  <c r="T195" i="1" s="1"/>
  <c r="H163" i="1"/>
  <c r="H179" i="1"/>
  <c r="H195" i="1" s="1"/>
  <c r="N114" i="1"/>
  <c r="O159" i="1"/>
  <c r="M159" i="1"/>
  <c r="T163" i="1"/>
  <c r="I179" i="1"/>
  <c r="I195" i="1" s="1"/>
  <c r="M179" i="1"/>
  <c r="M195" i="1" s="1"/>
  <c r="N173" i="1"/>
  <c r="N189" i="1" s="1"/>
  <c r="K179" i="1"/>
  <c r="K195" i="1" s="1"/>
  <c r="G137" i="1"/>
  <c r="N159" i="1"/>
  <c r="T137" i="1"/>
  <c r="Q173" i="1"/>
  <c r="Q189" i="1" s="1"/>
  <c r="S173" i="1"/>
  <c r="S189" i="1" s="1"/>
  <c r="N179" i="1"/>
  <c r="N195" i="1" s="1"/>
  <c r="Q179" i="1"/>
  <c r="Q195" i="1" s="1"/>
  <c r="C36" i="13"/>
  <c r="L137" i="1"/>
  <c r="S114" i="1"/>
  <c r="R179" i="1"/>
  <c r="R195" i="1" s="1"/>
  <c r="D36" i="13"/>
  <c r="P179" i="1"/>
  <c r="P195" i="1" s="1"/>
  <c r="H137" i="1"/>
  <c r="O179" i="1"/>
  <c r="O195" i="1" s="1"/>
  <c r="P173" i="1"/>
  <c r="P189" i="1" s="1"/>
  <c r="C190" i="11"/>
  <c r="S163" i="1"/>
  <c r="S179" i="1"/>
  <c r="S195" i="1" s="1"/>
  <c r="K114" i="1"/>
  <c r="K173" i="1"/>
  <c r="K189" i="1" s="1"/>
  <c r="K159" i="1"/>
  <c r="R114" i="1"/>
  <c r="R173" i="1"/>
  <c r="R189" i="1" s="1"/>
  <c r="K163" i="1"/>
  <c r="L179" i="1"/>
  <c r="L195" i="1" s="1"/>
  <c r="J163" i="1"/>
  <c r="J179" i="1"/>
  <c r="J195" i="1" s="1"/>
  <c r="L163" i="1"/>
  <c r="K137" i="1"/>
  <c r="G114" i="1"/>
  <c r="H173" i="1"/>
  <c r="H189" i="1" s="1"/>
  <c r="O114" i="1"/>
  <c r="P159" i="1"/>
  <c r="J137" i="1"/>
  <c r="H159" i="1"/>
  <c r="I46" i="5"/>
  <c r="I48" i="5" s="1"/>
  <c r="P114" i="1"/>
  <c r="O60" i="5"/>
  <c r="O65" i="5" s="1"/>
  <c r="Q137" i="1"/>
  <c r="Q163" i="1"/>
  <c r="N163" i="1"/>
  <c r="N137" i="1"/>
  <c r="Q114" i="1"/>
  <c r="Q159" i="1"/>
  <c r="O163" i="1"/>
  <c r="O137" i="1"/>
  <c r="R163" i="1"/>
  <c r="R137" i="1"/>
  <c r="J114" i="1"/>
  <c r="J159" i="1"/>
  <c r="R159" i="1"/>
  <c r="M163" i="1"/>
  <c r="M137" i="1"/>
  <c r="P137" i="1"/>
  <c r="P163" i="1"/>
  <c r="I137" i="1"/>
  <c r="I163" i="1"/>
  <c r="H60" i="5"/>
  <c r="I60" i="5" s="1"/>
  <c r="D10" i="15" l="1"/>
  <c r="K20" i="5" s="1"/>
  <c r="M39" i="13"/>
  <c r="N40" i="13"/>
  <c r="C43" i="13"/>
  <c r="C44" i="13" s="1"/>
  <c r="K44" i="5"/>
  <c r="L44" i="5" s="1"/>
  <c r="I65" i="5"/>
  <c r="H65" i="5"/>
  <c r="M44" i="13" l="1"/>
  <c r="N39" i="13"/>
  <c r="N44" i="13" s="1"/>
  <c r="M41" i="13"/>
  <c r="M42" i="13" s="1"/>
  <c r="K33" i="5"/>
  <c r="L33" i="5" s="1"/>
  <c r="M33" i="5" s="1"/>
  <c r="L27" i="5"/>
  <c r="M44" i="5"/>
  <c r="N41" i="13" l="1"/>
  <c r="N42" i="13" s="1"/>
  <c r="K41" i="5"/>
  <c r="L41" i="5" s="1"/>
  <c r="K25" i="5"/>
  <c r="L25" i="5" s="1"/>
  <c r="M25" i="5" s="1"/>
  <c r="S25" i="5" s="1"/>
  <c r="K31" i="5"/>
  <c r="L31" i="5" s="1"/>
  <c r="K37" i="5"/>
  <c r="L37" i="5" s="1"/>
  <c r="M37" i="5" s="1"/>
  <c r="S37" i="5" s="1"/>
  <c r="K38" i="5"/>
  <c r="L38" i="5" s="1"/>
  <c r="M38" i="5" s="1"/>
  <c r="S38" i="5" s="1"/>
  <c r="L20" i="5"/>
  <c r="K36" i="5"/>
  <c r="L36" i="5" s="1"/>
  <c r="M36" i="5" s="1"/>
  <c r="M27" i="5"/>
  <c r="S27" i="5" s="1"/>
  <c r="S44" i="5"/>
  <c r="S28" i="5" l="1"/>
  <c r="M31" i="5"/>
  <c r="S31" i="5" s="1"/>
  <c r="L34" i="5"/>
  <c r="M20" i="5"/>
  <c r="L22" i="5"/>
  <c r="M41" i="5"/>
  <c r="M45" i="5" s="1"/>
  <c r="L45" i="5"/>
  <c r="L28" i="5"/>
  <c r="M28" i="5"/>
  <c r="L46" i="5" l="1"/>
  <c r="L48" i="5" s="1"/>
  <c r="L60" i="5" s="1"/>
  <c r="M60" i="5" s="1"/>
  <c r="M22" i="5"/>
  <c r="S20" i="5"/>
  <c r="S22" i="5" s="1"/>
  <c r="M34" i="5"/>
  <c r="M46" i="5" l="1"/>
  <c r="M48" i="5" s="1"/>
  <c r="M65" i="5" s="1"/>
  <c r="L65" i="5"/>
  <c r="D139" i="11"/>
  <c r="D142" i="11" s="1"/>
  <c r="D145" i="11" s="1"/>
  <c r="D143" i="11"/>
  <c r="E139" i="11"/>
  <c r="E142" i="11"/>
  <c r="E143" i="11"/>
  <c r="C143" i="11" s="1"/>
  <c r="E145" i="11"/>
  <c r="H28" i="4" s="1"/>
  <c r="F252" i="11"/>
  <c r="F253" i="11" s="1"/>
  <c r="H252" i="11"/>
  <c r="I252" i="11"/>
  <c r="F143" i="11"/>
  <c r="G143" i="11"/>
  <c r="G145" i="11"/>
  <c r="H30" i="4" s="1"/>
  <c r="H18" i="4" s="1"/>
  <c r="H143" i="11"/>
  <c r="H145" i="11"/>
  <c r="H31" i="4" s="1"/>
  <c r="H23" i="4" s="1"/>
  <c r="I143" i="11"/>
  <c r="I145" i="11"/>
  <c r="I193" i="11" s="1"/>
  <c r="J143" i="11"/>
  <c r="J145" i="11"/>
  <c r="E167" i="11"/>
  <c r="E170" i="11" s="1"/>
  <c r="E191" i="11" s="1"/>
  <c r="E193" i="11"/>
  <c r="F167" i="11"/>
  <c r="F170" i="11"/>
  <c r="F191" i="11"/>
  <c r="F192" i="11" s="1"/>
  <c r="G167" i="11"/>
  <c r="G170" i="11" s="1"/>
  <c r="G191" i="11" s="1"/>
  <c r="G192" i="11" s="1"/>
  <c r="G195" i="11" s="1"/>
  <c r="G193" i="11"/>
  <c r="H167" i="11"/>
  <c r="H168" i="11"/>
  <c r="C168" i="11" s="1"/>
  <c r="H170" i="11"/>
  <c r="H191" i="11" s="1"/>
  <c r="H192" i="11" s="1"/>
  <c r="I167" i="11"/>
  <c r="I168" i="11"/>
  <c r="I170" i="11"/>
  <c r="I191" i="11"/>
  <c r="I192" i="11" s="1"/>
  <c r="I195" i="11" s="1"/>
  <c r="I196" i="11" s="1"/>
  <c r="J164" i="11"/>
  <c r="J167" i="11" s="1"/>
  <c r="J170" i="11" s="1"/>
  <c r="J191" i="11" s="1"/>
  <c r="J192" i="11" s="1"/>
  <c r="J195" i="11" s="1"/>
  <c r="J196" i="11" s="1"/>
  <c r="J168" i="11"/>
  <c r="J193" i="11"/>
  <c r="C164" i="11"/>
  <c r="E252" i="11"/>
  <c r="E253" i="11"/>
  <c r="E255" i="11"/>
  <c r="E257" i="11"/>
  <c r="E258" i="11" s="1"/>
  <c r="D257" i="11"/>
  <c r="G252" i="11"/>
  <c r="D193" i="11" l="1"/>
  <c r="H27" i="4"/>
  <c r="H15" i="4" s="1"/>
  <c r="G196" i="11"/>
  <c r="G276" i="11"/>
  <c r="C191" i="11"/>
  <c r="E192" i="11"/>
  <c r="G253" i="11"/>
  <c r="G257" i="11" s="1"/>
  <c r="G258" i="11" s="1"/>
  <c r="H253" i="11"/>
  <c r="F254" i="11"/>
  <c r="H193" i="11"/>
  <c r="H195" i="11" s="1"/>
  <c r="H32" i="4"/>
  <c r="H24" i="4" s="1"/>
  <c r="H25" i="4" s="1"/>
  <c r="C167" i="11"/>
  <c r="C170" i="11" s="1"/>
  <c r="H16" i="4"/>
  <c r="I23" i="4" l="1"/>
  <c r="J23" i="4" s="1"/>
  <c r="L23" i="4"/>
  <c r="M23" i="4" s="1"/>
  <c r="I21" i="4"/>
  <c r="I25" i="4" s="1"/>
  <c r="I24" i="4"/>
  <c r="J24" i="4" s="1"/>
  <c r="L24" i="4" s="1"/>
  <c r="M24" i="4" s="1"/>
  <c r="I22" i="4"/>
  <c r="J22" i="4" s="1"/>
  <c r="L22" i="4" s="1"/>
  <c r="M22" i="4" s="1"/>
  <c r="H276" i="11"/>
  <c r="H196" i="11"/>
  <c r="H254" i="11"/>
  <c r="I254" i="11" s="1"/>
  <c r="G254" i="11"/>
  <c r="E195" i="11"/>
  <c r="C192" i="11"/>
  <c r="D195" i="11"/>
  <c r="F255" i="11"/>
  <c r="I253" i="11"/>
  <c r="J21" i="4"/>
  <c r="G255" i="11" l="1"/>
  <c r="H255" i="11"/>
  <c r="E276" i="11"/>
  <c r="E196" i="11"/>
  <c r="D196" i="11"/>
  <c r="D276" i="11"/>
  <c r="J25" i="4"/>
  <c r="K13" i="5" s="1"/>
  <c r="P13" i="5" s="1"/>
  <c r="S13" i="5" s="1"/>
  <c r="L21" i="4"/>
  <c r="I255" i="11" l="1"/>
  <c r="I257" i="11" s="1"/>
  <c r="H257" i="11"/>
  <c r="M21" i="4"/>
  <c r="M25" i="4" s="1"/>
  <c r="L25" i="4"/>
  <c r="I258" i="11" l="1"/>
  <c r="F138" i="11" s="1"/>
  <c r="F139" i="11" s="1"/>
  <c r="F142" i="11" l="1"/>
  <c r="F145" i="11" s="1"/>
  <c r="C139" i="11"/>
  <c r="C142" i="11" s="1"/>
  <c r="C145" i="11" s="1"/>
  <c r="H29" i="4" l="1"/>
  <c r="F193" i="11"/>
  <c r="F195" i="11" l="1"/>
  <c r="C193" i="11"/>
  <c r="H17" i="4"/>
  <c r="H33" i="4"/>
  <c r="H19" i="4" l="1"/>
  <c r="F276" i="11"/>
  <c r="F196" i="11"/>
  <c r="C195" i="11"/>
  <c r="C196" i="11" s="1"/>
  <c r="I18" i="4" l="1"/>
  <c r="J18" i="4" s="1"/>
  <c r="I13" i="4"/>
  <c r="J13" i="4" s="1"/>
  <c r="L13" i="4" s="1"/>
  <c r="M13" i="4" s="1"/>
  <c r="I15" i="4"/>
  <c r="J15" i="4" s="1"/>
  <c r="L15" i="4" s="1"/>
  <c r="M15" i="4" s="1"/>
  <c r="I12" i="4"/>
  <c r="J12" i="4" s="1"/>
  <c r="L12" i="4" s="1"/>
  <c r="M12" i="4" s="1"/>
  <c r="L18" i="4"/>
  <c r="M18" i="4" s="1"/>
  <c r="I14" i="4"/>
  <c r="J14" i="4" s="1"/>
  <c r="L14" i="4" s="1"/>
  <c r="M14" i="4" s="1"/>
  <c r="I11" i="4"/>
  <c r="L16" i="4"/>
  <c r="M16" i="4" s="1"/>
  <c r="L17" i="4"/>
  <c r="M17" i="4" s="1"/>
  <c r="I16" i="4"/>
  <c r="J16" i="4" s="1"/>
  <c r="I17" i="4"/>
  <c r="J17" i="4" s="1"/>
  <c r="J11" i="4" l="1"/>
  <c r="I19" i="4"/>
  <c r="J19" i="4" l="1"/>
  <c r="K12" i="5" s="1"/>
  <c r="P12" i="5" s="1"/>
  <c r="L11" i="4"/>
  <c r="M11" i="4" l="1"/>
  <c r="M19" i="4" s="1"/>
  <c r="L19" i="4"/>
  <c r="P15" i="5"/>
  <c r="S12" i="5"/>
  <c r="P33" i="5"/>
  <c r="P41" i="5"/>
  <c r="P36" i="5"/>
  <c r="S36" i="5" s="1"/>
  <c r="S97" i="5" l="1"/>
  <c r="G13" i="9" s="1"/>
  <c r="S15" i="5"/>
  <c r="P45" i="5"/>
  <c r="S41" i="5"/>
  <c r="S45" i="5" s="1"/>
  <c r="S33" i="5"/>
  <c r="S34" i="5" s="1"/>
  <c r="P34" i="5"/>
  <c r="S46" i="5" l="1"/>
  <c r="S48" i="5" s="1"/>
  <c r="P46" i="5"/>
  <c r="P48" i="5" s="1"/>
  <c r="H13" i="9"/>
  <c r="H17" i="9" s="1"/>
  <c r="G19" i="9"/>
  <c r="P60" i="5" l="1"/>
  <c r="S60" i="5" s="1"/>
  <c r="P65" i="5"/>
  <c r="H19" i="9" l="1"/>
  <c r="S65" i="5"/>
  <c r="S93" i="5" s="1"/>
  <c r="S94" i="5" s="1"/>
  <c r="S96" i="5" s="1"/>
  <c r="S98" i="5" s="1"/>
  <c r="H21" i="9" l="1"/>
  <c r="H23" i="9"/>
  <c r="H27" i="9" s="1"/>
  <c r="H33" i="9" l="1"/>
  <c r="H31" i="9"/>
  <c r="H39" i="9" s="1"/>
  <c r="H41" i="9" s="1"/>
  <c r="H45" i="9" s="1"/>
  <c r="H47" i="9" l="1"/>
  <c r="H49" i="9"/>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49"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shapeId="0">
      <text>
        <r>
          <rPr>
            <sz val="9"/>
            <color indexed="81"/>
            <rFont val="Tahoma"/>
            <family val="2"/>
          </rPr>
          <t>WSU, 8 million annual minimum</t>
        </r>
      </text>
    </comment>
    <comment ref="J56" authorId="0" shapeId="0">
      <text>
        <r>
          <rPr>
            <sz val="9"/>
            <color indexed="81"/>
            <rFont val="Tahoma"/>
            <family val="2"/>
          </rPr>
          <t>WSU
Fixed Charge - $200/mo.
Capital Charge - $26,132/mo.
Total - $26,332/mo.
Collected over 20 yrs; effective 8/1/2003</t>
        </r>
      </text>
    </comment>
    <comment ref="J59" authorId="1" shapeId="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<sst xmlns="http://schemas.openxmlformats.org/spreadsheetml/2006/main" count="1335" uniqueCount="594">
  <si>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</si>
  <si>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</si>
  <si>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</si>
  <si>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</si>
  <si>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</si>
  <si>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</si>
  <si>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</si>
  <si>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</si>
  <si>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</si>
  <si>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</si>
  <si>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</si>
  <si>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</si>
  <si>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</si>
  <si>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</si>
  <si>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</si>
  <si>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</si>
  <si>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</si>
  <si>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</si>
  <si>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</si>
  <si>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</si>
  <si>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</si>
  <si>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</si>
  <si>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</si>
  <si>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</si>
  <si>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</si>
  <si>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</si>
  <si>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</si>
  <si>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</si>
  <si>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</si>
  <si>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</si>
  <si>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</si>
  <si>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</si>
  <si>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</si>
  <si>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</si>
  <si>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</si>
  <si>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</si>
  <si>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</si>
  <si>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</si>
  <si>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</si>
  <si>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</si>
  <si>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</si>
  <si>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</si>
  <si>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</si>
  <si>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</si>
  <si>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</si>
  <si>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</si>
  <si>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</si>
  <si>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</si>
  <si>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</si>
  <si>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</si>
  <si>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</si>
  <si>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</si>
  <si>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</si>
  <si>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</si>
  <si>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</si>
  <si>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</si>
  <si>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</si>
  <si>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</si>
  <si>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</si>
  <si>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</si>
  <si>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</si>
  <si>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</si>
  <si>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</si>
  <si>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</si>
  <si>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</si>
  <si>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</si>
  <si>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</si>
  <si>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</si>
  <si>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</si>
  <si>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</si>
  <si>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</si>
  <si>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</si>
  <si>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</si>
  <si>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</si>
  <si>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</si>
  <si>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</si>
  <si>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</si>
  <si>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</si>
  <si>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</si>
  <si>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</si>
  <si>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</si>
  <si>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</si>
  <si>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</si>
  <si>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</si>
  <si>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</si>
  <si>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</si>
  <si>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</si>
  <si>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</si>
  <si>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</si>
  <si>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</si>
  <si>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</si>
  <si>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</si>
  <si>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</si>
  <si>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</si>
  <si>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</si>
  <si>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</si>
  <si>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</si>
  <si>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</si>
  <si>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</si>
  <si>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</si>
  <si>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</si>
  <si>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</si>
  <si>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</si>
  <si>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</si>
  <si>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</si>
  <si>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</si>
  <si>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</si>
  <si>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</si>
  <si>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</si>
  <si>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</si>
  <si>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</si>
  <si>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</si>
  <si>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</si>
  <si>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</si>
  <si>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</si>
  <si>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</si>
  <si>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</si>
  <si>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</si>
  <si>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</si>
  <si>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Increase</t>
  </si>
  <si>
    <t>(Decrease)</t>
  </si>
  <si>
    <t>Gas Costs</t>
  </si>
  <si>
    <t>Per Therm</t>
  </si>
  <si>
    <t>Change in Purchased Gas Cost</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</si>
  <si>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</si>
  <si>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</si>
  <si>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</si>
  <si>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</si>
  <si>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</si>
  <si>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</si>
  <si>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</si>
  <si>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</si>
  <si>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</si>
  <si>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</si>
  <si>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</si>
  <si>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</si>
  <si>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</si>
  <si>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</si>
  <si>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</si>
  <si>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</si>
  <si>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</si>
  <si>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</si>
  <si>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</si>
  <si>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</si>
  <si>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</si>
  <si>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</si>
  <si>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</si>
  <si>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</si>
  <si>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</si>
  <si>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</si>
  <si>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</si>
  <si>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</si>
  <si>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</si>
  <si>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</si>
  <si>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</si>
  <si>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</si>
  <si>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</si>
  <si>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</si>
  <si>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</si>
  <si>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</si>
  <si>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</si>
  <si>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</si>
  <si>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</si>
  <si>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</si>
  <si>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</si>
  <si>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</si>
  <si>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</si>
  <si>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Transp</t>
  </si>
  <si>
    <t>Spec Cont Trans</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</si>
  <si>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</si>
  <si>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</si>
  <si>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</si>
  <si>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</si>
  <si>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</si>
  <si>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</si>
  <si>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</si>
  <si>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</si>
  <si>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</si>
  <si>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</si>
  <si>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</si>
  <si>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</si>
  <si>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</si>
  <si>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</si>
  <si>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</si>
  <si>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</si>
  <si>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</si>
  <si>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</si>
  <si>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</si>
  <si>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</si>
  <si>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</si>
  <si>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</si>
  <si>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</si>
  <si>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Load</t>
  </si>
  <si>
    <t>Total by Rate Sched:</t>
  </si>
  <si>
    <t>Total by State:</t>
  </si>
  <si>
    <t>avg Customers</t>
  </si>
  <si>
    <t>bills</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</si>
  <si>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</si>
  <si>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</si>
  <si>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</si>
  <si>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</si>
  <si>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</si>
  <si>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</si>
  <si>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</si>
  <si>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</si>
  <si>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</si>
  <si>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</si>
  <si>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</si>
  <si>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</si>
  <si>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</si>
  <si>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</si>
  <si>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</si>
  <si>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</si>
  <si>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</si>
  <si>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</si>
  <si>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</si>
  <si>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</si>
  <si>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Proposed Cap Structure</t>
  </si>
  <si>
    <t xml:space="preserve">  Federal Income Tax @ 35%</t>
  </si>
  <si>
    <t>Washington -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</si>
  <si>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</si>
  <si>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</si>
  <si>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</si>
  <si>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</si>
  <si>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</si>
  <si>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</si>
  <si>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</si>
  <si>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</si>
  <si>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</si>
  <si>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</si>
  <si>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</si>
  <si>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</si>
  <si>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</si>
  <si>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</si>
  <si>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</si>
  <si>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</si>
  <si>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</si>
  <si>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Attrition</t>
  </si>
  <si>
    <t xml:space="preserve">Revenue </t>
  </si>
  <si>
    <t>Balances</t>
  </si>
  <si>
    <t>Growth Factor</t>
  </si>
  <si>
    <t>Natural Gas Data for Escalators</t>
  </si>
  <si>
    <t>Natural Gas Growth  Rate Analysis and Escalation Factor Calculation</t>
  </si>
  <si>
    <t>7A</t>
  </si>
  <si>
    <t>14A</t>
  </si>
  <si>
    <t>Other Cost &amp; Revenue Adjustments</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</si>
  <si>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</si>
  <si>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</si>
  <si>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</si>
  <si>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</si>
  <si>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</si>
  <si>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</si>
  <si>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</si>
  <si>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</si>
  <si>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</si>
  <si>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</si>
  <si>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</si>
  <si>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</si>
  <si>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</si>
  <si>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</si>
  <si>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</si>
  <si>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</si>
  <si>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</si>
  <si>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</si>
  <si>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</si>
  <si>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</si>
  <si>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</si>
  <si>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</si>
  <si>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</si>
  <si>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</si>
  <si>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</si>
  <si>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</si>
  <si>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</si>
  <si>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</si>
  <si>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</si>
  <si>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</si>
  <si>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</si>
  <si>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</si>
  <si>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</si>
  <si>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</si>
  <si>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</si>
  <si>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</si>
  <si>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</si>
  <si>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</si>
  <si>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</si>
  <si>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</si>
  <si>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</si>
  <si>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</si>
  <si>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</si>
  <si>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</si>
  <si>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</si>
  <si>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</si>
  <si>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</si>
  <si>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Exclude Normalized Gas Costs and Revenue</t>
  </si>
  <si>
    <t>(plus) Revenue Growth</t>
  </si>
  <si>
    <t>Not used due to deminimus values that resulted in extraordinary variablility</t>
  </si>
  <si>
    <t>TRANSPORT</t>
  </si>
  <si>
    <t>SCH 148 - WSU/</t>
  </si>
  <si>
    <t>WORK PAPER</t>
  </si>
  <si>
    <t xml:space="preserve"> </t>
  </si>
  <si>
    <t>GEN SERVICE</t>
  </si>
  <si>
    <t>LRG GEN SVC</t>
  </si>
  <si>
    <t>EX LRG GEN SVC</t>
  </si>
  <si>
    <t>INTERRUPTIBLE</t>
  </si>
  <si>
    <t>BF GOODRICH</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</si>
  <si>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</si>
  <si>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</si>
  <si>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</si>
  <si>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</si>
  <si>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</si>
  <si>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</si>
  <si>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</si>
  <si>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</si>
  <si>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</si>
  <si>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</si>
  <si>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</si>
  <si>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</si>
  <si>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</si>
  <si>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</si>
  <si>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</si>
  <si>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</si>
  <si>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</si>
  <si>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</si>
  <si>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</si>
  <si>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</si>
  <si>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</si>
  <si>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</si>
  <si>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</si>
  <si>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</si>
  <si>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</si>
  <si>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</si>
  <si>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</si>
  <si>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</si>
  <si>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</si>
  <si>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</si>
  <si>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</si>
  <si>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</si>
  <si>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</si>
  <si>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</si>
  <si>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</si>
  <si>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</si>
  <si>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</si>
  <si>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</si>
  <si>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</si>
  <si>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</si>
  <si>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</si>
  <si>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</si>
  <si>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</si>
  <si>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</si>
  <si>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</si>
  <si>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</si>
  <si>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</si>
  <si>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</si>
  <si>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</si>
  <si>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</si>
  <si>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</si>
  <si>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</si>
  <si>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</si>
  <si>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</si>
  <si>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</si>
  <si>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</si>
  <si>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</si>
  <si>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</si>
  <si>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</si>
  <si>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</si>
  <si>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</si>
  <si>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</si>
  <si>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</si>
  <si>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</si>
  <si>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</si>
  <si>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</si>
  <si>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</si>
  <si>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</si>
  <si>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</si>
  <si>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</si>
  <si>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</si>
  <si>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</si>
  <si>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</si>
  <si>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</si>
  <si>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</si>
  <si>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</si>
  <si>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</si>
  <si>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</si>
  <si>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</si>
  <si>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</si>
  <si>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</si>
  <si>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</si>
  <si>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</si>
  <si>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</si>
  <si>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</si>
  <si>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</si>
  <si>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</si>
  <si>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</si>
  <si>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Actual Cost of Capital</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</si>
  <si>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</si>
  <si>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</si>
  <si>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</si>
  <si>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</si>
  <si>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</si>
  <si>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</si>
  <si>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</si>
  <si>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</si>
  <si>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</si>
  <si>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</si>
  <si>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</si>
  <si>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</si>
  <si>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</si>
  <si>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</si>
  <si>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</si>
  <si>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</si>
  <si>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</si>
  <si>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</si>
  <si>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</si>
  <si>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</si>
  <si>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</si>
  <si>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</si>
  <si>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</si>
  <si>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</si>
  <si>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</si>
  <si>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</si>
  <si>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</si>
  <si>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</si>
  <si>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t>09.2014 TO 2016 WEIGHTED REVENUE GROWTH</t>
  </si>
  <si>
    <t>Sept 2014</t>
  </si>
  <si>
    <t>GSFM v3 05 11 02 Nov Mid Month (Pricing 11-14-2014).xlsm</t>
  </si>
  <si>
    <t>CC219</t>
  </si>
  <si>
    <t>CC220</t>
  </si>
  <si>
    <t>CC221</t>
  </si>
  <si>
    <t>CC222</t>
  </si>
  <si>
    <t>CC223</t>
  </si>
  <si>
    <t>CC224</t>
  </si>
  <si>
    <t>CC225</t>
  </si>
  <si>
    <t>CC226</t>
  </si>
  <si>
    <t>CC227</t>
  </si>
  <si>
    <t>CC228</t>
  </si>
  <si>
    <t>CC229</t>
  </si>
  <si>
    <t>CC230</t>
  </si>
  <si>
    <t>CC231</t>
  </si>
  <si>
    <t>CC232</t>
  </si>
  <si>
    <t>CC233</t>
  </si>
  <si>
    <t>CC234</t>
  </si>
  <si>
    <t>CC235</t>
  </si>
  <si>
    <t>CC236</t>
  </si>
  <si>
    <t>CC237</t>
  </si>
  <si>
    <t>CC240</t>
  </si>
  <si>
    <t>CC241</t>
  </si>
  <si>
    <t>CC242</t>
  </si>
  <si>
    <t>CC244</t>
  </si>
  <si>
    <t>Net of Gas Costs</t>
  </si>
  <si>
    <t>CC66</t>
  </si>
  <si>
    <t>CC67</t>
  </si>
  <si>
    <t>CC68</t>
  </si>
  <si>
    <t>CC69</t>
  </si>
  <si>
    <t>CC70</t>
  </si>
  <si>
    <t>CC71</t>
  </si>
  <si>
    <t>CC72</t>
  </si>
  <si>
    <t>CC73</t>
  </si>
  <si>
    <t>CC74</t>
  </si>
  <si>
    <t>CC75</t>
  </si>
  <si>
    <t>CC76</t>
  </si>
  <si>
    <t>CC77</t>
  </si>
  <si>
    <t>CC78</t>
  </si>
  <si>
    <t>CC79</t>
  </si>
  <si>
    <t>CC80</t>
  </si>
  <si>
    <t>CC81</t>
  </si>
  <si>
    <t>CC82</t>
  </si>
  <si>
    <t>CC83</t>
  </si>
  <si>
    <t>CC84</t>
  </si>
  <si>
    <t>CC87</t>
  </si>
  <si>
    <t>CC88</t>
  </si>
  <si>
    <t>CC89</t>
  </si>
  <si>
    <t>CC91</t>
  </si>
  <si>
    <r>
      <t xml:space="preserve">Escalation Amount      </t>
    </r>
    <r>
      <rPr>
        <sz val="8"/>
        <color theme="1"/>
        <rFont val="Times New Roman"/>
        <family val="1"/>
      </rPr>
      <t>[E] *[F]=[G]</t>
    </r>
  </si>
  <si>
    <r>
      <t xml:space="preserve">Trended 2016 Non-Energy Cost </t>
    </r>
    <r>
      <rPr>
        <sz val="8"/>
        <color theme="1"/>
        <rFont val="Times New Roman"/>
        <family val="1"/>
      </rPr>
      <t>[E]+[G]=[H]</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</si>
  <si>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</si>
  <si>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</si>
  <si>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</si>
  <si>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</si>
  <si>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</si>
  <si>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</si>
  <si>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(plus) 12.2014 Pro-Formed Gas Cost/Revenue</t>
  </si>
  <si>
    <t>Twelve Months Ended December 31, 2014</t>
  </si>
  <si>
    <t xml:space="preserve">       2014  **     </t>
  </si>
  <si>
    <t>TWELVE MONTHS ENDED DECEMBER 31, 2000 - 2014</t>
  </si>
  <si>
    <t>2012-2014</t>
  </si>
  <si>
    <t>2013-2014</t>
  </si>
  <si>
    <t>2001-2014</t>
  </si>
  <si>
    <t>2002-2014</t>
  </si>
  <si>
    <t>2003-2014</t>
  </si>
  <si>
    <t>2004-2014</t>
  </si>
  <si>
    <t>2005-2014</t>
  </si>
  <si>
    <t>2006-2014</t>
  </si>
  <si>
    <t>2007-2014</t>
  </si>
  <si>
    <t>2008-2014</t>
  </si>
  <si>
    <t>2009-2014</t>
  </si>
  <si>
    <t>2010-2014</t>
  </si>
  <si>
    <t>2011-2014</t>
  </si>
  <si>
    <t>2 years</t>
  </si>
  <si>
    <t>ADDED</t>
  </si>
  <si>
    <t>Regulatory Amorts Adjs</t>
  </si>
  <si>
    <t>December 2014 Escalation Base</t>
  </si>
  <si>
    <t>Multiparty Settlement -  Cost of Capital</t>
  </si>
  <si>
    <t>ACCUMULATED DEP/AMORT</t>
  </si>
  <si>
    <t>Gross-up Conversion Factor</t>
  </si>
  <si>
    <t>2016 Rate Base</t>
  </si>
  <si>
    <t>Settlement Rate of Return</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</si>
  <si>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</si>
  <si>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</si>
  <si>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</si>
  <si>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</si>
  <si>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</si>
  <si>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</si>
  <si>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</si>
  <si>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</si>
  <si>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</si>
  <si>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</si>
  <si>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</si>
  <si>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</si>
  <si>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</si>
  <si>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</si>
  <si>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NATURAL GAS COST AND REVENUE TREND CALCULATIONS 2001-2014</t>
  </si>
  <si>
    <t>Compound Growth Rates to 2014</t>
  </si>
  <si>
    <t>Escalation Factor not used due to irregular growth</t>
  </si>
  <si>
    <t>Company-proposed (2007-2014, linear)</t>
  </si>
  <si>
    <t>x = 5 (2014 is year 5)</t>
  </si>
  <si>
    <t>rate (1-year)</t>
  </si>
  <si>
    <t>x</t>
  </si>
  <si>
    <t>rate (2-year)</t>
  </si>
  <si>
    <t>Sum (x and C)</t>
  </si>
  <si>
    <t>Escalation factor (to 2016)</t>
  </si>
  <si>
    <t>Derivative of Quadratic (below)</t>
  </si>
  <si>
    <t xml:space="preserve">Net Plant after DFIT </t>
  </si>
  <si>
    <t>2016 NATURAL GAS ATTRITION REVENUE REQUIREMENT</t>
  </si>
  <si>
    <t>After Attrition Adj - Project Compass</t>
  </si>
  <si>
    <t>Total Accumulated Depr/Amort</t>
  </si>
  <si>
    <t>ACCUMULATED DEPR/AMORT</t>
  </si>
  <si>
    <t xml:space="preserve">*Note: Adjustment in Column [B] includes the Regulatory Amortization associated with the deferral of the Natural Gas portion of the Project Compass Customer Information System (CIS) project as this amount is not inluded in the 12.2014 Commission Basis. This amount is not escalated as shown in column [F]. </t>
  </si>
  <si>
    <t>After Attrition Adj - Atmos Testing</t>
  </si>
  <si>
    <t>2016 Net Operating Income (at 2015 rates)</t>
  </si>
  <si>
    <t>2016 Rate of Return (at 2015 rates)</t>
  </si>
  <si>
    <t>2016 Net Operating Income Deficiency (Surplus)</t>
  </si>
  <si>
    <t>2016 Attrition Revenue Deficiency (Surplus)</t>
  </si>
  <si>
    <t>2016 Total General Business Revenues (at 2015 rates)</t>
  </si>
  <si>
    <t>Attrition-based 2016 revenue requirement</t>
  </si>
  <si>
    <t>Percent Revenue Requirement Change (vs. 2015)</t>
  </si>
  <si>
    <t>[L]</t>
  </si>
  <si>
    <t>[M]</t>
  </si>
  <si>
    <t>Attrition Study</t>
  </si>
  <si>
    <t>Results</t>
  </si>
  <si>
    <t>Adj. Operating Expense (2009-2014, excl. 2012)</t>
  </si>
  <si>
    <t>Exact</t>
  </si>
  <si>
    <t>Linear Aprox</t>
  </si>
  <si>
    <t>b</t>
  </si>
  <si>
    <t>delta X</t>
  </si>
  <si>
    <t>x = 5</t>
  </si>
  <si>
    <t>x = 6</t>
  </si>
  <si>
    <t>1-yr Rate</t>
  </si>
  <si>
    <t>2-yr Rate</t>
  </si>
  <si>
    <t>x = 7 (2014 is year 7)</t>
  </si>
  <si>
    <t xml:space="preserve">Impute forecasted load change from Staff % Growth </t>
  </si>
  <si>
    <t xml:space="preserve">Accept Staff's proposed growth in load, </t>
  </si>
  <si>
    <t>reflected for increased growth.</t>
  </si>
  <si>
    <t>Staff Proposed</t>
  </si>
  <si>
    <t>Avista Corrections</t>
  </si>
  <si>
    <t>X</t>
  </si>
  <si>
    <t>Avista Proposed Based on Staff Methodology for 2007-2014</t>
  </si>
  <si>
    <t>As Proposed by Staff per CRM-3</t>
  </si>
  <si>
    <t xml:space="preserve">The grey highlighted areas on pages 4 and 5 represent changes Avista made to Staff witness Mr. McGuire's Natural Gas Attrition model. For example, corrections to Staff's model were made in columns [J], [K] and [L].  Avista's proposed growth escalations were used in column [F] page 4 &amp; 5 (rows 10, 11 and 32) to reflect Staff's linear regression calculation, however, using years 2007-2014 data. These calculations can be seen on page 9-11. Avista accepted Staff's O&amp;M escalation growth rate as filed.  Lastly, in column [K], the Company has included total Project Compass costs, rather than the discounted balances proposed by Staff.    </t>
  </si>
  <si>
    <t>2016 WASHINGTON NATURAL GAS ATTRITION STUDY</t>
  </si>
  <si>
    <r>
      <t>12.2014 Commission Basis Report Restated Totals</t>
    </r>
    <r>
      <rPr>
        <vertAlign val="superscript"/>
        <sz val="9"/>
        <color theme="1"/>
        <rFont val="Times New Roman"/>
        <family val="1"/>
      </rPr>
      <t>1</t>
    </r>
  </si>
  <si>
    <r>
      <t>2016 Revenue and Cost</t>
    </r>
    <r>
      <rPr>
        <sz val="8"/>
        <color theme="1"/>
        <rFont val="Times New Roman"/>
        <family val="1"/>
      </rPr>
      <t xml:space="preserve"> [H]+[I]+[J]+ [K]+[L] = [M]</t>
    </r>
  </si>
  <si>
    <r>
      <rPr>
        <vertAlign val="superscript"/>
        <sz val="9"/>
        <color theme="1"/>
        <rFont val="Times New Roman"/>
        <family val="1"/>
      </rPr>
      <t>1</t>
    </r>
    <r>
      <rPr>
        <sz val="9"/>
        <color theme="1"/>
        <rFont val="Times New Roman"/>
        <family val="1"/>
      </rPr>
      <t>Workpapers for 12.2014 Commission Basis Reports provided with Avista's Response to Staff_DR_130.</t>
    </r>
  </si>
  <si>
    <t>Avista accepts UTC Staff’s proposed 2.17% for natural gas operations, because that is a reasonable expectation of increases in costs for natural gas given the expectations in the 2016 rate year, and the overall operations of the natural gas business.  Use of an average based on actual 2007-2014 linear trend plus revised 2013-2014 linear trend (removing impact of benefits) consistant with electric, would result in a significant increase in O&amp;M expenses above 2014 levels.</t>
  </si>
  <si>
    <t xml:space="preserve">however, gas costs must also be </t>
  </si>
  <si>
    <t xml:space="preserve">Changed annual rate to </t>
  </si>
  <si>
    <t>2.42% per Order 05</t>
  </si>
  <si>
    <t>Changed to zero per Remand</t>
  </si>
  <si>
    <t>Attrition Study Revenue Deficiency (sufficiency)</t>
  </si>
  <si>
    <t>Attrition Allowance - PER ORDER 05</t>
  </si>
  <si>
    <t>Difference (annual) - Owed back to Customers</t>
  </si>
  <si>
    <t>12 months</t>
  </si>
  <si>
    <t>Pro Forma Revenue Deficiency (Sufficiency) - from Order 05, Table A2</t>
  </si>
  <si>
    <t>11 months</t>
  </si>
  <si>
    <t>2.3 years</t>
  </si>
  <si>
    <t>STAFF RECALCULATION ON REMAND</t>
  </si>
  <si>
    <t>Edited from Avista Exhibit EMA-7</t>
  </si>
  <si>
    <t>EMA-7 was produced by Avista on Rebuttal, and edited from Staff Exhibit CRM-3</t>
  </si>
  <si>
    <t>OP INCOME BEFORE FIT</t>
  </si>
  <si>
    <t>Washington - Natural Gas (System)</t>
  </si>
  <si>
    <t>REVENUE CONV FACTOR</t>
  </si>
  <si>
    <t>Escalated RB</t>
  </si>
  <si>
    <t>BR-22</t>
  </si>
  <si>
    <t>Attrition Allowance - CALCULATED</t>
  </si>
  <si>
    <t>REMAND CALCULATIONS - BEFORE REMOVING ESCALATION OF RATE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</si>
</sst>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quot;$&quot;#,##0.00000"/>
    <numFmt numFmtId="167" formatCode="_(* #,##0_);_(* \(#,##0\);_(* &quot;-&quot;??_);_(@_)"/>
    <numFmt numFmtId="168" formatCode="0.0000"/>
    <numFmt numFmtId="169" formatCode="0.000000"/>
    <numFmt numFmtId="170" formatCode="0.000%"/>
    <numFmt numFmtId="171" formatCode="0.00000"/>
    <numFmt numFmtId="172" formatCode="#,##0_);\(#,##0\);"/>
    <numFmt numFmtId="173" formatCode=";;;"/>
    <numFmt numFmtId="174" formatCode="0_);\(0\)"/>
    <numFmt numFmtId="175" formatCode="&quot;$&quot;#,##0.00;\-&quot;$&quot;#,##0.00;"/>
    <numFmt numFmtId="176" formatCode="#,##0.000\¢\ ;\(#,##0.000\¢\);"/>
    <numFmt numFmtId="177" formatCode="#,##0.000\¢\ ;\(#,##0.000\¢\)"/>
    <numFmt numFmtId="178" formatCode="&quot;$&quot;#,##0_);\(&quot;$&quot;#,##0\);"/>
    <numFmt numFmtId="179" formatCode="#,##0.000"/>
    <numFmt numFmtId="180" formatCode="&quot;$&quot;#,##0.0;\-&quot;$&quot;#,##0;"/>
    <numFmt numFmtId="181" formatCode="[$-409]mmm\-yy;@"/>
    <numFmt numFmtId="182" formatCode="0.0%"/>
    <numFmt numFmtId="183" formatCode="[$-F800]dddd\,\ mmmm\ dd\,\ yyyy"/>
    <numFmt numFmtId="184" formatCode="mmmm\ d\,\ yyyy"/>
    <numFmt numFmtId="185" formatCode="[$-409]mmmm\-yy;@"/>
    <numFmt numFmtId="186" formatCode="#,##0_%_);\(#,##0\)_%;#,##0_%_);@_%_)"/>
    <numFmt numFmtId="187" formatCode="_._.* #,##0.0_)_%;_._.* \(#,##0.0\)_%"/>
    <numFmt numFmtId="188" formatCode="_._.* #,##0.00_)_%;_._.* \(#,##0.00\)_%"/>
    <numFmt numFmtId="189" formatCode="_._.* #,##0.000_)_%;_._.* \(#,##0.000\)_%"/>
    <numFmt numFmtId="190" formatCode="_(* #,##0.00_);_(* \(\ #,##0.00\ \);_(* &quot;-&quot;??_);_(\ @_ \)"/>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_(&quot;$&quot;* #,##0.0_);_(&quot;$&quot;* \(#,##0.0\);_(&quot;$&quot;* &quot;-&quot;??_);_(@_)"/>
    <numFmt numFmtId="200" formatCode="&quot;$&quot;#,###,##0.00;\(&quot;$&quot;#,###,##0.00\)"/>
    <numFmt numFmtId="201" formatCode="&quot;$&quot;#,###,##0;\(&quot;$&quot;#,###,##0\)"/>
    <numFmt numFmtId="202" formatCode="#,##0.00%;\(#,##0.00%\)"/>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 numFmtId="222" formatCode="&quot;$&quot;#,##0\ ;\(&quot;$&quot;#,##0\)"/>
    <numFmt numFmtId="223" formatCode="_(* #,##0.00000_);_(* \(#,##0.00000\);_(* &quot;-&quot;??_);_(@_)"/>
    <numFmt numFmtId="224" formatCode="#,##0.00;[Red]\(#,##0.00\)"/>
    <numFmt numFmtId="225" formatCode="#,##0.0"/>
    <numFmt numFmtId="226" formatCode="_(* #,##0.000000_);_(* \(#,##0.000000\);_(* &quot;-&quot;?????_);_(@_)"/>
    <numFmt numFmtId="227" formatCode="_(&quot;$&quot;* #,##0_);_(&quot;$&quot;* \(#,##0\);_(&quot;$&quot;* &quot;-&quot;??_);_(@_)"/>
  </numFmts>
  <fonts count="1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9"/>
      <name val="Arial"/>
      <family val="2"/>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u/>
      <sz val="10"/>
      <name val="Arial"/>
      <family val="2"/>
    </font>
    <font>
      <vertAlign val="superscript"/>
      <sz val="9"/>
      <color theme="1"/>
      <name val="Times New Roman"/>
      <family val="1"/>
    </font>
    <font>
      <sz val="10"/>
      <name val="Arial"/>
      <family val="2"/>
    </font>
    <font>
      <sz val="11"/>
      <name val="Times New Roman"/>
      <family val="1"/>
    </font>
  </fonts>
  <fills count="7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0000"/>
        <bgColor indexed="64"/>
      </patternFill>
    </fill>
  </fills>
  <borders count="6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s>
  <cellStyleXfs count="42085">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7">
      <alignment horizontal="center"/>
    </xf>
    <xf numFmtId="3" fontId="38" fillId="0" borderId="0" applyFont="0" applyFill="0" applyBorder="0" applyAlignment="0" applyProtection="0"/>
    <xf numFmtId="0" fontId="38" fillId="4" borderId="0" applyNumberFormat="0" applyFont="0" applyBorder="0" applyAlignment="0" applyProtection="0"/>
    <xf numFmtId="167"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1"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1" applyNumberFormat="0" applyFill="0" applyAlignment="0" applyProtection="0"/>
    <xf numFmtId="43" fontId="3" fillId="0" borderId="0" applyFont="0" applyFill="0" applyBorder="0" applyAlignment="0" applyProtection="0"/>
    <xf numFmtId="181" fontId="28" fillId="42"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5" fontId="91" fillId="61" borderId="0" applyNumberFormat="0" applyBorder="0" applyAlignment="0" applyProtection="0"/>
    <xf numFmtId="185" fontId="92" fillId="62" borderId="0" applyNumberFormat="0" applyBorder="0" applyAlignment="0" applyProtection="0"/>
    <xf numFmtId="185"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2" applyNumberFormat="0" applyAlignment="0" applyProtection="0"/>
    <xf numFmtId="0" fontId="69" fillId="12" borderId="32" applyNumberFormat="0" applyAlignment="0" applyProtection="0"/>
    <xf numFmtId="0" fontId="69" fillId="12" borderId="32" applyNumberFormat="0" applyAlignment="0" applyProtection="0"/>
    <xf numFmtId="0" fontId="69" fillId="63" borderId="32" applyNumberFormat="0" applyAlignment="0" applyProtection="0"/>
    <xf numFmtId="0" fontId="95" fillId="63" borderId="38"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5" applyNumberFormat="0" applyAlignment="0" applyProtection="0"/>
    <xf numFmtId="0" fontId="71" fillId="13" borderId="35" applyNumberFormat="0" applyAlignment="0" applyProtection="0"/>
    <xf numFmtId="0" fontId="71" fillId="13" borderId="35" applyNumberFormat="0" applyAlignment="0" applyProtection="0"/>
    <xf numFmtId="0" fontId="96" fillId="64" borderId="39" applyNumberFormat="0" applyAlignment="0" applyProtection="0"/>
    <xf numFmtId="0" fontId="97" fillId="0" borderId="27">
      <alignment horizontal="center"/>
    </xf>
    <xf numFmtId="186" fontId="98" fillId="0" borderId="0" applyFont="0" applyFill="0" applyBorder="0" applyAlignment="0" applyProtection="0">
      <alignment horizontal="right"/>
    </xf>
    <xf numFmtId="187" fontId="10" fillId="0" borderId="0" applyFont="0" applyFill="0" applyBorder="0" applyAlignment="0" applyProtection="0"/>
    <xf numFmtId="188" fontId="99" fillId="0" borderId="0" applyFont="0" applyFill="0" applyBorder="0" applyAlignment="0" applyProtection="0"/>
    <xf numFmtId="189"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1"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2"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5" fontId="10" fillId="0" borderId="0">
      <protection locked="0"/>
    </xf>
    <xf numFmtId="184" fontId="106" fillId="0" borderId="0" applyFont="0" applyFill="0" applyBorder="0" applyAlignment="0" applyProtection="0"/>
    <xf numFmtId="185"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6" fontId="109" fillId="0" borderId="0"/>
    <xf numFmtId="197" fontId="109" fillId="0" borderId="0"/>
    <xf numFmtId="167" fontId="109" fillId="0" borderId="0"/>
    <xf numFmtId="197" fontId="109" fillId="0" borderId="0"/>
    <xf numFmtId="198" fontId="109" fillId="0" borderId="0"/>
    <xf numFmtId="198" fontId="109" fillId="0" borderId="0"/>
    <xf numFmtId="196" fontId="109" fillId="0" borderId="0"/>
    <xf numFmtId="199" fontId="109" fillId="0" borderId="0"/>
    <xf numFmtId="200" fontId="109" fillId="0" borderId="0"/>
    <xf numFmtId="201" fontId="109" fillId="0" borderId="0"/>
    <xf numFmtId="202"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9" applyNumberFormat="0" applyFill="0" applyAlignment="0" applyProtection="0"/>
    <xf numFmtId="0" fontId="61" fillId="0" borderId="29" applyNumberFormat="0" applyFill="0" applyAlignment="0" applyProtection="0"/>
    <xf numFmtId="0" fontId="61" fillId="0" borderId="29" applyNumberFormat="0" applyFill="0" applyAlignment="0" applyProtection="0"/>
    <xf numFmtId="0" fontId="111" fillId="0" borderId="40" applyNumberFormat="0" applyFill="0" applyAlignment="0" applyProtection="0"/>
    <xf numFmtId="0" fontId="112" fillId="0" borderId="4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62" fillId="0" borderId="30" applyNumberFormat="0" applyFill="0" applyAlignment="0" applyProtection="0"/>
    <xf numFmtId="0" fontId="113" fillId="0" borderId="30" applyNumberFormat="0" applyFill="0" applyAlignment="0" applyProtection="0"/>
    <xf numFmtId="0" fontId="114" fillId="0" borderId="41"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115" fillId="0" borderId="42" applyNumberFormat="0" applyFill="0" applyAlignment="0" applyProtection="0"/>
    <xf numFmtId="0" fontId="116" fillId="0" borderId="42"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5" fontId="117" fillId="39" borderId="0" applyNumberFormat="0" applyBorder="0" applyAlignment="0" applyProtection="0"/>
    <xf numFmtId="0" fontId="67" fillId="11" borderId="32" applyNumberFormat="0" applyAlignment="0" applyProtection="0"/>
    <xf numFmtId="0" fontId="67" fillId="11" borderId="32" applyNumberFormat="0" applyAlignment="0" applyProtection="0"/>
    <xf numFmtId="0" fontId="67" fillId="11" borderId="32" applyNumberFormat="0" applyAlignment="0" applyProtection="0"/>
    <xf numFmtId="0" fontId="118" fillId="48" borderId="38" applyNumberFormat="0" applyAlignment="0" applyProtection="0"/>
    <xf numFmtId="185" fontId="92" fillId="3" borderId="0" applyNumberFormat="0" applyBorder="0" applyAlignment="0" applyProtection="0"/>
    <xf numFmtId="185" fontId="92" fillId="3" borderId="0" applyNumberFormat="0" applyBorder="0" applyAlignment="0" applyProtection="0"/>
    <xf numFmtId="0" fontId="70" fillId="0" borderId="34" applyNumberFormat="0" applyFill="0" applyAlignment="0" applyProtection="0"/>
    <xf numFmtId="0" fontId="70" fillId="0" borderId="34" applyNumberFormat="0" applyFill="0" applyAlignment="0" applyProtection="0"/>
    <xf numFmtId="0" fontId="70" fillId="0" borderId="34" applyNumberFormat="0" applyFill="0" applyAlignment="0" applyProtection="0"/>
    <xf numFmtId="0" fontId="119" fillId="0" borderId="43"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5"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5" fontId="8" fillId="0" borderId="0"/>
    <xf numFmtId="0" fontId="3"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5" fontId="22" fillId="0" borderId="0"/>
    <xf numFmtId="185" fontId="22" fillId="0" borderId="0"/>
    <xf numFmtId="185" fontId="22" fillId="0" borderId="0"/>
    <xf numFmtId="185"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3"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5" fontId="22" fillId="0" borderId="0"/>
    <xf numFmtId="185" fontId="22" fillId="0" borderId="0"/>
    <xf numFmtId="0" fontId="82" fillId="0" borderId="0">
      <alignment vertical="top"/>
    </xf>
    <xf numFmtId="185" fontId="22" fillId="0" borderId="0"/>
    <xf numFmtId="185"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1" fillId="14" borderId="36" applyNumberFormat="0" applyFont="0" applyAlignment="0" applyProtection="0"/>
    <xf numFmtId="0" fontId="8" fillId="66" borderId="44" applyNumberFormat="0" applyFont="0" applyAlignment="0" applyProtection="0"/>
    <xf numFmtId="0" fontId="3" fillId="14" borderId="36" applyNumberFormat="0" applyFont="0" applyAlignment="0" applyProtection="0"/>
    <xf numFmtId="0" fontId="68" fillId="12" borderId="33" applyNumberFormat="0" applyAlignment="0" applyProtection="0"/>
    <xf numFmtId="0" fontId="68" fillId="12" borderId="33" applyNumberFormat="0" applyAlignment="0" applyProtection="0"/>
    <xf numFmtId="0" fontId="68" fillId="12" borderId="33" applyNumberFormat="0" applyAlignment="0" applyProtection="0"/>
    <xf numFmtId="0" fontId="68" fillId="63" borderId="33" applyNumberFormat="0" applyAlignment="0" applyProtection="0"/>
    <xf numFmtId="0" fontId="122" fillId="63" borderId="45" applyNumberFormat="0" applyAlignment="0" applyProtection="0"/>
    <xf numFmtId="185" fontId="8" fillId="42" borderId="0" applyNumberFormat="0" applyBorder="0" applyAlignment="0" applyProtection="0"/>
    <xf numFmtId="185" fontId="8" fillId="42" borderId="0" applyNumberFormat="0" applyBorder="0" applyAlignment="0" applyProtection="0"/>
    <xf numFmtId="203" fontId="99" fillId="0" borderId="0" applyFont="0" applyFill="0" applyBorder="0" applyAlignment="0" applyProtection="0"/>
    <xf numFmtId="204" fontId="10" fillId="0" borderId="0" applyFont="0" applyFill="0" applyBorder="0" applyAlignment="0" applyProtection="0"/>
    <xf numFmtId="205" fontId="99" fillId="0" borderId="0" applyFont="0" applyFill="0" applyBorder="0" applyAlignment="0" applyProtection="0"/>
    <xf numFmtId="206" fontId="10" fillId="0" borderId="0" applyFont="0" applyFill="0" applyBorder="0" applyAlignment="0" applyProtection="0"/>
    <xf numFmtId="207" fontId="99" fillId="0" borderId="0" applyFont="0" applyFill="0" applyBorder="0" applyAlignment="0" applyProtection="0"/>
    <xf numFmtId="208" fontId="10" fillId="0" borderId="0" applyFont="0" applyFill="0" applyBorder="0" applyAlignment="0" applyProtection="0"/>
    <xf numFmtId="209" fontId="99" fillId="0" borderId="0" applyFont="0" applyFill="0" applyBorder="0" applyAlignment="0" applyProtection="0"/>
    <xf numFmtId="210"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5"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5" fontId="82" fillId="0" borderId="0" applyNumberFormat="0" applyBorder="0" applyAlignment="0"/>
    <xf numFmtId="0" fontId="109" fillId="0" borderId="0"/>
    <xf numFmtId="185"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5"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5"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6"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7">
      <alignment horizontal="left"/>
    </xf>
    <xf numFmtId="0" fontId="74" fillId="0" borderId="37" applyNumberFormat="0" applyFill="0" applyAlignment="0" applyProtection="0"/>
    <xf numFmtId="0" fontId="74" fillId="0" borderId="37" applyNumberFormat="0" applyFill="0" applyAlignment="0" applyProtection="0"/>
    <xf numFmtId="0" fontId="74" fillId="0" borderId="37" applyNumberFormat="0" applyFill="0" applyAlignment="0" applyProtection="0"/>
    <xf numFmtId="0" fontId="74" fillId="0" borderId="48" applyNumberFormat="0" applyFill="0" applyAlignment="0" applyProtection="0"/>
    <xf numFmtId="0" fontId="142" fillId="0" borderId="4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5" fontId="23" fillId="70" borderId="0" applyNumberFormat="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28" fillId="0" borderId="0" applyFont="0" applyFill="0" applyBorder="0" applyAlignment="0" applyProtection="0">
      <alignment horizontal="right"/>
    </xf>
    <xf numFmtId="3" fontId="22" fillId="0" borderId="0"/>
    <xf numFmtId="0" fontId="76" fillId="0" borderId="31"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1"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5" applyNumberFormat="0" applyAlignment="0" applyProtection="0"/>
    <xf numFmtId="0" fontId="95" fillId="63" borderId="38"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0" fontId="8" fillId="66" borderId="44" applyNumberFormat="0" applyFont="0" applyAlignment="0" applyProtection="0"/>
    <xf numFmtId="9" fontId="22" fillId="0" borderId="0" applyFont="0" applyFill="0" applyBorder="0" applyAlignment="0" applyProtection="0"/>
    <xf numFmtId="0" fontId="142" fillId="0" borderId="48"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8"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118" fillId="48" borderId="38" applyNumberFormat="0" applyAlignment="0" applyProtection="0"/>
    <xf numFmtId="0" fontId="118" fillId="48" borderId="38" applyNumberFormat="0" applyAlignment="0" applyProtection="0"/>
    <xf numFmtId="0" fontId="8" fillId="66" borderId="44" applyNumberFormat="0" applyFont="0" applyAlignment="0" applyProtection="0"/>
    <xf numFmtId="0" fontId="74" fillId="0" borderId="48"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22" fillId="0" borderId="0" applyFont="0" applyFill="0" applyBorder="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8"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0" fontId="95" fillId="63" borderId="38" applyNumberFormat="0" applyAlignment="0" applyProtection="0"/>
    <xf numFmtId="9" fontId="22" fillId="0" borderId="0" applyFont="0" applyFill="0" applyBorder="0" applyAlignment="0" applyProtection="0"/>
    <xf numFmtId="0" fontId="122" fillId="63" borderId="45" applyNumberFormat="0" applyAlignment="0" applyProtection="0"/>
    <xf numFmtId="0" fontId="74"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8" applyNumberFormat="0" applyFill="0" applyAlignment="0" applyProtection="0"/>
    <xf numFmtId="0" fontId="142" fillId="0" borderId="48"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8"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4" applyNumberFormat="0" applyFont="0" applyAlignment="0" applyProtection="0"/>
    <xf numFmtId="0" fontId="122" fillId="63" borderId="45"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8" applyNumberFormat="0" applyAlignment="0" applyProtection="0"/>
    <xf numFmtId="0" fontId="142" fillId="0" borderId="48" applyNumberFormat="0" applyFill="0" applyAlignment="0" applyProtection="0"/>
    <xf numFmtId="0" fontId="142" fillId="0" borderId="48" applyNumberFormat="0" applyFill="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4" applyNumberFormat="0" applyFont="0" applyAlignment="0" applyProtection="0"/>
    <xf numFmtId="0" fontId="95" fillId="63"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8"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4"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8" applyNumberFormat="0" applyFill="0" applyAlignment="0" applyProtection="0"/>
    <xf numFmtId="0" fontId="122" fillId="63" borderId="45" applyNumberFormat="0" applyAlignment="0" applyProtection="0"/>
    <xf numFmtId="0" fontId="122" fillId="63" borderId="45" applyNumberFormat="0" applyAlignment="0" applyProtection="0"/>
    <xf numFmtId="0" fontId="142" fillId="0" borderId="48" applyNumberFormat="0" applyFill="0" applyAlignment="0" applyProtection="0"/>
    <xf numFmtId="0" fontId="74" fillId="0" borderId="48" applyNumberFormat="0" applyFill="0" applyAlignment="0" applyProtection="0"/>
    <xf numFmtId="0" fontId="122" fillId="63" borderId="45" applyNumberFormat="0" applyAlignment="0" applyProtection="0"/>
    <xf numFmtId="0" fontId="118" fillId="48" borderId="38" applyNumberFormat="0" applyAlignment="0" applyProtection="0"/>
    <xf numFmtId="0" fontId="118" fillId="48" borderId="38" applyNumberFormat="0" applyAlignment="0" applyProtection="0"/>
    <xf numFmtId="0" fontId="95" fillId="63" borderId="38" applyNumberFormat="0" applyAlignment="0" applyProtection="0"/>
    <xf numFmtId="0" fontId="122" fillId="63" borderId="45" applyNumberFormat="0" applyAlignment="0" applyProtection="0"/>
    <xf numFmtId="0" fontId="118" fillId="48" borderId="38" applyNumberFormat="0" applyAlignment="0" applyProtection="0"/>
    <xf numFmtId="0" fontId="95" fillId="63" borderId="38" applyNumberFormat="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2"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1"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0" fontId="3" fillId="14" borderId="3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0" borderId="30" applyNumberFormat="0" applyFill="0" applyAlignment="0" applyProtection="0"/>
    <xf numFmtId="0" fontId="63" fillId="0" borderId="31"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2" applyNumberFormat="0" applyAlignment="0" applyProtection="0"/>
    <xf numFmtId="0" fontId="68" fillId="12" borderId="33" applyNumberFormat="0" applyAlignment="0" applyProtection="0"/>
    <xf numFmtId="0" fontId="69" fillId="12" borderId="32" applyNumberFormat="0" applyAlignment="0" applyProtection="0"/>
    <xf numFmtId="0" fontId="70" fillId="0" borderId="34" applyNumberFormat="0" applyFill="0" applyAlignment="0" applyProtection="0"/>
    <xf numFmtId="0" fontId="71" fillId="13" borderId="3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7"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9"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50"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1" fillId="3" borderId="53">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2"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0"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4" fontId="106" fillId="0" borderId="0" applyFont="0" applyFill="0" applyBorder="0" applyAlignment="0" applyProtection="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5"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5" fontId="22" fillId="0" borderId="0"/>
    <xf numFmtId="185"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5" fontId="22" fillId="0" borderId="0"/>
    <xf numFmtId="185" fontId="22" fillId="0" borderId="0"/>
    <xf numFmtId="185" fontId="22" fillId="0" borderId="0"/>
    <xf numFmtId="185"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2"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0" fontId="2" fillId="14" borderId="3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6"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14" borderId="36"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6"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6"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6"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6"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153"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44" fontId="153" fillId="0" borderId="0" applyFont="0" applyFill="0" applyBorder="0" applyAlignment="0" applyProtection="0"/>
    <xf numFmtId="0" fontId="154" fillId="0" borderId="0" applyNumberFormat="0" applyFill="0" applyBorder="0" applyAlignment="0" applyProtection="0">
      <alignment vertical="top"/>
      <protection locked="0"/>
    </xf>
    <xf numFmtId="0" fontId="150" fillId="0" borderId="0"/>
    <xf numFmtId="0" fontId="8" fillId="0" borderId="0"/>
    <xf numFmtId="0" fontId="2" fillId="0" borderId="0"/>
    <xf numFmtId="0" fontId="2"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82" fillId="0" borderId="0"/>
    <xf numFmtId="0" fontId="82" fillId="0" borderId="0"/>
    <xf numFmtId="0" fontId="8" fillId="0" borderId="0"/>
    <xf numFmtId="0" fontId="8" fillId="0" borderId="0"/>
    <xf numFmtId="0" fontId="82"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3" fillId="0" borderId="0"/>
    <xf numFmtId="0" fontId="150"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8"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0" fontId="153" fillId="0" borderId="0"/>
    <xf numFmtId="224" fontId="148" fillId="40" borderId="0" applyBorder="0">
      <alignment horizontal="right"/>
    </xf>
    <xf numFmtId="0" fontId="155" fillId="72" borderId="0" applyBorder="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0"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15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xf numFmtId="44" fontId="160" fillId="0" borderId="0" applyFont="0" applyFill="0" applyBorder="0" applyAlignment="0" applyProtection="0"/>
  </cellStyleXfs>
  <cellXfs count="588">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Border="1" applyAlignment="1">
      <alignment horizontal="center"/>
    </xf>
    <xf numFmtId="0" fontId="14" fillId="0" borderId="0" xfId="2" applyFont="1" applyAlignment="1">
      <alignment horizontal="center"/>
    </xf>
    <xf numFmtId="42" fontId="14" fillId="0" borderId="0" xfId="2" applyNumberFormat="1" applyFont="1"/>
    <xf numFmtId="41" fontId="14" fillId="0" borderId="0" xfId="2" applyNumberFormat="1" applyFont="1"/>
    <xf numFmtId="41" fontId="14" fillId="0" borderId="10" xfId="2" applyNumberFormat="1" applyFont="1" applyBorder="1"/>
    <xf numFmtId="42" fontId="14" fillId="0" borderId="12" xfId="2" applyNumberFormat="1" applyFont="1" applyBorder="1"/>
    <xf numFmtId="41" fontId="14" fillId="0" borderId="13" xfId="2" applyNumberFormat="1" applyFont="1" applyBorder="1"/>
    <xf numFmtId="41" fontId="14" fillId="0" borderId="0" xfId="2" applyNumberFormat="1" applyFont="1" applyBorder="1"/>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0" fillId="0" borderId="0" xfId="2" applyFont="1" applyAlignment="1">
      <alignment horizontal="right"/>
    </xf>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0" fontId="15" fillId="0" borderId="9" xfId="2" applyFont="1" applyBorder="1"/>
    <xf numFmtId="0" fontId="20" fillId="0" borderId="0" xfId="2" applyNumberFormat="1" applyFont="1" applyBorder="1" applyAlignment="1">
      <alignment horizontal="center"/>
    </xf>
    <xf numFmtId="0" fontId="20" fillId="0" borderId="0" xfId="2" applyFont="1" applyBorder="1" applyAlignment="1">
      <alignment horizontal="center"/>
    </xf>
    <xf numFmtId="10" fontId="0" fillId="0" borderId="0" xfId="0" applyNumberFormat="1" applyFill="1"/>
    <xf numFmtId="0" fontId="22" fillId="0" borderId="0" xfId="15"/>
    <xf numFmtId="0" fontId="22" fillId="0" borderId="10" xfId="15" applyBorder="1" applyAlignment="1">
      <alignment horizontal="center"/>
    </xf>
    <xf numFmtId="167" fontId="0" fillId="0" borderId="0" xfId="0" applyNumberFormat="1"/>
    <xf numFmtId="167" fontId="0" fillId="0" borderId="0" xfId="14" applyNumberFormat="1" applyFont="1"/>
    <xf numFmtId="167"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7" fontId="8" fillId="0" borderId="0" xfId="14" applyNumberFormat="1" applyFont="1" applyBorder="1"/>
    <xf numFmtId="167" fontId="0" fillId="0" borderId="3" xfId="14" applyNumberFormat="1" applyFont="1" applyBorder="1"/>
    <xf numFmtId="167"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10" xfId="0" applyFill="1" applyBorder="1"/>
    <xf numFmtId="0" fontId="0" fillId="0" borderId="0" xfId="0" applyFill="1" applyAlignment="1">
      <alignment horizontal="center"/>
    </xf>
    <xf numFmtId="0" fontId="17" fillId="0" borderId="0" xfId="0" applyFont="1" applyFill="1" applyAlignment="1">
      <alignment horizontal="center"/>
    </xf>
    <xf numFmtId="3" fontId="0" fillId="0" borderId="10" xfId="0" applyNumberFormat="1" applyFill="1" applyBorder="1"/>
    <xf numFmtId="165" fontId="0" fillId="0" borderId="0" xfId="0" applyNumberFormat="1" applyFill="1" applyBorder="1"/>
    <xf numFmtId="10" fontId="0" fillId="0" borderId="0" xfId="0" applyNumberFormat="1" applyBorder="1"/>
    <xf numFmtId="10" fontId="14" fillId="0" borderId="0" xfId="2" applyNumberFormat="1" applyFont="1" applyBorder="1"/>
    <xf numFmtId="3" fontId="14" fillId="0" borderId="3" xfId="2" applyNumberFormat="1" applyFont="1" applyBorder="1" applyAlignment="1">
      <alignment horizontal="center"/>
    </xf>
    <xf numFmtId="0" fontId="14" fillId="0" borderId="3" xfId="2" applyFont="1" applyBorder="1" applyAlignment="1">
      <alignment horizontal="center"/>
    </xf>
    <xf numFmtId="41" fontId="14" fillId="0" borderId="3" xfId="2" applyNumberFormat="1" applyFont="1" applyBorder="1"/>
    <xf numFmtId="42" fontId="14" fillId="0" borderId="13" xfId="2" applyNumberFormat="1" applyFont="1" applyBorder="1"/>
    <xf numFmtId="42" fontId="14" fillId="0" borderId="3" xfId="2" applyNumberFormat="1" applyFont="1" applyBorder="1"/>
    <xf numFmtId="42" fontId="14" fillId="0" borderId="16"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21" xfId="17" applyFont="1" applyFill="1" applyBorder="1" applyAlignment="1">
      <alignment horizontal="left"/>
    </xf>
    <xf numFmtId="0" fontId="19" fillId="0" borderId="22" xfId="17" applyFont="1" applyFill="1" applyBorder="1" applyAlignment="1">
      <alignment horizontal="center"/>
    </xf>
    <xf numFmtId="0" fontId="19" fillId="0" borderId="23" xfId="17" applyFont="1" applyFill="1" applyBorder="1" applyAlignment="1">
      <alignment horizontal="center"/>
    </xf>
    <xf numFmtId="0" fontId="28" fillId="0" borderId="0" xfId="0" applyFont="1"/>
    <xf numFmtId="37" fontId="28" fillId="0" borderId="24"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5" xfId="1" applyNumberFormat="1" applyFont="1" applyFill="1" applyBorder="1"/>
    <xf numFmtId="0" fontId="19" fillId="0" borderId="0" xfId="0" applyFont="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19" fillId="0" borderId="10" xfId="17" applyFont="1" applyFill="1" applyBorder="1" applyAlignment="1">
      <alignment horizontal="center"/>
    </xf>
    <xf numFmtId="0" fontId="28" fillId="0" borderId="25" xfId="17" applyFont="1" applyFill="1" applyBorder="1"/>
    <xf numFmtId="0" fontId="28" fillId="0" borderId="0" xfId="0" applyFont="1" applyAlignment="1">
      <alignment horizontal="center"/>
    </xf>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5" xfId="1" applyNumberFormat="1" applyFont="1" applyFill="1" applyBorder="1" applyAlignment="1">
      <alignment horizontal="center"/>
    </xf>
    <xf numFmtId="167" fontId="28" fillId="0" borderId="0" xfId="19" applyNumberFormat="1" applyFont="1" applyFill="1" applyBorder="1"/>
    <xf numFmtId="10" fontId="19" fillId="0" borderId="25" xfId="18" applyNumberFormat="1" applyFont="1" applyFill="1" applyBorder="1" applyAlignment="1">
      <alignment horizontal="center"/>
    </xf>
    <xf numFmtId="170" fontId="28" fillId="0" borderId="0" xfId="18" applyNumberFormat="1" applyFont="1" applyFill="1" applyBorder="1"/>
    <xf numFmtId="170" fontId="30" fillId="0" borderId="0" xfId="18" applyNumberFormat="1" applyFont="1" applyFill="1" applyBorder="1"/>
    <xf numFmtId="10" fontId="28" fillId="0" borderId="16" xfId="18" applyNumberFormat="1" applyFont="1" applyFill="1" applyBorder="1"/>
    <xf numFmtId="37" fontId="28" fillId="0" borderId="26" xfId="1" applyNumberFormat="1" applyFont="1" applyFill="1" applyBorder="1"/>
    <xf numFmtId="0" fontId="28" fillId="0" borderId="27" xfId="17" applyFont="1" applyFill="1" applyBorder="1"/>
    <xf numFmtId="167" fontId="28" fillId="0" borderId="27" xfId="19" applyNumberFormat="1" applyFont="1" applyFill="1" applyBorder="1"/>
    <xf numFmtId="10" fontId="28" fillId="0" borderId="27" xfId="18" applyNumberFormat="1" applyFont="1" applyFill="1" applyBorder="1"/>
    <xf numFmtId="10" fontId="30" fillId="0" borderId="27" xfId="18" applyNumberFormat="1" applyFont="1" applyFill="1" applyBorder="1"/>
    <xf numFmtId="37" fontId="28" fillId="0" borderId="28" xfId="1" applyNumberFormat="1" applyFont="1" applyFill="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70" fontId="28" fillId="0" borderId="0" xfId="13" applyNumberFormat="1" applyFont="1" applyBorder="1"/>
    <xf numFmtId="5" fontId="28" fillId="0" borderId="10" xfId="0" applyNumberFormat="1" applyFont="1" applyBorder="1"/>
    <xf numFmtId="0" fontId="28" fillId="0" borderId="0" xfId="0" applyFont="1" applyBorder="1"/>
    <xf numFmtId="5" fontId="19" fillId="0" borderId="0" xfId="0" applyNumberFormat="1" applyFont="1" applyBorder="1"/>
    <xf numFmtId="5" fontId="28" fillId="0" borderId="0" xfId="0" applyNumberFormat="1" applyFont="1" applyBorder="1"/>
    <xf numFmtId="37" fontId="28" fillId="0" borderId="0" xfId="1" applyNumberFormat="1" applyFont="1"/>
    <xf numFmtId="10" fontId="19" fillId="0" borderId="0" xfId="13" applyNumberFormat="1" applyFont="1" applyBorder="1"/>
    <xf numFmtId="0" fontId="28" fillId="0" borderId="0" xfId="1" applyFont="1" applyBorder="1"/>
    <xf numFmtId="42" fontId="28" fillId="0" borderId="0" xfId="0" applyNumberFormat="1" applyFont="1" applyBorder="1"/>
    <xf numFmtId="0" fontId="14" fillId="0" borderId="10" xfId="2" applyFont="1" applyBorder="1" applyAlignment="1">
      <alignment horizontal="center"/>
    </xf>
    <xf numFmtId="0" fontId="40" fillId="0" borderId="0" xfId="2" applyNumberFormat="1" applyFont="1" applyAlignment="1">
      <alignment horizontal="left"/>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5" fillId="0" borderId="0" xfId="2" applyFont="1" applyBorder="1" applyAlignment="1">
      <alignment horizontal="center" vertical="center"/>
    </xf>
    <xf numFmtId="0" fontId="14" fillId="0" borderId="0" xfId="2" applyFont="1" applyBorder="1" applyAlignment="1">
      <alignment horizontal="center" vertical="center"/>
    </xf>
    <xf numFmtId="0" fontId="14" fillId="0" borderId="10" xfId="2" applyFont="1" applyBorder="1" applyAlignment="1">
      <alignment horizontal="center" vertical="center"/>
    </xf>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2" fontId="45" fillId="0" borderId="0" xfId="0" applyNumberFormat="1" applyFont="1" applyBorder="1"/>
    <xf numFmtId="172" fontId="45" fillId="0" borderId="3" xfId="0" applyNumberFormat="1" applyFont="1" applyBorder="1"/>
    <xf numFmtId="172" fontId="45" fillId="0" borderId="10" xfId="0" applyNumberFormat="1" applyFont="1" applyBorder="1"/>
    <xf numFmtId="3" fontId="45" fillId="0" borderId="0" xfId="0" applyNumberFormat="1" applyFont="1" applyBorder="1"/>
    <xf numFmtId="5" fontId="45" fillId="0" borderId="0" xfId="0" applyNumberFormat="1" applyFont="1" applyBorder="1"/>
    <xf numFmtId="6" fontId="45" fillId="0" borderId="0" xfId="8" applyNumberFormat="1" applyFont="1" applyBorder="1"/>
    <xf numFmtId="0" fontId="45" fillId="0" borderId="3" xfId="0" applyFont="1" applyBorder="1"/>
    <xf numFmtId="5" fontId="45" fillId="0" borderId="3" xfId="0" applyNumberFormat="1" applyFont="1" applyBorder="1"/>
    <xf numFmtId="37" fontId="45" fillId="0" borderId="10" xfId="8" applyNumberFormat="1" applyFont="1" applyBorder="1"/>
    <xf numFmtId="37" fontId="45" fillId="0" borderId="10" xfId="0" applyNumberFormat="1" applyFont="1" applyBorder="1"/>
    <xf numFmtId="37" fontId="45" fillId="0" borderId="0" xfId="8" applyNumberFormat="1" applyFont="1" applyBorder="1"/>
    <xf numFmtId="6" fontId="45" fillId="0" borderId="3" xfId="8" applyNumberFormat="1" applyFont="1" applyBorder="1"/>
    <xf numFmtId="0" fontId="45" fillId="0" borderId="13" xfId="0" applyFont="1" applyBorder="1"/>
    <xf numFmtId="5" fontId="45" fillId="0" borderId="10" xfId="8" applyNumberFormat="1" applyFont="1" applyBorder="1"/>
    <xf numFmtId="5" fontId="45" fillId="0" borderId="10" xfId="0" applyNumberFormat="1" applyFont="1" applyBorder="1"/>
    <xf numFmtId="177" fontId="45" fillId="0" borderId="10" xfId="0" applyNumberFormat="1" applyFont="1" applyBorder="1"/>
    <xf numFmtId="179"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7" fontId="0" fillId="0" borderId="0" xfId="14" applyNumberFormat="1" applyFont="1" applyFill="1"/>
    <xf numFmtId="3" fontId="15" fillId="0" borderId="0" xfId="2" applyNumberFormat="1" applyFont="1" applyFill="1" applyBorder="1"/>
    <xf numFmtId="0" fontId="28" fillId="0" borderId="10" xfId="0" applyFont="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2" fontId="45" fillId="0" borderId="0" xfId="0" applyNumberFormat="1" applyFont="1"/>
    <xf numFmtId="0" fontId="54" fillId="0" borderId="0" xfId="0" applyFont="1" applyAlignment="1">
      <alignment horizontal="left" indent="1"/>
    </xf>
    <xf numFmtId="172" fontId="45" fillId="0" borderId="0" xfId="0" applyNumberFormat="1" applyFont="1" applyAlignment="1">
      <alignment horizontal="center"/>
    </xf>
    <xf numFmtId="3" fontId="45" fillId="0" borderId="0" xfId="0" applyNumberFormat="1" applyFont="1"/>
    <xf numFmtId="173" fontId="46" fillId="0" borderId="0" xfId="0" applyNumberFormat="1" applyFont="1"/>
    <xf numFmtId="3" fontId="45" fillId="7" borderId="0" xfId="0" applyNumberFormat="1" applyFont="1" applyFill="1"/>
    <xf numFmtId="0" fontId="55" fillId="0" borderId="0" xfId="0" applyFont="1"/>
    <xf numFmtId="174"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5" fontId="46" fillId="0" borderId="0" xfId="0" applyNumberFormat="1" applyFont="1"/>
    <xf numFmtId="175" fontId="56" fillId="0" borderId="0" xfId="0" applyNumberFormat="1" applyFont="1"/>
    <xf numFmtId="0" fontId="57" fillId="0" borderId="0" xfId="0" applyFont="1"/>
    <xf numFmtId="180" fontId="46" fillId="0" borderId="0" xfId="0" applyNumberFormat="1" applyFont="1"/>
    <xf numFmtId="176" fontId="46" fillId="0" borderId="0" xfId="0" applyNumberFormat="1" applyFont="1"/>
    <xf numFmtId="176" fontId="56" fillId="0" borderId="0" xfId="0" applyNumberFormat="1" applyFont="1"/>
    <xf numFmtId="176" fontId="56" fillId="0" borderId="0" xfId="0" applyNumberFormat="1" applyFont="1" applyFill="1"/>
    <xf numFmtId="177"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6" fontId="45" fillId="0" borderId="0" xfId="8" applyNumberFormat="1" applyFont="1"/>
    <xf numFmtId="178" fontId="45" fillId="0" borderId="0" xfId="0" applyNumberFormat="1" applyFont="1"/>
    <xf numFmtId="172" fontId="45" fillId="0" borderId="0" xfId="8" applyNumberFormat="1" applyFont="1"/>
    <xf numFmtId="172"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37" fontId="45" fillId="0" borderId="0" xfId="8" applyNumberFormat="1" applyFont="1"/>
    <xf numFmtId="167" fontId="49" fillId="0" borderId="0" xfId="96" applyNumberFormat="1" applyFont="1" applyFill="1"/>
    <xf numFmtId="177" fontId="45" fillId="0" borderId="0" xfId="0" applyNumberFormat="1" applyFont="1" applyAlignment="1">
      <alignment horizontal="left" indent="1"/>
    </xf>
    <xf numFmtId="5" fontId="45" fillId="0" borderId="0" xfId="0" applyNumberFormat="1" applyFont="1" applyAlignment="1">
      <alignment horizontal="left" indent="1"/>
    </xf>
    <xf numFmtId="5" fontId="45" fillId="0" borderId="0" xfId="8" applyNumberFormat="1" applyFont="1"/>
    <xf numFmtId="37" fontId="49" fillId="0" borderId="0" xfId="8" applyNumberFormat="1" applyFont="1"/>
    <xf numFmtId="37" fontId="49" fillId="0" borderId="0" xfId="0" applyNumberFormat="1" applyFont="1"/>
    <xf numFmtId="177"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10" fontId="45" fillId="0" borderId="0" xfId="13" applyNumberFormat="1" applyFont="1"/>
    <xf numFmtId="37" fontId="57" fillId="0" borderId="0" xfId="0" applyNumberFormat="1" applyFont="1" applyFill="1"/>
    <xf numFmtId="0" fontId="45" fillId="6" borderId="0" xfId="0" applyFont="1" applyFill="1"/>
    <xf numFmtId="0" fontId="46" fillId="6" borderId="0" xfId="0"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3" fontId="0" fillId="0" borderId="3"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166" fontId="0" fillId="0" borderId="0" xfId="0" applyNumberFormat="1" applyFill="1"/>
    <xf numFmtId="3" fontId="0" fillId="0" borderId="11" xfId="0" applyNumberFormat="1" applyFill="1" applyBorder="1"/>
    <xf numFmtId="3" fontId="0" fillId="0" borderId="7" xfId="0" applyNumberFormat="1" applyFill="1" applyBorder="1"/>
    <xf numFmtId="3" fontId="0" fillId="0" borderId="4" xfId="0" applyNumberFormat="1" applyFill="1" applyBorder="1"/>
    <xf numFmtId="3" fontId="22" fillId="7" borderId="0" xfId="3679" applyFont="1" applyFill="1"/>
    <xf numFmtId="165" fontId="0" fillId="0" borderId="0" xfId="0" applyNumberFormat="1"/>
    <xf numFmtId="165" fontId="0" fillId="0" borderId="3" xfId="0" applyNumberFormat="1" applyBorder="1"/>
    <xf numFmtId="167" fontId="14" fillId="0" borderId="0" xfId="14" applyNumberFormat="1" applyFont="1"/>
    <xf numFmtId="167" fontId="14" fillId="0" borderId="0" xfId="2" applyNumberFormat="1" applyFont="1"/>
    <xf numFmtId="167" fontId="15" fillId="0" borderId="0" xfId="2" applyNumberFormat="1" applyFont="1"/>
    <xf numFmtId="42" fontId="14" fillId="0" borderId="3" xfId="2" applyNumberFormat="1" applyFont="1" applyFill="1" applyBorder="1"/>
    <xf numFmtId="3" fontId="14" fillId="0" borderId="3" xfId="2" applyNumberFormat="1" applyFont="1" applyFill="1" applyBorder="1" applyAlignment="1">
      <alignment horizontal="center"/>
    </xf>
    <xf numFmtId="41" fontId="14" fillId="0" borderId="3" xfId="2" applyNumberFormat="1" applyFont="1" applyFill="1" applyBorder="1"/>
    <xf numFmtId="42" fontId="14" fillId="0" borderId="1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167" fontId="14" fillId="0" borderId="0" xfId="14" applyNumberFormat="1" applyFont="1" applyFill="1"/>
    <xf numFmtId="0" fontId="15" fillId="0" borderId="0" xfId="2" applyFont="1" applyBorder="1" applyAlignment="1">
      <alignment horizontal="left"/>
    </xf>
    <xf numFmtId="167" fontId="14" fillId="0" borderId="0" xfId="2" applyNumberFormat="1" applyFont="1" applyBorder="1"/>
    <xf numFmtId="0" fontId="15" fillId="0" borderId="0" xfId="2" applyFont="1" applyBorder="1"/>
    <xf numFmtId="167" fontId="14" fillId="0" borderId="0" xfId="14" applyNumberFormat="1" applyFont="1" applyBorder="1"/>
    <xf numFmtId="167" fontId="15" fillId="0" borderId="0" xfId="2" applyNumberFormat="1" applyFont="1" applyBorder="1"/>
    <xf numFmtId="5" fontId="15" fillId="0" borderId="0" xfId="2" applyNumberFormat="1" applyFont="1" applyBorder="1"/>
    <xf numFmtId="223" fontId="28" fillId="0" borderId="0" xfId="0" applyNumberFormat="1" applyFont="1" applyBorder="1"/>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52" xfId="2" applyNumberFormat="1" applyFont="1" applyBorder="1" applyAlignment="1">
      <alignment horizontal="left"/>
    </xf>
    <xf numFmtId="0" fontId="14" fillId="0" borderId="50" xfId="2" applyFont="1" applyBorder="1"/>
    <xf numFmtId="0" fontId="14" fillId="0" borderId="51" xfId="2" applyFont="1" applyBorder="1"/>
    <xf numFmtId="0" fontId="14" fillId="0" borderId="52" xfId="2" applyFont="1" applyBorder="1"/>
    <xf numFmtId="10" fontId="28" fillId="0" borderId="0" xfId="13" applyNumberFormat="1" applyFont="1" applyFill="1" applyBorder="1"/>
    <xf numFmtId="10" fontId="8" fillId="0" borderId="19" xfId="0" applyNumberFormat="1" applyFont="1" applyBorder="1"/>
    <xf numFmtId="10" fontId="22" fillId="0" borderId="18" xfId="2" applyNumberFormat="1" applyFont="1" applyFill="1" applyBorder="1"/>
    <xf numFmtId="10" fontId="156" fillId="0" borderId="19" xfId="2" applyNumberFormat="1" applyFont="1" applyFill="1" applyBorder="1"/>
    <xf numFmtId="10" fontId="22" fillId="0" borderId="19" xfId="2" applyNumberFormat="1" applyFont="1" applyFill="1" applyBorder="1"/>
    <xf numFmtId="10" fontId="22" fillId="0" borderId="19" xfId="2" applyNumberFormat="1" applyFont="1" applyBorder="1"/>
    <xf numFmtId="10" fontId="10" fillId="0" borderId="0" xfId="2" applyNumberFormat="1" applyFont="1" applyFill="1"/>
    <xf numFmtId="0" fontId="10" fillId="0" borderId="0" xfId="2" applyFont="1"/>
    <xf numFmtId="10" fontId="10" fillId="0" borderId="0" xfId="2" applyNumberFormat="1" applyFont="1"/>
    <xf numFmtId="41" fontId="10" fillId="0" borderId="0" xfId="2" applyNumberFormat="1" applyFont="1"/>
    <xf numFmtId="5" fontId="10" fillId="0" borderId="0" xfId="2" applyNumberFormat="1" applyFont="1"/>
    <xf numFmtId="0" fontId="10" fillId="0" borderId="0" xfId="2" applyFont="1" applyBorder="1"/>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7" fontId="0" fillId="0" borderId="0" xfId="0" applyNumberFormat="1" applyFill="1"/>
    <xf numFmtId="167" fontId="0" fillId="0" borderId="3" xfId="14" applyNumberFormat="1" applyFont="1" applyFill="1" applyBorder="1"/>
    <xf numFmtId="167" fontId="8" fillId="0" borderId="0" xfId="14" applyNumberFormat="1" applyFont="1" applyFill="1" applyBorder="1"/>
    <xf numFmtId="167"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9" xfId="0" applyNumberFormat="1" applyBorder="1"/>
    <xf numFmtId="0" fontId="23" fillId="0" borderId="10" xfId="0" applyFont="1" applyBorder="1"/>
    <xf numFmtId="0" fontId="0" fillId="0" borderId="54" xfId="0" applyBorder="1"/>
    <xf numFmtId="0" fontId="23" fillId="0" borderId="0" xfId="0" applyFont="1" applyBorder="1"/>
    <xf numFmtId="3" fontId="23" fillId="0" borderId="10" xfId="0" applyNumberFormat="1" applyFont="1" applyBorder="1"/>
    <xf numFmtId="225" fontId="0" fillId="0" borderId="0" xfId="0" applyNumberFormat="1"/>
    <xf numFmtId="225" fontId="0" fillId="0" borderId="10" xfId="0" applyNumberFormat="1" applyBorder="1"/>
    <xf numFmtId="0" fontId="23" fillId="0" borderId="0" xfId="0" applyFont="1" applyFill="1" applyBorder="1"/>
    <xf numFmtId="225" fontId="23" fillId="0" borderId="0" xfId="0" applyNumberFormat="1" applyFont="1" applyBorder="1"/>
    <xf numFmtId="0" fontId="14" fillId="0" borderId="51" xfId="2" applyFont="1" applyBorder="1" applyAlignment="1">
      <alignment horizontal="center"/>
    </xf>
    <xf numFmtId="0" fontId="19" fillId="0" borderId="0" xfId="0" applyFont="1" applyAlignment="1">
      <alignment horizontal="center"/>
    </xf>
    <xf numFmtId="0" fontId="15" fillId="0" borderId="0" xfId="2" applyFont="1" applyFill="1" applyAlignment="1">
      <alignment horizontal="center"/>
    </xf>
    <xf numFmtId="10" fontId="22" fillId="73" borderId="19" xfId="2" applyNumberFormat="1" applyFont="1" applyFill="1" applyBorder="1"/>
    <xf numFmtId="10" fontId="22" fillId="73" borderId="20" xfId="2" applyNumberFormat="1" applyFont="1" applyFill="1" applyBorder="1"/>
    <xf numFmtId="10" fontId="0" fillId="0" borderId="18" xfId="0" applyNumberFormat="1" applyBorder="1"/>
    <xf numFmtId="10" fontId="0" fillId="0" borderId="20" xfId="0" applyNumberFormat="1" applyBorder="1"/>
    <xf numFmtId="3" fontId="8" fillId="0" borderId="0" xfId="0" applyNumberFormat="1" applyFont="1" applyBorder="1"/>
    <xf numFmtId="0" fontId="23" fillId="0" borderId="13" xfId="0" applyFont="1" applyBorder="1"/>
    <xf numFmtId="10" fontId="10" fillId="0" borderId="10" xfId="16" applyNumberFormat="1" applyFont="1" applyBorder="1"/>
    <xf numFmtId="6" fontId="14" fillId="0" borderId="10" xfId="2" applyNumberFormat="1" applyFont="1" applyBorder="1"/>
    <xf numFmtId="0" fontId="0" fillId="0" borderId="51" xfId="0" applyBorder="1" applyAlignment="1">
      <alignment horizontal="center"/>
    </xf>
    <xf numFmtId="167" fontId="0" fillId="0" borderId="0" xfId="96" applyNumberFormat="1" applyFont="1"/>
    <xf numFmtId="10" fontId="0" fillId="0" borderId="0" xfId="3259" applyNumberFormat="1" applyFont="1"/>
    <xf numFmtId="43" fontId="0" fillId="0" borderId="0" xfId="0" applyNumberFormat="1"/>
    <xf numFmtId="167" fontId="0" fillId="0" borderId="10" xfId="14" applyNumberFormat="1" applyFont="1" applyBorder="1"/>
    <xf numFmtId="10" fontId="10" fillId="0" borderId="0" xfId="2" applyNumberFormat="1" applyFont="1" applyFill="1" applyBorder="1"/>
    <xf numFmtId="0" fontId="8" fillId="0" borderId="0" xfId="0" applyFont="1" applyFill="1"/>
    <xf numFmtId="0" fontId="8" fillId="0" borderId="0" xfId="0" applyFont="1" applyFill="1" applyAlignment="1">
      <alignment horizontal="right"/>
    </xf>
    <xf numFmtId="10" fontId="23" fillId="0" borderId="49" xfId="0" applyNumberFormat="1" applyFont="1" applyFill="1" applyBorder="1"/>
    <xf numFmtId="0" fontId="158" fillId="0" borderId="0" xfId="0" applyFont="1" applyFill="1" applyAlignment="1"/>
    <xf numFmtId="0" fontId="23" fillId="0" borderId="0" xfId="0" applyFont="1" applyFill="1"/>
    <xf numFmtId="0" fontId="0" fillId="0" borderId="27" xfId="0" applyBorder="1"/>
    <xf numFmtId="37" fontId="28" fillId="0" borderId="0" xfId="1" applyNumberFormat="1" applyFont="1" applyBorder="1"/>
    <xf numFmtId="171" fontId="28" fillId="0" borderId="0" xfId="0" applyNumberFormat="1" applyFont="1" applyBorder="1"/>
    <xf numFmtId="10" fontId="28" fillId="0" borderId="10" xfId="13" applyNumberFormat="1" applyFont="1" applyBorder="1"/>
    <xf numFmtId="0" fontId="19" fillId="0" borderId="27" xfId="0" applyFont="1" applyBorder="1" applyAlignment="1">
      <alignment horizontal="center"/>
    </xf>
    <xf numFmtId="0" fontId="157" fillId="0" borderId="0" xfId="0" applyFont="1" applyBorder="1" applyAlignment="1">
      <alignment horizontal="center"/>
    </xf>
    <xf numFmtId="5" fontId="0" fillId="0" borderId="0" xfId="0" applyNumberFormat="1" applyBorder="1"/>
    <xf numFmtId="0" fontId="28" fillId="0" borderId="0" xfId="0" applyFont="1" applyBorder="1" applyAlignment="1">
      <alignment horizontal="center"/>
    </xf>
    <xf numFmtId="5" fontId="157" fillId="0" borderId="0" xfId="0" applyNumberFormat="1" applyFont="1" applyFill="1" applyBorder="1" applyAlignment="1">
      <alignment horizontal="center"/>
    </xf>
    <xf numFmtId="41" fontId="14" fillId="74" borderId="49" xfId="2" applyNumberFormat="1" applyFont="1" applyFill="1" applyBorder="1"/>
    <xf numFmtId="10" fontId="10" fillId="74" borderId="56" xfId="2" applyNumberFormat="1" applyFont="1" applyFill="1" applyBorder="1"/>
    <xf numFmtId="0" fontId="23" fillId="74" borderId="10" xfId="0" applyFont="1" applyFill="1" applyBorder="1"/>
    <xf numFmtId="167" fontId="0" fillId="74" borderId="0" xfId="96" applyNumberFormat="1" applyFont="1" applyFill="1"/>
    <xf numFmtId="10" fontId="23" fillId="74" borderId="49" xfId="0" applyNumberFormat="1" applyFont="1" applyFill="1" applyBorder="1"/>
    <xf numFmtId="167" fontId="0" fillId="74" borderId="0" xfId="14" applyNumberFormat="1" applyFont="1" applyFill="1"/>
    <xf numFmtId="165" fontId="0" fillId="74" borderId="17" xfId="0" applyNumberFormat="1" applyFill="1" applyBorder="1"/>
    <xf numFmtId="42" fontId="14" fillId="74" borderId="3" xfId="2" applyNumberFormat="1" applyFont="1" applyFill="1" applyBorder="1"/>
    <xf numFmtId="10" fontId="0" fillId="73" borderId="17" xfId="0" applyNumberFormat="1" applyFill="1" applyBorder="1"/>
    <xf numFmtId="10" fontId="0" fillId="0" borderId="56" xfId="0" applyNumberFormat="1" applyFill="1" applyBorder="1"/>
    <xf numFmtId="10" fontId="0" fillId="73" borderId="57" xfId="0" applyNumberFormat="1" applyFill="1" applyBorder="1"/>
    <xf numFmtId="10" fontId="0" fillId="73" borderId="58" xfId="0" applyNumberFormat="1" applyFill="1" applyBorder="1"/>
    <xf numFmtId="10" fontId="0" fillId="73" borderId="59" xfId="0" applyNumberFormat="1" applyFill="1" applyBorder="1"/>
    <xf numFmtId="0" fontId="23" fillId="74" borderId="49" xfId="0" applyFont="1" applyFill="1" applyBorder="1" applyAlignment="1">
      <alignment horizontal="center"/>
    </xf>
    <xf numFmtId="0" fontId="23" fillId="73" borderId="49" xfId="0" applyFont="1" applyFill="1" applyBorder="1" applyAlignment="1">
      <alignment horizontal="center"/>
    </xf>
    <xf numFmtId="3" fontId="0" fillId="74" borderId="18" xfId="0" applyNumberFormat="1" applyFill="1" applyBorder="1"/>
    <xf numFmtId="3" fontId="0" fillId="74" borderId="19" xfId="0" applyNumberFormat="1" applyFill="1" applyBorder="1"/>
    <xf numFmtId="3" fontId="0" fillId="74" borderId="20" xfId="0" applyNumberFormat="1" applyFill="1" applyBorder="1"/>
    <xf numFmtId="0" fontId="0" fillId="74" borderId="18" xfId="0" applyFill="1" applyBorder="1" applyAlignment="1">
      <alignment horizontal="center"/>
    </xf>
    <xf numFmtId="0" fontId="17" fillId="74" borderId="20" xfId="0" applyFont="1" applyFill="1" applyBorder="1" applyAlignment="1">
      <alignment horizontal="center"/>
    </xf>
    <xf numFmtId="0" fontId="0" fillId="74" borderId="60" xfId="0" applyFill="1" applyBorder="1"/>
    <xf numFmtId="0" fontId="0" fillId="74" borderId="55" xfId="0" applyFill="1" applyBorder="1"/>
    <xf numFmtId="0" fontId="0" fillId="74" borderId="61" xfId="0" applyFill="1" applyBorder="1"/>
    <xf numFmtId="0" fontId="0" fillId="74" borderId="0" xfId="0" applyFill="1" applyBorder="1"/>
    <xf numFmtId="0" fontId="0" fillId="74" borderId="25" xfId="0" applyFill="1" applyBorder="1"/>
    <xf numFmtId="0" fontId="0" fillId="74" borderId="27" xfId="0" applyFill="1" applyBorder="1"/>
    <xf numFmtId="0" fontId="0" fillId="74" borderId="28" xfId="0" applyFill="1" applyBorder="1"/>
    <xf numFmtId="165" fontId="0" fillId="74" borderId="18" xfId="0" applyNumberFormat="1" applyFill="1" applyBorder="1"/>
    <xf numFmtId="165" fontId="0" fillId="74" borderId="19" xfId="0" applyNumberFormat="1" applyFill="1" applyBorder="1"/>
    <xf numFmtId="165" fontId="0" fillId="74" borderId="20" xfId="0" applyNumberFormat="1" applyFill="1" applyBorder="1"/>
    <xf numFmtId="0" fontId="19" fillId="0" borderId="0" xfId="0" applyFont="1" applyBorder="1"/>
    <xf numFmtId="5" fontId="28" fillId="0" borderId="0" xfId="0" applyNumberFormat="1" applyFont="1" applyFill="1" applyBorder="1"/>
    <xf numFmtId="42" fontId="28" fillId="0" borderId="10" xfId="0" applyNumberFormat="1" applyFont="1" applyBorder="1"/>
    <xf numFmtId="10" fontId="28" fillId="0" borderId="0" xfId="0" applyNumberFormat="1" applyFont="1" applyFill="1" applyBorder="1"/>
    <xf numFmtId="0" fontId="14" fillId="0" borderId="0" xfId="2" applyFont="1" applyFill="1" applyBorder="1" applyAlignment="1">
      <alignment vertical="top" wrapText="1"/>
    </xf>
    <xf numFmtId="0" fontId="14" fillId="0" borderId="10" xfId="2" applyFont="1" applyFill="1" applyBorder="1" applyAlignment="1">
      <alignment vertical="top" wrapText="1"/>
    </xf>
    <xf numFmtId="0" fontId="42" fillId="74" borderId="0" xfId="0" applyFont="1" applyFill="1" applyAlignment="1">
      <alignment horizontal="center"/>
    </xf>
    <xf numFmtId="0" fontId="42" fillId="0" borderId="0" xfId="0" applyFont="1" applyAlignment="1">
      <alignment horizontal="center"/>
    </xf>
    <xf numFmtId="227" fontId="0" fillId="0" borderId="0" xfId="42084" applyNumberFormat="1" applyFont="1" applyBorder="1"/>
    <xf numFmtId="227" fontId="0" fillId="0" borderId="0" xfId="42084" applyNumberFormat="1" applyFont="1"/>
    <xf numFmtId="0" fontId="8" fillId="0" borderId="0" xfId="0" applyFont="1" applyBorder="1"/>
    <xf numFmtId="227" fontId="0" fillId="0" borderId="0" xfId="0" applyNumberFormat="1"/>
    <xf numFmtId="0" fontId="42" fillId="0" borderId="0" xfId="0" applyFont="1" applyAlignment="1">
      <alignment horizontal="center"/>
    </xf>
    <xf numFmtId="10" fontId="0" fillId="75" borderId="0" xfId="0" applyNumberFormat="1" applyFill="1"/>
    <xf numFmtId="10" fontId="0" fillId="75" borderId="0" xfId="0" applyNumberFormat="1" applyFill="1" applyBorder="1"/>
    <xf numFmtId="0" fontId="8" fillId="0" borderId="0" xfId="283"/>
    <xf numFmtId="10" fontId="23" fillId="6" borderId="52" xfId="0" applyNumberFormat="1" applyFont="1" applyFill="1" applyBorder="1"/>
    <xf numFmtId="10" fontId="0" fillId="6" borderId="49" xfId="0" applyNumberFormat="1" applyFill="1" applyBorder="1"/>
    <xf numFmtId="10" fontId="23" fillId="74" borderId="50" xfId="0" applyNumberFormat="1" applyFont="1" applyFill="1" applyBorder="1"/>
    <xf numFmtId="9" fontId="0" fillId="6" borderId="49" xfId="0" applyNumberFormat="1" applyFill="1" applyBorder="1"/>
    <xf numFmtId="9" fontId="0" fillId="6" borderId="49" xfId="16" applyFont="1" applyFill="1" applyBorder="1"/>
    <xf numFmtId="5" fontId="19" fillId="74" borderId="52" xfId="0" applyNumberFormat="1" applyFont="1" applyFill="1" applyBorder="1"/>
    <xf numFmtId="42" fontId="28" fillId="0" borderId="15" xfId="0" applyNumberFormat="1" applyFont="1" applyFill="1" applyBorder="1"/>
    <xf numFmtId="10" fontId="19" fillId="74" borderId="52" xfId="13" applyNumberFormat="1" applyFont="1" applyFill="1" applyBorder="1"/>
    <xf numFmtId="42" fontId="28" fillId="0" borderId="0" xfId="0" applyNumberFormat="1" applyFont="1" applyFill="1" applyBorder="1"/>
    <xf numFmtId="0" fontId="28" fillId="0" borderId="10" xfId="0" applyFont="1" applyBorder="1" applyAlignment="1">
      <alignment horizontal="center"/>
    </xf>
    <xf numFmtId="37" fontId="28" fillId="0" borderId="10" xfId="1" applyNumberFormat="1" applyFont="1" applyBorder="1"/>
    <xf numFmtId="10" fontId="19" fillId="0" borderId="10" xfId="13" applyNumberFormat="1" applyFont="1" applyBorder="1"/>
    <xf numFmtId="10" fontId="28" fillId="0" borderId="10" xfId="13" applyNumberFormat="1" applyFont="1" applyFill="1" applyBorder="1"/>
    <xf numFmtId="0" fontId="28" fillId="0" borderId="0" xfId="0" applyFont="1" applyFill="1" applyBorder="1" applyAlignment="1">
      <alignment horizontal="center"/>
    </xf>
    <xf numFmtId="0" fontId="28" fillId="0" borderId="0" xfId="0" applyFont="1" applyFill="1" applyBorder="1"/>
    <xf numFmtId="0" fontId="0" fillId="0" borderId="0" xfId="0" quotePrefix="1" applyFill="1" applyBorder="1" applyAlignment="1">
      <alignment vertical="top"/>
    </xf>
    <xf numFmtId="0" fontId="28" fillId="0" borderId="0" xfId="0" applyFont="1" applyFill="1" applyBorder="1" applyAlignment="1">
      <alignment horizontal="left" vertical="top" wrapText="1"/>
    </xf>
    <xf numFmtId="0" fontId="28" fillId="0" borderId="10" xfId="0" applyFont="1" applyFill="1" applyBorder="1" applyAlignment="1">
      <alignment horizontal="center"/>
    </xf>
    <xf numFmtId="0" fontId="28" fillId="0" borderId="54" xfId="0" applyFont="1" applyBorder="1"/>
    <xf numFmtId="227" fontId="28" fillId="0" borderId="0" xfId="0" applyNumberFormat="1" applyFont="1"/>
    <xf numFmtId="42" fontId="28" fillId="6" borderId="49" xfId="0" applyNumberFormat="1" applyFont="1" applyFill="1" applyBorder="1"/>
    <xf numFmtId="0" fontId="14" fillId="0" borderId="1" xfId="2" applyFont="1" applyBorder="1"/>
    <xf numFmtId="10" fontId="14" fillId="0" borderId="5" xfId="2" applyNumberFormat="1" applyFont="1" applyBorder="1"/>
    <xf numFmtId="42" fontId="14" fillId="0" borderId="5" xfId="2" applyNumberFormat="1" applyFont="1" applyBorder="1"/>
    <xf numFmtId="41" fontId="14" fillId="0" borderId="5" xfId="2" applyNumberFormat="1" applyFont="1" applyFill="1" applyBorder="1"/>
    <xf numFmtId="42" fontId="14" fillId="0" borderId="5" xfId="2" applyNumberFormat="1" applyFont="1" applyFill="1" applyBorder="1"/>
    <xf numFmtId="0" fontId="14" fillId="0" borderId="5" xfId="2" applyFont="1" applyBorder="1"/>
    <xf numFmtId="226" fontId="14" fillId="0" borderId="5" xfId="2" applyNumberFormat="1" applyFont="1" applyBorder="1"/>
    <xf numFmtId="42" fontId="15" fillId="74" borderId="8" xfId="2" applyNumberFormat="1" applyFont="1" applyFill="1" applyBorder="1"/>
    <xf numFmtId="0" fontId="19" fillId="0" borderId="24" xfId="0" applyFont="1" applyBorder="1" applyAlignment="1">
      <alignment horizontal="center"/>
    </xf>
    <xf numFmtId="0" fontId="27" fillId="0" borderId="25" xfId="0" applyFont="1" applyBorder="1" applyAlignment="1">
      <alignment horizontal="center"/>
    </xf>
    <xf numFmtId="0" fontId="19" fillId="0" borderId="62" xfId="0" applyFont="1" applyBorder="1" applyAlignment="1">
      <alignment horizontal="center"/>
    </xf>
    <xf numFmtId="0" fontId="27" fillId="0" borderId="54" xfId="0" applyFont="1" applyBorder="1" applyAlignment="1">
      <alignment horizontal="center"/>
    </xf>
    <xf numFmtId="0" fontId="28" fillId="0" borderId="24" xfId="0" applyFont="1" applyBorder="1"/>
    <xf numFmtId="0" fontId="29" fillId="0" borderId="25" xfId="0" applyFont="1" applyBorder="1"/>
    <xf numFmtId="0" fontId="28" fillId="0" borderId="24" xfId="0" applyFont="1" applyBorder="1" applyAlignment="1">
      <alignment horizontal="center"/>
    </xf>
    <xf numFmtId="169" fontId="29" fillId="0" borderId="25" xfId="0" applyNumberFormat="1" applyFont="1" applyBorder="1"/>
    <xf numFmtId="169" fontId="19" fillId="0" borderId="0" xfId="0" applyNumberFormat="1" applyFont="1" applyBorder="1"/>
    <xf numFmtId="169" fontId="28" fillId="0" borderId="0" xfId="0" applyNumberFormat="1" applyFont="1" applyBorder="1"/>
    <xf numFmtId="169" fontId="28" fillId="0" borderId="25" xfId="0" applyNumberFormat="1" applyFont="1" applyBorder="1"/>
    <xf numFmtId="169" fontId="29" fillId="0" borderId="63" xfId="0" applyNumberFormat="1" applyFont="1" applyBorder="1"/>
    <xf numFmtId="10" fontId="32" fillId="0" borderId="0" xfId="0" applyNumberFormat="1" applyFont="1" applyBorder="1"/>
    <xf numFmtId="169" fontId="29" fillId="0" borderId="54" xfId="0" applyNumberFormat="1" applyFont="1" applyBorder="1"/>
    <xf numFmtId="171" fontId="29" fillId="74" borderId="64" xfId="0" applyNumberFormat="1" applyFont="1" applyFill="1" applyBorder="1"/>
    <xf numFmtId="0" fontId="0" fillId="0" borderId="26" xfId="0" applyBorder="1"/>
    <xf numFmtId="0" fontId="0" fillId="0" borderId="28" xfId="0" applyBorder="1"/>
    <xf numFmtId="223" fontId="28" fillId="0" borderId="0" xfId="14" applyNumberFormat="1" applyFont="1" applyBorder="1"/>
    <xf numFmtId="10" fontId="10" fillId="76" borderId="56" xfId="2" applyNumberFormat="1" applyFont="1" applyFill="1" applyBorder="1"/>
    <xf numFmtId="42" fontId="15" fillId="76" borderId="49" xfId="2" applyNumberFormat="1" applyFont="1" applyFill="1" applyBorder="1"/>
    <xf numFmtId="42" fontId="15" fillId="76" borderId="49" xfId="2" applyNumberFormat="1" applyFont="1" applyFill="1" applyBorder="1" applyAlignment="1">
      <alignment horizontal="left"/>
    </xf>
    <xf numFmtId="10" fontId="15" fillId="76" borderId="49" xfId="16" applyNumberFormat="1" applyFont="1" applyFill="1" applyBorder="1" applyAlignment="1">
      <alignment horizontal="center"/>
    </xf>
    <xf numFmtId="42" fontId="19" fillId="76" borderId="49" xfId="0" applyNumberFormat="1" applyFont="1" applyFill="1" applyBorder="1"/>
    <xf numFmtId="0" fontId="42" fillId="76" borderId="50" xfId="0" applyFont="1" applyFill="1" applyBorder="1" applyAlignment="1">
      <alignment horizontal="center"/>
    </xf>
    <xf numFmtId="0" fontId="42" fillId="76" borderId="51" xfId="0" applyFont="1" applyFill="1" applyBorder="1" applyAlignment="1">
      <alignment horizontal="center"/>
    </xf>
    <xf numFmtId="0" fontId="42" fillId="76" borderId="52" xfId="0" applyFont="1" applyFill="1" applyBorder="1" applyAlignment="1">
      <alignment horizontal="center"/>
    </xf>
    <xf numFmtId="0" fontId="42" fillId="6" borderId="50" xfId="0" applyFont="1" applyFill="1" applyBorder="1" applyAlignment="1">
      <alignment horizontal="center"/>
    </xf>
    <xf numFmtId="0" fontId="42" fillId="6" borderId="51" xfId="0" applyFont="1" applyFill="1" applyBorder="1" applyAlignment="1">
      <alignment horizontal="center"/>
    </xf>
    <xf numFmtId="0" fontId="42" fillId="6" borderId="52" xfId="0" applyFont="1" applyFill="1" applyBorder="1" applyAlignment="1">
      <alignment horizontal="center"/>
    </xf>
    <xf numFmtId="0" fontId="42" fillId="0" borderId="0" xfId="0" applyFont="1" applyAlignment="1">
      <alignment horizontal="center"/>
    </xf>
    <xf numFmtId="0" fontId="42" fillId="74" borderId="0" xfId="0" applyFont="1" applyFill="1" applyAlignment="1">
      <alignment horizontal="center"/>
    </xf>
    <xf numFmtId="0" fontId="161" fillId="0" borderId="0" xfId="0" applyFont="1" applyAlignment="1">
      <alignment horizontal="center"/>
    </xf>
    <xf numFmtId="0" fontId="19" fillId="0" borderId="0" xfId="17" applyFont="1" applyBorder="1" applyAlignment="1">
      <alignment horizontal="center"/>
    </xf>
    <xf numFmtId="0" fontId="19" fillId="0" borderId="0" xfId="17" applyFont="1" applyAlignment="1">
      <alignment horizontal="center"/>
    </xf>
    <xf numFmtId="0" fontId="19" fillId="74" borderId="60" xfId="17" applyFont="1" applyFill="1" applyBorder="1" applyAlignment="1">
      <alignment horizontal="center"/>
    </xf>
    <xf numFmtId="0" fontId="19" fillId="74" borderId="55" xfId="17" applyFont="1" applyFill="1" applyBorder="1" applyAlignment="1">
      <alignment horizontal="center"/>
    </xf>
    <xf numFmtId="0" fontId="19" fillId="74" borderId="61" xfId="17" applyFont="1" applyFill="1" applyBorder="1" applyAlignment="1">
      <alignment horizontal="center"/>
    </xf>
    <xf numFmtId="0" fontId="19" fillId="0" borderId="24" xfId="17" applyFont="1" applyBorder="1" applyAlignment="1">
      <alignment horizontal="center"/>
    </xf>
    <xf numFmtId="0" fontId="19" fillId="0" borderId="25" xfId="17" applyFont="1" applyBorder="1" applyAlignment="1">
      <alignment horizontal="center"/>
    </xf>
    <xf numFmtId="0" fontId="19" fillId="0" borderId="26" xfId="17" applyFont="1" applyBorder="1" applyAlignment="1">
      <alignment horizontal="center"/>
    </xf>
    <xf numFmtId="0" fontId="19" fillId="0" borderId="27" xfId="17" applyFont="1" applyBorder="1" applyAlignment="1">
      <alignment horizontal="center"/>
    </xf>
    <xf numFmtId="0" fontId="19" fillId="0" borderId="28" xfId="17" applyFont="1" applyBorder="1" applyAlignment="1">
      <alignment horizontal="center"/>
    </xf>
    <xf numFmtId="0" fontId="19" fillId="74" borderId="50" xfId="0" applyFont="1" applyFill="1" applyBorder="1" applyAlignment="1">
      <alignment horizontal="center"/>
    </xf>
    <xf numFmtId="0" fontId="19" fillId="74" borderId="51" xfId="0" applyFont="1" applyFill="1" applyBorder="1" applyAlignment="1">
      <alignment horizontal="center"/>
    </xf>
    <xf numFmtId="0" fontId="19" fillId="74" borderId="52" xfId="0" applyFont="1" applyFill="1" applyBorder="1" applyAlignment="1">
      <alignment horizontal="center"/>
    </xf>
    <xf numFmtId="0" fontId="19" fillId="0" borderId="24" xfId="0" applyFont="1" applyBorder="1" applyAlignment="1">
      <alignment horizontal="center"/>
    </xf>
    <xf numFmtId="0" fontId="19" fillId="0" borderId="0"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168" fontId="14" fillId="0" borderId="55" xfId="2" quotePrefix="1" applyNumberFormat="1"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40" fillId="74" borderId="0" xfId="2" applyFont="1" applyFill="1" applyBorder="1" applyAlignment="1">
      <alignment horizontal="left" vertical="top" wrapText="1"/>
    </xf>
    <xf numFmtId="0" fontId="14" fillId="0" borderId="55" xfId="2"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3" fontId="14" fillId="0" borderId="51" xfId="2" applyNumberFormat="1" applyFont="1" applyBorder="1" applyAlignment="1">
      <alignment horizontal="center"/>
    </xf>
    <xf numFmtId="3" fontId="14" fillId="0" borderId="52" xfId="2" applyNumberFormat="1" applyFont="1" applyBorder="1" applyAlignment="1">
      <alignment horizontal="center"/>
    </xf>
    <xf numFmtId="0" fontId="14" fillId="0" borderId="51" xfId="2" applyFont="1" applyBorder="1" applyAlignment="1">
      <alignment horizontal="center"/>
    </xf>
    <xf numFmtId="0" fontId="14" fillId="0" borderId="0" xfId="2" applyFont="1" applyFill="1" applyBorder="1" applyAlignment="1">
      <alignment horizontal="center" vertical="center" wrapText="1"/>
    </xf>
    <xf numFmtId="0" fontId="14" fillId="0" borderId="10" xfId="2" applyFont="1" applyFill="1" applyBorder="1" applyAlignment="1">
      <alignment horizontal="center" vertical="center" wrapText="1"/>
    </xf>
    <xf numFmtId="3" fontId="33" fillId="0" borderId="0" xfId="12" applyNumberFormat="1" applyFont="1" applyFill="1" applyBorder="1" applyAlignment="1">
      <alignment horizontal="center"/>
    </xf>
    <xf numFmtId="3" fontId="41" fillId="0" borderId="27" xfId="12" applyNumberFormat="1" applyFont="1" applyFill="1" applyBorder="1" applyAlignment="1">
      <alignment horizontal="center"/>
    </xf>
    <xf numFmtId="168" fontId="14" fillId="0" borderId="0" xfId="2" applyNumberFormat="1" applyFont="1" applyFill="1" applyBorder="1" applyAlignment="1">
      <alignment horizontal="center" wrapText="1"/>
    </xf>
    <xf numFmtId="168" fontId="14" fillId="0" borderId="0" xfId="2" quotePrefix="1" applyNumberFormat="1" applyFont="1" applyFill="1" applyBorder="1" applyAlignment="1">
      <alignment horizontal="center" wrapText="1"/>
    </xf>
    <xf numFmtId="168" fontId="14" fillId="0" borderId="10" xfId="2" quotePrefix="1" applyNumberFormat="1" applyFont="1" applyFill="1" applyBorder="1" applyAlignment="1">
      <alignment horizontal="center" wrapText="1"/>
    </xf>
    <xf numFmtId="0" fontId="14" fillId="0" borderId="0" xfId="2" applyFont="1" applyFill="1" applyBorder="1" applyAlignment="1">
      <alignment horizontal="center" wrapText="1"/>
    </xf>
    <xf numFmtId="0" fontId="14" fillId="0" borderId="0" xfId="2" quotePrefix="1" applyFont="1" applyFill="1" applyBorder="1" applyAlignment="1">
      <alignment horizontal="center" wrapText="1"/>
    </xf>
    <xf numFmtId="0" fontId="14" fillId="0" borderId="10" xfId="2" quotePrefix="1" applyFont="1" applyFill="1" applyBorder="1" applyAlignment="1">
      <alignment horizontal="center" wrapText="1"/>
    </xf>
    <xf numFmtId="0" fontId="14" fillId="0" borderId="10" xfId="2" applyFont="1" applyFill="1" applyBorder="1" applyAlignment="1">
      <alignment horizontal="center" wrapText="1"/>
    </xf>
    <xf numFmtId="0" fontId="14" fillId="0" borderId="0" xfId="2" applyFont="1" applyBorder="1" applyAlignment="1">
      <alignment horizontal="center" vertical="center" wrapText="1"/>
    </xf>
    <xf numFmtId="0" fontId="14" fillId="0" borderId="10" xfId="2" applyFont="1" applyBorder="1" applyAlignment="1">
      <alignment horizontal="center" vertical="center" wrapText="1"/>
    </xf>
    <xf numFmtId="0" fontId="14" fillId="0" borderId="50" xfId="2" applyFont="1" applyBorder="1" applyAlignment="1">
      <alignment horizontal="center"/>
    </xf>
    <xf numFmtId="0" fontId="0" fillId="0" borderId="51" xfId="0" applyBorder="1" applyAlignment="1">
      <alignment horizontal="center"/>
    </xf>
    <xf numFmtId="3" fontId="10" fillId="0" borderId="0" xfId="12" applyNumberFormat="1" applyFont="1" applyFill="1" applyAlignment="1">
      <alignment horizontal="left" vertical="top" wrapText="1"/>
    </xf>
    <xf numFmtId="168" fontId="14" fillId="0" borderId="3" xfId="2" quotePrefix="1" applyNumberFormat="1" applyFont="1" applyBorder="1" applyAlignment="1">
      <alignment horizontal="center" vertical="center" wrapText="1"/>
    </xf>
    <xf numFmtId="168" fontId="14" fillId="0" borderId="0" xfId="2" quotePrefix="1" applyNumberFormat="1" applyFont="1" applyBorder="1" applyAlignment="1">
      <alignment horizontal="center" vertical="center" wrapText="1"/>
    </xf>
    <xf numFmtId="168" fontId="14" fillId="0" borderId="10" xfId="2" quotePrefix="1" applyNumberFormat="1" applyFont="1" applyBorder="1" applyAlignment="1">
      <alignment horizontal="center" vertical="center" wrapText="1"/>
    </xf>
    <xf numFmtId="168" fontId="14" fillId="0" borderId="3" xfId="2" quotePrefix="1" applyNumberFormat="1" applyFont="1" applyFill="1" applyBorder="1" applyAlignment="1">
      <alignment horizontal="center" wrapText="1"/>
    </xf>
    <xf numFmtId="168" fontId="14" fillId="0" borderId="3" xfId="2" quotePrefix="1" applyNumberFormat="1" applyFont="1" applyFill="1" applyBorder="1" applyAlignment="1">
      <alignment horizontal="center" vertical="center" wrapText="1"/>
    </xf>
    <xf numFmtId="168" fontId="14" fillId="0" borderId="0" xfId="2" quotePrefix="1" applyNumberFormat="1" applyFont="1" applyFill="1" applyBorder="1" applyAlignment="1">
      <alignment horizontal="center" vertical="center" wrapText="1"/>
    </xf>
    <xf numFmtId="168" fontId="14" fillId="0" borderId="10" xfId="2" quotePrefix="1" applyNumberFormat="1" applyFont="1" applyFill="1" applyBorder="1" applyAlignment="1">
      <alignment horizontal="center" vertic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158" fillId="74" borderId="0" xfId="0" applyFont="1" applyFill="1" applyAlignment="1">
      <alignment horizontal="left"/>
    </xf>
    <xf numFmtId="0" fontId="23" fillId="74" borderId="0" xfId="0" applyFont="1" applyFill="1" applyAlignment="1">
      <alignment horizontal="left" vertical="top" wrapText="1"/>
    </xf>
    <xf numFmtId="0" fontId="19" fillId="0" borderId="0" xfId="0" applyFont="1" applyAlignment="1">
      <alignment horizontal="center"/>
    </xf>
    <xf numFmtId="0" fontId="147" fillId="0" borderId="0" xfId="0" applyFont="1" applyAlignment="1">
      <alignment horizontal="center" wrapText="1"/>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5">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27" xfId="42083"/>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34" xfId="42071"/>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xfId="42084" builtinId="4"/>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33" xfId="42072"/>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16" xfId="42073"/>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14" xfId="42074"/>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18" xfId="42075"/>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3 6" xfId="42076"/>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32" xfId="4207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31" xfId="42078"/>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6 9" xfId="42079"/>
    <cellStyle name="Normal 60" xfId="42070"/>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30" xfId="42080"/>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34" xfId="42081"/>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30" xfId="42082"/>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after DFIT</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plant'!$A$36</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10916163604549453"/>
                  <c:y val="0.28457312627588238"/>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'Net plant'!$B$35:$G$35</c:f>
              <c:numCache>
                <c:formatCode>General</c:formatCode>
                <c:ptCount val="6"/>
                <c:pt idx="0">
                  <c:v>0</c:v>
                </c:pt>
                <c:pt idx="1">
                  <c:v>1</c:v>
                </c:pt>
                <c:pt idx="2">
                  <c:v>2</c:v>
                </c:pt>
                <c:pt idx="3">
                  <c:v>3</c:v>
                </c:pt>
                <c:pt idx="4">
                  <c:v>4</c:v>
                </c:pt>
                <c:pt idx="5">
                  <c:v>5</c:v>
                </c:pt>
              </c:numCache>
            </c:numRef>
          </c:xVal>
          <c:yVal>
            <c:numRef>
              <c:f>'Net plant'!$B$36:$G$36</c:f>
              <c:numCache>
                <c:formatCode>#,##0</c:formatCode>
                <c:ptCount val="6"/>
                <c:pt idx="0">
                  <c:v>173806</c:v>
                </c:pt>
                <c:pt idx="1">
                  <c:v>177901</c:v>
                </c:pt>
                <c:pt idx="2">
                  <c:v>183553</c:v>
                </c:pt>
                <c:pt idx="3">
                  <c:v>195287</c:v>
                </c:pt>
                <c:pt idx="4">
                  <c:v>207759</c:v>
                </c:pt>
                <c:pt idx="5">
                  <c:v>225901</c:v>
                </c:pt>
              </c:numCache>
            </c:numRef>
          </c:yVal>
          <c:smooth val="0"/>
        </c:ser>
        <c:ser>
          <c:idx val="1"/>
          <c:order val="1"/>
          <c:tx>
            <c:strRef>
              <c:f>'Net plant'!#REF!</c:f>
              <c:strCache>
                <c:ptCount val="1"/>
                <c:pt idx="0">
                  <c:v>#REF!</c:v>
                </c:pt>
              </c:strCache>
            </c:strRef>
          </c:tx>
          <c:spPr>
            <a:ln w="28575" cap="rnd">
              <a:noFill/>
              <a:round/>
            </a:ln>
            <a:effectLst/>
          </c:spPr>
          <c:marker>
            <c:symbol val="circle"/>
            <c:size val="5"/>
            <c:spPr>
              <a:noFill/>
              <a:ln w="9525">
                <a:noFill/>
              </a:ln>
              <a:effectLst/>
            </c:spPr>
          </c:marker>
          <c:trendline>
            <c:spPr>
              <a:ln w="19050" cap="rnd">
                <a:solidFill>
                  <a:schemeClr val="accent2"/>
                </a:solidFill>
                <a:prstDash val="sysDot"/>
              </a:ln>
              <a:effectLst/>
            </c:spPr>
            <c:trendlineType val="poly"/>
            <c:order val="2"/>
            <c:dispRSqr val="0"/>
            <c:dispEq val="0"/>
          </c:trendline>
          <c:xVal>
            <c:numRef>
              <c:f>'Net plant'!$B$35:$G$35</c:f>
              <c:numCache>
                <c:formatCode>General</c:formatCode>
                <c:ptCount val="6"/>
                <c:pt idx="0">
                  <c:v>0</c:v>
                </c:pt>
                <c:pt idx="1">
                  <c:v>1</c:v>
                </c:pt>
                <c:pt idx="2">
                  <c:v>2</c:v>
                </c:pt>
                <c:pt idx="3">
                  <c:v>3</c:v>
                </c:pt>
                <c:pt idx="4">
                  <c:v>4</c:v>
                </c:pt>
                <c:pt idx="5">
                  <c:v>5</c:v>
                </c:pt>
              </c:numCache>
            </c:numRef>
          </c:xVal>
          <c:yVal>
            <c:numRef>
              <c:f>'Net plant'!#REF!</c:f>
              <c:numCache>
                <c:formatCode>General</c:formatCode>
                <c:ptCount val="1"/>
                <c:pt idx="0">
                  <c:v>1</c:v>
                </c:pt>
              </c:numCache>
            </c:numRef>
          </c:yVal>
          <c:smooth val="0"/>
        </c:ser>
        <c:dLbls>
          <c:showLegendKey val="0"/>
          <c:showVal val="0"/>
          <c:showCatName val="0"/>
          <c:showSerName val="0"/>
          <c:showPercent val="0"/>
          <c:showBubbleSize val="0"/>
        </c:dLbls>
        <c:axId val="163658992"/>
        <c:axId val="367433752"/>
      </c:scatterChart>
      <c:valAx>
        <c:axId val="163658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433752"/>
        <c:crosses val="autoZero"/>
        <c:crossBetween val="midCat"/>
      </c:valAx>
      <c:valAx>
        <c:axId val="367433752"/>
        <c:scaling>
          <c:orientation val="minMax"/>
          <c:max val="230000"/>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658992"/>
        <c:crosses val="autoZero"/>
        <c:crossBetween val="midCat"/>
      </c:valAx>
      <c:spPr>
        <a:noFill/>
        <a:ln>
          <a:noFill/>
        </a:ln>
        <a:effectLst/>
      </c:spPr>
    </c:plotArea>
    <c:legend>
      <c:legendPos val="b"/>
      <c:legendEntry>
        <c:idx val="1"/>
        <c:delete val="1"/>
      </c:legendEntry>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68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ser>
        <c:dLbls>
          <c:showLegendKey val="0"/>
          <c:showVal val="0"/>
          <c:showCatName val="0"/>
          <c:showSerName val="0"/>
          <c:showPercent val="0"/>
          <c:showBubbleSize val="0"/>
        </c:dLbls>
        <c:axId val="164086376"/>
        <c:axId val="164091472"/>
      </c:scatterChart>
      <c:valAx>
        <c:axId val="164086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91472"/>
        <c:crosses val="autoZero"/>
        <c:crossBetween val="midCat"/>
      </c:valAx>
      <c:valAx>
        <c:axId val="164091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6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Exp'!$A$5</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Exp'!$B$5:$G$5</c:f>
              <c:numCache>
                <c:formatCode>#,##0</c:formatCode>
                <c:ptCount val="6"/>
                <c:pt idx="0">
                  <c:v>24600</c:v>
                </c:pt>
                <c:pt idx="1">
                  <c:v>26009</c:v>
                </c:pt>
                <c:pt idx="2">
                  <c:v>27851.852941999998</c:v>
                </c:pt>
                <c:pt idx="4">
                  <c:v>31057</c:v>
                </c:pt>
                <c:pt idx="5">
                  <c:v>31478</c:v>
                </c:pt>
              </c:numCache>
            </c:numRef>
          </c:yVal>
          <c:smooth val="0"/>
        </c:ser>
        <c:ser>
          <c:idx val="1"/>
          <c:order val="1"/>
          <c:tx>
            <c:strRef>
              <c:f>'Op Exp'!$A$6</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Exp'!$B$6:$G$6</c:f>
              <c:numCache>
                <c:formatCode>#,##0</c:formatCode>
                <c:ptCount val="6"/>
                <c:pt idx="3">
                  <c:v>30759</c:v>
                </c:pt>
              </c:numCache>
            </c:numRef>
          </c:yVal>
          <c:smooth val="0"/>
        </c:ser>
        <c:ser>
          <c:idx val="2"/>
          <c:order val="2"/>
          <c:tx>
            <c:strRef>
              <c:f>'Op Exp'!$A$7</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9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Exp'!$B$4:$G$4</c:f>
              <c:numCache>
                <c:formatCode>General</c:formatCode>
                <c:ptCount val="6"/>
                <c:pt idx="0">
                  <c:v>2009</c:v>
                </c:pt>
                <c:pt idx="1">
                  <c:v>2010</c:v>
                </c:pt>
                <c:pt idx="2">
                  <c:v>2011</c:v>
                </c:pt>
                <c:pt idx="3">
                  <c:v>2012</c:v>
                </c:pt>
                <c:pt idx="4">
                  <c:v>2013</c:v>
                </c:pt>
                <c:pt idx="5">
                  <c:v>2014</c:v>
                </c:pt>
              </c:numCache>
            </c:numRef>
          </c:xVal>
          <c:yVal>
            <c:numRef>
              <c:f>'Op Exp'!$B$7:$G$7</c:f>
              <c:numCache>
                <c:formatCode>General</c:formatCode>
                <c:ptCount val="6"/>
                <c:pt idx="4" formatCode="#,##0">
                  <c:v>31057</c:v>
                </c:pt>
                <c:pt idx="5" formatCode="#,##0">
                  <c:v>31478</c:v>
                </c:pt>
              </c:numCache>
            </c:numRef>
          </c:yVal>
          <c:smooth val="0"/>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Exp'!$B$4:$G$4</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ser>
        <c:dLbls>
          <c:showLegendKey val="0"/>
          <c:showVal val="0"/>
          <c:showCatName val="0"/>
          <c:showSerName val="0"/>
          <c:showPercent val="0"/>
          <c:showBubbleSize val="0"/>
        </c:dLbls>
        <c:axId val="164089512"/>
        <c:axId val="164092256"/>
      </c:scatterChart>
      <c:valAx>
        <c:axId val="164089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92256"/>
        <c:crosses val="autoZero"/>
        <c:crossBetween val="midCat"/>
      </c:valAx>
      <c:valAx>
        <c:axId val="164092256"/>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9512"/>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trends'!$B$17</c:f>
              <c:strCache>
                <c:ptCount val="1"/>
                <c:pt idx="0">
                  <c:v>Distribution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914842292112315E-2"/>
                  <c:y val="0.24680701370662034"/>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trends'!$C$16:$H$16</c:f>
              <c:numCache>
                <c:formatCode>General</c:formatCode>
                <c:ptCount val="6"/>
                <c:pt idx="0">
                  <c:v>2009</c:v>
                </c:pt>
                <c:pt idx="1">
                  <c:v>2010</c:v>
                </c:pt>
                <c:pt idx="2">
                  <c:v>2011</c:v>
                </c:pt>
                <c:pt idx="3">
                  <c:v>2012</c:v>
                </c:pt>
                <c:pt idx="4">
                  <c:v>2013</c:v>
                </c:pt>
                <c:pt idx="5">
                  <c:v>2014</c:v>
                </c:pt>
              </c:numCache>
            </c:numRef>
          </c:xVal>
          <c:yVal>
            <c:numRef>
              <c:f>'Plant trends'!$C$17:$H$17</c:f>
              <c:numCache>
                <c:formatCode>General</c:formatCode>
                <c:ptCount val="6"/>
                <c:pt idx="0">
                  <c:v>171955</c:v>
                </c:pt>
                <c:pt idx="1">
                  <c:v>179849</c:v>
                </c:pt>
                <c:pt idx="2">
                  <c:v>183790</c:v>
                </c:pt>
                <c:pt idx="3">
                  <c:v>193474</c:v>
                </c:pt>
                <c:pt idx="4">
                  <c:v>204807</c:v>
                </c:pt>
                <c:pt idx="5">
                  <c:v>223099</c:v>
                </c:pt>
              </c:numCache>
            </c:numRef>
          </c:yVal>
          <c:smooth val="0"/>
        </c:ser>
        <c:dLbls>
          <c:showLegendKey val="0"/>
          <c:showVal val="0"/>
          <c:showCatName val="0"/>
          <c:showSerName val="0"/>
          <c:showPercent val="0"/>
          <c:showBubbleSize val="0"/>
        </c:dLbls>
        <c:axId val="164086768"/>
        <c:axId val="164090296"/>
      </c:scatterChart>
      <c:valAx>
        <c:axId val="164086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90296"/>
        <c:crosses val="autoZero"/>
        <c:crossBetween val="midCat"/>
      </c:valAx>
      <c:valAx>
        <c:axId val="164090296"/>
        <c:scaling>
          <c:orientation val="minMax"/>
          <c:min val="1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67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trends'!$B$19</c:f>
              <c:strCache>
                <c:ptCount val="1"/>
                <c:pt idx="0">
                  <c:v>General Plant</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1754395946171504E-2"/>
                  <c:y val="0.19351072495248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trends'!$C$18:$H$18</c:f>
              <c:numCache>
                <c:formatCode>General</c:formatCode>
                <c:ptCount val="6"/>
                <c:pt idx="0">
                  <c:v>2009</c:v>
                </c:pt>
                <c:pt idx="1">
                  <c:v>2010</c:v>
                </c:pt>
                <c:pt idx="2">
                  <c:v>2011</c:v>
                </c:pt>
                <c:pt idx="3">
                  <c:v>2012</c:v>
                </c:pt>
                <c:pt idx="4">
                  <c:v>2013</c:v>
                </c:pt>
                <c:pt idx="5">
                  <c:v>2014</c:v>
                </c:pt>
              </c:numCache>
            </c:numRef>
          </c:xVal>
          <c:yVal>
            <c:numRef>
              <c:f>'Plant trends'!$C$19:$H$19</c:f>
              <c:numCache>
                <c:formatCode>General</c:formatCode>
                <c:ptCount val="6"/>
                <c:pt idx="0">
                  <c:v>18865</c:v>
                </c:pt>
                <c:pt idx="1">
                  <c:v>22679</c:v>
                </c:pt>
                <c:pt idx="2">
                  <c:v>28045</c:v>
                </c:pt>
                <c:pt idx="3">
                  <c:v>32623</c:v>
                </c:pt>
                <c:pt idx="4">
                  <c:v>37499</c:v>
                </c:pt>
                <c:pt idx="5">
                  <c:v>41740</c:v>
                </c:pt>
              </c:numCache>
            </c:numRef>
          </c:yVal>
          <c:smooth val="0"/>
        </c:ser>
        <c:dLbls>
          <c:showLegendKey val="0"/>
          <c:showVal val="0"/>
          <c:showCatName val="0"/>
          <c:showSerName val="0"/>
          <c:showPercent val="0"/>
          <c:showBubbleSize val="0"/>
        </c:dLbls>
        <c:axId val="164088336"/>
        <c:axId val="164087160"/>
      </c:scatterChart>
      <c:valAx>
        <c:axId val="1640883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7160"/>
        <c:crosses val="autoZero"/>
        <c:crossBetween val="midCat"/>
      </c:valAx>
      <c:valAx>
        <c:axId val="164087160"/>
        <c:scaling>
          <c:orientation val="minMax"/>
          <c:min val="1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8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'Plant trends'!$B$21</c:f>
              <c:strCache>
                <c:ptCount val="1"/>
                <c:pt idx="0">
                  <c:v>Underground Storage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0"/>
            <c:trendlineLbl>
              <c:layout>
                <c:manualLayout>
                  <c:x val="-5.051167846443437E-2"/>
                  <c:y val="9.6500914875408655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'Plant trends'!$C$20:$H$20</c:f>
              <c:numCache>
                <c:formatCode>General</c:formatCode>
                <c:ptCount val="6"/>
                <c:pt idx="0">
                  <c:v>2009</c:v>
                </c:pt>
                <c:pt idx="1">
                  <c:v>2010</c:v>
                </c:pt>
                <c:pt idx="2">
                  <c:v>2011</c:v>
                </c:pt>
                <c:pt idx="3">
                  <c:v>2012</c:v>
                </c:pt>
                <c:pt idx="4">
                  <c:v>2013</c:v>
                </c:pt>
                <c:pt idx="5">
                  <c:v>2014</c:v>
                </c:pt>
              </c:numCache>
            </c:numRef>
          </c:xVal>
          <c:yVal>
            <c:numRef>
              <c:f>'Plant trends'!$C$21:$H$21</c:f>
              <c:numCache>
                <c:formatCode>General</c:formatCode>
                <c:ptCount val="6"/>
                <c:pt idx="1">
                  <c:v>12135</c:v>
                </c:pt>
                <c:pt idx="2">
                  <c:v>13722</c:v>
                </c:pt>
                <c:pt idx="3">
                  <c:v>15688</c:v>
                </c:pt>
                <c:pt idx="4">
                  <c:v>15623</c:v>
                </c:pt>
                <c:pt idx="5">
                  <c:v>15714</c:v>
                </c:pt>
              </c:numCache>
            </c:numRef>
          </c:yVal>
          <c:smooth val="0"/>
        </c:ser>
        <c:dLbls>
          <c:showLegendKey val="0"/>
          <c:showVal val="0"/>
          <c:showCatName val="0"/>
          <c:showSerName val="0"/>
          <c:showPercent val="0"/>
          <c:showBubbleSize val="0"/>
        </c:dLbls>
        <c:axId val="164087552"/>
        <c:axId val="164087944"/>
      </c:scatterChart>
      <c:valAx>
        <c:axId val="164087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7944"/>
        <c:crosses val="autoZero"/>
        <c:crossBetween val="midCat"/>
      </c:valAx>
      <c:valAx>
        <c:axId val="164087944"/>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7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a:t>
            </a:r>
            <a:r>
              <a:rPr lang="en-US" baseline="0"/>
              <a:t> Plant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'Plant trends'!$B$11</c:f>
              <c:strCache>
                <c:ptCount val="1"/>
                <c:pt idx="0">
                  <c:v>Underground Storage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trends'!$C$11:$H$11</c:f>
              <c:numCache>
                <c:formatCode>General</c:formatCode>
                <c:ptCount val="6"/>
                <c:pt idx="0">
                  <c:v>13991</c:v>
                </c:pt>
                <c:pt idx="1">
                  <c:v>12135</c:v>
                </c:pt>
                <c:pt idx="2">
                  <c:v>13722</c:v>
                </c:pt>
                <c:pt idx="3">
                  <c:v>15688</c:v>
                </c:pt>
                <c:pt idx="4">
                  <c:v>15623</c:v>
                </c:pt>
                <c:pt idx="5">
                  <c:v>15714</c:v>
                </c:pt>
              </c:numCache>
            </c:numRef>
          </c:val>
          <c:smooth val="0"/>
        </c:ser>
        <c:ser>
          <c:idx val="1"/>
          <c:order val="1"/>
          <c:tx>
            <c:strRef>
              <c:f>'Plant trends'!$B$12</c:f>
              <c:strCache>
                <c:ptCount val="1"/>
                <c:pt idx="0">
                  <c:v>Distribution Plant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trends'!$C$12:$H$12</c:f>
              <c:numCache>
                <c:formatCode>General</c:formatCode>
                <c:ptCount val="6"/>
                <c:pt idx="0">
                  <c:v>171955</c:v>
                </c:pt>
                <c:pt idx="1">
                  <c:v>179849</c:v>
                </c:pt>
                <c:pt idx="2">
                  <c:v>183790</c:v>
                </c:pt>
                <c:pt idx="3">
                  <c:v>193474</c:v>
                </c:pt>
                <c:pt idx="4">
                  <c:v>204807</c:v>
                </c:pt>
                <c:pt idx="5">
                  <c:v>223099</c:v>
                </c:pt>
              </c:numCache>
            </c:numRef>
          </c:val>
          <c:smooth val="0"/>
        </c:ser>
        <c:ser>
          <c:idx val="2"/>
          <c:order val="2"/>
          <c:tx>
            <c:strRef>
              <c:f>'Plant trends'!$B$13</c:f>
              <c:strCache>
                <c:ptCount val="1"/>
                <c:pt idx="0">
                  <c:v>General Plant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'Plant trends'!$C$10:$H$10</c:f>
              <c:numCache>
                <c:formatCode>General</c:formatCode>
                <c:ptCount val="6"/>
                <c:pt idx="0">
                  <c:v>2009</c:v>
                </c:pt>
                <c:pt idx="1">
                  <c:v>2010</c:v>
                </c:pt>
                <c:pt idx="2">
                  <c:v>2011</c:v>
                </c:pt>
                <c:pt idx="3">
                  <c:v>2012</c:v>
                </c:pt>
                <c:pt idx="4">
                  <c:v>2013</c:v>
                </c:pt>
                <c:pt idx="5">
                  <c:v>2014</c:v>
                </c:pt>
              </c:numCache>
            </c:numRef>
          </c:cat>
          <c:val>
            <c:numRef>
              <c:f>'Plant trends'!$C$13:$H$13</c:f>
              <c:numCache>
                <c:formatCode>General</c:formatCode>
                <c:ptCount val="6"/>
                <c:pt idx="0">
                  <c:v>18865</c:v>
                </c:pt>
                <c:pt idx="1">
                  <c:v>22679</c:v>
                </c:pt>
                <c:pt idx="2">
                  <c:v>28045</c:v>
                </c:pt>
                <c:pt idx="3">
                  <c:v>32623</c:v>
                </c:pt>
                <c:pt idx="4">
                  <c:v>37499</c:v>
                </c:pt>
                <c:pt idx="5">
                  <c:v>41740</c:v>
                </c:pt>
              </c:numCache>
            </c:numRef>
          </c:val>
          <c:smooth val="0"/>
        </c:ser>
        <c:dLbls>
          <c:showLegendKey val="0"/>
          <c:showVal val="0"/>
          <c:showCatName val="0"/>
          <c:showSerName val="0"/>
          <c:showPercent val="0"/>
          <c:showBubbleSize val="0"/>
        </c:dLbls>
        <c:marker val="1"/>
        <c:smooth val="0"/>
        <c:axId val="164089120"/>
        <c:axId val="164090688"/>
      </c:lineChart>
      <c:catAx>
        <c:axId val="16408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90688"/>
        <c:crosses val="autoZero"/>
        <c:auto val="1"/>
        <c:lblAlgn val="ctr"/>
        <c:lblOffset val="100"/>
        <c:noMultiLvlLbl val="0"/>
      </c:catAx>
      <c:valAx>
        <c:axId val="16409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9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plant'!$A$34</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'Net plant'!$B$33:$G$33</c:f>
              <c:numCache>
                <c:formatCode>General</c:formatCode>
                <c:ptCount val="6"/>
                <c:pt idx="0">
                  <c:v>2009</c:v>
                </c:pt>
                <c:pt idx="1">
                  <c:v>2010</c:v>
                </c:pt>
                <c:pt idx="2">
                  <c:v>2011</c:v>
                </c:pt>
                <c:pt idx="3">
                  <c:v>2012</c:v>
                </c:pt>
                <c:pt idx="4">
                  <c:v>2013</c:v>
                </c:pt>
                <c:pt idx="5">
                  <c:v>2014</c:v>
                </c:pt>
              </c:numCache>
            </c:numRef>
          </c:xVal>
          <c:yVal>
            <c:numRef>
              <c:f>'Net plant'!$B$34:$G$34</c:f>
              <c:numCache>
                <c:formatCode>#,##0</c:formatCode>
                <c:ptCount val="6"/>
                <c:pt idx="0">
                  <c:v>173806</c:v>
                </c:pt>
                <c:pt idx="1">
                  <c:v>177901</c:v>
                </c:pt>
                <c:pt idx="2">
                  <c:v>183553</c:v>
                </c:pt>
                <c:pt idx="3">
                  <c:v>195287</c:v>
                </c:pt>
                <c:pt idx="4">
                  <c:v>207759</c:v>
                </c:pt>
                <c:pt idx="5">
                  <c:v>225901</c:v>
                </c:pt>
              </c:numCache>
            </c:numRef>
          </c:yVal>
          <c:smooth val="0"/>
        </c:ser>
        <c:dLbls>
          <c:showLegendKey val="0"/>
          <c:showVal val="0"/>
          <c:showCatName val="0"/>
          <c:showSerName val="0"/>
          <c:showPercent val="0"/>
          <c:showBubbleSize val="0"/>
        </c:dLbls>
        <c:axId val="367434536"/>
        <c:axId val="367435320"/>
      </c:scatterChart>
      <c:valAx>
        <c:axId val="367434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435320"/>
        <c:crosses val="autoZero"/>
        <c:crossBetween val="midCat"/>
      </c:valAx>
      <c:valAx>
        <c:axId val="367435320"/>
        <c:scaling>
          <c:orientation val="minMax"/>
          <c:min val="16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434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plant'!$A$5</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374"/>
                  <c:y val="4.1244682776721865E-2"/>
                </c:manualLayout>
              </c:layout>
              <c:numFmt formatCode="#,##0.00" sourceLinked="0"/>
            </c:trendlineLbl>
          </c:trendline>
          <c:xVal>
            <c:numRef>
              <c:f>'Net plant'!$B$4:$I$4</c:f>
              <c:numCache>
                <c:formatCode>General</c:formatCode>
                <c:ptCount val="8"/>
                <c:pt idx="0">
                  <c:v>0</c:v>
                </c:pt>
                <c:pt idx="1">
                  <c:v>1</c:v>
                </c:pt>
                <c:pt idx="2">
                  <c:v>2</c:v>
                </c:pt>
                <c:pt idx="3">
                  <c:v>3</c:v>
                </c:pt>
                <c:pt idx="4">
                  <c:v>4</c:v>
                </c:pt>
                <c:pt idx="5">
                  <c:v>5</c:v>
                </c:pt>
                <c:pt idx="6">
                  <c:v>6</c:v>
                </c:pt>
                <c:pt idx="7">
                  <c:v>7</c:v>
                </c:pt>
              </c:numCache>
            </c:numRef>
          </c:xVal>
          <c:yVal>
            <c:numRef>
              <c:f>'Net plant'!$B$5:$I$5</c:f>
              <c:numCache>
                <c:formatCode>_(* #,##0_);_(* \(#,##0\);_(* "-"??_);_(@_)</c:formatCode>
                <c:ptCount val="8"/>
                <c:pt idx="0">
                  <c:v>145500</c:v>
                </c:pt>
                <c:pt idx="1">
                  <c:v>154054</c:v>
                </c:pt>
                <c:pt idx="2">
                  <c:v>173806</c:v>
                </c:pt>
                <c:pt idx="3">
                  <c:v>177901</c:v>
                </c:pt>
                <c:pt idx="4">
                  <c:v>183553</c:v>
                </c:pt>
                <c:pt idx="5">
                  <c:v>195287</c:v>
                </c:pt>
                <c:pt idx="6">
                  <c:v>207759</c:v>
                </c:pt>
                <c:pt idx="7">
                  <c:v>225901</c:v>
                </c:pt>
              </c:numCache>
            </c:numRef>
          </c:yVal>
          <c:smooth val="0"/>
        </c:ser>
        <c:dLbls>
          <c:showLegendKey val="0"/>
          <c:showVal val="0"/>
          <c:showCatName val="0"/>
          <c:showSerName val="0"/>
          <c:showPercent val="0"/>
          <c:showBubbleSize val="0"/>
        </c:dLbls>
        <c:axId val="163895088"/>
        <c:axId val="163890384"/>
      </c:scatterChart>
      <c:valAx>
        <c:axId val="163895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0384"/>
        <c:crosses val="autoZero"/>
        <c:crossBetween val="midCat"/>
      </c:valAx>
      <c:valAx>
        <c:axId val="163890384"/>
        <c:scaling>
          <c:orientation val="minMax"/>
          <c:min val="14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5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 Gas, 2009 at year 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Amort'!$A$35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8.0045888046377647E-2"/>
                  <c:y val="0.3397278911564637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'Dep Amort'!$B$34:$G$34</c:f>
              <c:numCache>
                <c:formatCode>General</c:formatCode>
                <c:ptCount val="6"/>
                <c:pt idx="0">
                  <c:v>0</c:v>
                </c:pt>
                <c:pt idx="1">
                  <c:v>1</c:v>
                </c:pt>
                <c:pt idx="2">
                  <c:v>2</c:v>
                </c:pt>
                <c:pt idx="3">
                  <c:v>3</c:v>
                </c:pt>
                <c:pt idx="4">
                  <c:v>4</c:v>
                </c:pt>
                <c:pt idx="5">
                  <c:v>5</c:v>
                </c:pt>
              </c:numCache>
            </c:numRef>
          </c:xVal>
          <c:yVal>
            <c:numRef>
              <c:f>'Dep Amort'!$B$35:$G$35</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163893128"/>
        <c:axId val="163894304"/>
      </c:scatterChart>
      <c:valAx>
        <c:axId val="163893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4304"/>
        <c:crosses val="autoZero"/>
        <c:crossBetween val="midCat"/>
      </c:valAx>
      <c:valAx>
        <c:axId val="163894304"/>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3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'Dep Amort'!$A$33</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'Dep Amort'!$B$32:$G$32</c:f>
              <c:numCache>
                <c:formatCode>General</c:formatCode>
                <c:ptCount val="6"/>
                <c:pt idx="0">
                  <c:v>2009</c:v>
                </c:pt>
                <c:pt idx="1">
                  <c:v>2010</c:v>
                </c:pt>
                <c:pt idx="2">
                  <c:v>2011</c:v>
                </c:pt>
                <c:pt idx="3">
                  <c:v>2012</c:v>
                </c:pt>
                <c:pt idx="4">
                  <c:v>2013</c:v>
                </c:pt>
                <c:pt idx="5">
                  <c:v>2014</c:v>
                </c:pt>
              </c:numCache>
            </c:numRef>
          </c:xVal>
          <c:yVal>
            <c:numRef>
              <c:f>'Dep Amort'!$B$33:$G$33</c:f>
              <c:numCache>
                <c:formatCode>#,##0</c:formatCode>
                <c:ptCount val="6"/>
                <c:pt idx="0">
                  <c:v>8456</c:v>
                </c:pt>
                <c:pt idx="1">
                  <c:v>9127</c:v>
                </c:pt>
                <c:pt idx="2">
                  <c:v>9778</c:v>
                </c:pt>
                <c:pt idx="3">
                  <c:v>10692</c:v>
                </c:pt>
                <c:pt idx="4">
                  <c:v>12173</c:v>
                </c:pt>
                <c:pt idx="5">
                  <c:v>13304</c:v>
                </c:pt>
              </c:numCache>
            </c:numRef>
          </c:yVal>
          <c:smooth val="0"/>
        </c:ser>
        <c:dLbls>
          <c:showLegendKey val="0"/>
          <c:showVal val="0"/>
          <c:showCatName val="0"/>
          <c:showSerName val="0"/>
          <c:showPercent val="0"/>
          <c:showBubbleSize val="0"/>
        </c:dLbls>
        <c:axId val="163891560"/>
        <c:axId val="163888424"/>
      </c:scatterChart>
      <c:valAx>
        <c:axId val="1638915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88424"/>
        <c:crosses val="autoZero"/>
        <c:crossBetween val="midCat"/>
      </c:valAx>
      <c:valAx>
        <c:axId val="163888424"/>
        <c:scaling>
          <c:orientation val="minMax"/>
          <c:min val="8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156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overlay val="0"/>
      <c:spPr>
        <a:noFill/>
        <a:ln>
          <a:noFill/>
        </a:ln>
        <a:effectLst/>
      </c:spPr>
    </c:title>
    <c:autoTitleDeleted val="0"/>
    <c:plotArea>
      <c:layout/>
      <c:scatterChart>
        <c:scatterStyle val="lineMarker"/>
        <c:varyColors val="0"/>
        <c:ser>
          <c:idx val="0"/>
          <c:order val="0"/>
          <c:tx>
            <c:strRef>
              <c:f>'Dep Amort'!$A$5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'Dep Amort'!$B$4:$I$4</c:f>
              <c:numCache>
                <c:formatCode>General</c:formatCode>
                <c:ptCount val="8"/>
                <c:pt idx="0">
                  <c:v>0</c:v>
                </c:pt>
                <c:pt idx="1">
                  <c:v>1</c:v>
                </c:pt>
                <c:pt idx="2">
                  <c:v>2</c:v>
                </c:pt>
                <c:pt idx="3">
                  <c:v>3</c:v>
                </c:pt>
                <c:pt idx="4">
                  <c:v>4</c:v>
                </c:pt>
                <c:pt idx="5">
                  <c:v>5</c:v>
                </c:pt>
                <c:pt idx="6">
                  <c:v>6</c:v>
                </c:pt>
                <c:pt idx="7">
                  <c:v>7</c:v>
                </c:pt>
              </c:numCache>
            </c:numRef>
          </c:xVal>
          <c:yVal>
            <c:numRef>
              <c:f>'Dep Amort'!$B$5:$I$5</c:f>
              <c:numCache>
                <c:formatCode>#,##0</c:formatCode>
                <c:ptCount val="8"/>
                <c:pt idx="0">
                  <c:v>7413</c:v>
                </c:pt>
                <c:pt idx="1">
                  <c:v>7752</c:v>
                </c:pt>
                <c:pt idx="2">
                  <c:v>8456</c:v>
                </c:pt>
                <c:pt idx="3">
                  <c:v>9127</c:v>
                </c:pt>
                <c:pt idx="4">
                  <c:v>9778</c:v>
                </c:pt>
                <c:pt idx="5">
                  <c:v>10692</c:v>
                </c:pt>
                <c:pt idx="6">
                  <c:v>12173</c:v>
                </c:pt>
                <c:pt idx="7">
                  <c:v>13304</c:v>
                </c:pt>
              </c:numCache>
            </c:numRef>
          </c:yVal>
          <c:smooth val="0"/>
        </c:ser>
        <c:dLbls>
          <c:showLegendKey val="0"/>
          <c:showVal val="0"/>
          <c:showCatName val="0"/>
          <c:showSerName val="0"/>
          <c:showPercent val="0"/>
          <c:showBubbleSize val="0"/>
        </c:dLbls>
        <c:axId val="163889992"/>
        <c:axId val="163890776"/>
      </c:scatterChart>
      <c:valAx>
        <c:axId val="163889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0776"/>
        <c:crosses val="autoZero"/>
        <c:crossBetween val="midCat"/>
      </c:valAx>
      <c:valAx>
        <c:axId val="163890776"/>
        <c:scaling>
          <c:orientation val="minMax"/>
          <c:min val="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8999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income)'!$A$36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'Taxes (other than income)'!$B$35:$G$35</c:f>
              <c:numCache>
                <c:formatCode>General</c:formatCode>
                <c:ptCount val="6"/>
                <c:pt idx="0">
                  <c:v>0</c:v>
                </c:pt>
                <c:pt idx="1">
                  <c:v>1</c:v>
                </c:pt>
                <c:pt idx="2">
                  <c:v>2</c:v>
                </c:pt>
                <c:pt idx="3">
                  <c:v>3</c:v>
                </c:pt>
                <c:pt idx="4">
                  <c:v>4</c:v>
                </c:pt>
                <c:pt idx="5">
                  <c:v>5</c:v>
                </c:pt>
              </c:numCache>
            </c:numRef>
          </c:xVal>
          <c:yVal>
            <c:numRef>
              <c:f>'Taxes (other than income)'!$B$36:$G$36</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163889600"/>
        <c:axId val="163891952"/>
      </c:scatterChart>
      <c:valAx>
        <c:axId val="163889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1952"/>
        <c:crosses val="autoZero"/>
        <c:crossBetween val="midCat"/>
      </c:valAx>
      <c:valAx>
        <c:axId val="163891952"/>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896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income)'!$A$34</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0"/>
            <c:dispEq val="0"/>
          </c:trendline>
          <c:xVal>
            <c:numRef>
              <c:f>'Taxes (other than income)'!$B$33:$G$33</c:f>
              <c:numCache>
                <c:formatCode>General</c:formatCode>
                <c:ptCount val="6"/>
                <c:pt idx="0">
                  <c:v>2009</c:v>
                </c:pt>
                <c:pt idx="1">
                  <c:v>2010</c:v>
                </c:pt>
                <c:pt idx="2">
                  <c:v>2011</c:v>
                </c:pt>
                <c:pt idx="3">
                  <c:v>2012</c:v>
                </c:pt>
                <c:pt idx="4">
                  <c:v>2013</c:v>
                </c:pt>
                <c:pt idx="5">
                  <c:v>2014</c:v>
                </c:pt>
              </c:numCache>
            </c:numRef>
          </c:xVal>
          <c:yVal>
            <c:numRef>
              <c:f>'Taxes (other than income)'!$B$34:$G$34</c:f>
              <c:numCache>
                <c:formatCode>#,##0</c:formatCode>
                <c:ptCount val="6"/>
                <c:pt idx="0">
                  <c:v>3728</c:v>
                </c:pt>
                <c:pt idx="1">
                  <c:v>3834</c:v>
                </c:pt>
                <c:pt idx="2">
                  <c:v>4316.6743270000006</c:v>
                </c:pt>
                <c:pt idx="3">
                  <c:v>4592</c:v>
                </c:pt>
                <c:pt idx="4">
                  <c:v>5191</c:v>
                </c:pt>
                <c:pt idx="5">
                  <c:v>5523</c:v>
                </c:pt>
              </c:numCache>
            </c:numRef>
          </c:yVal>
          <c:smooth val="0"/>
        </c:ser>
        <c:dLbls>
          <c:showLegendKey val="0"/>
          <c:showVal val="0"/>
          <c:showCatName val="0"/>
          <c:showSerName val="0"/>
          <c:showPercent val="0"/>
          <c:showBubbleSize val="0"/>
        </c:dLbls>
        <c:axId val="163888816"/>
        <c:axId val="163889208"/>
      </c:scatterChart>
      <c:valAx>
        <c:axId val="163888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89208"/>
        <c:crosses val="autoZero"/>
        <c:crossBetween val="midCat"/>
      </c:valAx>
      <c:valAx>
        <c:axId val="163889208"/>
        <c:scaling>
          <c:orientation val="minMax"/>
          <c:min val="35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8881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'Taxes (other than income)'!$B$5:$I$5</c:f>
              <c:numCache>
                <c:formatCode>General</c:formatCode>
                <c:ptCount val="8"/>
                <c:pt idx="0">
                  <c:v>0</c:v>
                </c:pt>
                <c:pt idx="1">
                  <c:v>1</c:v>
                </c:pt>
                <c:pt idx="2">
                  <c:v>2</c:v>
                </c:pt>
                <c:pt idx="3">
                  <c:v>3</c:v>
                </c:pt>
                <c:pt idx="4">
                  <c:v>4</c:v>
                </c:pt>
                <c:pt idx="5">
                  <c:v>5</c:v>
                </c:pt>
                <c:pt idx="6">
                  <c:v>6</c:v>
                </c:pt>
                <c:pt idx="7">
                  <c:v>7</c:v>
                </c:pt>
              </c:numCache>
            </c:numRef>
          </c:xVal>
          <c:yVal>
            <c:numRef>
              <c:f>'Taxes (other than income)'!$B$6:$I$6</c:f>
              <c:numCache>
                <c:formatCode>_(* #,##0_);_(* \(#,##0\);_(* "-"??_);_(@_)</c:formatCode>
                <c:ptCount val="8"/>
                <c:pt idx="0">
                  <c:v>3541</c:v>
                </c:pt>
                <c:pt idx="1">
                  <c:v>2961</c:v>
                </c:pt>
                <c:pt idx="2">
                  <c:v>3728</c:v>
                </c:pt>
                <c:pt idx="3">
                  <c:v>3834</c:v>
                </c:pt>
                <c:pt idx="4">
                  <c:v>4316.6743270000006</c:v>
                </c:pt>
                <c:pt idx="5">
                  <c:v>4592</c:v>
                </c:pt>
                <c:pt idx="6">
                  <c:v>5191</c:v>
                </c:pt>
                <c:pt idx="7">
                  <c:v>5523</c:v>
                </c:pt>
              </c:numCache>
            </c:numRef>
          </c:yVal>
          <c:smooth val="0"/>
        </c:ser>
        <c:dLbls>
          <c:showLegendKey val="0"/>
          <c:showVal val="0"/>
          <c:showCatName val="0"/>
          <c:showSerName val="0"/>
          <c:showPercent val="0"/>
          <c:showBubbleSize val="0"/>
        </c:dLbls>
        <c:axId val="163894696"/>
        <c:axId val="164085984"/>
      </c:scatterChart>
      <c:valAx>
        <c:axId val="1638946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085984"/>
        <c:crosses val="autoZero"/>
        <c:crossBetween val="midCat"/>
      </c:valAx>
      <c:valAx>
        <c:axId val="164085984"/>
        <c:scaling>
          <c:orientation val="minMax"/>
          <c:min val="25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89469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142987</xdr:colOff>
      <xdr:row>44</xdr:row>
      <xdr:rowOff>64769</xdr:rowOff>
    </xdr:from>
    <xdr:to>
      <xdr:col>6</xdr:col>
      <xdr:colOff>661147</xdr:colOff>
      <xdr:row>62</xdr:row>
      <xdr:rowOff>22860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490819</xdr:colOff>
      <xdr:row>43</xdr:row>
      <xdr:rowOff>135144</xdr:rowOff>
    </xdr:from>
    <xdr:to>
      <xdr:col>19</xdr:col>
      <xdr:colOff>265356</xdr:colOff>
      <xdr:row>60</xdr:row>
      <xdr:rowOff>28015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233083</xdr:colOff>
      <xdr:row>6</xdr:row>
      <xdr:rowOff>112731</xdr:rowOff>
    </xdr:from>
    <xdr:to>
      <xdr:col>7</xdr:col>
      <xdr:colOff>41238</xdr:colOff>
      <xdr:row>23</xdr:row>
      <xdr:rowOff>16809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36830</xdr:colOff>
      <xdr:row>43</xdr:row>
      <xdr:rowOff>80010</xdr:rowOff>
    </xdr:from>
    <xdr:to>
      <xdr:col>6</xdr:col>
      <xdr:colOff>452120</xdr:colOff>
      <xdr:row>60</xdr:row>
      <xdr:rowOff>33020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75565</xdr:colOff>
      <xdr:row>39</xdr:row>
      <xdr:rowOff>107950</xdr:rowOff>
    </xdr:from>
    <xdr:to>
      <xdr:col>20</xdr:col>
      <xdr:colOff>488950</xdr:colOff>
      <xdr:row>55</xdr:row>
      <xdr:rowOff>137160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91440</xdr:colOff>
      <xdr:row>6</xdr:row>
      <xdr:rowOff>57150</xdr:rowOff>
    </xdr:from>
    <xdr:to>
      <xdr:col>6</xdr:col>
      <xdr:colOff>495300</xdr:colOff>
      <xdr:row>22</xdr:row>
      <xdr:rowOff>118110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102394</xdr:colOff>
      <xdr:row>45</xdr:row>
      <xdr:rowOff>0</xdr:rowOff>
    </xdr:from>
    <xdr:to>
      <xdr:col>6</xdr:col>
      <xdr:colOff>468154</xdr:colOff>
      <xdr:row>61</xdr:row>
      <xdr:rowOff>45720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20955</xdr:colOff>
      <xdr:row>44</xdr:row>
      <xdr:rowOff>166212</xdr:rowOff>
    </xdr:from>
    <xdr:to>
      <xdr:col>20</xdr:col>
      <xdr:colOff>156687</xdr:colOff>
      <xdr:row>60</xdr:row>
      <xdr:rowOff>60484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68580</xdr:colOff>
      <xdr:row>7</xdr:row>
      <xdr:rowOff>11430</xdr:rowOff>
    </xdr:from>
    <xdr:to>
      <xdr:col>6</xdr:col>
      <xdr:colOff>525780</xdr:colOff>
      <xdr:row>23</xdr:row>
      <xdr:rowOff>72390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13</xdr:row>
      <xdr:rowOff>60960</xdr:rowOff>
    </xdr:from>
    <xdr:to>
      <xdr:col>5</xdr:col>
      <xdr:colOff>476250</xdr:colOff>
      <xdr:row>30</xdr:row>
      <xdr:rowOff>69850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39</xdr:row>
      <xdr:rowOff>118110</xdr:rowOff>
    </xdr:from>
    <xdr:to>
      <xdr:col>7</xdr:col>
      <xdr:colOff>502920</xdr:colOff>
      <xdr:row>56</xdr:row>
      <xdr:rowOff>13970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172720</xdr:colOff>
      <xdr:row>65</xdr:row>
      <xdr:rowOff>59690</xdr:rowOff>
    </xdr:from>
    <xdr:to>
      <xdr:col>7</xdr:col>
      <xdr:colOff>515620</xdr:colOff>
      <xdr:row>81</xdr:row>
      <xdr:rowOff>139700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160020</xdr:colOff>
      <xdr:row>82</xdr:row>
      <xdr:rowOff>138430</xdr:rowOff>
    </xdr:from>
    <xdr:to>
      <xdr:col>7</xdr:col>
      <xdr:colOff>510540</xdr:colOff>
      <xdr:row>99</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160020</xdr:colOff>
      <xdr:row>22</xdr:row>
      <xdr:rowOff>34290</xdr:rowOff>
    </xdr:from>
    <xdr:to>
      <xdr:col>7</xdr:col>
      <xdr:colOff>487680</xdr:colOff>
      <xdr:row>38</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view="pageBreakPreview" zoomScaleNormal="100" zoomScaleSheetLayoutView="100" workbookViewId="0">
      <selection activeCell="C9" sqref="C9"/>
    </sheetView>
  </sheetViews>
  <sheetFormatPr defaultRowHeight="12.75"/>
  <cols>
    <col min="1" max="1" width="5.140625" customWidth="1"/>
    <col min="2" max="2" width="1.85546875" customWidth="1"/>
    <col min="3" max="3" width="33.28515625" customWidth="1"/>
    <col min="4" max="4" width="3.85546875" customWidth="1"/>
    <col min="5" max="5" width="4.7109375" customWidth="1"/>
    <col min="6" max="6" width="10.42578125" customWidth="1"/>
    <col min="7" max="7" width="12.7109375" customWidth="1"/>
    <col min="8" max="8" width="13.7109375" customWidth="1"/>
    <col min="9" max="9" width="13.42578125" hidden="1" customWidth="1"/>
    <col min="10" max="11" width="5.42578125" customWidth="1"/>
    <col min="12" max="12" width="12.28515625" bestFit="1" customWidth="1"/>
    <col min="14" max="14" width="14.7109375" customWidth="1"/>
    <col min="16" max="16" width="18.28515625" customWidth="1"/>
    <col min="17" max="17" width="5.7109375" customWidth="1"/>
    <col min="18" max="18" width="20.42578125" customWidth="1"/>
  </cols>
  <sheetData>
    <row r="1" spans="1:12" s="204" customFormat="1" ht="15" thickBot="1">
      <c r="A1" s="518" t="s">
        <v>584</v>
      </c>
      <c r="B1" s="519"/>
      <c r="C1" s="519"/>
      <c r="D1" s="519"/>
      <c r="E1" s="519"/>
      <c r="F1" s="519"/>
      <c r="G1" s="519"/>
      <c r="H1" s="519"/>
      <c r="I1" s="520"/>
      <c r="J1" s="453"/>
      <c r="K1" s="453"/>
    </row>
    <row r="2" spans="1:12" s="204" customFormat="1" ht="14.25">
      <c r="A2" s="522" t="s">
        <v>568</v>
      </c>
      <c r="B2" s="522"/>
      <c r="C2" s="522"/>
      <c r="D2" s="522"/>
      <c r="E2" s="522"/>
      <c r="F2" s="522"/>
      <c r="G2" s="522"/>
      <c r="H2" s="522"/>
      <c r="I2" s="522"/>
      <c r="J2" s="453"/>
      <c r="K2" s="453"/>
    </row>
    <row r="3" spans="1:12" s="204" customFormat="1" ht="14.25">
      <c r="A3" s="521" t="s">
        <v>585</v>
      </c>
      <c r="B3" s="521"/>
      <c r="C3" s="521"/>
      <c r="D3" s="521"/>
      <c r="E3" s="521"/>
      <c r="F3" s="521"/>
      <c r="G3" s="521"/>
      <c r="H3" s="521"/>
      <c r="I3" s="521"/>
      <c r="J3" s="454"/>
      <c r="K3" s="454"/>
    </row>
    <row r="4" spans="1:12" s="204" customFormat="1" ht="15">
      <c r="A4" s="523" t="s">
        <v>586</v>
      </c>
      <c r="B4" s="523"/>
      <c r="C4" s="523"/>
      <c r="D4" s="523"/>
      <c r="E4" s="523"/>
      <c r="F4" s="523"/>
      <c r="G4" s="523"/>
      <c r="H4" s="523"/>
      <c r="I4" s="459"/>
      <c r="J4" s="459"/>
      <c r="K4" s="459"/>
    </row>
    <row r="5" spans="1:12" s="204" customFormat="1" ht="6" customHeight="1">
      <c r="A5" s="521"/>
      <c r="B5" s="521"/>
      <c r="C5" s="521"/>
      <c r="D5" s="521"/>
      <c r="E5" s="521"/>
      <c r="F5" s="521"/>
      <c r="G5" s="521"/>
      <c r="H5" s="521"/>
      <c r="I5" s="521"/>
      <c r="J5" s="454"/>
      <c r="K5" s="454"/>
    </row>
    <row r="6" spans="1:12" s="204" customFormat="1" ht="12.75" customHeight="1">
      <c r="A6" s="522" t="s">
        <v>481</v>
      </c>
      <c r="B6" s="522"/>
      <c r="C6" s="522"/>
      <c r="D6" s="522"/>
      <c r="E6" s="522"/>
      <c r="F6" s="522"/>
      <c r="G6" s="522"/>
      <c r="H6" s="522"/>
      <c r="I6" s="522"/>
      <c r="J6" s="453"/>
      <c r="K6" s="453"/>
    </row>
    <row r="7" spans="1:12" s="204" customFormat="1" ht="14.25">
      <c r="A7" s="521" t="s">
        <v>233</v>
      </c>
      <c r="B7" s="521"/>
      <c r="C7" s="521"/>
      <c r="D7" s="521"/>
      <c r="E7" s="521"/>
      <c r="F7" s="521"/>
      <c r="G7" s="521"/>
      <c r="H7" s="521"/>
      <c r="I7" s="521"/>
      <c r="J7" s="454"/>
      <c r="K7" s="454"/>
    </row>
    <row r="8" spans="1:12" ht="6" customHeight="1">
      <c r="A8" s="162"/>
      <c r="B8" s="162"/>
      <c r="C8" s="162"/>
      <c r="D8" s="162"/>
      <c r="E8" s="162"/>
      <c r="F8" s="162"/>
      <c r="G8" s="162"/>
      <c r="H8" s="162"/>
    </row>
    <row r="9" spans="1:12">
      <c r="A9" s="162"/>
      <c r="B9" s="162"/>
      <c r="C9" s="162"/>
      <c r="D9" s="162"/>
      <c r="E9" s="162"/>
      <c r="F9" s="162" t="s">
        <v>234</v>
      </c>
      <c r="G9" s="162" t="s">
        <v>235</v>
      </c>
      <c r="H9" s="162" t="s">
        <v>236</v>
      </c>
      <c r="J9" s="112"/>
      <c r="K9" s="112"/>
      <c r="L9" s="112"/>
    </row>
    <row r="10" spans="1:12">
      <c r="A10" s="162" t="s">
        <v>204</v>
      </c>
      <c r="B10" s="162"/>
      <c r="C10" s="162"/>
      <c r="D10" s="162"/>
      <c r="E10" s="162"/>
      <c r="F10" s="162" t="s">
        <v>237</v>
      </c>
      <c r="G10" s="162" t="s">
        <v>238</v>
      </c>
      <c r="H10" s="387" t="s">
        <v>547</v>
      </c>
      <c r="J10" s="112"/>
      <c r="K10" s="112"/>
      <c r="L10" s="112"/>
    </row>
    <row r="11" spans="1:12" ht="13.5" thickBot="1">
      <c r="A11" s="412" t="s">
        <v>2</v>
      </c>
      <c r="B11" s="165"/>
      <c r="C11" s="412" t="s">
        <v>88</v>
      </c>
      <c r="D11" s="165"/>
      <c r="E11" s="165"/>
      <c r="F11" s="412" t="s">
        <v>239</v>
      </c>
      <c r="G11" s="412" t="s">
        <v>240</v>
      </c>
      <c r="H11" s="412" t="s">
        <v>548</v>
      </c>
      <c r="I11" s="112"/>
      <c r="J11" s="112"/>
      <c r="K11" s="112"/>
      <c r="L11" s="112"/>
    </row>
    <row r="12" spans="1:12" ht="6" customHeight="1">
      <c r="A12" s="194"/>
      <c r="B12" s="194"/>
      <c r="C12" s="194"/>
      <c r="D12" s="194"/>
      <c r="E12" s="194"/>
      <c r="F12" s="194"/>
      <c r="G12" s="194"/>
      <c r="H12" s="194"/>
      <c r="I12" s="112"/>
      <c r="J12" s="112"/>
      <c r="K12" s="112"/>
      <c r="L12" s="112"/>
    </row>
    <row r="13" spans="1:12">
      <c r="A13" s="415">
        <v>1</v>
      </c>
      <c r="B13" s="194"/>
      <c r="C13" s="194" t="s">
        <v>504</v>
      </c>
      <c r="D13" s="194"/>
      <c r="E13" s="194"/>
      <c r="F13" s="200">
        <f>'Attrition 09.2014 to 2016'!S86</f>
        <v>287744.99999999994</v>
      </c>
      <c r="G13" s="509">
        <f>'Attrition 09.2014 to 2016'!S97</f>
        <v>1.0115657561647069</v>
      </c>
      <c r="H13" s="196">
        <f>F13/G13</f>
        <v>284455.06211179832</v>
      </c>
      <c r="I13" s="112"/>
      <c r="J13" s="112"/>
      <c r="K13" s="112"/>
      <c r="L13" s="112"/>
    </row>
    <row r="14" spans="1:12" ht="6" customHeight="1">
      <c r="A14" s="415"/>
      <c r="B14" s="194"/>
      <c r="C14" s="194"/>
      <c r="D14" s="194"/>
      <c r="E14" s="194"/>
      <c r="F14" s="196"/>
      <c r="G14" s="196"/>
      <c r="H14" s="196"/>
      <c r="I14" s="112"/>
      <c r="J14" s="112"/>
      <c r="K14" s="112"/>
      <c r="L14" s="112"/>
    </row>
    <row r="15" spans="1:12">
      <c r="A15" s="415">
        <v>2</v>
      </c>
      <c r="B15" s="194"/>
      <c r="C15" s="194" t="s">
        <v>505</v>
      </c>
      <c r="D15" s="194"/>
      <c r="E15" s="194"/>
      <c r="F15" s="191"/>
      <c r="G15" s="192"/>
      <c r="H15" s="411">
        <f>ROR!F15</f>
        <v>7.2900000000000006E-2</v>
      </c>
      <c r="I15" s="411">
        <f>ROR!G15</f>
        <v>0</v>
      </c>
      <c r="J15" s="112"/>
      <c r="K15" s="112"/>
      <c r="L15" s="112"/>
    </row>
    <row r="16" spans="1:12" ht="6" customHeight="1">
      <c r="A16" s="415"/>
      <c r="B16" s="194"/>
      <c r="C16" s="194"/>
      <c r="D16" s="194"/>
      <c r="E16" s="194"/>
      <c r="F16" s="192"/>
      <c r="G16" s="192"/>
      <c r="H16" s="192"/>
      <c r="I16" s="112"/>
      <c r="J16" s="112"/>
      <c r="K16" s="112"/>
      <c r="L16" s="112"/>
    </row>
    <row r="17" spans="1:18">
      <c r="A17" s="415">
        <v>3</v>
      </c>
      <c r="B17" s="194"/>
      <c r="C17" s="194" t="s">
        <v>126</v>
      </c>
      <c r="D17" s="194"/>
      <c r="E17" s="194"/>
      <c r="F17" s="448"/>
      <c r="G17" s="196"/>
      <c r="H17" s="448">
        <f>ROUND(H13*H15,0)</f>
        <v>20737</v>
      </c>
      <c r="I17" s="448">
        <f t="shared" ref="I17" si="0">ROUND(I13*I15,0)</f>
        <v>0</v>
      </c>
      <c r="J17" s="112"/>
      <c r="K17" s="112"/>
      <c r="L17" s="112"/>
    </row>
    <row r="18" spans="1:18" ht="6" customHeight="1">
      <c r="A18" s="415"/>
      <c r="B18" s="194"/>
      <c r="C18" s="194"/>
      <c r="D18" s="194"/>
      <c r="E18" s="194"/>
      <c r="F18" s="196"/>
      <c r="G18" s="196"/>
      <c r="H18" s="196"/>
      <c r="I18" s="112"/>
      <c r="J18" s="112"/>
      <c r="K18" s="112"/>
      <c r="L18" s="112"/>
    </row>
    <row r="19" spans="1:18">
      <c r="A19" s="415">
        <v>4</v>
      </c>
      <c r="B19" s="194"/>
      <c r="C19" s="194" t="s">
        <v>538</v>
      </c>
      <c r="D19" s="194"/>
      <c r="E19" s="194"/>
      <c r="F19" s="449">
        <f>'Attrition 09.2014 to 2016'!S65</f>
        <v>14593.432337817911</v>
      </c>
      <c r="G19" s="345">
        <f>G13</f>
        <v>1.0115657561647069</v>
      </c>
      <c r="H19" s="193">
        <f>F19/G19</f>
        <v>14426.578053757044</v>
      </c>
      <c r="I19" s="112"/>
      <c r="J19" s="112"/>
      <c r="K19" s="112"/>
      <c r="L19" s="112"/>
    </row>
    <row r="20" spans="1:18" ht="6" customHeight="1">
      <c r="A20" s="415"/>
      <c r="B20" s="194"/>
      <c r="C20" s="194"/>
      <c r="D20" s="194"/>
      <c r="E20" s="194"/>
      <c r="F20" s="200"/>
      <c r="G20" s="345"/>
      <c r="H20" s="196"/>
      <c r="I20" s="112"/>
      <c r="J20" s="112"/>
      <c r="K20" s="112"/>
      <c r="L20" s="112"/>
    </row>
    <row r="21" spans="1:18">
      <c r="A21" s="415">
        <v>5</v>
      </c>
      <c r="B21" s="409"/>
      <c r="C21" s="194" t="s">
        <v>539</v>
      </c>
      <c r="D21" s="112"/>
      <c r="E21" s="112"/>
      <c r="F21" s="112"/>
      <c r="G21" s="112"/>
      <c r="H21" s="450">
        <f>H19/H13</f>
        <v>5.0716545336384346E-2</v>
      </c>
      <c r="I21" s="450" t="e">
        <f t="shared" ref="I21" si="1">I19/I13</f>
        <v>#DIV/0!</v>
      </c>
      <c r="J21" s="112"/>
      <c r="K21" s="112"/>
      <c r="L21" s="112"/>
    </row>
    <row r="22" spans="1:18" ht="6" customHeight="1">
      <c r="A22" s="415"/>
      <c r="B22" s="194"/>
      <c r="C22" s="194"/>
      <c r="D22" s="194"/>
      <c r="E22" s="194"/>
      <c r="F22" s="194"/>
      <c r="G22" s="194"/>
      <c r="H22" s="194"/>
      <c r="I22" s="112"/>
      <c r="J22" s="112"/>
      <c r="K22" s="112"/>
      <c r="L22" s="112"/>
    </row>
    <row r="23" spans="1:18">
      <c r="A23" s="415">
        <v>6</v>
      </c>
      <c r="B23" s="194"/>
      <c r="C23" s="194" t="s">
        <v>540</v>
      </c>
      <c r="D23" s="194"/>
      <c r="E23" s="194"/>
      <c r="F23" s="196"/>
      <c r="G23" s="196"/>
      <c r="H23" s="196">
        <f>H17-H19</f>
        <v>6310.4219462429555</v>
      </c>
      <c r="I23" s="196">
        <f t="shared" ref="I23" si="2">I17-I19</f>
        <v>0</v>
      </c>
      <c r="J23" s="413"/>
      <c r="K23" s="413"/>
      <c r="L23" s="112"/>
    </row>
    <row r="24" spans="1:18" ht="6" customHeight="1">
      <c r="A24" s="415"/>
      <c r="B24" s="194"/>
      <c r="C24" s="194"/>
      <c r="D24" s="194"/>
      <c r="E24" s="194"/>
      <c r="F24" s="194"/>
      <c r="G24" s="194"/>
      <c r="H24" s="194"/>
      <c r="I24" s="112"/>
      <c r="J24" s="112"/>
      <c r="K24" s="112"/>
      <c r="L24" s="112"/>
    </row>
    <row r="25" spans="1:18">
      <c r="A25" s="415">
        <v>7</v>
      </c>
      <c r="B25" s="194"/>
      <c r="C25" s="194" t="s">
        <v>503</v>
      </c>
      <c r="D25" s="194"/>
      <c r="E25" s="194"/>
      <c r="F25" s="410"/>
      <c r="G25" s="194"/>
      <c r="H25" s="410">
        <f>'Attrition 09.2014 to 2016'!S95</f>
        <v>0.62031999999999998</v>
      </c>
      <c r="I25" s="112"/>
      <c r="J25" s="112"/>
      <c r="K25" s="112"/>
      <c r="L25" s="112"/>
      <c r="N25" s="457"/>
      <c r="O25" s="112"/>
      <c r="P25" s="457"/>
      <c r="Q25" s="112"/>
      <c r="R25" s="457"/>
    </row>
    <row r="26" spans="1:18" ht="6" customHeight="1" thickBot="1">
      <c r="A26" s="415"/>
      <c r="B26" s="194"/>
      <c r="C26" s="194"/>
      <c r="D26" s="194"/>
      <c r="E26" s="194"/>
      <c r="F26" s="194"/>
      <c r="G26" s="194"/>
      <c r="H26" s="194"/>
      <c r="I26" s="112"/>
      <c r="J26" s="112"/>
      <c r="K26" s="112"/>
      <c r="L26" s="112"/>
    </row>
    <row r="27" spans="1:18" ht="13.5" thickBot="1">
      <c r="A27" s="415">
        <v>8</v>
      </c>
      <c r="B27" s="194"/>
      <c r="C27" s="194" t="s">
        <v>541</v>
      </c>
      <c r="D27" s="194"/>
      <c r="E27" s="194"/>
      <c r="F27" s="195"/>
      <c r="G27" s="196"/>
      <c r="H27" s="448">
        <f>ROUND(H23/H25,0)</f>
        <v>10173</v>
      </c>
      <c r="I27" s="468" t="e">
        <f t="shared" ref="I27" si="3">ROUND(I23/I25,0)</f>
        <v>#DIV/0!</v>
      </c>
      <c r="J27" s="414"/>
      <c r="K27" s="414"/>
      <c r="L27" s="455"/>
      <c r="N27" s="456"/>
      <c r="P27" s="456"/>
      <c r="R27" s="456"/>
    </row>
    <row r="28" spans="1:18" ht="6" customHeight="1">
      <c r="A28" s="415"/>
      <c r="B28" s="194"/>
      <c r="C28" s="194"/>
      <c r="D28" s="194"/>
      <c r="E28" s="194"/>
      <c r="F28" s="195"/>
      <c r="G28" s="196"/>
      <c r="H28" s="195"/>
      <c r="I28" s="112"/>
      <c r="J28" s="112"/>
      <c r="K28" s="112"/>
      <c r="L28" s="112"/>
    </row>
    <row r="29" spans="1:18">
      <c r="A29" s="415">
        <v>9</v>
      </c>
      <c r="B29" s="409"/>
      <c r="C29" s="194" t="s">
        <v>542</v>
      </c>
      <c r="D29" s="194"/>
      <c r="E29" s="194"/>
      <c r="F29" s="196"/>
      <c r="G29" s="196"/>
      <c r="H29" s="200">
        <f>'Attrition 09.2014 to 2016'!M12+'Attrition 09.2014 to 2016'!M13+'Attrition 09.2014 to 2016'!O15</f>
        <v>170914</v>
      </c>
      <c r="I29" s="196"/>
      <c r="J29" s="416"/>
      <c r="K29" s="416"/>
      <c r="L29" s="455"/>
      <c r="N29" s="456"/>
      <c r="P29" s="456"/>
      <c r="R29" s="456"/>
    </row>
    <row r="30" spans="1:18" ht="6" customHeight="1">
      <c r="A30" s="415"/>
      <c r="B30" s="409"/>
      <c r="C30" s="194"/>
      <c r="D30" s="194"/>
      <c r="E30" s="194"/>
      <c r="F30" s="194"/>
      <c r="G30" s="194"/>
      <c r="H30" s="194"/>
      <c r="I30" s="112"/>
      <c r="J30" s="112"/>
      <c r="K30" s="112"/>
      <c r="L30" s="112"/>
    </row>
    <row r="31" spans="1:18">
      <c r="A31" s="415">
        <v>10</v>
      </c>
      <c r="B31" s="409"/>
      <c r="C31" s="447" t="s">
        <v>543</v>
      </c>
      <c r="D31" s="112"/>
      <c r="E31" s="112"/>
      <c r="F31" s="112"/>
      <c r="G31" s="112"/>
      <c r="H31" s="471">
        <f>H29+H27</f>
        <v>181087</v>
      </c>
      <c r="I31" s="469" t="e">
        <f t="shared" ref="I31" si="4">I29+I27</f>
        <v>#DIV/0!</v>
      </c>
      <c r="J31" s="413"/>
      <c r="K31" s="413"/>
      <c r="L31" s="455"/>
      <c r="N31" s="456"/>
      <c r="P31" s="456"/>
      <c r="R31" s="456"/>
    </row>
    <row r="32" spans="1:18" ht="6" customHeight="1" thickBot="1">
      <c r="A32" s="199"/>
      <c r="B32" s="199"/>
      <c r="C32" s="199"/>
      <c r="D32" s="199"/>
      <c r="E32" s="199"/>
      <c r="F32" s="199"/>
      <c r="G32" s="199"/>
      <c r="H32" s="199"/>
      <c r="I32" s="112"/>
      <c r="J32" s="112"/>
      <c r="K32" s="112"/>
      <c r="L32" s="112"/>
    </row>
    <row r="33" spans="1:18" ht="13.5" thickBot="1">
      <c r="A33" s="472">
        <v>11</v>
      </c>
      <c r="B33" s="473"/>
      <c r="C33" s="248" t="s">
        <v>544</v>
      </c>
      <c r="D33" s="248"/>
      <c r="E33" s="248"/>
      <c r="F33" s="474"/>
      <c r="G33" s="411"/>
      <c r="H33" s="475">
        <f>H27/H29</f>
        <v>5.9521162690007838E-2</v>
      </c>
      <c r="I33" s="470" t="e">
        <f t="shared" ref="I33" si="5">I27/I29</f>
        <v>#DIV/0!</v>
      </c>
      <c r="J33" s="112"/>
      <c r="K33" s="112"/>
      <c r="L33" s="457"/>
      <c r="N33" s="458"/>
      <c r="P33" s="458"/>
      <c r="R33" s="458"/>
    </row>
    <row r="34" spans="1:18" ht="6" customHeight="1" thickBot="1">
      <c r="A34" s="168"/>
      <c r="B34" s="197"/>
      <c r="C34" s="156"/>
      <c r="D34" s="156"/>
      <c r="E34" s="156"/>
      <c r="F34" s="198"/>
      <c r="G34" s="191"/>
      <c r="H34" s="352"/>
      <c r="J34" s="112"/>
      <c r="K34" s="112"/>
      <c r="L34" s="112"/>
    </row>
    <row r="35" spans="1:18" ht="15" thickBot="1">
      <c r="A35" s="515" t="s">
        <v>593</v>
      </c>
      <c r="B35" s="516"/>
      <c r="C35" s="516"/>
      <c r="D35" s="516"/>
      <c r="E35" s="516"/>
      <c r="F35" s="516"/>
      <c r="G35" s="516"/>
      <c r="H35" s="517"/>
      <c r="J35" s="112"/>
      <c r="K35" s="112"/>
      <c r="L35" s="112"/>
    </row>
    <row r="36" spans="1:18" ht="6" customHeight="1">
      <c r="G36" s="112"/>
      <c r="J36" s="112"/>
      <c r="K36" s="112"/>
      <c r="L36" s="112"/>
    </row>
    <row r="37" spans="1:18">
      <c r="A37" s="476">
        <v>12</v>
      </c>
      <c r="B37" s="151"/>
      <c r="C37" s="477" t="s">
        <v>581</v>
      </c>
      <c r="D37" s="151"/>
      <c r="E37" s="151"/>
      <c r="F37" s="151"/>
      <c r="G37" s="151"/>
      <c r="H37" s="471">
        <f>6183-2208</f>
        <v>3975</v>
      </c>
    </row>
    <row r="38" spans="1:18" ht="6" customHeight="1">
      <c r="A38" s="476"/>
      <c r="B38" s="151"/>
      <c r="C38" s="477"/>
      <c r="D38" s="151"/>
      <c r="E38" s="151"/>
      <c r="F38" s="151"/>
      <c r="G38" s="151"/>
    </row>
    <row r="39" spans="1:18">
      <c r="A39" s="476">
        <v>13</v>
      </c>
      <c r="B39" s="151"/>
      <c r="C39" s="194" t="s">
        <v>577</v>
      </c>
      <c r="D39" s="151"/>
      <c r="E39" s="151"/>
      <c r="F39" s="151"/>
      <c r="G39" s="151"/>
      <c r="H39" s="471">
        <f>H31-H29</f>
        <v>10173</v>
      </c>
    </row>
    <row r="40" spans="1:18" ht="6" customHeight="1" thickBot="1">
      <c r="A40" s="151"/>
      <c r="B40" s="478"/>
      <c r="C40" s="479"/>
      <c r="D40" s="479"/>
      <c r="E40" s="479"/>
      <c r="F40" s="479"/>
      <c r="G40" s="479"/>
    </row>
    <row r="41" spans="1:18" ht="13.5" thickBot="1">
      <c r="A41" s="476">
        <v>14</v>
      </c>
      <c r="C41" s="194" t="s">
        <v>592</v>
      </c>
      <c r="H41" s="514">
        <f>H39-H37</f>
        <v>6198</v>
      </c>
    </row>
    <row r="42" spans="1:18" ht="6" customHeight="1"/>
    <row r="43" spans="1:18">
      <c r="A43" s="476">
        <v>15</v>
      </c>
      <c r="C43" s="194" t="s">
        <v>578</v>
      </c>
      <c r="H43" s="471">
        <v>6849</v>
      </c>
    </row>
    <row r="44" spans="1:18" ht="6" customHeight="1" thickBot="1"/>
    <row r="45" spans="1:18" ht="13.5" thickBot="1">
      <c r="A45" s="480">
        <v>16</v>
      </c>
      <c r="B45" s="87"/>
      <c r="C45" s="248" t="s">
        <v>579</v>
      </c>
      <c r="D45" s="87"/>
      <c r="E45" s="87"/>
      <c r="F45" s="87"/>
      <c r="G45" s="481" t="s">
        <v>580</v>
      </c>
      <c r="H45" s="483">
        <f>H43-H41</f>
        <v>651</v>
      </c>
    </row>
    <row r="46" spans="1:18" ht="6" customHeight="1"/>
    <row r="47" spans="1:18">
      <c r="G47" s="194" t="s">
        <v>582</v>
      </c>
      <c r="H47" s="482">
        <f>(339/366)*H45</f>
        <v>602.97540983606564</v>
      </c>
    </row>
    <row r="48" spans="1:18" ht="6" customHeight="1"/>
    <row r="49" spans="7:8">
      <c r="G49" s="194" t="s">
        <v>583</v>
      </c>
      <c r="H49" s="482">
        <f>2.3*H45</f>
        <v>1497.3</v>
      </c>
    </row>
  </sheetData>
  <mergeCells count="8">
    <mergeCell ref="A35:H35"/>
    <mergeCell ref="A1:I1"/>
    <mergeCell ref="A3:I3"/>
    <mergeCell ref="A5:I5"/>
    <mergeCell ref="A6:I6"/>
    <mergeCell ref="A7:I7"/>
    <mergeCell ref="A2:I2"/>
    <mergeCell ref="A4:H4"/>
  </mergeCells>
  <pageMargins left="1.2" right="0.7" top="0.75" bottom="0.75" header="0.3" footer="0.3"/>
  <pageSetup orientation="portrait" r:id="rId1"/>
  <headerFooter scaleWithDoc="0">
    <oddHeader>&amp;RExhibit No. __(CRM-9)</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
  <sheetViews>
    <sheetView view="pageBreakPreview" zoomScale="85" zoomScaleNormal="100" zoomScaleSheetLayoutView="85" workbookViewId="0">
      <selection activeCell="G42" activeCellId="2" sqref="P30 E42 G42"/>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28" customWidth="1"/>
    <col min="6" max="6" width="11.85546875" style="128" customWidth="1"/>
    <col min="7" max="7" width="11.28515625" bestFit="1" customWidth="1"/>
    <col min="8" max="8" width="13.28515625" style="128" customWidth="1"/>
    <col min="9" max="9" width="11.85546875" bestFit="1" customWidth="1"/>
    <col min="10" max="10" width="9.5703125" customWidth="1"/>
    <col min="11" max="11" width="1.42578125" customWidth="1"/>
    <col min="12" max="12" width="12.7109375" bestFit="1" customWidth="1"/>
    <col min="13" max="13" width="10.5703125" customWidth="1"/>
    <col min="14" max="14" width="8.85546875" customWidth="1"/>
  </cols>
  <sheetData>
    <row r="1" spans="1:13" ht="13.5" thickBot="1">
      <c r="A1" s="156" t="s">
        <v>43</v>
      </c>
      <c r="H1" s="404" t="s">
        <v>563</v>
      </c>
      <c r="I1" s="430" t="s">
        <v>564</v>
      </c>
    </row>
    <row r="2" spans="1:13" ht="13.5" thickBot="1">
      <c r="A2" s="156" t="s">
        <v>84</v>
      </c>
      <c r="H2" s="403" t="s">
        <v>562</v>
      </c>
      <c r="I2" s="431" t="s">
        <v>564</v>
      </c>
    </row>
    <row r="3" spans="1:13">
      <c r="A3" s="582" t="s">
        <v>85</v>
      </c>
      <c r="B3" s="582"/>
      <c r="C3" s="582"/>
      <c r="D3" s="582"/>
      <c r="E3" s="582"/>
      <c r="F3" s="582"/>
      <c r="G3" s="582"/>
      <c r="H3" s="582"/>
      <c r="I3" s="582"/>
      <c r="J3" s="582"/>
    </row>
    <row r="4" spans="1:13">
      <c r="A4" s="582" t="s">
        <v>422</v>
      </c>
      <c r="B4" s="582"/>
      <c r="C4" s="582"/>
      <c r="D4" s="582"/>
      <c r="E4" s="582"/>
      <c r="F4" s="582"/>
      <c r="G4" s="582"/>
      <c r="H4" s="582"/>
      <c r="I4" s="582"/>
      <c r="J4" s="582"/>
    </row>
    <row r="6" spans="1:13">
      <c r="E6" s="312" t="s">
        <v>100</v>
      </c>
      <c r="F6" s="130"/>
      <c r="G6" s="41" t="s">
        <v>97</v>
      </c>
    </row>
    <row r="7" spans="1:13">
      <c r="A7" s="40" t="s">
        <v>0</v>
      </c>
      <c r="D7" s="41" t="s">
        <v>97</v>
      </c>
      <c r="E7" s="312" t="s">
        <v>101</v>
      </c>
      <c r="F7" s="312" t="s">
        <v>102</v>
      </c>
      <c r="G7" s="41" t="s">
        <v>98</v>
      </c>
      <c r="H7" s="312" t="s">
        <v>100</v>
      </c>
      <c r="J7" s="41" t="s">
        <v>108</v>
      </c>
      <c r="K7" s="41"/>
    </row>
    <row r="8" spans="1:13">
      <c r="A8" s="43" t="s">
        <v>2</v>
      </c>
      <c r="B8" s="69" t="s">
        <v>88</v>
      </c>
      <c r="C8" s="69" t="s">
        <v>89</v>
      </c>
      <c r="D8" s="43" t="s">
        <v>98</v>
      </c>
      <c r="E8" s="313" t="s">
        <v>423</v>
      </c>
      <c r="F8" s="131">
        <v>2016</v>
      </c>
      <c r="G8" s="43" t="s">
        <v>103</v>
      </c>
      <c r="H8" s="318" t="s">
        <v>423</v>
      </c>
      <c r="I8" s="43" t="s">
        <v>107</v>
      </c>
      <c r="J8" s="43" t="s">
        <v>103</v>
      </c>
      <c r="K8" s="43"/>
    </row>
    <row r="9" spans="1:13">
      <c r="A9" s="43"/>
      <c r="B9" s="41" t="s">
        <v>109</v>
      </c>
      <c r="C9" s="41" t="s">
        <v>110</v>
      </c>
      <c r="D9" s="41" t="s">
        <v>111</v>
      </c>
      <c r="E9" s="312" t="s">
        <v>112</v>
      </c>
      <c r="F9" s="312" t="s">
        <v>113</v>
      </c>
      <c r="G9" s="41" t="s">
        <v>114</v>
      </c>
      <c r="H9" s="312" t="s">
        <v>115</v>
      </c>
      <c r="I9" s="41" t="s">
        <v>116</v>
      </c>
      <c r="J9" s="41" t="s">
        <v>117</v>
      </c>
      <c r="K9" s="41"/>
      <c r="M9" s="583" t="s">
        <v>448</v>
      </c>
    </row>
    <row r="10" spans="1:13">
      <c r="A10" s="43"/>
      <c r="B10" s="69"/>
      <c r="C10" s="69"/>
      <c r="D10" s="43"/>
      <c r="E10" s="131"/>
      <c r="F10" s="131"/>
      <c r="G10" s="43"/>
      <c r="M10" s="583"/>
    </row>
    <row r="11" spans="1:13">
      <c r="A11" s="40">
        <v>1</v>
      </c>
      <c r="B11" t="s">
        <v>86</v>
      </c>
      <c r="C11" s="40">
        <v>101</v>
      </c>
      <c r="D11" s="70" t="s">
        <v>104</v>
      </c>
      <c r="E11" s="124">
        <f>'09.2014 Revenue Model'!D25</f>
        <v>1787943</v>
      </c>
      <c r="F11" s="124">
        <f>'Forecast Bill Determinants'!F35</f>
        <v>1828181.5921</v>
      </c>
      <c r="G11" s="97">
        <f>(F11-E11)/E11</f>
        <v>2.250552288300019E-2</v>
      </c>
      <c r="H11" s="125">
        <f>'09.2014 Revenue Model'!D106</f>
        <v>16091487</v>
      </c>
      <c r="I11" s="97">
        <f>H11/H$19</f>
        <v>9.6511882351302022E-2</v>
      </c>
      <c r="J11" s="97">
        <f>G11*I11</f>
        <v>2.1720503767386498E-3</v>
      </c>
      <c r="K11" s="97"/>
      <c r="L11" s="326">
        <f>H$19*J11</f>
        <v>362147.32890000008</v>
      </c>
      <c r="M11" s="326">
        <f>L11</f>
        <v>362147.32890000008</v>
      </c>
    </row>
    <row r="12" spans="1:13">
      <c r="A12" s="40">
        <v>2</v>
      </c>
      <c r="B12" t="s">
        <v>87</v>
      </c>
      <c r="C12" s="41" t="s">
        <v>91</v>
      </c>
      <c r="D12" s="70" t="s">
        <v>104</v>
      </c>
      <c r="E12" s="124">
        <f>'09.2014 Revenue Model'!E26</f>
        <v>30696.999999999956</v>
      </c>
      <c r="F12" s="124">
        <f>'Forecast Bill Determinants'!F36</f>
        <v>31373.728499999997</v>
      </c>
      <c r="G12" s="97">
        <f t="shared" ref="G12:G22" si="0">(F12-E12)/E12</f>
        <v>2.2045427891977786E-2</v>
      </c>
      <c r="H12" s="125">
        <f>'09.2014 Revenue Model'!E107</f>
        <v>2671866.8799999962</v>
      </c>
      <c r="I12" s="97">
        <f t="shared" ref="I12:I18" si="1">H12/H$19</f>
        <v>1.602505113299349E-2</v>
      </c>
      <c r="J12" s="97">
        <f t="shared" ref="J12:J24" si="2">G12*I12</f>
        <v>3.5327910921766488E-4</v>
      </c>
      <c r="K12" s="97"/>
      <c r="L12" s="326">
        <f t="shared" ref="L12:L18" si="3">H$19*J12</f>
        <v>58902.448640003575</v>
      </c>
      <c r="M12" s="326">
        <f>L12</f>
        <v>58902.448640003575</v>
      </c>
    </row>
    <row r="13" spans="1:13">
      <c r="A13" s="40">
        <v>3</v>
      </c>
      <c r="B13" s="70" t="s">
        <v>90</v>
      </c>
      <c r="C13" s="41" t="s">
        <v>92</v>
      </c>
      <c r="D13" s="70" t="s">
        <v>104</v>
      </c>
      <c r="E13" s="124">
        <f>'09.2014 Revenue Model'!F26</f>
        <v>336</v>
      </c>
      <c r="F13" s="124">
        <f>'Forecast Bill Determinants'!F37</f>
        <v>338.77711400111377</v>
      </c>
      <c r="G13" s="97">
        <f t="shared" si="0"/>
        <v>8.2652202414100397E-3</v>
      </c>
      <c r="H13" s="125">
        <f>'09.2014 Revenue Model'!F107</f>
        <v>72320.639999999999</v>
      </c>
      <c r="I13" s="97">
        <f t="shared" si="1"/>
        <v>4.3375737116469512E-4</v>
      </c>
      <c r="J13" s="97">
        <f t="shared" si="2"/>
        <v>3.5851002040112457E-6</v>
      </c>
      <c r="K13" s="97"/>
      <c r="L13" s="326">
        <f t="shared" si="3"/>
        <v>597.74601759972859</v>
      </c>
      <c r="M13" s="326">
        <f>L13</f>
        <v>597.74601759972859</v>
      </c>
    </row>
    <row r="14" spans="1:13" ht="13.5" thickBot="1">
      <c r="A14" s="40">
        <v>4</v>
      </c>
      <c r="B14" s="70" t="s">
        <v>93</v>
      </c>
      <c r="C14" s="41" t="s">
        <v>94</v>
      </c>
      <c r="D14" s="70" t="s">
        <v>104</v>
      </c>
      <c r="E14" s="124">
        <f>'09.2014 Revenue Model'!G25</f>
        <v>24</v>
      </c>
      <c r="F14" s="124">
        <f>'Forecast Bill Determinants'!F38</f>
        <v>24</v>
      </c>
      <c r="G14" s="97">
        <f t="shared" si="0"/>
        <v>0</v>
      </c>
      <c r="H14" s="125">
        <f>'09.2014 Revenue Model'!G106+'09.2014 Revenue Model'!G107</f>
        <v>0</v>
      </c>
      <c r="I14" s="97">
        <f t="shared" si="1"/>
        <v>0</v>
      </c>
      <c r="J14" s="97">
        <f t="shared" si="2"/>
        <v>0</v>
      </c>
      <c r="K14" s="97"/>
      <c r="L14" s="326">
        <f t="shared" si="3"/>
        <v>0</v>
      </c>
      <c r="M14" s="326">
        <f>L14</f>
        <v>0</v>
      </c>
    </row>
    <row r="15" spans="1:13">
      <c r="A15" s="40">
        <v>5</v>
      </c>
      <c r="B15" t="s">
        <v>86</v>
      </c>
      <c r="C15" s="40">
        <v>101</v>
      </c>
      <c r="D15" s="70" t="s">
        <v>99</v>
      </c>
      <c r="E15" s="314">
        <f>'09.2014 Revenue Model'!D23</f>
        <v>120721607</v>
      </c>
      <c r="F15" s="432">
        <f>E15+L28</f>
        <v>121783957.1416</v>
      </c>
      <c r="G15" s="427">
        <f>(1.76%)/2</f>
        <v>8.8000000000000005E-3</v>
      </c>
      <c r="H15" s="125">
        <f>H27-H11</f>
        <v>107498749.48</v>
      </c>
      <c r="I15" s="97">
        <f t="shared" si="1"/>
        <v>0.64474505449532715</v>
      </c>
      <c r="J15" s="97">
        <f>G15*I15</f>
        <v>5.673756479558879E-3</v>
      </c>
      <c r="K15" s="97"/>
      <c r="L15" s="326">
        <f t="shared" si="3"/>
        <v>945988.99542399996</v>
      </c>
      <c r="M15" s="326">
        <f>L15-I37</f>
        <v>411340.03966096905</v>
      </c>
    </row>
    <row r="16" spans="1:13">
      <c r="A16" s="40">
        <v>6</v>
      </c>
      <c r="B16" t="s">
        <v>87</v>
      </c>
      <c r="C16" s="41" t="s">
        <v>91</v>
      </c>
      <c r="D16" s="70" t="s">
        <v>99</v>
      </c>
      <c r="E16" s="315">
        <f>'09.2014 Revenue Model'!E23</f>
        <v>47537282</v>
      </c>
      <c r="F16" s="433">
        <f>E16+L29</f>
        <v>48026916.004600003</v>
      </c>
      <c r="G16" s="428">
        <f>AVERAGE(0.18%,1.88%)</f>
        <v>1.0299999999999998E-2</v>
      </c>
      <c r="H16" s="125">
        <f>H28-H12</f>
        <v>35598366.25</v>
      </c>
      <c r="I16" s="97">
        <f t="shared" si="1"/>
        <v>0.21350825659670608</v>
      </c>
      <c r="J16" s="97">
        <f>G16*I16</f>
        <v>2.1991350429460721E-3</v>
      </c>
      <c r="K16" s="97"/>
      <c r="L16" s="326">
        <f t="shared" si="3"/>
        <v>366663.17237499991</v>
      </c>
      <c r="M16" s="326">
        <f>L16-I38</f>
        <v>121336.95071021421</v>
      </c>
    </row>
    <row r="17" spans="1:13" ht="13.5" thickBot="1">
      <c r="A17" s="40">
        <v>7</v>
      </c>
      <c r="B17" s="70" t="s">
        <v>90</v>
      </c>
      <c r="C17" s="41" t="s">
        <v>92</v>
      </c>
      <c r="D17" s="70" t="s">
        <v>99</v>
      </c>
      <c r="E17" s="315">
        <f>'09.2014 Revenue Model'!F23</f>
        <v>5735037</v>
      </c>
      <c r="F17" s="434">
        <f>E17+L30</f>
        <v>5958416.6911500003</v>
      </c>
      <c r="G17" s="429">
        <f>AVERAGE(3.57%,4.22%)</f>
        <v>3.8949999999999999E-2</v>
      </c>
      <c r="H17" s="125">
        <f>H29-H13</f>
        <v>4064021.01</v>
      </c>
      <c r="I17" s="97">
        <f t="shared" si="1"/>
        <v>2.4374771429783934E-2</v>
      </c>
      <c r="J17" s="97">
        <f>G17*I17</f>
        <v>9.4939734719008424E-4</v>
      </c>
      <c r="K17" s="97"/>
      <c r="L17" s="326">
        <f t="shared" si="3"/>
        <v>158293.61833950001</v>
      </c>
      <c r="M17" s="326">
        <f>L17-I39</f>
        <v>50445.903452279861</v>
      </c>
    </row>
    <row r="18" spans="1:13" ht="13.5" thickBot="1">
      <c r="A18" s="40">
        <v>8</v>
      </c>
      <c r="B18" s="70" t="s">
        <v>93</v>
      </c>
      <c r="C18" s="41" t="s">
        <v>94</v>
      </c>
      <c r="D18" s="70" t="s">
        <v>99</v>
      </c>
      <c r="E18" s="316">
        <f>'09.2014 Revenue Model'!G23</f>
        <v>1115704</v>
      </c>
      <c r="F18" s="322">
        <f>'Forecast Bill Determinants'!D8</f>
        <v>1252782.6386017113</v>
      </c>
      <c r="G18" s="97">
        <f>(F18-E18)/E18</f>
        <v>0.12286290862245833</v>
      </c>
      <c r="H18" s="125">
        <f>H30-H14</f>
        <v>733819.29</v>
      </c>
      <c r="I18" s="126">
        <f t="shared" si="1"/>
        <v>4.4012266227226845E-3</v>
      </c>
      <c r="J18" s="127">
        <f>G18*I18</f>
        <v>5.40747504374308E-4</v>
      </c>
      <c r="K18" s="127"/>
      <c r="L18" s="326">
        <f t="shared" si="3"/>
        <v>90159.17237266725</v>
      </c>
      <c r="M18" s="326">
        <f>L18-I40</f>
        <v>27797.987313590747</v>
      </c>
    </row>
    <row r="19" spans="1:13" ht="14.25" thickTop="1" thickBot="1">
      <c r="A19" s="40">
        <v>9</v>
      </c>
      <c r="B19" s="70" t="s">
        <v>106</v>
      </c>
      <c r="C19" s="41"/>
      <c r="D19" s="70"/>
      <c r="E19" s="316">
        <f>SUM(E15:E18)</f>
        <v>175109630</v>
      </c>
      <c r="F19" s="322">
        <f>SUM(F15:F18)</f>
        <v>177022072.47595173</v>
      </c>
      <c r="G19" s="97"/>
      <c r="H19" s="319">
        <f>SUM(H11:H18)</f>
        <v>166730630.54999998</v>
      </c>
      <c r="I19" s="97">
        <f>SUM(I11:I18)</f>
        <v>1</v>
      </c>
      <c r="J19" s="425">
        <f>SUM(J11:J18)</f>
        <v>1.1891950960229668E-2</v>
      </c>
      <c r="K19" s="127"/>
      <c r="L19" s="327">
        <f>SUM(L11:L18)</f>
        <v>1982752.4820687706</v>
      </c>
      <c r="M19" s="327">
        <f>SUM(M11:M18)</f>
        <v>1032568.4046946572</v>
      </c>
    </row>
    <row r="20" spans="1:13" ht="13.5" thickTop="1">
      <c r="A20" s="40"/>
      <c r="B20" s="70"/>
      <c r="C20" s="41"/>
      <c r="D20" s="70"/>
      <c r="E20" s="124"/>
      <c r="F20" s="124"/>
      <c r="G20" s="97"/>
      <c r="H20" s="125"/>
      <c r="I20" s="97"/>
      <c r="J20" s="97"/>
      <c r="K20" s="97"/>
    </row>
    <row r="21" spans="1:13">
      <c r="A21" s="40">
        <v>10</v>
      </c>
      <c r="B21" s="70" t="s">
        <v>95</v>
      </c>
      <c r="C21" s="40">
        <v>146</v>
      </c>
      <c r="D21" s="70" t="s">
        <v>104</v>
      </c>
      <c r="E21" s="124">
        <f>'09.2014 Revenue Model'!H25</f>
        <v>456</v>
      </c>
      <c r="F21" s="124">
        <f>'Forecast Bill Determinants'!F39</f>
        <v>515.80946824049408</v>
      </c>
      <c r="G21" s="97">
        <f t="shared" si="0"/>
        <v>0.13116111456248702</v>
      </c>
      <c r="H21" s="125">
        <f>'09.2014 Revenue Model'!H106+'09.2014 Revenue Model'!H107</f>
        <v>255207.10263000001</v>
      </c>
      <c r="I21" s="97">
        <f>H21/H$25</f>
        <v>6.1005130388575857E-2</v>
      </c>
      <c r="J21" s="97">
        <f t="shared" si="2"/>
        <v>8.0015008957954568E-3</v>
      </c>
      <c r="K21" s="97"/>
      <c r="L21" s="326">
        <f>H$25*J21</f>
        <v>33473.248025213819</v>
      </c>
      <c r="M21" s="326">
        <f>L21</f>
        <v>33473.248025213819</v>
      </c>
    </row>
    <row r="22" spans="1:13">
      <c r="A22" s="40">
        <v>11</v>
      </c>
      <c r="B22" s="70" t="s">
        <v>96</v>
      </c>
      <c r="C22" s="40">
        <v>148</v>
      </c>
      <c r="D22" s="70" t="s">
        <v>104</v>
      </c>
      <c r="E22" s="124">
        <f>'09.2014 Revenue Model'!I25+'09.2014 Revenue Model'!J25</f>
        <v>60</v>
      </c>
      <c r="F22" s="124">
        <f>'Forecast Bill Determinants'!F40</f>
        <v>65.701937481317373</v>
      </c>
      <c r="G22" s="97">
        <f t="shared" si="0"/>
        <v>9.5032291355289539E-2</v>
      </c>
      <c r="H22" s="125">
        <f>'09.2014 Revenue Model'!I106+'09.2014 Revenue Model'!J106</f>
        <v>325584</v>
      </c>
      <c r="I22" s="97">
        <f>H22/H$25</f>
        <v>7.7828141018592617E-2</v>
      </c>
      <c r="J22" s="97">
        <f t="shared" si="2"/>
        <v>7.396186572919454E-3</v>
      </c>
      <c r="K22" s="97"/>
      <c r="L22" s="326">
        <f>H$25*J22</f>
        <v>30940.993548620587</v>
      </c>
      <c r="M22" s="326">
        <f>L22</f>
        <v>30940.993548620587</v>
      </c>
    </row>
    <row r="23" spans="1:13">
      <c r="A23" s="40">
        <v>12</v>
      </c>
      <c r="B23" s="70" t="s">
        <v>95</v>
      </c>
      <c r="C23" s="40">
        <v>146</v>
      </c>
      <c r="D23" s="70" t="s">
        <v>99</v>
      </c>
      <c r="E23" s="314">
        <f>'09.2014 Revenue Model'!H23</f>
        <v>30580202</v>
      </c>
      <c r="F23" s="324">
        <f>'Forecast Bill Determinants'!D9</f>
        <v>30484400.609234795</v>
      </c>
      <c r="G23" s="97">
        <f>(F23-E23)/E23</f>
        <v>-3.1327912995867402E-3</v>
      </c>
      <c r="H23" s="125">
        <f>H31-H21</f>
        <v>2321588.5299999998</v>
      </c>
      <c r="I23" s="97">
        <f>H23/H$25</f>
        <v>0.55495638452745566</v>
      </c>
      <c r="J23" s="97">
        <f t="shared" si="2"/>
        <v>-1.7385625330977265E-3</v>
      </c>
      <c r="K23" s="97"/>
      <c r="L23" s="326">
        <f>H$25*J23</f>
        <v>-7273.0523480043685</v>
      </c>
      <c r="M23" s="326">
        <f>L23-I42</f>
        <v>-7221.3195969911576</v>
      </c>
    </row>
    <row r="24" spans="1:13">
      <c r="A24" s="40">
        <v>13</v>
      </c>
      <c r="B24" s="70" t="s">
        <v>96</v>
      </c>
      <c r="C24" s="40">
        <v>148</v>
      </c>
      <c r="D24" s="70" t="s">
        <v>99</v>
      </c>
      <c r="E24" s="316">
        <f>'09.2014 Revenue Model'!I23+'09.2014 Revenue Model'!J23</f>
        <v>49497099</v>
      </c>
      <c r="F24" s="322">
        <f>'Forecast Bill Determinants'!D10</f>
        <v>47057044</v>
      </c>
      <c r="G24" s="97">
        <f>(F24-E24)/E24</f>
        <v>-4.9296929502878541E-2</v>
      </c>
      <c r="H24" s="320">
        <f>H32-H22</f>
        <v>1280991.52</v>
      </c>
      <c r="I24" s="126">
        <f>H24/H$25</f>
        <v>0.30621034406537578</v>
      </c>
      <c r="J24" s="127">
        <f t="shared" si="2"/>
        <v>-1.5095229744443012E-2</v>
      </c>
      <c r="K24" s="127"/>
      <c r="L24" s="326">
        <f>H$25*J24</f>
        <v>-63148.94865522522</v>
      </c>
      <c r="M24" s="326">
        <f>L24-I43</f>
        <v>-63148.94865522522</v>
      </c>
    </row>
    <row r="25" spans="1:13">
      <c r="A25" s="40">
        <v>14</v>
      </c>
      <c r="B25" s="70" t="s">
        <v>106</v>
      </c>
      <c r="C25" s="40"/>
      <c r="D25" s="70"/>
      <c r="E25" s="316">
        <f>SUM(E23:E24)</f>
        <v>80077301</v>
      </c>
      <c r="F25" s="322">
        <f>SUM(F23:F24)</f>
        <v>77541444.609234795</v>
      </c>
      <c r="G25" s="97"/>
      <c r="H25" s="125">
        <f>SUM(H21:H24)</f>
        <v>4183371.1526299999</v>
      </c>
      <c r="I25" s="97">
        <f>SUM(I21:I24)</f>
        <v>1</v>
      </c>
      <c r="J25" s="426">
        <f>SUM(J21:J24)</f>
        <v>-1.436104808825828E-3</v>
      </c>
      <c r="K25" s="127"/>
      <c r="L25" s="327">
        <f>SUM(L21:L24)</f>
        <v>-6007.7594293951843</v>
      </c>
      <c r="M25" s="327">
        <f>SUM(M21:M24)</f>
        <v>-5956.0266783819679</v>
      </c>
    </row>
    <row r="26" spans="1:13">
      <c r="A26" s="40"/>
      <c r="E26" s="124"/>
      <c r="G26" s="128"/>
      <c r="H26" s="125"/>
      <c r="I26" s="128"/>
      <c r="J26" s="128"/>
      <c r="K26" s="128"/>
    </row>
    <row r="27" spans="1:13" ht="13.5" thickBot="1">
      <c r="A27" s="40">
        <v>15</v>
      </c>
      <c r="B27" t="s">
        <v>86</v>
      </c>
      <c r="C27" s="40">
        <v>101</v>
      </c>
      <c r="D27" t="s">
        <v>105</v>
      </c>
      <c r="E27" s="124"/>
      <c r="G27" s="128"/>
      <c r="H27" s="125">
        <f>'09.2014 Revenue Model'!D145</f>
        <v>123590236.48</v>
      </c>
      <c r="I27" s="128" t="s">
        <v>559</v>
      </c>
      <c r="J27" s="128"/>
      <c r="K27" s="128"/>
    </row>
    <row r="28" spans="1:13">
      <c r="A28" s="40">
        <v>16</v>
      </c>
      <c r="B28" t="s">
        <v>87</v>
      </c>
      <c r="C28" s="41" t="s">
        <v>91</v>
      </c>
      <c r="D28" t="s">
        <v>105</v>
      </c>
      <c r="G28" s="128"/>
      <c r="H28" s="125">
        <f>'09.2014 Revenue Model'!E145</f>
        <v>38270233.129999995</v>
      </c>
      <c r="I28" s="128"/>
      <c r="J28" s="40">
        <v>101</v>
      </c>
      <c r="K28" s="128"/>
      <c r="L28" s="444">
        <f>G15*E15</f>
        <v>1062350.1416</v>
      </c>
    </row>
    <row r="29" spans="1:13">
      <c r="A29" s="40">
        <v>17</v>
      </c>
      <c r="B29" s="70" t="s">
        <v>90</v>
      </c>
      <c r="C29" s="41" t="s">
        <v>92</v>
      </c>
      <c r="D29" t="s">
        <v>105</v>
      </c>
      <c r="G29" s="128"/>
      <c r="H29" s="125">
        <f>'09.2014 Revenue Model'!F145</f>
        <v>4136341.65</v>
      </c>
      <c r="I29" s="128"/>
      <c r="J29" s="41" t="s">
        <v>91</v>
      </c>
      <c r="K29" s="128"/>
      <c r="L29" s="445">
        <f t="shared" ref="L29:L30" si="4">G16*E16</f>
        <v>489634.00459999993</v>
      </c>
    </row>
    <row r="30" spans="1:13" ht="13.5" thickBot="1">
      <c r="A30" s="40">
        <v>18</v>
      </c>
      <c r="B30" s="70" t="s">
        <v>93</v>
      </c>
      <c r="C30" s="41" t="s">
        <v>94</v>
      </c>
      <c r="D30" t="s">
        <v>105</v>
      </c>
      <c r="G30" s="128"/>
      <c r="H30" s="125">
        <f>'09.2014 Revenue Model'!G145</f>
        <v>733819.29</v>
      </c>
      <c r="I30" s="128"/>
      <c r="J30" s="41" t="s">
        <v>92</v>
      </c>
      <c r="K30" s="128"/>
      <c r="L30" s="446">
        <f t="shared" si="4"/>
        <v>223379.69115</v>
      </c>
    </row>
    <row r="31" spans="1:13">
      <c r="A31" s="40">
        <v>19</v>
      </c>
      <c r="B31" s="70" t="s">
        <v>95</v>
      </c>
      <c r="C31" s="40">
        <v>146</v>
      </c>
      <c r="D31" t="s">
        <v>105</v>
      </c>
      <c r="G31" s="128"/>
      <c r="H31" s="125">
        <f>'09.2014 Revenue Model'!H145</f>
        <v>2576795.6326299999</v>
      </c>
      <c r="I31" s="128"/>
      <c r="J31" s="128"/>
      <c r="K31" s="128"/>
    </row>
    <row r="32" spans="1:13">
      <c r="A32" s="40">
        <v>20</v>
      </c>
      <c r="B32" s="70" t="s">
        <v>96</v>
      </c>
      <c r="C32" s="40">
        <v>148</v>
      </c>
      <c r="D32" t="s">
        <v>105</v>
      </c>
      <c r="G32" s="128"/>
      <c r="H32" s="320">
        <f>'09.2014 Revenue Model'!I145+'09.2014 Revenue Model'!J145</f>
        <v>1606575.52</v>
      </c>
      <c r="I32" s="128"/>
      <c r="J32" s="128"/>
      <c r="K32" s="128"/>
    </row>
    <row r="33" spans="1:13">
      <c r="A33" s="40">
        <v>21</v>
      </c>
      <c r="B33" s="70" t="s">
        <v>106</v>
      </c>
      <c r="G33" s="128"/>
      <c r="H33" s="125">
        <f>SUM(H27:H32)</f>
        <v>170914001.70263001</v>
      </c>
      <c r="I33" s="97"/>
      <c r="J33" s="128"/>
      <c r="K33" s="128"/>
    </row>
    <row r="34" spans="1:13" ht="13.5" thickBot="1">
      <c r="A34" s="85"/>
      <c r="B34" s="86"/>
      <c r="C34" s="248"/>
      <c r="D34" s="87"/>
      <c r="E34" s="129"/>
      <c r="F34" s="129"/>
      <c r="G34" s="129"/>
      <c r="H34" s="133"/>
      <c r="I34" s="126"/>
      <c r="J34" s="129"/>
      <c r="K34" s="151"/>
    </row>
    <row r="35" spans="1:13" ht="13.5" thickBot="1">
      <c r="B35" s="69" t="s">
        <v>123</v>
      </c>
      <c r="G35" s="130" t="s">
        <v>119</v>
      </c>
      <c r="H35" s="435" t="s">
        <v>121</v>
      </c>
      <c r="I35" s="128"/>
      <c r="J35" s="128"/>
      <c r="K35" s="128"/>
    </row>
    <row r="36" spans="1:13" ht="13.5" thickBot="1">
      <c r="E36" s="313" t="str">
        <f>E8</f>
        <v>Sept 2014</v>
      </c>
      <c r="F36" s="131">
        <f>F8</f>
        <v>2016</v>
      </c>
      <c r="G36" s="131" t="s">
        <v>120</v>
      </c>
      <c r="H36" s="436" t="s">
        <v>122</v>
      </c>
      <c r="I36" s="128"/>
      <c r="J36" s="437" t="s">
        <v>560</v>
      </c>
      <c r="K36" s="438"/>
      <c r="L36" s="438"/>
      <c r="M36" s="439"/>
    </row>
    <row r="37" spans="1:13">
      <c r="A37" s="40">
        <v>22</v>
      </c>
      <c r="B37" t="s">
        <v>86</v>
      </c>
      <c r="C37" s="40">
        <v>101</v>
      </c>
      <c r="D37" s="70" t="s">
        <v>99</v>
      </c>
      <c r="E37" s="124">
        <f t="shared" ref="E37:F40" si="5">E15</f>
        <v>120721607</v>
      </c>
      <c r="F37" s="124">
        <f t="shared" si="5"/>
        <v>121783957.1416</v>
      </c>
      <c r="G37" s="124">
        <f>F37-E37</f>
        <v>1062350.1415999979</v>
      </c>
      <c r="H37" s="321">
        <v>0.50327</v>
      </c>
      <c r="I37" s="444">
        <f>G37*H37</f>
        <v>534648.95576303091</v>
      </c>
      <c r="J37" s="440" t="s">
        <v>573</v>
      </c>
      <c r="K37" s="440"/>
      <c r="L37" s="440"/>
      <c r="M37" s="441"/>
    </row>
    <row r="38" spans="1:13" ht="13.5" thickBot="1">
      <c r="A38" s="40">
        <v>23</v>
      </c>
      <c r="B38" t="s">
        <v>87</v>
      </c>
      <c r="C38" s="41" t="s">
        <v>91</v>
      </c>
      <c r="D38" s="70" t="s">
        <v>99</v>
      </c>
      <c r="E38" s="124">
        <f t="shared" si="5"/>
        <v>47537282</v>
      </c>
      <c r="F38" s="124">
        <f t="shared" si="5"/>
        <v>48026916.004600003</v>
      </c>
      <c r="G38" s="124">
        <f>F38-E38</f>
        <v>489634.00460000336</v>
      </c>
      <c r="H38" s="321">
        <v>0.50104000000000004</v>
      </c>
      <c r="I38" s="445">
        <f>G38*H38</f>
        <v>245326.2216647857</v>
      </c>
      <c r="J38" s="442" t="s">
        <v>561</v>
      </c>
      <c r="K38" s="442"/>
      <c r="L38" s="442"/>
      <c r="M38" s="443"/>
    </row>
    <row r="39" spans="1:13" ht="13.5" thickBot="1">
      <c r="A39" s="40">
        <v>24</v>
      </c>
      <c r="B39" s="70" t="s">
        <v>90</v>
      </c>
      <c r="C39" s="41" t="s">
        <v>92</v>
      </c>
      <c r="D39" s="70" t="s">
        <v>99</v>
      </c>
      <c r="E39" s="124">
        <f t="shared" si="5"/>
        <v>5735037</v>
      </c>
      <c r="F39" s="124">
        <f t="shared" si="5"/>
        <v>5958416.6911500003</v>
      </c>
      <c r="G39" s="124">
        <f>F39-E39</f>
        <v>223379.69115000032</v>
      </c>
      <c r="H39" s="321">
        <v>0.48280000000000001</v>
      </c>
      <c r="I39" s="446">
        <f>G39*H39</f>
        <v>107847.71488722015</v>
      </c>
      <c r="J39" s="128"/>
      <c r="K39" s="128"/>
    </row>
    <row r="40" spans="1:13">
      <c r="A40" s="40">
        <v>25</v>
      </c>
      <c r="B40" s="70" t="s">
        <v>93</v>
      </c>
      <c r="C40" s="41" t="s">
        <v>94</v>
      </c>
      <c r="D40" s="70" t="s">
        <v>99</v>
      </c>
      <c r="E40" s="132">
        <f t="shared" si="5"/>
        <v>1115704</v>
      </c>
      <c r="F40" s="132">
        <f t="shared" si="5"/>
        <v>1252782.6386017113</v>
      </c>
      <c r="G40" s="132">
        <f>F40-E40</f>
        <v>137078.63860171125</v>
      </c>
      <c r="H40" s="321">
        <v>0.45493</v>
      </c>
      <c r="I40" s="125">
        <f>G40*H40</f>
        <v>62361.185059076503</v>
      </c>
      <c r="J40" s="128"/>
      <c r="K40" s="128"/>
    </row>
    <row r="41" spans="1:13">
      <c r="A41" s="40">
        <v>26</v>
      </c>
      <c r="B41" s="70" t="s">
        <v>106</v>
      </c>
      <c r="E41" s="124">
        <f>SUM(E37:E40)</f>
        <v>175109630</v>
      </c>
      <c r="F41" s="124">
        <f>SUM(F37:F40)</f>
        <v>177022072.47595173</v>
      </c>
      <c r="G41" s="124">
        <f>SUM(G37:G40)</f>
        <v>1912442.4759517128</v>
      </c>
      <c r="H41" s="321"/>
      <c r="I41" s="128"/>
      <c r="J41" s="128"/>
      <c r="K41" s="128"/>
    </row>
    <row r="42" spans="1:13">
      <c r="A42" s="40">
        <v>27</v>
      </c>
      <c r="B42" s="70" t="s">
        <v>167</v>
      </c>
      <c r="C42" s="41">
        <v>146</v>
      </c>
      <c r="D42" s="70" t="s">
        <v>99</v>
      </c>
      <c r="E42" s="124">
        <f>E23</f>
        <v>30580202</v>
      </c>
      <c r="F42" s="124">
        <f>F23</f>
        <v>30484400.609234795</v>
      </c>
      <c r="G42" s="124">
        <f>F42-E42</f>
        <v>-95801.390765205026</v>
      </c>
      <c r="H42" s="321">
        <v>5.4000000000000001E-4</v>
      </c>
      <c r="I42" s="133">
        <f>G42*H42</f>
        <v>-51.732751013210716</v>
      </c>
      <c r="J42" s="128"/>
      <c r="K42" s="128"/>
    </row>
    <row r="43" spans="1:13" ht="13.5" thickBot="1">
      <c r="A43" s="40">
        <v>28</v>
      </c>
      <c r="B43" s="70" t="s">
        <v>168</v>
      </c>
      <c r="C43" s="41">
        <v>148</v>
      </c>
      <c r="D43" s="70" t="s">
        <v>99</v>
      </c>
      <c r="E43" s="124">
        <f>E24</f>
        <v>49497099</v>
      </c>
      <c r="F43" s="124">
        <f>F24</f>
        <v>47057044</v>
      </c>
      <c r="G43" s="124">
        <f>F43-E43</f>
        <v>-2440055</v>
      </c>
      <c r="H43" s="321">
        <v>0</v>
      </c>
      <c r="I43" s="133"/>
      <c r="J43" s="128"/>
      <c r="K43" s="128"/>
    </row>
    <row r="44" spans="1:13" ht="14.25" thickTop="1" thickBot="1">
      <c r="A44" s="40">
        <v>29</v>
      </c>
      <c r="B44" s="70" t="s">
        <v>106</v>
      </c>
      <c r="E44" s="317">
        <f>SUM(E42:E43)</f>
        <v>80077301</v>
      </c>
      <c r="F44" s="317">
        <f>SUM(F42:F43)</f>
        <v>77541444.609234795</v>
      </c>
      <c r="G44" s="117">
        <f>SUM(G42:G43)</f>
        <v>-2535856.390765205</v>
      </c>
      <c r="I44" s="423">
        <f>SUM(I37:I42)</f>
        <v>950132.34462310013</v>
      </c>
      <c r="J44" s="128"/>
      <c r="K44" s="128"/>
    </row>
    <row r="45" spans="1:13" ht="13.5" thickTop="1">
      <c r="G45" s="128"/>
      <c r="I45" s="128"/>
      <c r="J45" s="128"/>
      <c r="K45" s="128"/>
    </row>
    <row r="46" spans="1:13">
      <c r="E46" s="124">
        <f>E41+E44</f>
        <v>255186931</v>
      </c>
      <c r="F46" s="124">
        <f>F41+F44</f>
        <v>254563517.08518654</v>
      </c>
      <c r="G46" s="124">
        <f>G41+G44</f>
        <v>-623413.91481349221</v>
      </c>
    </row>
    <row r="193" spans="7:7">
      <c r="G193" s="128"/>
    </row>
    <row r="194" spans="7:7">
      <c r="G194" s="128"/>
    </row>
    <row r="195" spans="7:7">
      <c r="G195" s="128"/>
    </row>
    <row r="196" spans="7:7">
      <c r="G196" s="128"/>
    </row>
    <row r="197" spans="7:7">
      <c r="G197" s="128"/>
    </row>
    <row r="198" spans="7:7">
      <c r="G198" s="128"/>
    </row>
    <row r="199" spans="7:7">
      <c r="G199" s="128"/>
    </row>
    <row r="200" spans="7:7">
      <c r="G200" s="128"/>
    </row>
    <row r="201" spans="7:7">
      <c r="G201" s="128"/>
    </row>
    <row r="202" spans="7:7">
      <c r="G202" s="128"/>
    </row>
    <row r="203" spans="7:7">
      <c r="G203" s="128"/>
    </row>
    <row r="204" spans="7:7">
      <c r="G204" s="128"/>
    </row>
    <row r="205" spans="7:7">
      <c r="G205" s="128"/>
    </row>
    <row r="206" spans="7:7">
      <c r="G206" s="128"/>
    </row>
    <row r="207" spans="7:7">
      <c r="G207" s="128"/>
    </row>
  </sheetData>
  <mergeCells count="3">
    <mergeCell ref="A4:J4"/>
    <mergeCell ref="A3:J3"/>
    <mergeCell ref="M9:M10"/>
  </mergeCells>
  <pageMargins left="0.65" right="0.42" top="0.62" bottom="0.28999999999999998" header="0.68" footer="0.43"/>
  <pageSetup scale="90" orientation="landscape" r:id="rId1"/>
  <headerFooter scaleWithDoc="0">
    <oddHeader>&amp;RExhibit No. __(EMA-7)</oddHeader>
    <oddFooter>&amp;RPage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view="pageBreakPreview" topLeftCell="A10" zoomScale="115" zoomScaleNormal="100" zoomScaleSheetLayoutView="115" workbookViewId="0">
      <selection activeCell="N36" sqref="N36"/>
    </sheetView>
  </sheetViews>
  <sheetFormatPr defaultRowHeight="12.75"/>
  <cols>
    <col min="2" max="2" width="18.5703125" customWidth="1"/>
  </cols>
  <sheetData>
    <row r="1" spans="1:8" hidden="1">
      <c r="C1" s="378">
        <v>2009</v>
      </c>
      <c r="D1" s="378">
        <v>2010</v>
      </c>
      <c r="E1" s="378">
        <v>2011</v>
      </c>
      <c r="F1" s="378">
        <v>2012</v>
      </c>
      <c r="G1" s="378">
        <v>2013</v>
      </c>
      <c r="H1" s="378">
        <v>2014</v>
      </c>
    </row>
    <row r="2" spans="1:8" hidden="1">
      <c r="A2" t="s">
        <v>41</v>
      </c>
    </row>
    <row r="3" spans="1:8" hidden="1">
      <c r="B3" t="s">
        <v>16</v>
      </c>
      <c r="C3">
        <v>21798</v>
      </c>
      <c r="D3">
        <v>20047</v>
      </c>
      <c r="E3">
        <v>22008</v>
      </c>
      <c r="F3">
        <v>24365</v>
      </c>
      <c r="G3">
        <v>24711</v>
      </c>
      <c r="H3">
        <v>25235</v>
      </c>
    </row>
    <row r="4" spans="1:8" hidden="1">
      <c r="B4" t="s">
        <v>33</v>
      </c>
      <c r="C4">
        <v>255976</v>
      </c>
      <c r="D4">
        <v>269469</v>
      </c>
      <c r="E4">
        <v>281279</v>
      </c>
      <c r="F4">
        <v>296152</v>
      </c>
      <c r="G4">
        <v>313469</v>
      </c>
      <c r="H4">
        <v>337894</v>
      </c>
    </row>
    <row r="5" spans="1:8" hidden="1">
      <c r="B5" t="s">
        <v>34</v>
      </c>
      <c r="C5" s="87">
        <v>27747</v>
      </c>
      <c r="D5" s="87">
        <v>33401</v>
      </c>
      <c r="E5" s="87">
        <v>38971</v>
      </c>
      <c r="F5" s="87">
        <v>44809</v>
      </c>
      <c r="G5" s="87">
        <v>52223</v>
      </c>
      <c r="H5" s="87">
        <v>59169</v>
      </c>
    </row>
    <row r="6" spans="1:8" hidden="1">
      <c r="A6" t="s">
        <v>502</v>
      </c>
    </row>
    <row r="7" spans="1:8" hidden="1">
      <c r="B7" t="s">
        <v>16</v>
      </c>
      <c r="C7">
        <v>7807</v>
      </c>
      <c r="D7">
        <v>7912</v>
      </c>
      <c r="E7">
        <v>8286</v>
      </c>
      <c r="F7">
        <v>8677</v>
      </c>
      <c r="G7">
        <v>9088</v>
      </c>
      <c r="H7">
        <v>9521</v>
      </c>
    </row>
    <row r="8" spans="1:8" hidden="1">
      <c r="B8" t="s">
        <v>33</v>
      </c>
      <c r="C8">
        <v>84021</v>
      </c>
      <c r="D8">
        <v>89620</v>
      </c>
      <c r="E8">
        <v>97489</v>
      </c>
      <c r="F8">
        <v>102678</v>
      </c>
      <c r="G8">
        <v>108662</v>
      </c>
      <c r="H8">
        <v>114795</v>
      </c>
    </row>
    <row r="9" spans="1:8" hidden="1">
      <c r="B9" t="s">
        <v>34</v>
      </c>
      <c r="C9" s="87">
        <v>8882</v>
      </c>
      <c r="D9" s="87">
        <v>10722</v>
      </c>
      <c r="E9" s="87">
        <v>10926</v>
      </c>
      <c r="F9" s="87">
        <v>12186</v>
      </c>
      <c r="G9" s="87">
        <v>14724</v>
      </c>
      <c r="H9" s="87">
        <v>17429</v>
      </c>
    </row>
    <row r="10" spans="1:8">
      <c r="A10" t="s">
        <v>44</v>
      </c>
      <c r="C10" s="378">
        <v>2009</v>
      </c>
      <c r="D10" s="378">
        <v>2010</v>
      </c>
      <c r="E10" s="378">
        <v>2011</v>
      </c>
      <c r="F10" s="378">
        <v>2012</v>
      </c>
      <c r="G10" s="378">
        <v>2013</v>
      </c>
      <c r="H10" s="378">
        <v>2014</v>
      </c>
    </row>
    <row r="11" spans="1:8">
      <c r="B11" t="s">
        <v>16</v>
      </c>
      <c r="C11">
        <f t="shared" ref="C11:H11" si="0">C3-C7</f>
        <v>13991</v>
      </c>
      <c r="D11">
        <f t="shared" si="0"/>
        <v>12135</v>
      </c>
      <c r="E11">
        <f t="shared" si="0"/>
        <v>13722</v>
      </c>
      <c r="F11">
        <f t="shared" si="0"/>
        <v>15688</v>
      </c>
      <c r="G11">
        <f t="shared" si="0"/>
        <v>15623</v>
      </c>
      <c r="H11">
        <f t="shared" si="0"/>
        <v>15714</v>
      </c>
    </row>
    <row r="12" spans="1:8">
      <c r="B12" t="s">
        <v>33</v>
      </c>
      <c r="C12">
        <f t="shared" ref="C12:H13" si="1">C4-C8</f>
        <v>171955</v>
      </c>
      <c r="D12">
        <f t="shared" si="1"/>
        <v>179849</v>
      </c>
      <c r="E12">
        <f t="shared" si="1"/>
        <v>183790</v>
      </c>
      <c r="F12">
        <f t="shared" si="1"/>
        <v>193474</v>
      </c>
      <c r="G12">
        <f t="shared" si="1"/>
        <v>204807</v>
      </c>
      <c r="H12">
        <f t="shared" si="1"/>
        <v>223099</v>
      </c>
    </row>
    <row r="13" spans="1:8">
      <c r="B13" t="s">
        <v>34</v>
      </c>
      <c r="C13" s="87">
        <f t="shared" si="1"/>
        <v>18865</v>
      </c>
      <c r="D13" s="87">
        <f t="shared" si="1"/>
        <v>22679</v>
      </c>
      <c r="E13" s="87">
        <f t="shared" si="1"/>
        <v>28045</v>
      </c>
      <c r="F13" s="87">
        <f t="shared" si="1"/>
        <v>32623</v>
      </c>
      <c r="G13" s="87">
        <f t="shared" si="1"/>
        <v>37499</v>
      </c>
      <c r="H13" s="87">
        <f t="shared" si="1"/>
        <v>41740</v>
      </c>
    </row>
    <row r="16" spans="1:8">
      <c r="A16" t="s">
        <v>44</v>
      </c>
      <c r="C16" s="378">
        <v>2009</v>
      </c>
      <c r="D16" s="378">
        <v>2010</v>
      </c>
      <c r="E16" s="378">
        <v>2011</v>
      </c>
      <c r="F16" s="378">
        <v>2012</v>
      </c>
      <c r="G16" s="378">
        <v>2013</v>
      </c>
      <c r="H16" s="378">
        <v>2014</v>
      </c>
    </row>
    <row r="17" spans="2:8">
      <c r="B17" t="s">
        <v>33</v>
      </c>
      <c r="C17">
        <v>171955</v>
      </c>
      <c r="D17">
        <v>179849</v>
      </c>
      <c r="E17">
        <v>183790</v>
      </c>
      <c r="F17">
        <v>193474</v>
      </c>
      <c r="G17">
        <v>204807</v>
      </c>
      <c r="H17">
        <v>223099</v>
      </c>
    </row>
    <row r="18" spans="2:8">
      <c r="C18" s="378">
        <v>2009</v>
      </c>
      <c r="D18" s="378">
        <v>2010</v>
      </c>
      <c r="E18" s="378">
        <v>2011</v>
      </c>
      <c r="F18" s="378">
        <v>2012</v>
      </c>
      <c r="G18" s="378">
        <v>2013</v>
      </c>
      <c r="H18" s="378">
        <v>2014</v>
      </c>
    </row>
    <row r="19" spans="2:8">
      <c r="B19" t="s">
        <v>34</v>
      </c>
      <c r="C19">
        <v>18865</v>
      </c>
      <c r="D19">
        <v>22679</v>
      </c>
      <c r="E19">
        <v>28045</v>
      </c>
      <c r="F19">
        <v>32623</v>
      </c>
      <c r="G19">
        <v>37499</v>
      </c>
      <c r="H19">
        <v>41740</v>
      </c>
    </row>
    <row r="20" spans="2:8">
      <c r="C20" s="378">
        <v>2009</v>
      </c>
      <c r="D20" s="378">
        <v>2010</v>
      </c>
      <c r="E20" s="378">
        <v>2011</v>
      </c>
      <c r="F20" s="378">
        <v>2012</v>
      </c>
      <c r="G20" s="378">
        <v>2013</v>
      </c>
      <c r="H20" s="378">
        <v>2014</v>
      </c>
    </row>
    <row r="21" spans="2:8">
      <c r="B21" t="s">
        <v>16</v>
      </c>
      <c r="D21">
        <v>12135</v>
      </c>
      <c r="E21">
        <v>13722</v>
      </c>
      <c r="F21">
        <v>15688</v>
      </c>
      <c r="G21">
        <v>15623</v>
      </c>
      <c r="H21">
        <v>15714</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S277"/>
  <sheetViews>
    <sheetView view="pageBreakPreview" zoomScale="115" zoomScaleNormal="100" zoomScaleSheetLayoutView="115" workbookViewId="0">
      <selection activeCell="J18" sqref="J18"/>
    </sheetView>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19">
      <c r="A1" s="251"/>
      <c r="B1" s="252"/>
      <c r="C1" s="252"/>
      <c r="D1" s="252"/>
      <c r="E1" s="252"/>
      <c r="F1" s="252"/>
      <c r="G1" s="252"/>
      <c r="H1" s="252"/>
      <c r="I1" s="252"/>
      <c r="J1" s="252"/>
      <c r="K1" s="252"/>
      <c r="L1" s="252"/>
      <c r="M1" s="252"/>
      <c r="N1" s="252"/>
      <c r="O1" s="252"/>
      <c r="P1" s="252"/>
      <c r="Q1" s="252"/>
      <c r="R1" s="252"/>
      <c r="S1" s="252"/>
    </row>
    <row r="2" spans="1:19">
      <c r="A2" s="251"/>
      <c r="B2" s="252"/>
      <c r="C2" s="252"/>
      <c r="D2" s="252"/>
      <c r="E2" s="252"/>
      <c r="F2" s="252"/>
      <c r="G2" s="252"/>
      <c r="H2" s="252"/>
      <c r="I2" s="252"/>
      <c r="J2" s="253" t="s">
        <v>296</v>
      </c>
      <c r="K2" s="252"/>
      <c r="L2" s="252"/>
      <c r="M2" s="252"/>
      <c r="N2" s="252"/>
      <c r="O2" s="252"/>
      <c r="P2" s="252"/>
      <c r="Q2" s="252"/>
      <c r="R2" s="252"/>
      <c r="S2" s="252"/>
    </row>
    <row r="3" spans="1:19">
      <c r="A3" s="251"/>
      <c r="B3" s="252"/>
      <c r="C3" s="252"/>
      <c r="D3" s="252"/>
      <c r="E3" s="252"/>
      <c r="F3" s="252"/>
      <c r="G3" s="252"/>
      <c r="H3" s="252"/>
      <c r="I3" s="252"/>
      <c r="J3" s="220" t="s">
        <v>297</v>
      </c>
      <c r="K3" s="252"/>
      <c r="L3" s="252"/>
      <c r="M3" s="252"/>
      <c r="N3" s="252"/>
      <c r="O3" s="252"/>
      <c r="P3" s="252"/>
      <c r="Q3" s="252"/>
      <c r="R3" s="252"/>
      <c r="S3" s="252"/>
    </row>
    <row r="4" spans="1:19">
      <c r="A4" s="254" t="s">
        <v>298</v>
      </c>
      <c r="B4" s="253"/>
      <c r="C4" s="253" t="s">
        <v>299</v>
      </c>
      <c r="D4" s="253" t="s">
        <v>300</v>
      </c>
      <c r="E4" s="253" t="s">
        <v>301</v>
      </c>
      <c r="F4" s="253" t="s">
        <v>302</v>
      </c>
      <c r="G4" s="253" t="s">
        <v>303</v>
      </c>
      <c r="H4" s="253" t="s">
        <v>296</v>
      </c>
      <c r="I4" s="253" t="s">
        <v>296</v>
      </c>
      <c r="J4" s="253" t="s">
        <v>304</v>
      </c>
      <c r="K4" s="253"/>
      <c r="L4" s="253"/>
      <c r="M4" s="253"/>
      <c r="N4" s="253"/>
      <c r="O4" s="253"/>
      <c r="P4" s="253"/>
      <c r="Q4" s="253"/>
      <c r="R4" s="253"/>
      <c r="S4" s="253"/>
    </row>
    <row r="5" spans="1:19">
      <c r="A5" s="254" t="s">
        <v>305</v>
      </c>
      <c r="B5" s="221"/>
      <c r="C5" s="221" t="s">
        <v>306</v>
      </c>
      <c r="D5" s="221" t="s">
        <v>307</v>
      </c>
      <c r="E5" s="221" t="s">
        <v>308</v>
      </c>
      <c r="F5" s="221" t="s">
        <v>309</v>
      </c>
      <c r="G5" s="221" t="s">
        <v>310</v>
      </c>
      <c r="H5" s="221" t="s">
        <v>311</v>
      </c>
      <c r="I5" s="221" t="s">
        <v>312</v>
      </c>
      <c r="J5" s="221" t="s">
        <v>313</v>
      </c>
      <c r="K5" s="253"/>
      <c r="L5" s="255"/>
      <c r="M5" s="255"/>
      <c r="N5" s="255"/>
      <c r="O5" s="255"/>
      <c r="P5" s="255"/>
      <c r="Q5" s="256" t="s">
        <v>399</v>
      </c>
      <c r="R5" s="255"/>
      <c r="S5" s="255"/>
    </row>
    <row r="6" spans="1:19">
      <c r="A6" s="251"/>
      <c r="B6" s="222" t="s">
        <v>314</v>
      </c>
      <c r="C6" s="252"/>
      <c r="D6" s="252"/>
      <c r="E6" s="252"/>
      <c r="F6" s="252"/>
      <c r="G6" s="252"/>
      <c r="H6" s="252"/>
      <c r="I6" s="252"/>
      <c r="J6" s="252"/>
      <c r="K6" s="252"/>
      <c r="L6" s="255"/>
      <c r="M6" s="257" t="s">
        <v>400</v>
      </c>
      <c r="N6" s="255"/>
      <c r="O6" s="255"/>
      <c r="P6" s="258"/>
      <c r="Q6" s="584" t="str">
        <f>"AVISTA UTILITIES
WASHINGTON GAS
PRO FORMA REVENUE UNDER PRESENT AND PROPOSED "&amp;O9&amp;" RATES
12 MONTHS ENDED SEPTEMBER 30, 2014"</f>
        <v>AVISTA UTILITIES
WASHINGTON GAS
PRO FORMA REVENUE UNDER PRESENT AND PROPOSED  RATES
12 MONTHS ENDED SEPTEMBER 30, 2014</v>
      </c>
      <c r="R6" s="584"/>
      <c r="S6" s="584"/>
    </row>
    <row r="7" spans="1:19">
      <c r="A7" s="251"/>
      <c r="B7" s="223" t="s">
        <v>315</v>
      </c>
      <c r="C7" s="252"/>
      <c r="D7" s="252"/>
      <c r="E7" s="252"/>
      <c r="F7" s="252"/>
      <c r="G7" s="252"/>
      <c r="H7" s="252"/>
      <c r="I7" s="252"/>
      <c r="J7" s="252"/>
      <c r="K7" s="252"/>
      <c r="L7" s="259" t="s">
        <v>401</v>
      </c>
      <c r="M7" s="258" t="s">
        <v>402</v>
      </c>
      <c r="N7" s="255"/>
      <c r="O7" s="255"/>
      <c r="P7" s="258"/>
      <c r="Q7" s="584"/>
      <c r="R7" s="584"/>
      <c r="S7" s="584"/>
    </row>
    <row r="8" spans="1:19">
      <c r="A8" s="251" t="s">
        <v>403</v>
      </c>
      <c r="B8" s="252" t="s">
        <v>316</v>
      </c>
      <c r="C8" s="260"/>
      <c r="D8" s="260">
        <v>73705663.25597468</v>
      </c>
      <c r="E8" s="260">
        <v>5462682.2359244339</v>
      </c>
      <c r="F8" s="260">
        <v>166500</v>
      </c>
      <c r="G8" s="260">
        <v>236967</v>
      </c>
      <c r="H8" s="260">
        <v>7902777</v>
      </c>
      <c r="I8" s="260">
        <v>21174700</v>
      </c>
      <c r="J8" s="260">
        <v>10420461</v>
      </c>
      <c r="K8" s="252"/>
      <c r="L8" s="258"/>
      <c r="M8" s="255" t="s">
        <v>404</v>
      </c>
      <c r="N8" s="258"/>
      <c r="O8" s="261">
        <v>1</v>
      </c>
      <c r="P8" s="258"/>
      <c r="Q8" s="584"/>
      <c r="R8" s="584"/>
      <c r="S8" s="584"/>
    </row>
    <row r="9" spans="1:19">
      <c r="A9" s="251" t="s">
        <v>403</v>
      </c>
      <c r="B9" s="252" t="s">
        <v>317</v>
      </c>
      <c r="C9" s="260"/>
      <c r="D9" s="260">
        <v>49375177.74402532</v>
      </c>
      <c r="E9" s="260">
        <v>14596426.301056234</v>
      </c>
      <c r="F9" s="260">
        <v>166500</v>
      </c>
      <c r="G9" s="260">
        <v>312302</v>
      </c>
      <c r="H9" s="260">
        <v>7418409</v>
      </c>
      <c r="I9" s="260">
        <v>6811343</v>
      </c>
      <c r="J9" s="260"/>
      <c r="K9" s="252"/>
      <c r="L9" s="259" t="s">
        <v>405</v>
      </c>
      <c r="M9" s="258" t="s">
        <v>406</v>
      </c>
      <c r="N9" s="258"/>
      <c r="O9" s="258"/>
      <c r="P9" s="258"/>
      <c r="Q9" s="584"/>
      <c r="R9" s="584"/>
      <c r="S9" s="584"/>
    </row>
    <row r="10" spans="1:19">
      <c r="A10" s="251" t="s">
        <v>403</v>
      </c>
      <c r="B10" s="252" t="s">
        <v>318</v>
      </c>
      <c r="C10" s="260"/>
      <c r="D10" s="260"/>
      <c r="E10" s="260">
        <v>28197173.46301933</v>
      </c>
      <c r="F10" s="260">
        <v>2699784</v>
      </c>
      <c r="G10" s="260">
        <v>362324</v>
      </c>
      <c r="H10" s="260">
        <v>11869734</v>
      </c>
      <c r="I10" s="260">
        <v>1912058</v>
      </c>
      <c r="J10" s="260"/>
      <c r="K10" s="252"/>
      <c r="L10" s="258"/>
      <c r="M10" s="258"/>
      <c r="N10" s="258"/>
      <c r="O10" s="258"/>
      <c r="P10" s="258"/>
      <c r="Q10" s="584"/>
      <c r="R10" s="584"/>
      <c r="S10" s="584"/>
    </row>
    <row r="11" spans="1:19">
      <c r="A11" s="251" t="s">
        <v>403</v>
      </c>
      <c r="B11" s="252" t="s">
        <v>319</v>
      </c>
      <c r="C11" s="260"/>
      <c r="D11" s="260"/>
      <c r="E11" s="260"/>
      <c r="F11" s="260">
        <v>1805732</v>
      </c>
      <c r="G11" s="260">
        <v>204111</v>
      </c>
      <c r="H11" s="260">
        <v>2879938</v>
      </c>
      <c r="I11" s="260">
        <v>6085002</v>
      </c>
      <c r="J11" s="260"/>
      <c r="K11" s="252"/>
      <c r="L11" s="258"/>
      <c r="M11" s="258"/>
      <c r="N11" s="258"/>
      <c r="O11" s="258"/>
      <c r="P11" s="258"/>
      <c r="Q11" s="584"/>
      <c r="R11" s="584"/>
      <c r="S11" s="584"/>
    </row>
    <row r="12" spans="1:19">
      <c r="A12" s="251" t="s">
        <v>403</v>
      </c>
      <c r="B12" s="252" t="s">
        <v>320</v>
      </c>
      <c r="C12" s="224"/>
      <c r="D12" s="224"/>
      <c r="E12" s="224"/>
      <c r="F12" s="224">
        <v>993694</v>
      </c>
      <c r="G12" s="224"/>
      <c r="H12" s="224">
        <v>509344</v>
      </c>
      <c r="I12" s="224">
        <v>3093535</v>
      </c>
      <c r="J12" s="224"/>
      <c r="K12" s="252"/>
      <c r="L12" s="258"/>
      <c r="M12" s="258"/>
      <c r="N12" s="258"/>
      <c r="O12" s="258"/>
      <c r="P12" s="258"/>
      <c r="Q12" s="258"/>
      <c r="R12" s="258"/>
      <c r="S12" s="258"/>
    </row>
    <row r="13" spans="1:19">
      <c r="A13" s="251"/>
      <c r="B13" s="252"/>
      <c r="C13" s="225"/>
      <c r="D13" s="225"/>
      <c r="E13" s="225"/>
      <c r="F13" s="225"/>
      <c r="G13" s="225"/>
      <c r="H13" s="225"/>
      <c r="I13" s="225"/>
      <c r="J13" s="225"/>
      <c r="K13" s="252"/>
      <c r="L13" s="252"/>
      <c r="M13" s="252"/>
      <c r="N13" s="252"/>
      <c r="O13" s="252"/>
      <c r="P13" s="252"/>
      <c r="Q13" s="252"/>
      <c r="R13" s="252"/>
      <c r="S13" s="252"/>
    </row>
    <row r="14" spans="1:19">
      <c r="A14" s="251"/>
      <c r="B14" s="252" t="s">
        <v>321</v>
      </c>
      <c r="C14" s="260">
        <f>SUM(D14:J14)</f>
        <v>258362338</v>
      </c>
      <c r="D14" s="260">
        <f t="shared" ref="D14:J14" si="0">SUM(D8:D12)</f>
        <v>123080841</v>
      </c>
      <c r="E14" s="260">
        <f t="shared" si="0"/>
        <v>48256282</v>
      </c>
      <c r="F14" s="260">
        <f t="shared" si="0"/>
        <v>5832210</v>
      </c>
      <c r="G14" s="260">
        <f t="shared" si="0"/>
        <v>1115704</v>
      </c>
      <c r="H14" s="260">
        <f>SUM(H8:H12)</f>
        <v>30580202</v>
      </c>
      <c r="I14" s="260">
        <f>SUM(I8:I12)</f>
        <v>39076638</v>
      </c>
      <c r="J14" s="260">
        <f t="shared" si="0"/>
        <v>10420461</v>
      </c>
      <c r="K14" s="252"/>
      <c r="L14" s="252"/>
      <c r="M14" s="252"/>
      <c r="N14" s="252"/>
      <c r="O14" s="252"/>
      <c r="P14" s="252"/>
      <c r="Q14" s="252"/>
      <c r="R14" s="252"/>
      <c r="S14" s="252"/>
    </row>
    <row r="15" spans="1:19">
      <c r="A15" s="251"/>
      <c r="B15" s="252" t="s">
        <v>322</v>
      </c>
      <c r="C15" s="226"/>
      <c r="D15" s="226"/>
      <c r="E15" s="226"/>
      <c r="F15" s="226"/>
      <c r="G15" s="226"/>
      <c r="H15" s="226"/>
      <c r="I15" s="226"/>
      <c r="J15" s="226"/>
      <c r="K15" s="252"/>
      <c r="L15" s="252"/>
      <c r="M15" s="252"/>
      <c r="N15" s="252"/>
      <c r="O15" s="252"/>
      <c r="P15" s="252"/>
      <c r="Q15" s="252"/>
      <c r="R15" s="252"/>
      <c r="S15" s="252"/>
    </row>
    <row r="16" spans="1:19">
      <c r="A16" s="251"/>
      <c r="B16" s="252"/>
      <c r="C16" s="260"/>
      <c r="D16" s="260"/>
      <c r="E16" s="260"/>
      <c r="F16" s="260"/>
      <c r="G16" s="260"/>
      <c r="H16" s="260"/>
      <c r="I16" s="260"/>
      <c r="J16" s="260"/>
      <c r="K16" s="252"/>
      <c r="L16" s="252"/>
      <c r="M16" s="252"/>
      <c r="N16" s="252"/>
      <c r="O16" s="252"/>
      <c r="P16" s="252"/>
      <c r="Q16" s="252"/>
      <c r="R16" s="252"/>
      <c r="S16" s="252"/>
    </row>
    <row r="17" spans="1:19">
      <c r="A17" s="251"/>
      <c r="B17" s="252" t="s">
        <v>321</v>
      </c>
      <c r="C17" s="260">
        <f>SUM(D17:J17)</f>
        <v>258362338</v>
      </c>
      <c r="D17" s="260">
        <f t="shared" ref="D17:J17" si="1">D14+D15</f>
        <v>123080841</v>
      </c>
      <c r="E17" s="260">
        <f t="shared" si="1"/>
        <v>48256282</v>
      </c>
      <c r="F17" s="260">
        <f t="shared" si="1"/>
        <v>5832210</v>
      </c>
      <c r="G17" s="260">
        <f t="shared" si="1"/>
        <v>1115704</v>
      </c>
      <c r="H17" s="260">
        <f>H14+H15</f>
        <v>30580202</v>
      </c>
      <c r="I17" s="260">
        <f t="shared" si="1"/>
        <v>39076638</v>
      </c>
      <c r="J17" s="260">
        <f t="shared" si="1"/>
        <v>10420461</v>
      </c>
      <c r="K17" s="252"/>
      <c r="L17" s="252"/>
      <c r="M17" s="252"/>
      <c r="N17" s="252"/>
      <c r="O17" s="252"/>
      <c r="P17" s="252"/>
      <c r="Q17" s="252"/>
      <c r="R17" s="252"/>
      <c r="S17" s="252"/>
    </row>
    <row r="18" spans="1:19">
      <c r="A18" s="251" t="s">
        <v>403</v>
      </c>
      <c r="B18" s="252" t="s">
        <v>323</v>
      </c>
      <c r="C18" s="226">
        <f>SUM(D18:J18)</f>
        <v>0</v>
      </c>
      <c r="D18" s="226">
        <v>0</v>
      </c>
      <c r="E18" s="226">
        <v>0</v>
      </c>
      <c r="F18" s="226"/>
      <c r="G18" s="226"/>
      <c r="H18" s="226"/>
      <c r="I18" s="226"/>
      <c r="J18" s="226"/>
      <c r="K18" s="252"/>
      <c r="L18" s="252"/>
      <c r="M18" s="252"/>
      <c r="N18" s="252"/>
      <c r="O18" s="252"/>
      <c r="P18" s="252"/>
      <c r="Q18" s="252"/>
      <c r="R18" s="252"/>
      <c r="S18" s="252"/>
    </row>
    <row r="19" spans="1:19">
      <c r="A19" s="251"/>
      <c r="B19" s="252"/>
      <c r="C19" s="260"/>
      <c r="D19" s="260"/>
      <c r="E19" s="260"/>
      <c r="F19" s="260"/>
      <c r="G19" s="260"/>
      <c r="H19" s="260"/>
      <c r="I19" s="260"/>
      <c r="J19" s="260"/>
      <c r="K19" s="252"/>
      <c r="L19" s="252"/>
      <c r="M19" s="252"/>
      <c r="N19" s="252"/>
      <c r="O19" s="252"/>
      <c r="P19" s="252"/>
      <c r="Q19" s="252"/>
      <c r="R19" s="252"/>
      <c r="S19" s="252"/>
    </row>
    <row r="20" spans="1:19">
      <c r="A20" s="251"/>
      <c r="B20" s="252" t="s">
        <v>324</v>
      </c>
      <c r="C20" s="260">
        <f>SUM(D20:J20)</f>
        <v>258362338</v>
      </c>
      <c r="D20" s="260">
        <f t="shared" ref="D20:J20" si="2">D17+D18</f>
        <v>123080841</v>
      </c>
      <c r="E20" s="260">
        <f t="shared" si="2"/>
        <v>48256282</v>
      </c>
      <c r="F20" s="260">
        <f t="shared" si="2"/>
        <v>5832210</v>
      </c>
      <c r="G20" s="260">
        <f t="shared" si="2"/>
        <v>1115704</v>
      </c>
      <c r="H20" s="260">
        <f>H17+I18</f>
        <v>30580202</v>
      </c>
      <c r="I20" s="260">
        <f>I17+I18</f>
        <v>39076638</v>
      </c>
      <c r="J20" s="260">
        <f t="shared" si="2"/>
        <v>10420461</v>
      </c>
      <c r="K20" s="252"/>
      <c r="L20" s="252"/>
      <c r="M20" s="252"/>
      <c r="N20" s="252"/>
      <c r="O20" s="252"/>
      <c r="P20" s="252"/>
      <c r="Q20" s="252"/>
      <c r="R20" s="252"/>
      <c r="S20" s="252"/>
    </row>
    <row r="21" spans="1:19">
      <c r="A21" s="251" t="s">
        <v>325</v>
      </c>
      <c r="B21" s="252" t="s">
        <v>326</v>
      </c>
      <c r="C21" s="226">
        <f>SUM(D21:J21)</f>
        <v>-3175407</v>
      </c>
      <c r="D21" s="226">
        <f>D134+D137</f>
        <v>-2359234</v>
      </c>
      <c r="E21" s="226">
        <f t="shared" ref="E21:J21" si="3">E134+E137</f>
        <v>-719000</v>
      </c>
      <c r="F21" s="226">
        <f t="shared" si="3"/>
        <v>-97173</v>
      </c>
      <c r="G21" s="226">
        <f t="shared" si="3"/>
        <v>0</v>
      </c>
      <c r="H21" s="226">
        <f>H134+H137</f>
        <v>0</v>
      </c>
      <c r="I21" s="226">
        <f t="shared" si="3"/>
        <v>0</v>
      </c>
      <c r="J21" s="226">
        <f t="shared" si="3"/>
        <v>0</v>
      </c>
      <c r="K21" s="252"/>
      <c r="L21" s="252"/>
      <c r="M21" s="252"/>
      <c r="N21" s="252"/>
      <c r="O21" s="252"/>
      <c r="P21" s="252"/>
      <c r="Q21" s="252"/>
      <c r="R21" s="252"/>
      <c r="S21" s="252"/>
    </row>
    <row r="22" spans="1:19">
      <c r="A22" s="251"/>
      <c r="B22" s="252"/>
      <c r="C22" s="260"/>
      <c r="D22" s="260"/>
      <c r="E22" s="260"/>
      <c r="F22" s="260"/>
      <c r="G22" s="260"/>
      <c r="H22" s="260"/>
      <c r="I22" s="260"/>
      <c r="J22" s="260"/>
      <c r="K22" s="252"/>
      <c r="L22" s="252"/>
      <c r="M22" s="252"/>
      <c r="N22" s="252"/>
      <c r="O22" s="252"/>
      <c r="P22" s="252"/>
      <c r="Q22" s="252"/>
      <c r="R22" s="252"/>
      <c r="S22" s="252"/>
    </row>
    <row r="23" spans="1:19">
      <c r="A23" s="251"/>
      <c r="B23" s="252" t="s">
        <v>327</v>
      </c>
      <c r="C23" s="260">
        <f>IF(ROUND(SUM(C20:C21),3)&lt;&gt;ROUND(SUM(D23:J23),3),#VALUE!,SUM(D23:J23))</f>
        <v>255186931</v>
      </c>
      <c r="D23" s="260">
        <f t="shared" ref="D23:J23" si="4">SUM(D20:D21)</f>
        <v>120721607</v>
      </c>
      <c r="E23" s="260">
        <f t="shared" si="4"/>
        <v>47537282</v>
      </c>
      <c r="F23" s="260">
        <f t="shared" si="4"/>
        <v>5735037</v>
      </c>
      <c r="G23" s="260">
        <f t="shared" si="4"/>
        <v>1115704</v>
      </c>
      <c r="H23" s="260">
        <f>SUM(H20:H21)</f>
        <v>30580202</v>
      </c>
      <c r="I23" s="260">
        <f t="shared" si="4"/>
        <v>39076638</v>
      </c>
      <c r="J23" s="260">
        <f t="shared" si="4"/>
        <v>10420461</v>
      </c>
      <c r="K23" s="252"/>
      <c r="L23" s="252"/>
      <c r="M23" s="252"/>
      <c r="N23" s="252"/>
      <c r="O23" s="252"/>
      <c r="P23" s="252"/>
      <c r="Q23" s="252"/>
      <c r="R23" s="252"/>
      <c r="S23" s="252"/>
    </row>
    <row r="24" spans="1:19">
      <c r="A24" s="251"/>
      <c r="B24" s="252"/>
      <c r="C24" s="260"/>
      <c r="D24" s="260"/>
      <c r="E24" s="260"/>
      <c r="F24" s="260"/>
      <c r="G24" s="260"/>
      <c r="H24" s="260"/>
      <c r="I24" s="260"/>
      <c r="J24" s="260"/>
      <c r="K24" s="252"/>
      <c r="L24" s="252"/>
      <c r="M24" s="252"/>
      <c r="N24" s="252"/>
      <c r="O24" s="252"/>
      <c r="P24" s="252"/>
      <c r="Q24" s="252"/>
      <c r="R24" s="252"/>
      <c r="S24" s="252"/>
    </row>
    <row r="25" spans="1:19">
      <c r="A25" s="251" t="s">
        <v>403</v>
      </c>
      <c r="B25" s="252" t="s">
        <v>328</v>
      </c>
      <c r="C25" s="260"/>
      <c r="D25" s="260">
        <v>1787943</v>
      </c>
      <c r="E25" s="260"/>
      <c r="F25" s="260"/>
      <c r="G25" s="260">
        <v>24</v>
      </c>
      <c r="H25" s="260">
        <v>456</v>
      </c>
      <c r="I25" s="260">
        <v>48</v>
      </c>
      <c r="J25" s="260">
        <v>12</v>
      </c>
      <c r="K25" s="252"/>
      <c r="L25" s="252"/>
      <c r="M25" s="252"/>
      <c r="N25" s="252"/>
      <c r="O25" s="252"/>
      <c r="P25" s="252"/>
      <c r="Q25" s="252"/>
      <c r="R25" s="252"/>
      <c r="S25" s="252"/>
    </row>
    <row r="26" spans="1:19">
      <c r="A26" s="251" t="s">
        <v>403</v>
      </c>
      <c r="B26" s="252" t="s">
        <v>329</v>
      </c>
      <c r="C26" s="260"/>
      <c r="D26" s="260"/>
      <c r="E26" s="260">
        <v>30696.999999999956</v>
      </c>
      <c r="F26" s="260">
        <v>336</v>
      </c>
      <c r="G26" s="260"/>
      <c r="H26" s="260"/>
      <c r="I26" s="260"/>
      <c r="J26" s="260"/>
      <c r="K26" s="252"/>
      <c r="L26" s="252"/>
      <c r="M26" s="252"/>
      <c r="N26" s="252"/>
      <c r="O26" s="252"/>
      <c r="P26" s="252"/>
      <c r="Q26" s="252"/>
      <c r="R26" s="252"/>
      <c r="S26" s="252"/>
    </row>
    <row r="27" spans="1:19">
      <c r="A27" s="251"/>
      <c r="B27" s="252"/>
      <c r="C27" s="260"/>
      <c r="D27" s="260"/>
      <c r="E27" s="260"/>
      <c r="F27" s="260"/>
      <c r="G27" s="260"/>
      <c r="H27" s="260"/>
      <c r="I27" s="260"/>
      <c r="J27" s="260"/>
      <c r="K27" s="252"/>
      <c r="L27" s="252"/>
      <c r="M27" s="252"/>
      <c r="N27" s="252"/>
      <c r="O27" s="252"/>
      <c r="P27" s="252"/>
      <c r="Q27" s="252"/>
      <c r="R27" s="252"/>
      <c r="S27" s="252"/>
    </row>
    <row r="28" spans="1:19">
      <c r="A28" s="251" t="s">
        <v>299</v>
      </c>
      <c r="B28" s="253"/>
      <c r="C28" s="262"/>
      <c r="D28" s="262"/>
      <c r="E28" s="262"/>
      <c r="F28" s="262"/>
      <c r="G28" s="262"/>
      <c r="H28" s="262"/>
      <c r="I28" s="262"/>
      <c r="J28" s="262"/>
      <c r="K28" s="253"/>
      <c r="L28" s="253"/>
      <c r="M28" s="253"/>
      <c r="N28" s="253"/>
      <c r="O28" s="253"/>
      <c r="P28" s="253"/>
      <c r="Q28" s="253"/>
      <c r="R28" s="253"/>
      <c r="S28" s="253"/>
    </row>
    <row r="29" spans="1:19">
      <c r="A29" s="251"/>
      <c r="B29" s="222" t="s">
        <v>330</v>
      </c>
      <c r="C29" s="260"/>
      <c r="D29" s="260"/>
      <c r="E29" s="260"/>
      <c r="F29" s="260"/>
      <c r="G29" s="260"/>
      <c r="H29" s="260"/>
      <c r="I29" s="260"/>
      <c r="J29" s="260"/>
      <c r="K29" s="252"/>
      <c r="L29" s="252"/>
      <c r="M29" s="252"/>
      <c r="N29" s="252"/>
      <c r="O29" s="252"/>
      <c r="P29" s="252"/>
      <c r="Q29" s="252"/>
      <c r="R29" s="252"/>
      <c r="S29" s="252"/>
    </row>
    <row r="30" spans="1:19">
      <c r="A30" s="251"/>
      <c r="B30" s="223" t="s">
        <v>315</v>
      </c>
      <c r="C30" s="260"/>
      <c r="D30" s="260"/>
      <c r="E30" s="260"/>
      <c r="F30" s="260"/>
      <c r="G30" s="260"/>
      <c r="H30" s="260"/>
      <c r="I30" s="260"/>
      <c r="J30" s="260"/>
      <c r="K30" s="252"/>
      <c r="L30" s="252"/>
      <c r="M30" s="252"/>
      <c r="N30" s="252"/>
      <c r="O30" s="252"/>
      <c r="P30" s="252"/>
      <c r="Q30" s="252"/>
      <c r="R30" s="252"/>
      <c r="S30" s="252"/>
    </row>
    <row r="31" spans="1:19">
      <c r="A31" s="251"/>
      <c r="B31" s="252" t="s">
        <v>316</v>
      </c>
      <c r="C31" s="260"/>
      <c r="D31" s="260">
        <v>73705663.25597468</v>
      </c>
      <c r="E31" s="260">
        <v>5462682.2359244339</v>
      </c>
      <c r="F31" s="260">
        <v>166500</v>
      </c>
      <c r="G31" s="260">
        <v>236967</v>
      </c>
      <c r="H31" s="260">
        <v>7902777</v>
      </c>
      <c r="I31" s="260">
        <v>21174700</v>
      </c>
      <c r="J31" s="260">
        <v>10420461</v>
      </c>
      <c r="K31" s="252"/>
      <c r="L31" s="252"/>
      <c r="M31" s="252"/>
      <c r="N31" s="252"/>
      <c r="O31" s="252"/>
      <c r="P31" s="252"/>
      <c r="Q31" s="252"/>
      <c r="R31" s="252"/>
      <c r="S31" s="252"/>
    </row>
    <row r="32" spans="1:19">
      <c r="A32" s="251"/>
      <c r="B32" s="252" t="s">
        <v>317</v>
      </c>
      <c r="C32" s="260"/>
      <c r="D32" s="260">
        <v>49375177.74402532</v>
      </c>
      <c r="E32" s="260">
        <v>14596426.301056234</v>
      </c>
      <c r="F32" s="260">
        <v>166500</v>
      </c>
      <c r="G32" s="260">
        <v>312302</v>
      </c>
      <c r="H32" s="260">
        <v>7418409</v>
      </c>
      <c r="I32" s="260">
        <v>6811343</v>
      </c>
      <c r="J32" s="260">
        <v>0</v>
      </c>
      <c r="K32" s="252"/>
      <c r="L32" s="252"/>
      <c r="M32" s="252"/>
      <c r="N32" s="252"/>
      <c r="O32" s="252"/>
      <c r="P32" s="252"/>
      <c r="Q32" s="252"/>
      <c r="R32" s="252"/>
      <c r="S32" s="252"/>
    </row>
    <row r="33" spans="1:19">
      <c r="A33" s="251"/>
      <c r="B33" s="252" t="s">
        <v>318</v>
      </c>
      <c r="C33" s="260"/>
      <c r="D33" s="260">
        <v>0</v>
      </c>
      <c r="E33" s="260">
        <v>28197173.46301933</v>
      </c>
      <c r="F33" s="260">
        <v>2699784</v>
      </c>
      <c r="G33" s="260">
        <v>362324</v>
      </c>
      <c r="H33" s="260">
        <v>11869734</v>
      </c>
      <c r="I33" s="260">
        <v>1912058</v>
      </c>
      <c r="J33" s="260">
        <v>0</v>
      </c>
      <c r="K33" s="252"/>
      <c r="L33" s="252"/>
      <c r="M33" s="252"/>
      <c r="N33" s="252"/>
      <c r="O33" s="252"/>
      <c r="P33" s="252"/>
      <c r="Q33" s="252"/>
      <c r="R33" s="252"/>
      <c r="S33" s="252"/>
    </row>
    <row r="34" spans="1:19">
      <c r="A34" s="251"/>
      <c r="B34" s="252" t="s">
        <v>319</v>
      </c>
      <c r="C34" s="260"/>
      <c r="D34" s="260">
        <v>0</v>
      </c>
      <c r="E34" s="260">
        <v>0</v>
      </c>
      <c r="F34" s="260">
        <v>1805732</v>
      </c>
      <c r="G34" s="260">
        <v>204111</v>
      </c>
      <c r="H34" s="260">
        <v>2879938</v>
      </c>
      <c r="I34" s="260">
        <v>6085002</v>
      </c>
      <c r="J34" s="260">
        <v>0</v>
      </c>
      <c r="K34" s="252"/>
      <c r="L34" s="252"/>
      <c r="M34" s="252"/>
      <c r="N34" s="252"/>
      <c r="O34" s="252"/>
      <c r="P34" s="252"/>
      <c r="Q34" s="252"/>
      <c r="R34" s="252"/>
      <c r="S34" s="252"/>
    </row>
    <row r="35" spans="1:19">
      <c r="A35" s="251"/>
      <c r="B35" s="252" t="s">
        <v>320</v>
      </c>
      <c r="C35" s="224"/>
      <c r="D35" s="260">
        <v>0</v>
      </c>
      <c r="E35" s="260">
        <v>0</v>
      </c>
      <c r="F35" s="260">
        <v>993694</v>
      </c>
      <c r="G35" s="260">
        <v>0</v>
      </c>
      <c r="H35" s="260">
        <v>509344</v>
      </c>
      <c r="I35" s="260">
        <v>3093535</v>
      </c>
      <c r="J35" s="260">
        <v>0</v>
      </c>
      <c r="K35" s="252"/>
      <c r="L35" s="252"/>
      <c r="M35" s="252"/>
      <c r="N35" s="252"/>
      <c r="O35" s="252"/>
      <c r="P35" s="252"/>
      <c r="Q35" s="252"/>
      <c r="R35" s="252"/>
      <c r="S35" s="252"/>
    </row>
    <row r="36" spans="1:19">
      <c r="A36" s="251"/>
      <c r="B36" s="252"/>
      <c r="C36" s="225"/>
      <c r="D36" s="225"/>
      <c r="E36" s="225"/>
      <c r="F36" s="225"/>
      <c r="G36" s="225"/>
      <c r="H36" s="225"/>
      <c r="I36" s="225"/>
      <c r="J36" s="225"/>
      <c r="K36" s="252"/>
      <c r="L36" s="252"/>
      <c r="M36" s="252"/>
      <c r="N36" s="252"/>
      <c r="O36" s="252"/>
      <c r="P36" s="252"/>
      <c r="Q36" s="252"/>
      <c r="R36" s="252"/>
      <c r="S36" s="252"/>
    </row>
    <row r="37" spans="1:19">
      <c r="A37" s="251"/>
      <c r="B37" s="252" t="s">
        <v>321</v>
      </c>
      <c r="C37" s="260">
        <f>SUM(D37:J37)</f>
        <v>258362338</v>
      </c>
      <c r="D37" s="260">
        <f t="shared" ref="D37:J37" si="5">SUM(D31:D35)</f>
        <v>123080841</v>
      </c>
      <c r="E37" s="260">
        <f t="shared" si="5"/>
        <v>48256282</v>
      </c>
      <c r="F37" s="260">
        <f t="shared" si="5"/>
        <v>5832210</v>
      </c>
      <c r="G37" s="260">
        <f t="shared" si="5"/>
        <v>1115704</v>
      </c>
      <c r="H37" s="260">
        <f>SUM(H31:H35)</f>
        <v>30580202</v>
      </c>
      <c r="I37" s="260">
        <f>SUM(I31:I35)</f>
        <v>39076638</v>
      </c>
      <c r="J37" s="260">
        <f t="shared" si="5"/>
        <v>10420461</v>
      </c>
      <c r="K37" s="252"/>
      <c r="L37" s="252"/>
      <c r="M37" s="252"/>
      <c r="N37" s="252"/>
      <c r="O37" s="252"/>
      <c r="P37" s="252"/>
      <c r="Q37" s="252"/>
      <c r="R37" s="252"/>
      <c r="S37" s="252"/>
    </row>
    <row r="38" spans="1:19">
      <c r="A38" s="251"/>
      <c r="B38" s="252" t="s">
        <v>331</v>
      </c>
      <c r="C38" s="226">
        <f>SUM(D38:J38)</f>
        <v>0</v>
      </c>
      <c r="D38" s="226">
        <f t="shared" ref="D38:J38" si="6">D15</f>
        <v>0</v>
      </c>
      <c r="E38" s="226">
        <f t="shared" si="6"/>
        <v>0</v>
      </c>
      <c r="F38" s="226">
        <f t="shared" si="6"/>
        <v>0</v>
      </c>
      <c r="G38" s="226">
        <f t="shared" si="6"/>
        <v>0</v>
      </c>
      <c r="H38" s="226">
        <f>H15</f>
        <v>0</v>
      </c>
      <c r="I38" s="226">
        <f t="shared" si="6"/>
        <v>0</v>
      </c>
      <c r="J38" s="226">
        <f t="shared" si="6"/>
        <v>0</v>
      </c>
      <c r="K38" s="252"/>
      <c r="L38" s="252"/>
      <c r="M38" s="252"/>
      <c r="N38" s="252"/>
      <c r="O38" s="252"/>
      <c r="P38" s="252"/>
      <c r="Q38" s="252"/>
      <c r="R38" s="252"/>
      <c r="S38" s="252"/>
    </row>
    <row r="39" spans="1:19">
      <c r="A39" s="251"/>
      <c r="B39" s="252"/>
      <c r="C39" s="260"/>
      <c r="D39" s="260"/>
      <c r="E39" s="260"/>
      <c r="F39" s="260"/>
      <c r="G39" s="260"/>
      <c r="H39" s="260"/>
      <c r="I39" s="260"/>
      <c r="J39" s="260"/>
      <c r="K39" s="252"/>
      <c r="L39" s="252"/>
      <c r="M39" s="252"/>
      <c r="N39" s="252"/>
      <c r="O39" s="252"/>
      <c r="P39" s="252"/>
      <c r="Q39" s="252"/>
      <c r="R39" s="252"/>
      <c r="S39" s="252"/>
    </row>
    <row r="40" spans="1:19">
      <c r="A40" s="251"/>
      <c r="B40" s="252" t="s">
        <v>321</v>
      </c>
      <c r="C40" s="260">
        <f>SUM(D40:J40)</f>
        <v>258362338</v>
      </c>
      <c r="D40" s="260">
        <f t="shared" ref="D40:J40" si="7">D37+D38</f>
        <v>123080841</v>
      </c>
      <c r="E40" s="260">
        <f t="shared" si="7"/>
        <v>48256282</v>
      </c>
      <c r="F40" s="260">
        <f t="shared" si="7"/>
        <v>5832210</v>
      </c>
      <c r="G40" s="260">
        <f t="shared" si="7"/>
        <v>1115704</v>
      </c>
      <c r="H40" s="260">
        <f>H37+H38</f>
        <v>30580202</v>
      </c>
      <c r="I40" s="260">
        <f t="shared" si="7"/>
        <v>39076638</v>
      </c>
      <c r="J40" s="260">
        <f t="shared" si="7"/>
        <v>10420461</v>
      </c>
      <c r="K40" s="252"/>
      <c r="L40" s="252"/>
      <c r="M40" s="252"/>
      <c r="N40" s="252"/>
      <c r="O40" s="252"/>
      <c r="P40" s="252"/>
      <c r="Q40" s="252"/>
      <c r="R40" s="252"/>
      <c r="S40" s="252"/>
    </row>
    <row r="41" spans="1:19">
      <c r="A41" s="251"/>
      <c r="B41" s="252" t="s">
        <v>323</v>
      </c>
      <c r="C41" s="226">
        <f>SUM(D41:J41)</f>
        <v>0</v>
      </c>
      <c r="D41" s="226">
        <f t="shared" ref="D41:J41" si="8">D18</f>
        <v>0</v>
      </c>
      <c r="E41" s="226">
        <f t="shared" si="8"/>
        <v>0</v>
      </c>
      <c r="F41" s="226">
        <f t="shared" si="8"/>
        <v>0</v>
      </c>
      <c r="G41" s="226">
        <f t="shared" si="8"/>
        <v>0</v>
      </c>
      <c r="H41" s="226">
        <f t="shared" si="8"/>
        <v>0</v>
      </c>
      <c r="I41" s="226">
        <f t="shared" si="8"/>
        <v>0</v>
      </c>
      <c r="J41" s="226">
        <f t="shared" si="8"/>
        <v>0</v>
      </c>
      <c r="K41" s="252"/>
      <c r="L41" s="252"/>
      <c r="M41" s="252"/>
      <c r="N41" s="252"/>
      <c r="O41" s="252"/>
      <c r="P41" s="252"/>
      <c r="Q41" s="252"/>
      <c r="R41" s="252"/>
      <c r="S41" s="252"/>
    </row>
    <row r="42" spans="1:19">
      <c r="A42" s="251"/>
      <c r="B42" s="252"/>
      <c r="C42" s="260"/>
      <c r="D42" s="260"/>
      <c r="E42" s="260"/>
      <c r="F42" s="260"/>
      <c r="G42" s="260"/>
      <c r="H42" s="260"/>
      <c r="I42" s="260"/>
      <c r="J42" s="260"/>
      <c r="K42" s="252"/>
      <c r="L42" s="252"/>
      <c r="M42" s="252"/>
      <c r="N42" s="252"/>
      <c r="O42" s="252"/>
      <c r="P42" s="252"/>
      <c r="Q42" s="252"/>
      <c r="R42" s="252"/>
      <c r="S42" s="252"/>
    </row>
    <row r="43" spans="1:19">
      <c r="A43" s="251"/>
      <c r="B43" s="252" t="s">
        <v>324</v>
      </c>
      <c r="C43" s="260">
        <f>SUM(D43:J43)</f>
        <v>258362338</v>
      </c>
      <c r="D43" s="260">
        <f t="shared" ref="D43:J43" si="9">D40+D41</f>
        <v>123080841</v>
      </c>
      <c r="E43" s="260">
        <f t="shared" si="9"/>
        <v>48256282</v>
      </c>
      <c r="F43" s="260">
        <f t="shared" si="9"/>
        <v>5832210</v>
      </c>
      <c r="G43" s="260">
        <f t="shared" si="9"/>
        <v>1115704</v>
      </c>
      <c r="H43" s="260">
        <f>H40+H41</f>
        <v>30580202</v>
      </c>
      <c r="I43" s="260">
        <f>I40+I41</f>
        <v>39076638</v>
      </c>
      <c r="J43" s="260">
        <f t="shared" si="9"/>
        <v>10420461</v>
      </c>
      <c r="K43" s="252"/>
      <c r="L43" s="252"/>
      <c r="M43" s="252"/>
      <c r="N43" s="252"/>
      <c r="O43" s="252"/>
      <c r="P43" s="252"/>
      <c r="Q43" s="252"/>
      <c r="R43" s="252"/>
      <c r="S43" s="252"/>
    </row>
    <row r="44" spans="1:19">
      <c r="A44" s="251"/>
      <c r="B44" s="252" t="s">
        <v>326</v>
      </c>
      <c r="C44" s="226">
        <f>SUM(D44:J44)</f>
        <v>-3175407</v>
      </c>
      <c r="D44" s="226">
        <f t="shared" ref="D44:J44" si="10">D21</f>
        <v>-2359234</v>
      </c>
      <c r="E44" s="226">
        <f t="shared" si="10"/>
        <v>-719000</v>
      </c>
      <c r="F44" s="226">
        <f t="shared" si="10"/>
        <v>-97173</v>
      </c>
      <c r="G44" s="226">
        <f t="shared" si="10"/>
        <v>0</v>
      </c>
      <c r="H44" s="226">
        <f>H21</f>
        <v>0</v>
      </c>
      <c r="I44" s="226">
        <f t="shared" si="10"/>
        <v>0</v>
      </c>
      <c r="J44" s="226">
        <f t="shared" si="10"/>
        <v>0</v>
      </c>
      <c r="K44" s="252"/>
      <c r="L44" s="252"/>
      <c r="M44" s="252"/>
      <c r="N44" s="252"/>
      <c r="O44" s="252"/>
      <c r="P44" s="252"/>
      <c r="Q44" s="252"/>
      <c r="R44" s="252"/>
      <c r="S44" s="252"/>
    </row>
    <row r="45" spans="1:19">
      <c r="A45" s="251"/>
      <c r="B45" s="252"/>
      <c r="C45" s="260"/>
      <c r="D45" s="260"/>
      <c r="E45" s="260"/>
      <c r="F45" s="260"/>
      <c r="G45" s="260"/>
      <c r="H45" s="260"/>
      <c r="I45" s="260"/>
      <c r="J45" s="260"/>
      <c r="K45" s="252"/>
      <c r="L45" s="252"/>
      <c r="M45" s="252"/>
      <c r="N45" s="252"/>
      <c r="O45" s="252"/>
      <c r="P45" s="252"/>
      <c r="Q45" s="252"/>
      <c r="R45" s="252"/>
      <c r="S45" s="252"/>
    </row>
    <row r="46" spans="1:19">
      <c r="A46" s="251"/>
      <c r="B46" s="252" t="s">
        <v>327</v>
      </c>
      <c r="C46" s="260">
        <f>IF(ROUND(SUM(C43:C44),3)&lt;&gt;ROUND(SUM(D46:J46),3),#VALUE!,SUM(D46:J46))</f>
        <v>255186931</v>
      </c>
      <c r="D46" s="260">
        <f t="shared" ref="D46:J46" si="11">D43+D44</f>
        <v>120721607</v>
      </c>
      <c r="E46" s="260">
        <f t="shared" si="11"/>
        <v>47537282</v>
      </c>
      <c r="F46" s="260">
        <f t="shared" si="11"/>
        <v>5735037</v>
      </c>
      <c r="G46" s="260">
        <f t="shared" si="11"/>
        <v>1115704</v>
      </c>
      <c r="H46" s="260">
        <f>H43+H44</f>
        <v>30580202</v>
      </c>
      <c r="I46" s="260">
        <f t="shared" si="11"/>
        <v>39076638</v>
      </c>
      <c r="J46" s="260">
        <f t="shared" si="11"/>
        <v>10420461</v>
      </c>
      <c r="K46" s="252"/>
      <c r="L46" s="252"/>
      <c r="M46" s="252"/>
      <c r="N46" s="252"/>
      <c r="O46" s="252"/>
      <c r="P46" s="252"/>
      <c r="Q46" s="252"/>
      <c r="R46" s="252"/>
      <c r="S46" s="252"/>
    </row>
    <row r="47" spans="1:19">
      <c r="A47" s="251"/>
      <c r="B47" s="252"/>
      <c r="C47" s="260"/>
      <c r="D47" s="260"/>
      <c r="E47" s="260"/>
      <c r="F47" s="260"/>
      <c r="G47" s="260"/>
      <c r="H47" s="260"/>
      <c r="I47" s="260"/>
      <c r="J47" s="260"/>
      <c r="K47" s="252"/>
      <c r="L47" s="252"/>
      <c r="M47" s="252"/>
      <c r="N47" s="252"/>
      <c r="O47" s="252"/>
      <c r="P47" s="252"/>
      <c r="Q47" s="252"/>
      <c r="R47" s="252"/>
      <c r="S47" s="252"/>
    </row>
    <row r="48" spans="1:19">
      <c r="A48" s="251"/>
      <c r="B48" s="252" t="s">
        <v>328</v>
      </c>
      <c r="C48" s="260"/>
      <c r="D48" s="260">
        <f t="shared" ref="D48:F49" si="12">D25</f>
        <v>1787943</v>
      </c>
      <c r="E48" s="260">
        <f t="shared" si="12"/>
        <v>0</v>
      </c>
      <c r="F48" s="260">
        <f t="shared" si="12"/>
        <v>0</v>
      </c>
      <c r="G48" s="260">
        <f>G25</f>
        <v>24</v>
      </c>
      <c r="H48" s="260">
        <f>H25</f>
        <v>456</v>
      </c>
      <c r="I48" s="260">
        <f>I25</f>
        <v>48</v>
      </c>
      <c r="J48" s="260">
        <f>J25</f>
        <v>12</v>
      </c>
      <c r="K48" s="252"/>
      <c r="L48" s="252"/>
      <c r="M48" s="252"/>
      <c r="N48" s="252"/>
      <c r="O48" s="252"/>
      <c r="P48" s="252"/>
      <c r="Q48" s="252"/>
      <c r="R48" s="252"/>
      <c r="S48" s="252"/>
    </row>
    <row r="49" spans="1:19">
      <c r="A49" s="251"/>
      <c r="B49" s="252" t="s">
        <v>329</v>
      </c>
      <c r="C49" s="260"/>
      <c r="D49" s="260">
        <f t="shared" si="12"/>
        <v>0</v>
      </c>
      <c r="E49" s="260">
        <f t="shared" si="12"/>
        <v>30696.999999999956</v>
      </c>
      <c r="F49" s="260">
        <f t="shared" si="12"/>
        <v>336</v>
      </c>
      <c r="G49" s="260"/>
      <c r="H49" s="260"/>
      <c r="I49" s="260"/>
      <c r="J49" s="260"/>
      <c r="K49" s="252"/>
      <c r="L49" s="252"/>
      <c r="M49" s="252"/>
      <c r="N49" s="252"/>
      <c r="O49" s="252"/>
      <c r="P49" s="252"/>
      <c r="Q49" s="252"/>
      <c r="R49" s="252"/>
      <c r="S49" s="252"/>
    </row>
    <row r="50" spans="1:19">
      <c r="A50" s="251"/>
      <c r="B50" s="252"/>
      <c r="C50" s="263"/>
      <c r="D50" s="264"/>
      <c r="E50" s="264">
        <v>2</v>
      </c>
      <c r="F50" s="264">
        <v>3</v>
      </c>
      <c r="G50" s="264">
        <v>4</v>
      </c>
      <c r="H50" s="264">
        <v>5</v>
      </c>
      <c r="I50" s="264">
        <v>6</v>
      </c>
      <c r="J50" s="264">
        <v>7</v>
      </c>
      <c r="K50" s="252"/>
      <c r="L50" s="252"/>
      <c r="M50" s="252"/>
      <c r="N50" s="252"/>
      <c r="O50" s="252"/>
      <c r="P50" s="252"/>
      <c r="Q50" s="252"/>
      <c r="R50" s="252"/>
      <c r="S50" s="252"/>
    </row>
    <row r="51" spans="1:19">
      <c r="A51" s="251"/>
      <c r="B51" s="252"/>
      <c r="C51" s="263"/>
      <c r="D51" s="265"/>
      <c r="E51" s="265"/>
      <c r="F51" s="265"/>
      <c r="G51" s="265"/>
      <c r="H51" s="265"/>
      <c r="I51" s="263"/>
      <c r="J51" s="253" t="s">
        <v>296</v>
      </c>
      <c r="K51" s="252"/>
      <c r="L51" s="252"/>
      <c r="M51" s="252"/>
      <c r="N51" s="252"/>
      <c r="O51" s="252"/>
      <c r="P51" s="252"/>
      <c r="Q51" s="252"/>
      <c r="R51" s="252"/>
      <c r="S51" s="252"/>
    </row>
    <row r="52" spans="1:19">
      <c r="A52" s="251"/>
      <c r="B52" s="252"/>
      <c r="C52" s="263"/>
      <c r="D52" s="252"/>
      <c r="E52" s="252"/>
      <c r="F52" s="252"/>
      <c r="G52" s="252"/>
      <c r="H52" s="252"/>
      <c r="I52" s="252"/>
      <c r="J52" s="220" t="s">
        <v>297</v>
      </c>
      <c r="K52" s="252"/>
      <c r="L52" s="252"/>
      <c r="M52" s="252"/>
      <c r="N52" s="252"/>
      <c r="O52" s="252"/>
      <c r="P52" s="252"/>
      <c r="Q52" s="252"/>
      <c r="R52" s="252"/>
      <c r="S52" s="252"/>
    </row>
    <row r="53" spans="1:19">
      <c r="A53" s="254" t="s">
        <v>298</v>
      </c>
      <c r="B53" s="253"/>
      <c r="C53" s="253" t="s">
        <v>299</v>
      </c>
      <c r="D53" s="253" t="s">
        <v>300</v>
      </c>
      <c r="E53" s="253" t="s">
        <v>301</v>
      </c>
      <c r="F53" s="253" t="s">
        <v>302</v>
      </c>
      <c r="G53" s="253" t="s">
        <v>303</v>
      </c>
      <c r="H53" s="253" t="s">
        <v>296</v>
      </c>
      <c r="I53" s="253" t="s">
        <v>296</v>
      </c>
      <c r="J53" s="253" t="s">
        <v>304</v>
      </c>
      <c r="K53" s="253"/>
      <c r="L53" s="253"/>
      <c r="M53" s="258" t="e">
        <f ca="1">"selected in cell "&amp;CELL("address",Base1_Billing2)&amp;":"</f>
        <v>#REF!</v>
      </c>
      <c r="N53" s="253"/>
      <c r="O53" s="253"/>
      <c r="P53" s="253"/>
      <c r="Q53" s="253"/>
      <c r="R53" s="253"/>
      <c r="S53" s="253"/>
    </row>
    <row r="54" spans="1:19">
      <c r="A54" s="254" t="s">
        <v>305</v>
      </c>
      <c r="B54" s="221"/>
      <c r="C54" s="221" t="s">
        <v>306</v>
      </c>
      <c r="D54" s="221" t="s">
        <v>307</v>
      </c>
      <c r="E54" s="221" t="s">
        <v>332</v>
      </c>
      <c r="F54" s="221" t="s">
        <v>333</v>
      </c>
      <c r="G54" s="221" t="s">
        <v>334</v>
      </c>
      <c r="H54" s="221" t="s">
        <v>311</v>
      </c>
      <c r="I54" s="221" t="s">
        <v>312</v>
      </c>
      <c r="J54" s="221" t="s">
        <v>313</v>
      </c>
      <c r="K54" s="253"/>
      <c r="L54" s="253"/>
      <c r="M54" s="266">
        <f>O10</f>
        <v>0</v>
      </c>
      <c r="N54" s="253"/>
      <c r="O54" s="253"/>
      <c r="P54" s="253"/>
      <c r="Q54" s="253"/>
      <c r="R54" s="253"/>
      <c r="S54" s="253"/>
    </row>
    <row r="55" spans="1:19">
      <c r="A55" s="251"/>
      <c r="B55" s="222" t="s">
        <v>335</v>
      </c>
      <c r="C55" s="252"/>
      <c r="D55" s="252"/>
      <c r="E55" s="252"/>
      <c r="F55" s="252"/>
      <c r="G55" s="252"/>
      <c r="H55" s="252"/>
      <c r="I55" s="267">
        <v>-1</v>
      </c>
      <c r="J55" s="267">
        <v>-2</v>
      </c>
      <c r="K55" s="252"/>
      <c r="L55" s="252"/>
      <c r="M55" s="258" t="str">
        <f>"Rates_"&amp;$M$54&amp;"_Present"</f>
        <v>Rates_0_Present</v>
      </c>
      <c r="N55" s="252"/>
      <c r="O55" s="268" t="s">
        <v>407</v>
      </c>
      <c r="P55" s="252"/>
      <c r="Q55" s="252"/>
      <c r="R55" s="252"/>
      <c r="S55" s="252"/>
    </row>
    <row r="56" spans="1:19" ht="13.5">
      <c r="A56" s="269" t="s">
        <v>408</v>
      </c>
      <c r="B56" s="252" t="s">
        <v>336</v>
      </c>
      <c r="C56" s="252"/>
      <c r="D56" s="270">
        <v>9</v>
      </c>
      <c r="E56" s="270">
        <v>0</v>
      </c>
      <c r="F56" s="270">
        <v>0</v>
      </c>
      <c r="G56" s="270">
        <v>0</v>
      </c>
      <c r="H56" s="270">
        <v>500</v>
      </c>
      <c r="I56" s="271">
        <v>200</v>
      </c>
      <c r="J56" s="271">
        <v>26332</v>
      </c>
      <c r="K56" s="272">
        <v>1</v>
      </c>
      <c r="L56" s="252"/>
      <c r="M56" s="258" t="str">
        <f>"Rates_"&amp;$M$54&amp;"_Proposed"</f>
        <v>Rates_0_Proposed</v>
      </c>
      <c r="N56" s="252"/>
      <c r="O56" s="268" t="s">
        <v>409</v>
      </c>
      <c r="P56" s="252"/>
      <c r="Q56" s="252"/>
      <c r="R56" s="252"/>
      <c r="S56" s="252"/>
    </row>
    <row r="57" spans="1:19" ht="13.5">
      <c r="A57" s="269" t="s">
        <v>408</v>
      </c>
      <c r="B57" s="252" t="s">
        <v>410</v>
      </c>
      <c r="C57" s="252"/>
      <c r="D57" s="270">
        <v>0</v>
      </c>
      <c r="E57" s="270">
        <v>87.04</v>
      </c>
      <c r="F57" s="270">
        <v>215.24</v>
      </c>
      <c r="G57" s="270">
        <v>0</v>
      </c>
      <c r="H57" s="273"/>
      <c r="I57" s="271">
        <v>0</v>
      </c>
      <c r="J57" s="271">
        <v>0</v>
      </c>
      <c r="K57" s="272">
        <v>2</v>
      </c>
      <c r="L57" s="252"/>
      <c r="M57" s="252"/>
      <c r="N57" s="252"/>
      <c r="O57" s="252"/>
      <c r="P57" s="252"/>
      <c r="Q57" s="252"/>
      <c r="R57" s="252"/>
      <c r="S57" s="252"/>
    </row>
    <row r="58" spans="1:19">
      <c r="A58" s="251"/>
      <c r="B58" s="252"/>
      <c r="C58" s="252"/>
      <c r="D58" s="252"/>
      <c r="E58" s="252"/>
      <c r="F58" s="252"/>
      <c r="G58" s="252"/>
      <c r="H58" s="252"/>
      <c r="I58" s="272"/>
      <c r="J58" s="272"/>
      <c r="K58" s="252"/>
      <c r="L58" s="252"/>
      <c r="M58" s="252"/>
      <c r="N58" s="252"/>
      <c r="O58" s="252"/>
      <c r="P58" s="252"/>
      <c r="Q58" s="252"/>
      <c r="R58" s="252"/>
      <c r="S58" s="252"/>
    </row>
    <row r="59" spans="1:19" ht="13.5">
      <c r="A59" s="269" t="s">
        <v>408</v>
      </c>
      <c r="B59" s="252" t="s">
        <v>338</v>
      </c>
      <c r="C59" s="252"/>
      <c r="D59" s="274">
        <v>84.807999999999993</v>
      </c>
      <c r="E59" s="274">
        <v>52.454999999999998</v>
      </c>
      <c r="F59" s="274">
        <v>50.545000000000002</v>
      </c>
      <c r="G59" s="274">
        <v>70.180999999999997</v>
      </c>
      <c r="H59" s="274">
        <v>8.770999999999999</v>
      </c>
      <c r="I59" s="275">
        <v>2.8</v>
      </c>
      <c r="J59" s="275">
        <v>1</v>
      </c>
      <c r="K59" s="272">
        <v>3</v>
      </c>
      <c r="L59" s="252"/>
      <c r="M59" s="252"/>
      <c r="N59" s="252"/>
      <c r="O59" s="252"/>
      <c r="P59" s="252"/>
      <c r="Q59" s="252"/>
      <c r="R59" s="252"/>
      <c r="S59" s="252"/>
    </row>
    <row r="60" spans="1:19" ht="13.5">
      <c r="A60" s="269" t="s">
        <v>408</v>
      </c>
      <c r="B60" s="252" t="s">
        <v>339</v>
      </c>
      <c r="C60" s="252"/>
      <c r="D60" s="274">
        <v>95.420999999999992</v>
      </c>
      <c r="E60" s="274">
        <v>82.834000000000003</v>
      </c>
      <c r="F60" s="274">
        <v>82.771000000000001</v>
      </c>
      <c r="G60" s="274">
        <v>65.424999999999997</v>
      </c>
      <c r="H60" s="274">
        <v>7.8090000000000002</v>
      </c>
      <c r="I60" s="276">
        <v>4.5</v>
      </c>
      <c r="J60" s="275">
        <v>0</v>
      </c>
      <c r="K60" s="272">
        <v>4</v>
      </c>
      <c r="L60" s="252"/>
      <c r="M60" s="252"/>
      <c r="N60" s="252"/>
      <c r="O60" s="252"/>
      <c r="P60" s="252"/>
      <c r="Q60" s="252"/>
      <c r="R60" s="252"/>
      <c r="S60" s="252"/>
    </row>
    <row r="61" spans="1:19" ht="13.5">
      <c r="A61" s="269" t="s">
        <v>408</v>
      </c>
      <c r="B61" s="252" t="s">
        <v>340</v>
      </c>
      <c r="C61" s="252"/>
      <c r="D61" s="274">
        <v>0</v>
      </c>
      <c r="E61" s="274">
        <v>75.152999999999992</v>
      </c>
      <c r="F61" s="274">
        <v>74.88900000000001</v>
      </c>
      <c r="G61" s="274">
        <v>64.25800000000001</v>
      </c>
      <c r="H61" s="274">
        <v>7.0460000000000003</v>
      </c>
      <c r="I61" s="275">
        <v>3.1680000000000001</v>
      </c>
      <c r="J61" s="275">
        <v>0</v>
      </c>
      <c r="K61" s="272">
        <v>5</v>
      </c>
      <c r="L61" s="252"/>
      <c r="M61" s="252"/>
      <c r="N61" s="252"/>
      <c r="O61" s="252"/>
      <c r="P61" s="252"/>
      <c r="Q61" s="252"/>
      <c r="R61" s="252"/>
      <c r="S61" s="252"/>
    </row>
    <row r="62" spans="1:19" ht="13.5">
      <c r="A62" s="269" t="s">
        <v>408</v>
      </c>
      <c r="B62" s="252" t="s">
        <v>341</v>
      </c>
      <c r="C62" s="252"/>
      <c r="D62" s="274">
        <v>0</v>
      </c>
      <c r="E62" s="274">
        <v>0</v>
      </c>
      <c r="F62" s="274">
        <v>69.94</v>
      </c>
      <c r="G62" s="274">
        <v>63.871000000000002</v>
      </c>
      <c r="H62" s="274">
        <v>6.5200000000000005</v>
      </c>
      <c r="I62" s="275">
        <v>2.5</v>
      </c>
      <c r="J62" s="275">
        <v>0</v>
      </c>
      <c r="K62" s="272">
        <v>6</v>
      </c>
      <c r="L62" s="252"/>
      <c r="M62" s="252"/>
      <c r="N62" s="252"/>
      <c r="O62" s="252"/>
      <c r="P62" s="252"/>
      <c r="Q62" s="252"/>
      <c r="R62" s="252"/>
      <c r="S62" s="252"/>
    </row>
    <row r="63" spans="1:19" ht="13.5">
      <c r="A63" s="269" t="s">
        <v>408</v>
      </c>
      <c r="B63" s="252" t="s">
        <v>342</v>
      </c>
      <c r="C63" s="252"/>
      <c r="D63" s="274">
        <v>0</v>
      </c>
      <c r="E63" s="274">
        <v>0</v>
      </c>
      <c r="F63" s="274">
        <v>62.817</v>
      </c>
      <c r="G63" s="274">
        <v>0</v>
      </c>
      <c r="H63" s="274">
        <v>4.9119999999999999</v>
      </c>
      <c r="I63" s="275">
        <v>2.0910000000000002</v>
      </c>
      <c r="J63" s="275">
        <v>0</v>
      </c>
      <c r="K63" s="272">
        <v>7</v>
      </c>
      <c r="L63" s="252"/>
      <c r="M63" s="252"/>
      <c r="N63" s="252"/>
      <c r="O63" s="252"/>
      <c r="P63" s="252"/>
      <c r="Q63" s="252"/>
      <c r="R63" s="252"/>
      <c r="S63" s="252"/>
    </row>
    <row r="64" spans="1:19">
      <c r="A64" s="251"/>
      <c r="B64" s="252"/>
      <c r="C64" s="252"/>
      <c r="D64" s="274"/>
      <c r="E64" s="274"/>
      <c r="F64" s="274"/>
      <c r="G64" s="274"/>
      <c r="H64" s="274"/>
      <c r="I64" s="274"/>
      <c r="J64" s="274"/>
      <c r="K64" s="252"/>
      <c r="L64" s="252"/>
      <c r="M64" s="252"/>
      <c r="N64" s="252"/>
      <c r="O64" s="252"/>
      <c r="P64" s="252"/>
      <c r="Q64" s="252"/>
      <c r="R64" s="252"/>
      <c r="S64" s="252"/>
    </row>
    <row r="65" spans="1:19">
      <c r="A65" s="251"/>
      <c r="B65" s="252" t="s">
        <v>343</v>
      </c>
      <c r="C65" s="252"/>
      <c r="D65" s="274">
        <v>89.065516906892114</v>
      </c>
      <c r="E65" s="274">
        <v>74.906880517649498</v>
      </c>
      <c r="F65" s="274">
        <v>70.829927420308934</v>
      </c>
      <c r="G65" s="274">
        <v>65.771861533166515</v>
      </c>
      <c r="H65" s="274"/>
      <c r="I65" s="274"/>
      <c r="J65" s="274"/>
      <c r="K65" s="252"/>
      <c r="L65" s="252"/>
      <c r="M65" s="252"/>
      <c r="N65" s="252"/>
      <c r="O65" s="252"/>
      <c r="P65" s="252"/>
      <c r="Q65" s="252"/>
      <c r="R65" s="252"/>
      <c r="S65" s="252"/>
    </row>
    <row r="66" spans="1:19">
      <c r="A66" s="251"/>
      <c r="B66" s="252"/>
      <c r="C66" s="252"/>
      <c r="D66" s="277"/>
      <c r="E66" s="277"/>
      <c r="F66" s="277"/>
      <c r="G66" s="277"/>
      <c r="H66" s="277"/>
      <c r="I66" s="277"/>
      <c r="J66" s="277"/>
      <c r="K66" s="252"/>
      <c r="L66" s="252"/>
      <c r="M66" s="252"/>
      <c r="N66" s="252"/>
      <c r="O66" s="252"/>
      <c r="P66" s="252"/>
      <c r="Q66" s="252"/>
      <c r="R66" s="252"/>
      <c r="S66" s="252"/>
    </row>
    <row r="67" spans="1:19">
      <c r="A67" s="252"/>
      <c r="B67" s="252"/>
      <c r="C67" s="252"/>
      <c r="D67" s="252"/>
      <c r="E67" s="252"/>
      <c r="F67" s="252"/>
      <c r="G67" s="252"/>
      <c r="H67" s="252"/>
      <c r="I67" s="252"/>
      <c r="J67" s="252"/>
      <c r="K67" s="252"/>
      <c r="L67" s="252"/>
      <c r="M67" s="252"/>
      <c r="N67" s="252"/>
      <c r="O67" s="252"/>
      <c r="P67" s="252"/>
      <c r="Q67" s="252"/>
      <c r="R67" s="252"/>
      <c r="S67" s="252"/>
    </row>
    <row r="68" spans="1:19">
      <c r="A68" s="252"/>
      <c r="B68" s="252"/>
      <c r="C68" s="252"/>
      <c r="D68" s="252"/>
      <c r="E68" s="252"/>
      <c r="F68" s="252"/>
      <c r="G68" s="252"/>
      <c r="H68" s="252"/>
      <c r="I68" s="252"/>
      <c r="J68" s="252"/>
      <c r="K68" s="252"/>
      <c r="L68" s="252"/>
      <c r="M68" s="252"/>
      <c r="N68" s="252"/>
      <c r="O68" s="252"/>
      <c r="P68" s="252"/>
      <c r="Q68" s="252"/>
      <c r="R68" s="252"/>
      <c r="S68" s="252"/>
    </row>
    <row r="69" spans="1:19">
      <c r="A69" s="252"/>
      <c r="B69" s="252"/>
      <c r="C69" s="252"/>
      <c r="D69" s="252"/>
      <c r="E69" s="252"/>
      <c r="F69" s="252"/>
      <c r="G69" s="252"/>
      <c r="H69" s="252"/>
      <c r="I69" s="252"/>
      <c r="J69" s="252"/>
      <c r="K69" s="252"/>
      <c r="L69" s="252"/>
      <c r="M69" s="252"/>
      <c r="N69" s="252"/>
      <c r="O69" s="252"/>
      <c r="P69" s="252"/>
      <c r="Q69" s="252"/>
      <c r="R69" s="252"/>
      <c r="S69" s="252"/>
    </row>
    <row r="70" spans="1:19">
      <c r="A70" s="251"/>
      <c r="B70" s="252"/>
      <c r="C70" s="252"/>
      <c r="D70" s="277"/>
      <c r="E70" s="277"/>
      <c r="F70" s="277"/>
      <c r="G70" s="277"/>
      <c r="H70" s="277"/>
      <c r="I70" s="277"/>
      <c r="J70" s="277"/>
      <c r="K70" s="252"/>
      <c r="L70" s="252"/>
      <c r="M70" s="252"/>
      <c r="N70" s="252"/>
      <c r="O70" s="252"/>
      <c r="P70" s="252"/>
      <c r="Q70" s="252"/>
      <c r="R70" s="252"/>
      <c r="S70" s="252"/>
    </row>
    <row r="71" spans="1:19">
      <c r="A71" s="251"/>
      <c r="B71" s="252"/>
      <c r="C71" s="252"/>
      <c r="D71" s="277"/>
      <c r="E71" s="277"/>
      <c r="F71" s="277"/>
      <c r="G71" s="277"/>
      <c r="H71" s="277"/>
      <c r="I71" s="277"/>
      <c r="J71" s="277"/>
      <c r="K71" s="252"/>
      <c r="L71" s="252"/>
      <c r="M71" s="252"/>
      <c r="N71" s="252"/>
      <c r="O71" s="252"/>
      <c r="P71" s="252"/>
      <c r="Q71" s="252"/>
      <c r="R71" s="252"/>
      <c r="S71" s="252"/>
    </row>
    <row r="72" spans="1:19">
      <c r="A72" s="251"/>
      <c r="B72" s="252"/>
      <c r="C72" s="252"/>
      <c r="D72" s="277"/>
      <c r="E72" s="277"/>
      <c r="F72" s="277"/>
      <c r="G72" s="277"/>
      <c r="H72" s="277"/>
      <c r="I72" s="277"/>
      <c r="J72" s="277"/>
      <c r="K72" s="252"/>
      <c r="L72" s="252"/>
      <c r="M72" s="252"/>
      <c r="N72" s="252"/>
      <c r="O72" s="252"/>
      <c r="P72" s="252"/>
      <c r="Q72" s="252"/>
      <c r="R72" s="252"/>
      <c r="S72" s="252"/>
    </row>
    <row r="73" spans="1:19">
      <c r="A73" s="251"/>
      <c r="B73" s="222" t="s">
        <v>344</v>
      </c>
      <c r="C73" s="252"/>
      <c r="D73" s="252"/>
      <c r="E73" s="252"/>
      <c r="F73" s="252"/>
      <c r="G73" s="252"/>
      <c r="H73" s="252"/>
      <c r="I73" s="252"/>
      <c r="J73" s="252"/>
      <c r="K73" s="252"/>
      <c r="L73" s="252"/>
      <c r="M73" s="252"/>
      <c r="N73" s="252"/>
      <c r="O73" s="252"/>
      <c r="P73" s="252"/>
      <c r="Q73" s="252"/>
      <c r="R73" s="252"/>
      <c r="S73" s="252"/>
    </row>
    <row r="74" spans="1:19">
      <c r="A74" s="251"/>
      <c r="B74" s="252" t="s">
        <v>336</v>
      </c>
      <c r="C74" s="252"/>
      <c r="D74" s="270">
        <v>9</v>
      </c>
      <c r="E74" s="270">
        <v>0</v>
      </c>
      <c r="F74" s="270">
        <v>0</v>
      </c>
      <c r="G74" s="270">
        <v>0</v>
      </c>
      <c r="H74" s="270">
        <v>500</v>
      </c>
      <c r="I74" s="271">
        <v>200</v>
      </c>
      <c r="J74" s="271">
        <v>26332</v>
      </c>
      <c r="K74" s="272">
        <v>1</v>
      </c>
      <c r="L74" s="252"/>
      <c r="M74" s="252"/>
      <c r="N74" s="252"/>
      <c r="O74" s="252"/>
      <c r="P74" s="252"/>
      <c r="Q74" s="252"/>
      <c r="R74" s="252"/>
      <c r="S74" s="252"/>
    </row>
    <row r="75" spans="1:19">
      <c r="A75" s="251"/>
      <c r="B75" s="252" t="s">
        <v>337</v>
      </c>
      <c r="C75" s="252"/>
      <c r="D75" s="270">
        <v>0</v>
      </c>
      <c r="E75" s="270">
        <v>87.04</v>
      </c>
      <c r="F75" s="270">
        <v>215.24</v>
      </c>
      <c r="G75" s="270">
        <v>0</v>
      </c>
      <c r="H75" s="270">
        <v>0</v>
      </c>
      <c r="I75" s="271">
        <v>0</v>
      </c>
      <c r="J75" s="271">
        <v>0</v>
      </c>
      <c r="K75" s="272">
        <v>2</v>
      </c>
      <c r="L75" s="252"/>
      <c r="M75" s="252"/>
      <c r="N75" s="252"/>
      <c r="O75" s="252"/>
      <c r="P75" s="252"/>
      <c r="Q75" s="252"/>
      <c r="R75" s="252"/>
      <c r="S75" s="252"/>
    </row>
    <row r="76" spans="1:19">
      <c r="A76" s="251"/>
      <c r="B76" s="252"/>
      <c r="C76" s="252"/>
      <c r="D76" s="252"/>
      <c r="E76" s="252"/>
      <c r="F76" s="252"/>
      <c r="G76" s="252"/>
      <c r="H76" s="252"/>
      <c r="I76" s="272"/>
      <c r="J76" s="272"/>
      <c r="K76" s="252"/>
      <c r="L76" s="252"/>
      <c r="M76" s="252"/>
      <c r="N76" s="252"/>
      <c r="O76" s="252"/>
      <c r="P76" s="252"/>
      <c r="Q76" s="252"/>
      <c r="R76" s="252"/>
      <c r="S76" s="252"/>
    </row>
    <row r="77" spans="1:19">
      <c r="A77" s="251"/>
      <c r="B77" s="252" t="s">
        <v>338</v>
      </c>
      <c r="C77" s="252"/>
      <c r="D77" s="274">
        <v>84.808000000000007</v>
      </c>
      <c r="E77" s="274">
        <v>52.454999999999998</v>
      </c>
      <c r="F77" s="274">
        <v>50.545000000000002</v>
      </c>
      <c r="G77" s="274">
        <v>70.180999999999997</v>
      </c>
      <c r="H77" s="274">
        <v>8.7710000000000008</v>
      </c>
      <c r="I77" s="275">
        <v>2.8</v>
      </c>
      <c r="J77" s="275">
        <v>1</v>
      </c>
      <c r="K77" s="272">
        <v>3</v>
      </c>
      <c r="L77" s="252"/>
      <c r="M77" s="252"/>
      <c r="N77" s="252"/>
      <c r="O77" s="252"/>
      <c r="P77" s="252"/>
      <c r="Q77" s="252"/>
      <c r="R77" s="252"/>
      <c r="S77" s="252"/>
    </row>
    <row r="78" spans="1:19">
      <c r="A78" s="251"/>
      <c r="B78" s="252" t="s">
        <v>339</v>
      </c>
      <c r="C78" s="252"/>
      <c r="D78" s="274">
        <v>95.421000000000006</v>
      </c>
      <c r="E78" s="274">
        <v>82.834000000000003</v>
      </c>
      <c r="F78" s="274">
        <v>82.771000000000001</v>
      </c>
      <c r="G78" s="274">
        <v>65.424999999999997</v>
      </c>
      <c r="H78" s="274">
        <v>7.8090000000000002</v>
      </c>
      <c r="I78" s="276">
        <v>4.5</v>
      </c>
      <c r="J78" s="275">
        <v>0</v>
      </c>
      <c r="K78" s="272">
        <v>4</v>
      </c>
      <c r="L78" s="252"/>
      <c r="M78" s="252"/>
      <c r="N78" s="252"/>
      <c r="O78" s="252"/>
      <c r="P78" s="252"/>
      <c r="Q78" s="252"/>
      <c r="R78" s="252"/>
      <c r="S78" s="252"/>
    </row>
    <row r="79" spans="1:19">
      <c r="A79" s="251"/>
      <c r="B79" s="252" t="s">
        <v>340</v>
      </c>
      <c r="C79" s="252"/>
      <c r="D79" s="274">
        <v>0</v>
      </c>
      <c r="E79" s="274">
        <v>75.153000000000006</v>
      </c>
      <c r="F79" s="274">
        <v>74.888999999999996</v>
      </c>
      <c r="G79" s="274">
        <v>64.257999999999996</v>
      </c>
      <c r="H79" s="274">
        <v>7.0460000000000003</v>
      </c>
      <c r="I79" s="275">
        <v>3.1680000000000001</v>
      </c>
      <c r="J79" s="275">
        <v>0</v>
      </c>
      <c r="K79" s="272">
        <v>5</v>
      </c>
      <c r="L79" s="252"/>
      <c r="M79" s="252"/>
      <c r="N79" s="252"/>
      <c r="O79" s="252"/>
      <c r="P79" s="252"/>
      <c r="Q79" s="252"/>
      <c r="R79" s="252"/>
      <c r="S79" s="252"/>
    </row>
    <row r="80" spans="1:19">
      <c r="A80" s="251"/>
      <c r="B80" s="252" t="s">
        <v>341</v>
      </c>
      <c r="C80" s="252"/>
      <c r="D80" s="274">
        <v>0</v>
      </c>
      <c r="E80" s="274">
        <v>0</v>
      </c>
      <c r="F80" s="274">
        <v>69.94</v>
      </c>
      <c r="G80" s="274">
        <v>63.871000000000002</v>
      </c>
      <c r="H80" s="274">
        <v>6.52</v>
      </c>
      <c r="I80" s="275">
        <v>2.5</v>
      </c>
      <c r="J80" s="275">
        <v>0</v>
      </c>
      <c r="K80" s="272">
        <v>6</v>
      </c>
      <c r="L80" s="252"/>
      <c r="M80" s="252"/>
      <c r="N80" s="252"/>
      <c r="O80" s="252"/>
      <c r="P80" s="252"/>
      <c r="Q80" s="252"/>
      <c r="R80" s="252"/>
      <c r="S80" s="252"/>
    </row>
    <row r="81" spans="1:19">
      <c r="A81" s="251"/>
      <c r="B81" s="252" t="s">
        <v>342</v>
      </c>
      <c r="C81" s="252"/>
      <c r="D81" s="274">
        <v>0</v>
      </c>
      <c r="E81" s="274">
        <v>0</v>
      </c>
      <c r="F81" s="274">
        <v>62.817</v>
      </c>
      <c r="G81" s="274">
        <v>0</v>
      </c>
      <c r="H81" s="274">
        <v>4.9119999999999999</v>
      </c>
      <c r="I81" s="275">
        <v>2.0910000000000002</v>
      </c>
      <c r="J81" s="275">
        <v>0</v>
      </c>
      <c r="K81" s="272">
        <v>7</v>
      </c>
      <c r="L81" s="252"/>
      <c r="M81" s="252"/>
      <c r="N81" s="252"/>
      <c r="O81" s="252"/>
      <c r="P81" s="252"/>
      <c r="Q81" s="252"/>
      <c r="R81" s="252"/>
      <c r="S81" s="252"/>
    </row>
    <row r="82" spans="1:19">
      <c r="A82" s="251"/>
      <c r="B82" s="252"/>
      <c r="C82" s="252"/>
      <c r="D82" s="274"/>
      <c r="E82" s="274"/>
      <c r="F82" s="274"/>
      <c r="G82" s="274"/>
      <c r="H82" s="274"/>
      <c r="I82" s="274"/>
      <c r="J82" s="274"/>
      <c r="K82" s="252"/>
      <c r="L82" s="252"/>
      <c r="M82" s="252"/>
      <c r="N82" s="252"/>
      <c r="O82" s="252"/>
      <c r="P82" s="252"/>
      <c r="Q82" s="252"/>
      <c r="R82" s="252"/>
      <c r="S82" s="252"/>
    </row>
    <row r="83" spans="1:19">
      <c r="A83" s="251"/>
      <c r="B83" s="252" t="s">
        <v>343</v>
      </c>
      <c r="C83" s="252"/>
      <c r="D83" s="274">
        <v>89.065516906892114</v>
      </c>
      <c r="E83" s="274">
        <v>74.906880517649498</v>
      </c>
      <c r="F83" s="274">
        <v>70.829927420308934</v>
      </c>
      <c r="G83" s="274">
        <v>65.771861533166515</v>
      </c>
      <c r="H83" s="274"/>
      <c r="I83" s="274"/>
      <c r="J83" s="274"/>
      <c r="K83" s="252"/>
      <c r="L83" s="252"/>
      <c r="M83" s="252"/>
      <c r="N83" s="252"/>
      <c r="O83" s="252"/>
      <c r="P83" s="252"/>
      <c r="Q83" s="252"/>
      <c r="R83" s="252"/>
      <c r="S83" s="252"/>
    </row>
    <row r="84" spans="1:19">
      <c r="A84" s="251"/>
      <c r="B84" s="252"/>
      <c r="C84" s="252"/>
      <c r="D84" s="277"/>
      <c r="E84" s="277"/>
      <c r="F84" s="277"/>
      <c r="G84" s="277"/>
      <c r="H84" s="277"/>
      <c r="I84" s="277"/>
      <c r="J84" s="277"/>
      <c r="K84" s="252"/>
      <c r="L84" s="252"/>
      <c r="M84" s="252"/>
      <c r="N84" s="252"/>
      <c r="O84" s="252"/>
      <c r="P84" s="252"/>
      <c r="Q84" s="252"/>
      <c r="R84" s="252"/>
      <c r="S84" s="252"/>
    </row>
    <row r="85" spans="1:19">
      <c r="A85" s="252"/>
      <c r="B85" s="252"/>
      <c r="C85" s="252"/>
      <c r="D85" s="252"/>
      <c r="E85" s="252"/>
      <c r="F85" s="252"/>
      <c r="G85" s="252"/>
      <c r="H85" s="252"/>
      <c r="I85" s="252"/>
      <c r="J85" s="252"/>
      <c r="K85" s="252"/>
      <c r="L85" s="252"/>
      <c r="M85" s="252"/>
      <c r="N85" s="252"/>
      <c r="O85" s="252"/>
      <c r="P85" s="252"/>
      <c r="Q85" s="252"/>
      <c r="R85" s="252"/>
      <c r="S85" s="252"/>
    </row>
    <row r="86" spans="1:19">
      <c r="A86" s="252"/>
      <c r="B86" s="278"/>
      <c r="C86" s="252"/>
      <c r="D86" s="252"/>
      <c r="E86" s="252"/>
      <c r="F86" s="252"/>
      <c r="G86" s="252"/>
      <c r="H86" s="252"/>
      <c r="I86" s="252"/>
      <c r="J86" s="252"/>
      <c r="K86" s="252"/>
      <c r="L86" s="252"/>
      <c r="M86" s="252"/>
      <c r="N86" s="252"/>
      <c r="O86" s="252"/>
      <c r="P86" s="252"/>
      <c r="Q86" s="252"/>
      <c r="R86" s="252"/>
      <c r="S86" s="252"/>
    </row>
    <row r="87" spans="1:19">
      <c r="A87" s="251"/>
      <c r="B87" s="252" t="s">
        <v>411</v>
      </c>
      <c r="C87" s="252"/>
      <c r="D87" s="277"/>
      <c r="E87" s="277"/>
      <c r="F87" s="277"/>
      <c r="G87" s="277"/>
      <c r="H87" s="277"/>
      <c r="I87" s="277"/>
      <c r="J87" s="277"/>
      <c r="K87" s="252"/>
      <c r="L87" s="252"/>
      <c r="M87" s="252"/>
      <c r="N87" s="252"/>
      <c r="O87" s="252"/>
      <c r="P87" s="252"/>
      <c r="Q87" s="252"/>
      <c r="R87" s="252"/>
      <c r="S87" s="252"/>
    </row>
    <row r="88" spans="1:19">
      <c r="A88" s="251"/>
      <c r="B88" s="279" t="s">
        <v>412</v>
      </c>
      <c r="C88" s="252"/>
      <c r="D88" s="277"/>
      <c r="E88" s="277"/>
      <c r="F88" s="277"/>
      <c r="G88" s="277"/>
      <c r="H88" s="277"/>
      <c r="I88" s="277"/>
      <c r="J88" s="277"/>
      <c r="K88" s="252"/>
      <c r="L88" s="252"/>
      <c r="M88" s="252"/>
      <c r="N88" s="252"/>
      <c r="O88" s="252"/>
      <c r="P88" s="252"/>
      <c r="Q88" s="252"/>
      <c r="R88" s="252"/>
      <c r="S88" s="252"/>
    </row>
    <row r="89" spans="1:19">
      <c r="A89" s="251"/>
      <c r="B89" s="252" t="s">
        <v>413</v>
      </c>
      <c r="C89" s="252"/>
      <c r="D89" s="277"/>
      <c r="E89" s="277"/>
      <c r="F89" s="277"/>
      <c r="G89" s="277"/>
      <c r="H89" s="277"/>
      <c r="I89" s="277"/>
      <c r="J89" s="277"/>
      <c r="K89" s="252"/>
      <c r="L89" s="252"/>
      <c r="M89" s="252"/>
      <c r="N89" s="252"/>
      <c r="O89" s="252"/>
      <c r="P89" s="252"/>
      <c r="Q89" s="252"/>
      <c r="R89" s="252"/>
      <c r="S89" s="252"/>
    </row>
    <row r="90" spans="1:19">
      <c r="A90" s="251"/>
      <c r="B90" s="252" t="s">
        <v>414</v>
      </c>
      <c r="C90" s="252"/>
      <c r="D90" s="277"/>
      <c r="E90" s="277"/>
      <c r="F90" s="277"/>
      <c r="G90" s="277"/>
      <c r="H90" s="277"/>
      <c r="I90" s="277"/>
      <c r="J90" s="277"/>
      <c r="K90" s="252"/>
      <c r="L90" s="252"/>
      <c r="M90" s="252"/>
      <c r="N90" s="252"/>
      <c r="O90" s="252"/>
      <c r="P90" s="252"/>
      <c r="Q90" s="252"/>
      <c r="R90" s="252"/>
      <c r="S90" s="252"/>
    </row>
    <row r="91" spans="1:19">
      <c r="A91" s="251"/>
      <c r="B91" s="252" t="s">
        <v>345</v>
      </c>
      <c r="C91" s="252"/>
      <c r="D91" s="277"/>
      <c r="E91" s="277"/>
      <c r="F91" s="277"/>
      <c r="G91" s="277"/>
      <c r="H91" s="277"/>
      <c r="I91" s="277"/>
      <c r="J91" s="277"/>
      <c r="K91" s="252"/>
      <c r="L91" s="252"/>
      <c r="M91" s="252"/>
      <c r="N91" s="252"/>
      <c r="O91" s="252"/>
      <c r="P91" s="252"/>
      <c r="Q91" s="252"/>
      <c r="R91" s="252"/>
      <c r="S91" s="252"/>
    </row>
    <row r="92" spans="1:19">
      <c r="A92" s="251"/>
      <c r="B92" s="252"/>
      <c r="C92" s="252"/>
      <c r="D92" s="277"/>
      <c r="E92" s="277"/>
      <c r="F92" s="277"/>
      <c r="G92" s="277"/>
      <c r="H92" s="277"/>
      <c r="I92" s="277"/>
      <c r="J92" s="277"/>
      <c r="K92" s="252"/>
      <c r="L92" s="252"/>
      <c r="M92" s="252"/>
      <c r="N92" s="252"/>
      <c r="O92" s="252"/>
      <c r="P92" s="252"/>
      <c r="Q92" s="252"/>
      <c r="R92" s="252"/>
      <c r="S92" s="252"/>
    </row>
    <row r="93" spans="1:19">
      <c r="A93" s="251"/>
      <c r="B93" s="252" t="s">
        <v>415</v>
      </c>
      <c r="C93" s="252"/>
      <c r="D93" s="277"/>
      <c r="E93" s="277"/>
      <c r="F93" s="277"/>
      <c r="G93" s="277"/>
      <c r="H93" s="277"/>
      <c r="I93" s="277"/>
      <c r="J93" s="277"/>
      <c r="K93" s="252"/>
      <c r="L93" s="252"/>
      <c r="M93" s="252"/>
      <c r="N93" s="252"/>
      <c r="O93" s="252"/>
      <c r="P93" s="252"/>
      <c r="Q93" s="252"/>
      <c r="R93" s="252"/>
      <c r="S93" s="252"/>
    </row>
    <row r="94" spans="1:19">
      <c r="A94" s="251"/>
      <c r="B94" s="252"/>
      <c r="C94" s="252"/>
      <c r="D94" s="252"/>
      <c r="E94" s="252"/>
      <c r="F94" s="252"/>
      <c r="G94" s="252"/>
      <c r="H94" s="252"/>
      <c r="I94" s="252"/>
      <c r="J94" s="252"/>
      <c r="K94" s="252"/>
      <c r="L94" s="252"/>
      <c r="M94" s="252"/>
      <c r="N94" s="252"/>
      <c r="O94" s="252"/>
      <c r="P94" s="252"/>
      <c r="Q94" s="252"/>
      <c r="R94" s="252"/>
      <c r="S94" s="252"/>
    </row>
    <row r="95" spans="1:19">
      <c r="A95" s="251"/>
      <c r="B95" s="252"/>
      <c r="C95" s="252"/>
      <c r="D95" s="252"/>
      <c r="E95" s="252"/>
      <c r="F95" s="252"/>
      <c r="G95" s="252"/>
      <c r="H95" s="252"/>
      <c r="I95" s="252"/>
      <c r="J95" s="252"/>
      <c r="K95" s="252"/>
      <c r="L95" s="252"/>
      <c r="M95" s="252"/>
      <c r="N95" s="252"/>
      <c r="O95" s="252"/>
      <c r="P95" s="252"/>
      <c r="Q95" s="252"/>
      <c r="R95" s="252"/>
      <c r="S95" s="252"/>
    </row>
    <row r="96" spans="1:19">
      <c r="A96" s="251"/>
      <c r="B96" s="252"/>
      <c r="C96" s="252"/>
      <c r="D96" s="252"/>
      <c r="E96" s="252"/>
      <c r="F96" s="252"/>
      <c r="G96" s="252"/>
      <c r="H96" s="252"/>
      <c r="I96" s="252"/>
      <c r="J96" s="252"/>
      <c r="K96" s="252"/>
      <c r="L96" s="252"/>
      <c r="M96" s="252"/>
      <c r="N96" s="252"/>
      <c r="O96" s="252"/>
      <c r="P96" s="252"/>
      <c r="Q96" s="252"/>
      <c r="R96" s="252"/>
      <c r="S96" s="252"/>
    </row>
    <row r="97" spans="1:19">
      <c r="A97" s="251"/>
      <c r="B97" s="278" t="str">
        <f>"Note: Rates include Sch. 150 (Purch. Gas Cost Adj.)"</f>
        <v>Note: Rates include Sch. 150 (Purch. Gas Cost Adj.)</v>
      </c>
      <c r="C97" s="252"/>
      <c r="D97" s="252"/>
      <c r="E97" s="252"/>
      <c r="F97" s="252"/>
      <c r="G97" s="252"/>
      <c r="H97" s="252"/>
      <c r="I97" s="252"/>
      <c r="J97" s="252"/>
      <c r="K97" s="252"/>
      <c r="L97" s="252"/>
      <c r="M97" s="252"/>
      <c r="N97" s="252"/>
      <c r="O97" s="252"/>
      <c r="P97" s="252"/>
      <c r="Q97" s="252"/>
      <c r="R97" s="252"/>
      <c r="S97" s="252"/>
    </row>
    <row r="98" spans="1:19">
      <c r="A98" s="251"/>
      <c r="B98" s="252"/>
      <c r="C98" s="252"/>
      <c r="D98" s="252"/>
      <c r="E98" s="252"/>
      <c r="F98" s="252"/>
      <c r="G98" s="252"/>
      <c r="H98" s="252"/>
      <c r="I98" s="252"/>
      <c r="J98" s="252"/>
      <c r="K98" s="252"/>
      <c r="L98" s="252"/>
      <c r="M98" s="252"/>
      <c r="N98" s="252"/>
      <c r="O98" s="252"/>
      <c r="P98" s="252"/>
      <c r="Q98" s="252"/>
      <c r="R98" s="252"/>
      <c r="S98" s="252"/>
    </row>
    <row r="99" spans="1:19">
      <c r="A99" s="251"/>
      <c r="B99" s="252"/>
      <c r="C99" s="252"/>
      <c r="D99" s="252"/>
      <c r="E99" s="252"/>
      <c r="F99" s="252"/>
      <c r="G99" s="252"/>
      <c r="H99" s="252"/>
      <c r="I99" s="252"/>
      <c r="J99" s="252"/>
      <c r="K99" s="252"/>
      <c r="L99" s="252"/>
      <c r="M99" s="252"/>
      <c r="N99" s="252"/>
      <c r="O99" s="252"/>
      <c r="P99" s="252"/>
      <c r="Q99" s="252"/>
      <c r="R99" s="252"/>
      <c r="S99" s="252"/>
    </row>
    <row r="100" spans="1:19">
      <c r="A100" s="251"/>
      <c r="B100" s="252"/>
      <c r="C100" s="252"/>
      <c r="D100" s="252"/>
      <c r="E100" s="252"/>
      <c r="F100" s="252"/>
      <c r="G100" s="252"/>
      <c r="H100" s="252"/>
      <c r="I100" s="252"/>
      <c r="J100" s="253" t="s">
        <v>296</v>
      </c>
      <c r="K100" s="252"/>
      <c r="L100" s="252"/>
      <c r="M100" s="252"/>
      <c r="N100" s="252"/>
      <c r="O100" s="252"/>
      <c r="P100" s="252"/>
      <c r="Q100" s="252"/>
      <c r="R100" s="252"/>
      <c r="S100" s="252"/>
    </row>
    <row r="101" spans="1:19">
      <c r="A101" s="251"/>
      <c r="B101" s="252"/>
      <c r="C101" s="252"/>
      <c r="D101" s="252"/>
      <c r="E101" s="252"/>
      <c r="F101" s="252"/>
      <c r="G101" s="252"/>
      <c r="H101" s="252"/>
      <c r="I101" s="252"/>
      <c r="J101" s="220" t="s">
        <v>297</v>
      </c>
      <c r="K101" s="252"/>
      <c r="L101" s="252"/>
      <c r="M101" s="252"/>
      <c r="N101" s="252"/>
      <c r="O101" s="252"/>
      <c r="P101" s="252"/>
      <c r="Q101" s="252"/>
      <c r="R101" s="252"/>
      <c r="S101" s="252"/>
    </row>
    <row r="102" spans="1:19">
      <c r="A102" s="254" t="s">
        <v>298</v>
      </c>
      <c r="B102" s="253"/>
      <c r="C102" s="253" t="s">
        <v>299</v>
      </c>
      <c r="D102" s="253" t="s">
        <v>300</v>
      </c>
      <c r="E102" s="253" t="s">
        <v>301</v>
      </c>
      <c r="F102" s="253" t="s">
        <v>302</v>
      </c>
      <c r="G102" s="253" t="s">
        <v>303</v>
      </c>
      <c r="H102" s="253" t="s">
        <v>296</v>
      </c>
      <c r="I102" s="253" t="s">
        <v>296</v>
      </c>
      <c r="J102" s="253" t="s">
        <v>304</v>
      </c>
      <c r="K102" s="253"/>
      <c r="L102" s="253"/>
      <c r="M102" s="253"/>
      <c r="N102" s="253"/>
      <c r="O102" s="253"/>
      <c r="P102" s="253"/>
      <c r="Q102" s="253"/>
      <c r="R102" s="253"/>
      <c r="S102" s="253"/>
    </row>
    <row r="103" spans="1:19">
      <c r="A103" s="254" t="s">
        <v>305</v>
      </c>
      <c r="B103" s="221"/>
      <c r="C103" s="221" t="s">
        <v>306</v>
      </c>
      <c r="D103" s="221" t="s">
        <v>307</v>
      </c>
      <c r="E103" s="221" t="s">
        <v>332</v>
      </c>
      <c r="F103" s="221" t="s">
        <v>333</v>
      </c>
      <c r="G103" s="221" t="s">
        <v>334</v>
      </c>
      <c r="H103" s="221" t="s">
        <v>311</v>
      </c>
      <c r="I103" s="221" t="s">
        <v>312</v>
      </c>
      <c r="J103" s="221" t="s">
        <v>313</v>
      </c>
      <c r="K103" s="253"/>
      <c r="L103" s="253"/>
      <c r="M103" s="253"/>
      <c r="N103" s="253"/>
      <c r="O103" s="253"/>
      <c r="P103" s="253"/>
      <c r="Q103" s="253"/>
      <c r="R103" s="253"/>
      <c r="S103" s="253"/>
    </row>
    <row r="104" spans="1:19">
      <c r="A104" s="251"/>
      <c r="B104" s="222" t="s">
        <v>346</v>
      </c>
      <c r="C104" s="280"/>
      <c r="D104" s="280"/>
      <c r="E104" s="280"/>
      <c r="F104" s="280"/>
      <c r="G104" s="280"/>
      <c r="H104" s="280"/>
      <c r="I104" s="280"/>
      <c r="J104" s="280"/>
      <c r="K104" s="252"/>
      <c r="L104" s="252"/>
      <c r="M104" s="252"/>
      <c r="N104" s="252"/>
      <c r="O104" s="252"/>
      <c r="P104" s="252"/>
      <c r="Q104" s="252"/>
      <c r="R104" s="252"/>
      <c r="S104" s="252"/>
    </row>
    <row r="105" spans="1:19">
      <c r="A105" s="251"/>
      <c r="B105" s="252" t="s">
        <v>347</v>
      </c>
      <c r="C105" s="280"/>
      <c r="D105" s="280"/>
      <c r="E105" s="280"/>
      <c r="F105" s="280"/>
      <c r="G105" s="280"/>
      <c r="H105" s="280"/>
      <c r="I105" s="280"/>
      <c r="J105" s="280"/>
      <c r="K105" s="252"/>
      <c r="L105" s="252"/>
      <c r="M105" s="252"/>
      <c r="N105" s="252"/>
      <c r="O105" s="252"/>
      <c r="P105" s="252"/>
      <c r="Q105" s="252"/>
      <c r="R105" s="252"/>
      <c r="S105" s="252"/>
    </row>
    <row r="106" spans="1:19">
      <c r="A106" s="251"/>
      <c r="B106" s="281" t="s">
        <v>336</v>
      </c>
      <c r="C106" s="282">
        <f t="shared" ref="C106:C113" si="13">SUM(D106:J106)</f>
        <v>16645071</v>
      </c>
      <c r="D106" s="283">
        <f t="shared" ref="D106:J107" si="14">D25*D56</f>
        <v>16091487</v>
      </c>
      <c r="E106" s="283">
        <f t="shared" si="14"/>
        <v>0</v>
      </c>
      <c r="F106" s="283">
        <f t="shared" si="14"/>
        <v>0</v>
      </c>
      <c r="G106" s="283">
        <f t="shared" si="14"/>
        <v>0</v>
      </c>
      <c r="H106" s="283">
        <f>H25*H56</f>
        <v>228000</v>
      </c>
      <c r="I106" s="283">
        <f>I25*I56</f>
        <v>9600</v>
      </c>
      <c r="J106" s="283">
        <f t="shared" si="14"/>
        <v>315984</v>
      </c>
      <c r="K106" s="252"/>
      <c r="L106" s="252"/>
      <c r="M106" s="252"/>
      <c r="N106" s="252"/>
      <c r="O106" s="252"/>
      <c r="P106" s="252"/>
      <c r="Q106" s="252"/>
      <c r="R106" s="252"/>
      <c r="S106" s="252"/>
    </row>
    <row r="107" spans="1:19">
      <c r="A107" s="251"/>
      <c r="B107" s="281" t="s">
        <v>410</v>
      </c>
      <c r="C107" s="284">
        <f t="shared" si="13"/>
        <v>2771394.6226299964</v>
      </c>
      <c r="D107" s="260">
        <f>D26*D57</f>
        <v>0</v>
      </c>
      <c r="E107" s="260">
        <f>E26*E57</f>
        <v>2671866.8799999962</v>
      </c>
      <c r="F107" s="260">
        <f t="shared" si="14"/>
        <v>72320.639999999999</v>
      </c>
      <c r="G107" s="260">
        <f t="shared" si="14"/>
        <v>0</v>
      </c>
      <c r="H107" s="260">
        <v>27207.102630000001</v>
      </c>
      <c r="I107" s="260">
        <f t="shared" si="14"/>
        <v>0</v>
      </c>
      <c r="J107" s="260">
        <f t="shared" si="14"/>
        <v>0</v>
      </c>
      <c r="K107" s="252"/>
      <c r="L107" s="252"/>
      <c r="M107" s="252"/>
      <c r="N107" s="252"/>
      <c r="O107" s="252"/>
      <c r="P107" s="252"/>
      <c r="Q107" s="252"/>
      <c r="R107" s="252"/>
      <c r="S107" s="252"/>
    </row>
    <row r="108" spans="1:19">
      <c r="A108" s="251"/>
      <c r="B108" s="281" t="s">
        <v>316</v>
      </c>
      <c r="C108" s="284">
        <f t="shared" si="13"/>
        <v>67014460.880000003</v>
      </c>
      <c r="D108" s="260">
        <f>ROUND(D8*D59/100,2)</f>
        <v>62508298.890000001</v>
      </c>
      <c r="E108" s="260">
        <f t="shared" ref="D108:J112" si="15">ROUND(E8*E59/100,2)</f>
        <v>2865449.97</v>
      </c>
      <c r="F108" s="260">
        <f t="shared" si="15"/>
        <v>84157.43</v>
      </c>
      <c r="G108" s="260">
        <f t="shared" si="15"/>
        <v>166305.81</v>
      </c>
      <c r="H108" s="260">
        <f t="shared" si="15"/>
        <v>693152.57</v>
      </c>
      <c r="I108" s="260">
        <f>ROUND(I8*I59/100,2)</f>
        <v>592891.6</v>
      </c>
      <c r="J108" s="260">
        <f>ROUND(J8*J59/100,2)</f>
        <v>104204.61</v>
      </c>
      <c r="K108" s="252"/>
      <c r="L108" s="252"/>
      <c r="M108" s="252"/>
      <c r="N108" s="252"/>
      <c r="O108" s="252"/>
      <c r="P108" s="252"/>
      <c r="Q108" s="252"/>
      <c r="R108" s="252"/>
      <c r="S108" s="252"/>
    </row>
    <row r="109" spans="1:19">
      <c r="A109" s="251"/>
      <c r="B109" s="281" t="s">
        <v>317</v>
      </c>
      <c r="C109" s="284">
        <f t="shared" si="13"/>
        <v>60433043.419999994</v>
      </c>
      <c r="D109" s="260">
        <f t="shared" si="15"/>
        <v>47114288.359999999</v>
      </c>
      <c r="E109" s="260">
        <f t="shared" si="15"/>
        <v>12090803.76</v>
      </c>
      <c r="F109" s="260">
        <f t="shared" si="15"/>
        <v>137813.72</v>
      </c>
      <c r="G109" s="260">
        <f t="shared" si="15"/>
        <v>204323.58</v>
      </c>
      <c r="H109" s="260">
        <f t="shared" si="15"/>
        <v>579303.56000000006</v>
      </c>
      <c r="I109" s="260">
        <f t="shared" si="15"/>
        <v>306510.44</v>
      </c>
      <c r="J109" s="260">
        <f t="shared" si="15"/>
        <v>0</v>
      </c>
      <c r="K109" s="252"/>
      <c r="L109" s="252"/>
      <c r="M109" s="252"/>
      <c r="N109" s="252"/>
      <c r="O109" s="252"/>
      <c r="P109" s="252"/>
      <c r="Q109" s="252"/>
      <c r="R109" s="252"/>
      <c r="S109" s="252"/>
    </row>
    <row r="110" spans="1:19">
      <c r="A110" s="251"/>
      <c r="B110" s="281" t="s">
        <v>318</v>
      </c>
      <c r="C110" s="284">
        <f t="shared" si="13"/>
        <v>24342600.629999999</v>
      </c>
      <c r="D110" s="260">
        <f t="shared" si="15"/>
        <v>0</v>
      </c>
      <c r="E110" s="260">
        <f t="shared" si="15"/>
        <v>21191021.77</v>
      </c>
      <c r="F110" s="260">
        <f t="shared" si="15"/>
        <v>2021841.24</v>
      </c>
      <c r="G110" s="260">
        <f t="shared" si="15"/>
        <v>232822.16</v>
      </c>
      <c r="H110" s="260">
        <f t="shared" si="15"/>
        <v>836341.46</v>
      </c>
      <c r="I110" s="260">
        <f t="shared" si="15"/>
        <v>60574</v>
      </c>
      <c r="J110" s="260">
        <f t="shared" si="15"/>
        <v>0</v>
      </c>
      <c r="K110" s="252"/>
      <c r="L110" s="252"/>
      <c r="M110" s="252"/>
      <c r="N110" s="252"/>
      <c r="O110" s="252"/>
      <c r="P110" s="252"/>
      <c r="Q110" s="252"/>
      <c r="R110" s="252"/>
      <c r="S110" s="252"/>
    </row>
    <row r="111" spans="1:19">
      <c r="A111" s="251"/>
      <c r="B111" s="281" t="s">
        <v>319</v>
      </c>
      <c r="C111" s="284">
        <f t="shared" si="13"/>
        <v>1733193.71</v>
      </c>
      <c r="D111" s="260">
        <f t="shared" si="15"/>
        <v>0</v>
      </c>
      <c r="E111" s="260">
        <f t="shared" si="15"/>
        <v>0</v>
      </c>
      <c r="F111" s="260">
        <f t="shared" si="15"/>
        <v>1262928.96</v>
      </c>
      <c r="G111" s="260">
        <f t="shared" si="15"/>
        <v>130367.74</v>
      </c>
      <c r="H111" s="260">
        <f t="shared" si="15"/>
        <v>187771.96</v>
      </c>
      <c r="I111" s="260">
        <f t="shared" si="15"/>
        <v>152125.04999999999</v>
      </c>
      <c r="J111" s="260">
        <f t="shared" si="15"/>
        <v>0</v>
      </c>
      <c r="K111" s="252"/>
      <c r="L111" s="252"/>
      <c r="M111" s="252"/>
      <c r="N111" s="252"/>
      <c r="O111" s="252"/>
      <c r="P111" s="252"/>
      <c r="Q111" s="252"/>
      <c r="R111" s="252"/>
      <c r="S111" s="252"/>
    </row>
    <row r="112" spans="1:19">
      <c r="A112" s="251"/>
      <c r="B112" s="281" t="s">
        <v>320</v>
      </c>
      <c r="C112" s="284">
        <f t="shared" si="13"/>
        <v>713913.55999999994</v>
      </c>
      <c r="D112" s="260">
        <f t="shared" si="15"/>
        <v>0</v>
      </c>
      <c r="E112" s="260">
        <f t="shared" si="15"/>
        <v>0</v>
      </c>
      <c r="F112" s="260">
        <f t="shared" si="15"/>
        <v>624208.76</v>
      </c>
      <c r="G112" s="260">
        <f t="shared" si="15"/>
        <v>0</v>
      </c>
      <c r="H112" s="260">
        <f t="shared" si="15"/>
        <v>25018.98</v>
      </c>
      <c r="I112" s="260">
        <f t="shared" si="15"/>
        <v>64685.82</v>
      </c>
      <c r="J112" s="260">
        <f t="shared" si="15"/>
        <v>0</v>
      </c>
      <c r="K112" s="252"/>
      <c r="L112" s="252"/>
      <c r="M112" s="252"/>
      <c r="N112" s="252"/>
      <c r="O112" s="252"/>
      <c r="P112" s="252"/>
      <c r="Q112" s="252"/>
      <c r="R112" s="252"/>
      <c r="S112" s="252"/>
    </row>
    <row r="113" spans="1:19">
      <c r="A113" s="251"/>
      <c r="B113" s="281" t="s">
        <v>348</v>
      </c>
      <c r="C113" s="284">
        <f t="shared" si="13"/>
        <v>0</v>
      </c>
      <c r="D113" s="260"/>
      <c r="E113" s="260"/>
      <c r="F113" s="260"/>
      <c r="G113" s="260"/>
      <c r="H113" s="260"/>
      <c r="I113" s="260"/>
      <c r="J113" s="285">
        <v>0</v>
      </c>
      <c r="K113" s="252"/>
      <c r="L113" s="252"/>
      <c r="M113" s="252"/>
      <c r="N113" s="252"/>
      <c r="O113" s="252"/>
      <c r="P113" s="252"/>
      <c r="Q113" s="252"/>
      <c r="R113" s="252"/>
      <c r="S113" s="252"/>
    </row>
    <row r="114" spans="1:19">
      <c r="A114" s="252"/>
      <c r="B114" s="252"/>
      <c r="C114" s="230"/>
      <c r="D114" s="230"/>
      <c r="E114" s="230"/>
      <c r="F114" s="230"/>
      <c r="G114" s="230"/>
      <c r="H114" s="231"/>
      <c r="I114" s="230"/>
      <c r="J114" s="231"/>
      <c r="K114" s="252"/>
      <c r="L114" s="252"/>
      <c r="M114" s="252"/>
      <c r="N114" s="252"/>
      <c r="O114" s="252"/>
      <c r="P114" s="252"/>
      <c r="Q114" s="252"/>
      <c r="R114" s="252"/>
      <c r="S114" s="252"/>
    </row>
    <row r="115" spans="1:19">
      <c r="A115" s="251"/>
      <c r="B115" s="252" t="s">
        <v>321</v>
      </c>
      <c r="C115" s="229">
        <f>IF(ROUND(SUM(D115:J115),3)&lt;&gt;ROUND(SUM(C106:C113),3),#VALUE!,SUM(D115:J115))</f>
        <v>173653677.82262999</v>
      </c>
      <c r="D115" s="228">
        <f t="shared" ref="D115:I115" si="16">SUM(D106:D113)</f>
        <v>125714074.25</v>
      </c>
      <c r="E115" s="228">
        <f t="shared" si="16"/>
        <v>38819142.379999995</v>
      </c>
      <c r="F115" s="228">
        <f t="shared" si="16"/>
        <v>4203270.75</v>
      </c>
      <c r="G115" s="228">
        <f t="shared" si="16"/>
        <v>733819.29</v>
      </c>
      <c r="H115" s="228">
        <f>SUM(H106:H113)</f>
        <v>2576795.6326299999</v>
      </c>
      <c r="I115" s="228">
        <f t="shared" si="16"/>
        <v>1186386.9100000001</v>
      </c>
      <c r="J115" s="228">
        <f>SUM(J106:J113)</f>
        <v>420188.61</v>
      </c>
      <c r="K115" s="252"/>
      <c r="L115" s="252"/>
      <c r="M115" s="252"/>
      <c r="N115" s="252"/>
      <c r="O115" s="252"/>
      <c r="P115" s="252"/>
      <c r="Q115" s="252"/>
      <c r="R115" s="252"/>
      <c r="S115" s="252"/>
    </row>
    <row r="116" spans="1:19">
      <c r="A116" s="252"/>
      <c r="B116" s="252" t="s">
        <v>331</v>
      </c>
      <c r="C116" s="232"/>
      <c r="D116" s="233"/>
      <c r="E116" s="233"/>
      <c r="F116" s="233"/>
      <c r="G116" s="233"/>
      <c r="H116" s="233"/>
      <c r="I116" s="233"/>
      <c r="J116" s="233"/>
      <c r="K116" s="252"/>
      <c r="L116" s="252"/>
      <c r="M116" s="252"/>
      <c r="N116" s="252"/>
      <c r="O116" s="252"/>
      <c r="P116" s="252"/>
      <c r="Q116" s="252"/>
      <c r="R116" s="252"/>
      <c r="S116" s="252"/>
    </row>
    <row r="117" spans="1:19">
      <c r="A117" s="251"/>
      <c r="B117" s="252"/>
      <c r="C117" s="282"/>
      <c r="D117" s="280"/>
      <c r="E117" s="280"/>
      <c r="F117" s="280"/>
      <c r="G117" s="280"/>
      <c r="H117" s="280"/>
      <c r="I117" s="280"/>
      <c r="J117" s="280"/>
      <c r="K117" s="252"/>
      <c r="L117" s="252"/>
      <c r="M117" s="252"/>
      <c r="N117" s="252"/>
      <c r="O117" s="252"/>
      <c r="P117" s="252"/>
      <c r="Q117" s="252"/>
      <c r="R117" s="252"/>
      <c r="S117" s="252"/>
    </row>
    <row r="118" spans="1:19">
      <c r="A118" s="251"/>
      <c r="B118" s="252" t="s">
        <v>321</v>
      </c>
      <c r="C118" s="282">
        <f>SUM(D118:J118)</f>
        <v>173653677.82262999</v>
      </c>
      <c r="D118" s="280">
        <f t="shared" ref="D118:J118" si="17">D115+D116</f>
        <v>125714074.25</v>
      </c>
      <c r="E118" s="280">
        <f t="shared" si="17"/>
        <v>38819142.379999995</v>
      </c>
      <c r="F118" s="280">
        <f t="shared" si="17"/>
        <v>4203270.75</v>
      </c>
      <c r="G118" s="280">
        <f t="shared" si="17"/>
        <v>733819.29</v>
      </c>
      <c r="H118" s="280">
        <f>H115+H116</f>
        <v>2576795.6326299999</v>
      </c>
      <c r="I118" s="280">
        <f t="shared" si="17"/>
        <v>1186386.9100000001</v>
      </c>
      <c r="J118" s="280">
        <f t="shared" si="17"/>
        <v>420188.61</v>
      </c>
      <c r="K118" s="252"/>
      <c r="L118" s="252"/>
      <c r="M118" s="252"/>
      <c r="N118" s="252"/>
      <c r="O118" s="252"/>
      <c r="P118" s="252"/>
      <c r="Q118" s="252"/>
      <c r="R118" s="252"/>
      <c r="S118" s="252"/>
    </row>
    <row r="119" spans="1:19">
      <c r="A119" s="251"/>
      <c r="B119" s="252" t="s">
        <v>349</v>
      </c>
      <c r="C119" s="234">
        <f>SUM(D119:J119)</f>
        <v>0</v>
      </c>
      <c r="D119" s="286">
        <f t="shared" ref="D119:J119" si="18">ROUND(D18*D65/100,2)</f>
        <v>0</v>
      </c>
      <c r="E119" s="286">
        <f t="shared" si="18"/>
        <v>0</v>
      </c>
      <c r="F119" s="286">
        <f t="shared" si="18"/>
        <v>0</v>
      </c>
      <c r="G119" s="286">
        <f t="shared" si="18"/>
        <v>0</v>
      </c>
      <c r="H119" s="286">
        <f t="shared" si="18"/>
        <v>0</v>
      </c>
      <c r="I119" s="286">
        <f t="shared" si="18"/>
        <v>0</v>
      </c>
      <c r="J119" s="286">
        <f t="shared" si="18"/>
        <v>0</v>
      </c>
      <c r="K119" s="252"/>
      <c r="L119" s="252"/>
      <c r="M119" s="252"/>
      <c r="N119" s="252"/>
      <c r="O119" s="252"/>
      <c r="P119" s="252"/>
      <c r="Q119" s="252"/>
      <c r="R119" s="252"/>
      <c r="S119" s="252"/>
    </row>
    <row r="120" spans="1:19">
      <c r="A120" s="251"/>
      <c r="B120" s="252"/>
      <c r="C120" s="235"/>
      <c r="D120" s="231"/>
      <c r="E120" s="231"/>
      <c r="F120" s="231"/>
      <c r="G120" s="231"/>
      <c r="H120" s="231"/>
      <c r="I120" s="231"/>
      <c r="J120" s="231"/>
      <c r="K120" s="252"/>
      <c r="L120" s="252"/>
      <c r="M120" s="252"/>
      <c r="N120" s="252"/>
      <c r="O120" s="252"/>
      <c r="P120" s="252"/>
      <c r="Q120" s="252"/>
      <c r="R120" s="252"/>
      <c r="S120" s="252"/>
    </row>
    <row r="121" spans="1:19">
      <c r="A121" s="251"/>
      <c r="B121" s="258" t="s">
        <v>350</v>
      </c>
      <c r="C121" s="282">
        <f>IF(ROUND(C118+C119,3)&lt;&gt;ROUND(SUM(D121:J121),3),#VALUE!,SUM(D121:J121))</f>
        <v>173653677.82262999</v>
      </c>
      <c r="D121" s="280">
        <f t="shared" ref="D121:J121" si="19">D118+D119</f>
        <v>125714074.25</v>
      </c>
      <c r="E121" s="280">
        <f t="shared" si="19"/>
        <v>38819142.379999995</v>
      </c>
      <c r="F121" s="280">
        <f t="shared" si="19"/>
        <v>4203270.75</v>
      </c>
      <c r="G121" s="280">
        <f t="shared" si="19"/>
        <v>733819.29</v>
      </c>
      <c r="H121" s="280">
        <f>H118+H119</f>
        <v>2576795.6326299999</v>
      </c>
      <c r="I121" s="280">
        <f t="shared" si="19"/>
        <v>1186386.9100000001</v>
      </c>
      <c r="J121" s="280">
        <f t="shared" si="19"/>
        <v>420188.61</v>
      </c>
      <c r="K121" s="252"/>
      <c r="L121" s="252"/>
      <c r="M121" s="252"/>
      <c r="N121" s="252"/>
      <c r="O121" s="252"/>
      <c r="P121" s="252"/>
      <c r="Q121" s="252"/>
      <c r="R121" s="252"/>
      <c r="S121" s="252"/>
    </row>
    <row r="122" spans="1:19">
      <c r="A122" s="251"/>
      <c r="B122" s="252"/>
      <c r="C122" s="252"/>
      <c r="D122" s="252"/>
      <c r="E122" s="252"/>
      <c r="F122" s="252"/>
      <c r="G122" s="252"/>
      <c r="H122" s="252"/>
      <c r="I122" s="252"/>
      <c r="J122" s="252"/>
      <c r="K122" s="252"/>
      <c r="L122" s="252"/>
      <c r="M122" s="252"/>
      <c r="N122" s="252"/>
      <c r="O122" s="252"/>
      <c r="P122" s="252"/>
      <c r="Q122" s="252"/>
      <c r="R122" s="252"/>
      <c r="S122" s="252"/>
    </row>
    <row r="123" spans="1:19">
      <c r="A123" s="251"/>
      <c r="B123" s="252"/>
      <c r="C123" s="252"/>
      <c r="D123" s="252"/>
      <c r="E123" s="252"/>
      <c r="F123" s="252"/>
      <c r="G123" s="252"/>
      <c r="H123" s="252"/>
      <c r="I123" s="252"/>
      <c r="J123" s="252"/>
      <c r="K123" s="252"/>
      <c r="L123" s="252"/>
      <c r="M123" s="252"/>
      <c r="N123" s="252"/>
      <c r="O123" s="252"/>
      <c r="P123" s="252"/>
      <c r="Q123" s="252"/>
      <c r="R123" s="252"/>
      <c r="S123" s="252"/>
    </row>
    <row r="124" spans="1:19">
      <c r="A124" s="251"/>
      <c r="B124" s="258" t="s">
        <v>351</v>
      </c>
      <c r="C124" s="280"/>
      <c r="D124" s="280"/>
      <c r="E124" s="280"/>
      <c r="F124" s="280"/>
      <c r="G124" s="280"/>
      <c r="H124" s="280"/>
      <c r="I124" s="280"/>
      <c r="J124" s="280"/>
      <c r="K124" s="252"/>
      <c r="L124" s="252"/>
      <c r="M124" s="252"/>
      <c r="N124" s="252"/>
      <c r="O124" s="252"/>
      <c r="P124" s="252"/>
      <c r="Q124" s="252"/>
      <c r="R124" s="252"/>
      <c r="S124" s="252"/>
    </row>
    <row r="125" spans="1:19">
      <c r="A125" s="251"/>
      <c r="B125" s="236" t="s">
        <v>352</v>
      </c>
      <c r="C125" s="280"/>
      <c r="D125" s="280"/>
      <c r="E125" s="280"/>
      <c r="F125" s="280"/>
      <c r="G125" s="287"/>
      <c r="H125" s="287"/>
      <c r="I125" s="280"/>
      <c r="J125" s="280"/>
      <c r="K125" s="252"/>
      <c r="L125" s="252"/>
      <c r="M125" s="252"/>
      <c r="N125" s="252"/>
      <c r="O125" s="252"/>
      <c r="P125" s="252"/>
      <c r="Q125" s="252"/>
      <c r="R125" s="252"/>
      <c r="S125" s="252"/>
    </row>
    <row r="126" spans="1:19">
      <c r="A126" s="288" t="s">
        <v>416</v>
      </c>
      <c r="B126" s="289" t="s">
        <v>354</v>
      </c>
      <c r="C126" s="290">
        <f>SUM(D126:J126)</f>
        <v>-413938</v>
      </c>
      <c r="D126" s="291">
        <v>-282348</v>
      </c>
      <c r="E126" s="291">
        <v>-70921</v>
      </c>
      <c r="F126" s="291">
        <v>-60669</v>
      </c>
      <c r="G126" s="291"/>
      <c r="H126" s="291"/>
      <c r="I126" s="263"/>
      <c r="J126" s="263"/>
      <c r="K126" s="263"/>
      <c r="L126" s="263"/>
      <c r="M126" s="263"/>
      <c r="N126" s="263"/>
      <c r="O126" s="263"/>
      <c r="P126" s="263"/>
      <c r="Q126" s="263"/>
      <c r="R126" s="263"/>
      <c r="S126" s="263"/>
    </row>
    <row r="127" spans="1:19">
      <c r="A127" s="251" t="s">
        <v>417</v>
      </c>
      <c r="B127" s="292" t="s">
        <v>356</v>
      </c>
      <c r="C127" s="282"/>
      <c r="D127" s="277">
        <f>D65</f>
        <v>89.065516906892114</v>
      </c>
      <c r="E127" s="277">
        <f>E65</f>
        <v>74.906880517649498</v>
      </c>
      <c r="F127" s="277">
        <f>F65</f>
        <v>70.829927420308934</v>
      </c>
      <c r="G127" s="277"/>
      <c r="H127" s="277"/>
      <c r="I127" s="277"/>
      <c r="J127" s="277"/>
      <c r="K127" s="277"/>
      <c r="L127" s="277"/>
      <c r="M127" s="277"/>
      <c r="N127" s="277"/>
      <c r="O127" s="277"/>
      <c r="P127" s="277"/>
      <c r="Q127" s="277"/>
      <c r="R127" s="277"/>
      <c r="S127" s="277"/>
    </row>
    <row r="128" spans="1:19">
      <c r="A128" s="251"/>
      <c r="B128" s="293" t="s">
        <v>357</v>
      </c>
      <c r="C128" s="294">
        <f>SUM(D128:J128)</f>
        <v>-347571.23</v>
      </c>
      <c r="D128" s="231">
        <f>ROUND(D126*D127/100,2)</f>
        <v>-251474.71</v>
      </c>
      <c r="E128" s="231">
        <f>ROUND(E126*E127/100,2)</f>
        <v>-53124.71</v>
      </c>
      <c r="F128" s="231">
        <f>ROUND(F126*F127/100,2)</f>
        <v>-42971.81</v>
      </c>
      <c r="G128" s="231"/>
      <c r="H128" s="231"/>
      <c r="I128" s="231"/>
      <c r="J128" s="231"/>
      <c r="K128" s="280"/>
      <c r="L128" s="280"/>
      <c r="M128" s="280"/>
      <c r="N128" s="280"/>
      <c r="O128" s="280"/>
      <c r="P128" s="280"/>
      <c r="Q128" s="280"/>
      <c r="R128" s="280"/>
      <c r="S128" s="280"/>
    </row>
    <row r="129" spans="1:19">
      <c r="A129" s="251"/>
      <c r="B129" s="293"/>
      <c r="C129" s="294"/>
      <c r="D129" s="280"/>
      <c r="E129" s="280"/>
      <c r="F129" s="280"/>
      <c r="G129" s="280"/>
      <c r="H129" s="280"/>
      <c r="I129" s="280"/>
      <c r="J129" s="280"/>
      <c r="K129" s="280"/>
      <c r="L129" s="280"/>
      <c r="M129" s="280"/>
      <c r="N129" s="280"/>
      <c r="O129" s="280"/>
      <c r="P129" s="280"/>
      <c r="Q129" s="280"/>
      <c r="R129" s="280"/>
      <c r="S129" s="280"/>
    </row>
    <row r="130" spans="1:19">
      <c r="A130" s="288" t="s">
        <v>353</v>
      </c>
      <c r="B130" s="289" t="s">
        <v>358</v>
      </c>
      <c r="C130" s="290">
        <f>SUM(D130:J130)</f>
        <v>0</v>
      </c>
      <c r="D130" s="295">
        <v>0</v>
      </c>
      <c r="E130" s="295">
        <v>0</v>
      </c>
      <c r="F130" s="296"/>
      <c r="G130" s="263"/>
      <c r="H130" s="263"/>
      <c r="I130" s="263"/>
      <c r="J130" s="263"/>
      <c r="K130" s="263"/>
      <c r="L130" s="263"/>
      <c r="M130" s="263"/>
      <c r="N130" s="263"/>
      <c r="O130" s="263"/>
      <c r="P130" s="263"/>
      <c r="Q130" s="263"/>
      <c r="R130" s="263"/>
      <c r="S130" s="263"/>
    </row>
    <row r="131" spans="1:19">
      <c r="A131" s="251" t="s">
        <v>355</v>
      </c>
      <c r="B131" s="292" t="s">
        <v>359</v>
      </c>
      <c r="C131" s="294"/>
      <c r="D131" s="277">
        <f>D59</f>
        <v>84.807999999999993</v>
      </c>
      <c r="E131" s="277">
        <f>I230</f>
        <v>76.500633485366365</v>
      </c>
      <c r="F131" s="297"/>
      <c r="G131" s="277"/>
      <c r="H131" s="277"/>
      <c r="I131" s="277"/>
      <c r="J131" s="277"/>
      <c r="K131" s="277"/>
      <c r="L131" s="277"/>
      <c r="M131" s="277"/>
      <c r="N131" s="277"/>
      <c r="O131" s="277"/>
      <c r="P131" s="277"/>
      <c r="Q131" s="277"/>
      <c r="R131" s="277"/>
      <c r="S131" s="277"/>
    </row>
    <row r="132" spans="1:19">
      <c r="A132" s="251"/>
      <c r="B132" s="293" t="s">
        <v>360</v>
      </c>
      <c r="C132" s="294">
        <f>SUM(D132:J132)</f>
        <v>0</v>
      </c>
      <c r="D132" s="231">
        <f>ROUND(D130*D131/100,2)</f>
        <v>0</v>
      </c>
      <c r="E132" s="231">
        <f>ROUND(E130*E131/100,2)</f>
        <v>0</v>
      </c>
      <c r="F132" s="231"/>
      <c r="G132" s="231"/>
      <c r="H132" s="231"/>
      <c r="I132" s="230"/>
      <c r="J132" s="231"/>
      <c r="K132" s="280"/>
      <c r="L132" s="280"/>
      <c r="M132" s="280"/>
      <c r="N132" s="280"/>
      <c r="O132" s="280"/>
      <c r="P132" s="280"/>
      <c r="Q132" s="280"/>
      <c r="R132" s="280"/>
      <c r="S132" s="280"/>
    </row>
    <row r="133" spans="1:19">
      <c r="A133" s="251"/>
      <c r="B133" s="293"/>
      <c r="C133" s="294"/>
      <c r="D133" s="280"/>
      <c r="E133" s="280"/>
      <c r="F133" s="280"/>
      <c r="G133" s="280"/>
      <c r="H133" s="280"/>
      <c r="I133" s="252"/>
      <c r="J133" s="280"/>
      <c r="K133" s="280"/>
      <c r="L133" s="280"/>
      <c r="M133" s="280"/>
      <c r="N133" s="280"/>
      <c r="O133" s="280"/>
      <c r="P133" s="280"/>
      <c r="Q133" s="280"/>
      <c r="R133" s="280"/>
      <c r="S133" s="280"/>
    </row>
    <row r="134" spans="1:19">
      <c r="A134" s="251"/>
      <c r="B134" s="289" t="s">
        <v>361</v>
      </c>
      <c r="C134" s="290">
        <f>IF(ROUND(SUM(D134:J134),3)&lt;&gt;ROUND(C126+C130,3),#VALUE!,SUM(D134:J134))</f>
        <v>-413938</v>
      </c>
      <c r="D134" s="290">
        <f>D126+D130</f>
        <v>-282348</v>
      </c>
      <c r="E134" s="290">
        <f>E126+E130</f>
        <v>-70921</v>
      </c>
      <c r="F134" s="286">
        <f>F126+F130</f>
        <v>-60669</v>
      </c>
      <c r="G134" s="286"/>
      <c r="H134" s="286"/>
      <c r="I134" s="286"/>
      <c r="J134" s="286"/>
      <c r="K134" s="263"/>
      <c r="L134" s="263"/>
      <c r="M134" s="263"/>
      <c r="N134" s="263"/>
      <c r="O134" s="263"/>
      <c r="P134" s="263"/>
      <c r="Q134" s="263"/>
      <c r="R134" s="263"/>
      <c r="S134" s="263"/>
    </row>
    <row r="135" spans="1:19">
      <c r="A135" s="251"/>
      <c r="B135" s="293" t="s">
        <v>362</v>
      </c>
      <c r="C135" s="294">
        <f>IF(ROUND(SUM(D135:J135),3)&lt;&gt;ROUND(C128+C132,3),#VALUE!,SUM(D135:J135))</f>
        <v>-347571.23</v>
      </c>
      <c r="D135" s="280">
        <f>D128+D132</f>
        <v>-251474.71</v>
      </c>
      <c r="E135" s="280">
        <f>E128+E132</f>
        <v>-53124.71</v>
      </c>
      <c r="F135" s="280">
        <f>F128+F132</f>
        <v>-42971.81</v>
      </c>
      <c r="G135" s="280"/>
      <c r="H135" s="280"/>
      <c r="I135" s="280"/>
      <c r="J135" s="280"/>
      <c r="K135" s="280"/>
      <c r="L135" s="280"/>
      <c r="M135" s="280"/>
      <c r="N135" s="280"/>
      <c r="O135" s="280"/>
      <c r="P135" s="280"/>
      <c r="Q135" s="280"/>
      <c r="R135" s="280"/>
      <c r="S135" s="280"/>
    </row>
    <row r="136" spans="1:19">
      <c r="A136" s="251"/>
      <c r="B136" s="236" t="s">
        <v>363</v>
      </c>
      <c r="C136" s="294"/>
      <c r="D136" s="280"/>
      <c r="E136" s="280"/>
      <c r="F136" s="280"/>
      <c r="G136" s="280"/>
      <c r="H136" s="280"/>
      <c r="I136" s="280"/>
      <c r="J136" s="280"/>
      <c r="K136" s="252"/>
      <c r="L136" s="252"/>
      <c r="M136" s="252"/>
      <c r="N136" s="252"/>
      <c r="O136" s="252"/>
      <c r="P136" s="252"/>
      <c r="Q136" s="252"/>
      <c r="R136" s="252"/>
      <c r="S136" s="252"/>
    </row>
    <row r="137" spans="1:19">
      <c r="A137" s="288" t="s">
        <v>418</v>
      </c>
      <c r="B137" s="289" t="s">
        <v>358</v>
      </c>
      <c r="C137" s="290">
        <f>SUM(D137:J137)</f>
        <v>-2761469</v>
      </c>
      <c r="D137" s="298">
        <v>-2076886</v>
      </c>
      <c r="E137" s="298">
        <v>-648079</v>
      </c>
      <c r="F137" s="298">
        <v>-36504</v>
      </c>
      <c r="G137" s="299"/>
      <c r="H137" s="286"/>
      <c r="I137" s="263"/>
      <c r="J137" s="263"/>
      <c r="K137" s="263"/>
      <c r="L137" s="263"/>
      <c r="M137" s="263"/>
      <c r="N137" s="263"/>
      <c r="O137" s="263"/>
      <c r="P137" s="263"/>
      <c r="Q137" s="263"/>
      <c r="R137" s="263"/>
      <c r="S137" s="263"/>
    </row>
    <row r="138" spans="1:19">
      <c r="A138" s="251" t="s">
        <v>417</v>
      </c>
      <c r="B138" s="292" t="s">
        <v>359</v>
      </c>
      <c r="C138" s="294"/>
      <c r="D138" s="277">
        <f>I208</f>
        <v>90.152423158940337</v>
      </c>
      <c r="E138" s="277">
        <f>I230</f>
        <v>76.500633485366365</v>
      </c>
      <c r="F138" s="297">
        <f>I258</f>
        <v>65.629232242803397</v>
      </c>
      <c r="G138" s="277"/>
      <c r="H138" s="277"/>
      <c r="I138" s="277"/>
      <c r="J138" s="277"/>
      <c r="K138" s="277"/>
      <c r="L138" s="277"/>
      <c r="M138" s="277"/>
      <c r="N138" s="277"/>
      <c r="O138" s="277"/>
      <c r="P138" s="277"/>
      <c r="Q138" s="277"/>
      <c r="R138" s="277"/>
      <c r="S138" s="277"/>
    </row>
    <row r="139" spans="1:19">
      <c r="A139" s="251"/>
      <c r="B139" s="293" t="s">
        <v>360</v>
      </c>
      <c r="C139" s="294">
        <f>SUM(D139:J139)</f>
        <v>-2392104.89</v>
      </c>
      <c r="D139" s="231">
        <f>ROUND(D137*D138/100,2)</f>
        <v>-1872363.06</v>
      </c>
      <c r="E139" s="231">
        <f>ROUND(E137*E138/100,2)</f>
        <v>-495784.54</v>
      </c>
      <c r="F139" s="231">
        <f>ROUND(F137*F138/100,2)</f>
        <v>-23957.29</v>
      </c>
      <c r="G139" s="231"/>
      <c r="H139" s="231"/>
      <c r="I139" s="231"/>
      <c r="J139" s="231"/>
      <c r="K139" s="280"/>
      <c r="L139" s="280"/>
      <c r="M139" s="280"/>
      <c r="N139" s="280"/>
      <c r="O139" s="280"/>
      <c r="P139" s="280"/>
      <c r="Q139" s="280"/>
      <c r="R139" s="280"/>
      <c r="S139" s="280"/>
    </row>
    <row r="140" spans="1:19">
      <c r="A140" s="251"/>
      <c r="B140" s="293" t="s">
        <v>364</v>
      </c>
      <c r="C140" s="237"/>
      <c r="D140" s="238"/>
      <c r="E140" s="238"/>
      <c r="F140" s="238"/>
      <c r="G140" s="238"/>
      <c r="H140" s="238"/>
      <c r="I140" s="238"/>
      <c r="J140" s="238"/>
      <c r="K140" s="280"/>
      <c r="L140" s="280"/>
      <c r="M140" s="280"/>
      <c r="N140" s="280"/>
      <c r="O140" s="280"/>
      <c r="P140" s="280"/>
      <c r="Q140" s="280"/>
      <c r="R140" s="280"/>
      <c r="S140" s="280"/>
    </row>
    <row r="141" spans="1:19">
      <c r="A141" s="251"/>
      <c r="B141" s="252"/>
      <c r="C141" s="294"/>
      <c r="D141" s="280"/>
      <c r="E141" s="280"/>
      <c r="F141" s="280"/>
      <c r="G141" s="280"/>
      <c r="H141" s="280"/>
      <c r="I141" s="280"/>
      <c r="J141" s="280"/>
      <c r="K141" s="252"/>
      <c r="L141" s="252"/>
      <c r="M141" s="252"/>
      <c r="N141" s="252"/>
      <c r="O141" s="252"/>
      <c r="P141" s="252"/>
      <c r="Q141" s="252"/>
      <c r="R141" s="252"/>
      <c r="S141" s="252"/>
    </row>
    <row r="142" spans="1:19">
      <c r="A142" s="251"/>
      <c r="B142" s="252" t="s">
        <v>365</v>
      </c>
      <c r="C142" s="294">
        <f>IF(ROUND(SUM(D142:J142),3)&lt;&gt;ROUND(C135+C139+C140,3),#VALUE!,SUM(D142:J142))</f>
        <v>-2739676.12</v>
      </c>
      <c r="D142" s="280">
        <f>D135+D139+D140</f>
        <v>-2123837.77</v>
      </c>
      <c r="E142" s="280">
        <f t="shared" ref="E142:J142" si="20">E135+E139+E140</f>
        <v>-548909.25</v>
      </c>
      <c r="F142" s="280">
        <f>F135+F139+F140</f>
        <v>-66929.100000000006</v>
      </c>
      <c r="G142" s="280">
        <f t="shared" si="20"/>
        <v>0</v>
      </c>
      <c r="H142" s="280">
        <f t="shared" si="20"/>
        <v>0</v>
      </c>
      <c r="I142" s="280">
        <f t="shared" si="20"/>
        <v>0</v>
      </c>
      <c r="J142" s="280">
        <f t="shared" si="20"/>
        <v>0</v>
      </c>
      <c r="K142" s="252"/>
      <c r="L142" s="252"/>
      <c r="M142" s="252"/>
      <c r="N142" s="252"/>
      <c r="O142" s="252"/>
      <c r="P142" s="252"/>
      <c r="Q142" s="252"/>
      <c r="R142" s="252"/>
      <c r="S142" s="252"/>
    </row>
    <row r="143" spans="1:19">
      <c r="A143" s="251"/>
      <c r="B143" s="252" t="s">
        <v>350</v>
      </c>
      <c r="C143" s="232">
        <f>SUM(D143:J143)</f>
        <v>173653677.82262999</v>
      </c>
      <c r="D143" s="233">
        <f t="shared" ref="D143:J143" si="21">D121</f>
        <v>125714074.25</v>
      </c>
      <c r="E143" s="233">
        <f t="shared" si="21"/>
        <v>38819142.379999995</v>
      </c>
      <c r="F143" s="233">
        <f t="shared" si="21"/>
        <v>4203270.75</v>
      </c>
      <c r="G143" s="233">
        <f t="shared" si="21"/>
        <v>733819.29</v>
      </c>
      <c r="H143" s="233">
        <f>H121</f>
        <v>2576795.6326299999</v>
      </c>
      <c r="I143" s="233">
        <f t="shared" si="21"/>
        <v>1186386.9100000001</v>
      </c>
      <c r="J143" s="233">
        <f t="shared" si="21"/>
        <v>420188.61</v>
      </c>
      <c r="K143" s="252"/>
      <c r="L143" s="252"/>
      <c r="M143" s="252"/>
      <c r="N143" s="252"/>
      <c r="O143" s="252"/>
      <c r="P143" s="252"/>
      <c r="Q143" s="252"/>
      <c r="R143" s="252"/>
      <c r="S143" s="252"/>
    </row>
    <row r="144" spans="1:19">
      <c r="A144" s="251"/>
      <c r="B144" s="252"/>
      <c r="C144" s="282"/>
      <c r="D144" s="280"/>
      <c r="E144" s="280"/>
      <c r="F144" s="280"/>
      <c r="G144" s="280"/>
      <c r="H144" s="280"/>
      <c r="I144" s="280"/>
      <c r="J144" s="280"/>
      <c r="K144" s="252"/>
      <c r="L144" s="252"/>
      <c r="M144" s="252"/>
      <c r="N144" s="252"/>
      <c r="O144" s="252"/>
      <c r="P144" s="252"/>
      <c r="Q144" s="252"/>
      <c r="R144" s="252"/>
      <c r="S144" s="252"/>
    </row>
    <row r="145" spans="1:19">
      <c r="A145" s="251"/>
      <c r="B145" s="252" t="s">
        <v>366</v>
      </c>
      <c r="C145" s="282">
        <f>IF(ROUND(SUM(D145:J145),3)&lt;&gt;ROUND(C142+C143,3),#VALUE!,SUM(D145:J145))</f>
        <v>170914001.70263001</v>
      </c>
      <c r="D145" s="280">
        <f t="shared" ref="D145:J145" si="22">D142+D143</f>
        <v>123590236.48</v>
      </c>
      <c r="E145" s="280">
        <f t="shared" si="22"/>
        <v>38270233.129999995</v>
      </c>
      <c r="F145" s="280">
        <f>F142+F143</f>
        <v>4136341.65</v>
      </c>
      <c r="G145" s="280">
        <f t="shared" si="22"/>
        <v>733819.29</v>
      </c>
      <c r="H145" s="280">
        <f>H142+H143</f>
        <v>2576795.6326299999</v>
      </c>
      <c r="I145" s="280">
        <f t="shared" si="22"/>
        <v>1186386.9100000001</v>
      </c>
      <c r="J145" s="280">
        <f t="shared" si="22"/>
        <v>420188.61</v>
      </c>
      <c r="K145" s="252"/>
      <c r="L145" s="252"/>
      <c r="M145" s="252"/>
      <c r="N145" s="252"/>
      <c r="O145" s="252"/>
      <c r="P145" s="252"/>
      <c r="Q145" s="252"/>
      <c r="R145" s="252"/>
      <c r="S145" s="252"/>
    </row>
    <row r="146" spans="1:19">
      <c r="A146" s="251"/>
      <c r="B146" s="252"/>
      <c r="C146" s="282"/>
      <c r="D146" s="280"/>
      <c r="E146" s="280"/>
      <c r="F146" s="280"/>
      <c r="G146" s="280"/>
      <c r="H146" s="280"/>
      <c r="I146" s="280"/>
      <c r="J146" s="280"/>
      <c r="K146" s="252"/>
      <c r="L146" s="252"/>
      <c r="M146" s="252"/>
      <c r="N146" s="252"/>
      <c r="O146" s="252"/>
      <c r="P146" s="252"/>
      <c r="Q146" s="252"/>
      <c r="R146" s="252"/>
      <c r="S146" s="252"/>
    </row>
    <row r="147" spans="1:19">
      <c r="A147" s="251"/>
      <c r="B147" s="252"/>
      <c r="C147" s="282"/>
      <c r="D147" s="280"/>
      <c r="E147" s="280"/>
      <c r="F147" s="280"/>
      <c r="G147" s="280"/>
      <c r="H147" s="280"/>
      <c r="I147" s="280"/>
      <c r="J147" s="280"/>
      <c r="K147" s="252"/>
      <c r="L147" s="252"/>
      <c r="M147" s="252"/>
      <c r="N147" s="252"/>
      <c r="O147" s="252"/>
      <c r="P147" s="252"/>
      <c r="Q147" s="252"/>
      <c r="R147" s="252"/>
      <c r="S147" s="252"/>
    </row>
    <row r="148" spans="1:19">
      <c r="A148" s="251"/>
      <c r="B148" s="253"/>
      <c r="C148" s="280"/>
      <c r="D148" s="280"/>
      <c r="E148" s="280"/>
      <c r="F148" s="280"/>
      <c r="G148" s="280"/>
      <c r="H148" s="280"/>
      <c r="I148" s="280"/>
      <c r="J148" s="280"/>
      <c r="K148" s="253"/>
      <c r="L148" s="253"/>
      <c r="M148" s="253"/>
      <c r="N148" s="253"/>
      <c r="O148" s="253"/>
      <c r="P148" s="253"/>
      <c r="Q148" s="253"/>
      <c r="R148" s="253"/>
      <c r="S148" s="253"/>
    </row>
    <row r="149" spans="1:19">
      <c r="A149" s="251"/>
      <c r="B149" s="253"/>
      <c r="C149" s="280"/>
      <c r="D149" s="280"/>
      <c r="E149" s="280"/>
      <c r="F149" s="280"/>
      <c r="G149" s="280"/>
      <c r="H149" s="280"/>
      <c r="I149" s="280"/>
      <c r="J149" s="253" t="s">
        <v>296</v>
      </c>
      <c r="K149" s="253"/>
      <c r="L149" s="253"/>
      <c r="M149" s="253"/>
      <c r="N149" s="253"/>
      <c r="O149" s="253"/>
      <c r="P149" s="253"/>
      <c r="Q149" s="253"/>
      <c r="R149" s="253"/>
      <c r="S149" s="253"/>
    </row>
    <row r="150" spans="1:19">
      <c r="A150" s="251"/>
      <c r="B150" s="253"/>
      <c r="C150" s="280"/>
      <c r="D150" s="280"/>
      <c r="E150" s="280"/>
      <c r="F150" s="280"/>
      <c r="G150" s="280"/>
      <c r="H150" s="280"/>
      <c r="I150" s="280"/>
      <c r="J150" s="220" t="s">
        <v>297</v>
      </c>
      <c r="K150" s="253"/>
      <c r="L150" s="253"/>
      <c r="M150" s="253"/>
      <c r="N150" s="253"/>
      <c r="O150" s="253"/>
      <c r="P150" s="253"/>
      <c r="Q150" s="253"/>
      <c r="R150" s="253"/>
      <c r="S150" s="253"/>
    </row>
    <row r="151" spans="1:19">
      <c r="A151" s="254" t="s">
        <v>298</v>
      </c>
      <c r="B151" s="253"/>
      <c r="C151" s="253" t="s">
        <v>299</v>
      </c>
      <c r="D151" s="253" t="s">
        <v>300</v>
      </c>
      <c r="E151" s="253" t="s">
        <v>301</v>
      </c>
      <c r="F151" s="253" t="s">
        <v>302</v>
      </c>
      <c r="G151" s="253" t="s">
        <v>303</v>
      </c>
      <c r="H151" s="253" t="s">
        <v>296</v>
      </c>
      <c r="I151" s="253" t="s">
        <v>296</v>
      </c>
      <c r="J151" s="253" t="s">
        <v>304</v>
      </c>
      <c r="K151" s="253"/>
      <c r="L151" s="253"/>
      <c r="M151" s="253"/>
      <c r="N151" s="253"/>
      <c r="O151" s="253"/>
      <c r="P151" s="253"/>
      <c r="Q151" s="253"/>
      <c r="R151" s="253"/>
      <c r="S151" s="253"/>
    </row>
    <row r="152" spans="1:19">
      <c r="A152" s="254" t="s">
        <v>305</v>
      </c>
      <c r="B152" s="221"/>
      <c r="C152" s="221" t="s">
        <v>306</v>
      </c>
      <c r="D152" s="221" t="s">
        <v>307</v>
      </c>
      <c r="E152" s="221" t="s">
        <v>332</v>
      </c>
      <c r="F152" s="221" t="s">
        <v>333</v>
      </c>
      <c r="G152" s="221" t="s">
        <v>334</v>
      </c>
      <c r="H152" s="221" t="s">
        <v>311</v>
      </c>
      <c r="I152" s="221" t="s">
        <v>312</v>
      </c>
      <c r="J152" s="221" t="s">
        <v>313</v>
      </c>
      <c r="K152" s="253"/>
      <c r="L152" s="253"/>
      <c r="M152" s="253"/>
      <c r="N152" s="253"/>
      <c r="O152" s="253"/>
      <c r="P152" s="253"/>
      <c r="Q152" s="253"/>
      <c r="R152" s="253"/>
      <c r="S152" s="253"/>
    </row>
    <row r="153" spans="1:19">
      <c r="A153" s="251"/>
      <c r="B153" s="222" t="s">
        <v>367</v>
      </c>
      <c r="C153" s="280"/>
      <c r="D153" s="280"/>
      <c r="E153" s="280"/>
      <c r="F153" s="280"/>
      <c r="G153" s="280"/>
      <c r="H153" s="280"/>
      <c r="I153" s="280"/>
      <c r="J153" s="280"/>
      <c r="K153" s="252"/>
      <c r="L153" s="252"/>
      <c r="M153" s="252"/>
      <c r="N153" s="252"/>
      <c r="O153" s="252"/>
      <c r="P153" s="252"/>
      <c r="Q153" s="252"/>
      <c r="R153" s="252"/>
      <c r="S153" s="252"/>
    </row>
    <row r="154" spans="1:19">
      <c r="A154" s="251"/>
      <c r="B154" s="252" t="s">
        <v>347</v>
      </c>
      <c r="C154" s="280"/>
      <c r="D154" s="280"/>
      <c r="E154" s="280"/>
      <c r="F154" s="280"/>
      <c r="G154" s="280"/>
      <c r="H154" s="280"/>
      <c r="I154" s="280"/>
      <c r="J154" s="280"/>
      <c r="K154" s="252"/>
      <c r="L154" s="252"/>
      <c r="M154" s="252"/>
      <c r="N154" s="252"/>
      <c r="O154" s="252"/>
      <c r="P154" s="252"/>
      <c r="Q154" s="252"/>
      <c r="R154" s="252"/>
      <c r="S154" s="252"/>
    </row>
    <row r="155" spans="1:19">
      <c r="A155" s="251"/>
      <c r="B155" s="281" t="s">
        <v>336</v>
      </c>
      <c r="C155" s="282">
        <f t="shared" ref="C155:C162" si="23">SUM(D155:J155)</f>
        <v>16645071</v>
      </c>
      <c r="D155" s="283">
        <f>D48*D74</f>
        <v>16091487</v>
      </c>
      <c r="E155" s="283">
        <f t="shared" ref="E155:J156" si="24">E48*E74</f>
        <v>0</v>
      </c>
      <c r="F155" s="283">
        <f t="shared" si="24"/>
        <v>0</v>
      </c>
      <c r="G155" s="283">
        <f t="shared" si="24"/>
        <v>0</v>
      </c>
      <c r="H155" s="283">
        <f t="shared" si="24"/>
        <v>228000</v>
      </c>
      <c r="I155" s="283">
        <f t="shared" si="24"/>
        <v>9600</v>
      </c>
      <c r="J155" s="283">
        <f t="shared" si="24"/>
        <v>315984</v>
      </c>
      <c r="K155" s="252"/>
      <c r="L155" s="252"/>
      <c r="M155" s="252"/>
      <c r="N155" s="252"/>
      <c r="O155" s="252"/>
      <c r="P155" s="252"/>
      <c r="Q155" s="252"/>
      <c r="R155" s="252"/>
      <c r="S155" s="252"/>
    </row>
    <row r="156" spans="1:19">
      <c r="A156" s="251"/>
      <c r="B156" s="281" t="s">
        <v>410</v>
      </c>
      <c r="C156" s="284">
        <f t="shared" si="23"/>
        <v>2771394.6226299964</v>
      </c>
      <c r="D156" s="260">
        <f>D49*D75</f>
        <v>0</v>
      </c>
      <c r="E156" s="260">
        <f t="shared" si="24"/>
        <v>2671866.8799999962</v>
      </c>
      <c r="F156" s="260">
        <f t="shared" si="24"/>
        <v>72320.639999999999</v>
      </c>
      <c r="G156" s="260">
        <f t="shared" si="24"/>
        <v>0</v>
      </c>
      <c r="H156" s="260">
        <v>27207.102630000001</v>
      </c>
      <c r="I156" s="260">
        <f t="shared" si="24"/>
        <v>0</v>
      </c>
      <c r="J156" s="260">
        <f t="shared" si="24"/>
        <v>0</v>
      </c>
      <c r="K156" s="252"/>
      <c r="L156" s="252"/>
      <c r="M156" s="252"/>
      <c r="N156" s="252"/>
      <c r="O156" s="252"/>
      <c r="P156" s="252"/>
      <c r="Q156" s="252"/>
      <c r="R156" s="252"/>
      <c r="S156" s="252"/>
    </row>
    <row r="157" spans="1:19">
      <c r="A157" s="251"/>
      <c r="B157" s="281" t="s">
        <v>316</v>
      </c>
      <c r="C157" s="284">
        <f t="shared" si="23"/>
        <v>67014460.880000003</v>
      </c>
      <c r="D157" s="260">
        <f>ROUND(D31*D77/100,2)</f>
        <v>62508298.890000001</v>
      </c>
      <c r="E157" s="260">
        <f t="shared" ref="E157:J157" si="25">ROUND(E31*E77/100,2)</f>
        <v>2865449.97</v>
      </c>
      <c r="F157" s="260">
        <f t="shared" si="25"/>
        <v>84157.43</v>
      </c>
      <c r="G157" s="260">
        <f t="shared" si="25"/>
        <v>166305.81</v>
      </c>
      <c r="H157" s="260">
        <f t="shared" si="25"/>
        <v>693152.57</v>
      </c>
      <c r="I157" s="260">
        <f t="shared" si="25"/>
        <v>592891.6</v>
      </c>
      <c r="J157" s="260">
        <f t="shared" si="25"/>
        <v>104204.61</v>
      </c>
      <c r="K157" s="252"/>
      <c r="L157" s="252"/>
      <c r="M157" s="252"/>
      <c r="N157" s="252"/>
      <c r="O157" s="252"/>
      <c r="P157" s="252"/>
      <c r="Q157" s="252"/>
      <c r="R157" s="252"/>
      <c r="S157" s="252"/>
    </row>
    <row r="158" spans="1:19">
      <c r="A158" s="251"/>
      <c r="B158" s="281" t="s">
        <v>317</v>
      </c>
      <c r="C158" s="284">
        <f t="shared" si="23"/>
        <v>60433043.419999994</v>
      </c>
      <c r="D158" s="260">
        <f t="shared" ref="D158:J161" si="26">ROUND(D32*D78/100,2)</f>
        <v>47114288.359999999</v>
      </c>
      <c r="E158" s="260">
        <f t="shared" si="26"/>
        <v>12090803.76</v>
      </c>
      <c r="F158" s="260">
        <f t="shared" si="26"/>
        <v>137813.72</v>
      </c>
      <c r="G158" s="260">
        <f t="shared" si="26"/>
        <v>204323.58</v>
      </c>
      <c r="H158" s="260">
        <f t="shared" si="26"/>
        <v>579303.56000000006</v>
      </c>
      <c r="I158" s="260">
        <f t="shared" si="26"/>
        <v>306510.44</v>
      </c>
      <c r="J158" s="260">
        <f t="shared" si="26"/>
        <v>0</v>
      </c>
      <c r="K158" s="252"/>
      <c r="L158" s="252"/>
      <c r="M158" s="252"/>
      <c r="N158" s="252"/>
      <c r="O158" s="252"/>
      <c r="P158" s="252"/>
      <c r="Q158" s="252"/>
      <c r="R158" s="252"/>
      <c r="S158" s="252"/>
    </row>
    <row r="159" spans="1:19">
      <c r="A159" s="251"/>
      <c r="B159" s="281" t="s">
        <v>318</v>
      </c>
      <c r="C159" s="284">
        <f t="shared" si="23"/>
        <v>24342600.629999999</v>
      </c>
      <c r="D159" s="260">
        <f t="shared" si="26"/>
        <v>0</v>
      </c>
      <c r="E159" s="260">
        <f t="shared" si="26"/>
        <v>21191021.77</v>
      </c>
      <c r="F159" s="260">
        <f t="shared" si="26"/>
        <v>2021841.24</v>
      </c>
      <c r="G159" s="260">
        <f t="shared" si="26"/>
        <v>232822.16</v>
      </c>
      <c r="H159" s="260">
        <f t="shared" si="26"/>
        <v>836341.46</v>
      </c>
      <c r="I159" s="260">
        <f t="shared" si="26"/>
        <v>60574</v>
      </c>
      <c r="J159" s="260">
        <f t="shared" si="26"/>
        <v>0</v>
      </c>
      <c r="K159" s="252"/>
      <c r="L159" s="252"/>
      <c r="M159" s="252"/>
      <c r="N159" s="252"/>
      <c r="O159" s="252"/>
      <c r="P159" s="252"/>
      <c r="Q159" s="252"/>
      <c r="R159" s="252"/>
      <c r="S159" s="252"/>
    </row>
    <row r="160" spans="1:19">
      <c r="A160" s="251"/>
      <c r="B160" s="281" t="s">
        <v>319</v>
      </c>
      <c r="C160" s="284">
        <f t="shared" si="23"/>
        <v>1733193.71</v>
      </c>
      <c r="D160" s="260">
        <f t="shared" si="26"/>
        <v>0</v>
      </c>
      <c r="E160" s="260">
        <f t="shared" si="26"/>
        <v>0</v>
      </c>
      <c r="F160" s="260">
        <f t="shared" si="26"/>
        <v>1262928.96</v>
      </c>
      <c r="G160" s="260">
        <f t="shared" si="26"/>
        <v>130367.74</v>
      </c>
      <c r="H160" s="260">
        <f t="shared" si="26"/>
        <v>187771.96</v>
      </c>
      <c r="I160" s="260">
        <f t="shared" si="26"/>
        <v>152125.04999999999</v>
      </c>
      <c r="J160" s="260">
        <f t="shared" si="26"/>
        <v>0</v>
      </c>
      <c r="K160" s="252"/>
      <c r="L160" s="252"/>
      <c r="M160" s="252"/>
      <c r="N160" s="252"/>
      <c r="O160" s="252"/>
      <c r="P160" s="252"/>
      <c r="Q160" s="252"/>
      <c r="R160" s="252"/>
      <c r="S160" s="252"/>
    </row>
    <row r="161" spans="1:19">
      <c r="A161" s="251"/>
      <c r="B161" s="281" t="s">
        <v>320</v>
      </c>
      <c r="C161" s="284">
        <f t="shared" si="23"/>
        <v>713913.55999999994</v>
      </c>
      <c r="D161" s="260">
        <f t="shared" si="26"/>
        <v>0</v>
      </c>
      <c r="E161" s="260">
        <f t="shared" si="26"/>
        <v>0</v>
      </c>
      <c r="F161" s="260">
        <f t="shared" si="26"/>
        <v>624208.76</v>
      </c>
      <c r="G161" s="260">
        <f t="shared" si="26"/>
        <v>0</v>
      </c>
      <c r="H161" s="260">
        <f t="shared" si="26"/>
        <v>25018.98</v>
      </c>
      <c r="I161" s="260">
        <f t="shared" si="26"/>
        <v>64685.82</v>
      </c>
      <c r="J161" s="260">
        <f t="shared" si="26"/>
        <v>0</v>
      </c>
      <c r="K161" s="252"/>
      <c r="L161" s="252"/>
      <c r="M161" s="252"/>
      <c r="N161" s="252"/>
      <c r="O161" s="252"/>
      <c r="P161" s="252"/>
      <c r="Q161" s="252"/>
      <c r="R161" s="252"/>
      <c r="S161" s="252"/>
    </row>
    <row r="162" spans="1:19">
      <c r="A162" s="251"/>
      <c r="B162" s="281" t="s">
        <v>348</v>
      </c>
      <c r="C162" s="284">
        <f t="shared" si="23"/>
        <v>0</v>
      </c>
      <c r="D162" s="260"/>
      <c r="E162" s="260"/>
      <c r="F162" s="260"/>
      <c r="G162" s="260"/>
      <c r="H162" s="260"/>
      <c r="I162" s="260"/>
      <c r="J162" s="285">
        <v>0</v>
      </c>
      <c r="K162" s="252"/>
      <c r="L162" s="252"/>
      <c r="M162" s="252"/>
      <c r="N162" s="252"/>
      <c r="O162" s="252"/>
      <c r="P162" s="252"/>
      <c r="Q162" s="252"/>
      <c r="R162" s="252"/>
      <c r="S162" s="252"/>
    </row>
    <row r="163" spans="1:19">
      <c r="A163" s="252"/>
      <c r="B163" s="252"/>
      <c r="C163" s="235"/>
      <c r="D163" s="230"/>
      <c r="E163" s="230"/>
      <c r="F163" s="230"/>
      <c r="G163" s="230"/>
      <c r="H163" s="230"/>
      <c r="I163" s="230"/>
      <c r="J163" s="230"/>
      <c r="K163" s="252"/>
      <c r="L163" s="252"/>
      <c r="M163" s="252"/>
      <c r="N163" s="252"/>
      <c r="O163" s="252"/>
      <c r="P163" s="252"/>
      <c r="Q163" s="252"/>
      <c r="R163" s="252"/>
      <c r="S163" s="252"/>
    </row>
    <row r="164" spans="1:19">
      <c r="A164" s="251"/>
      <c r="B164" s="252" t="s">
        <v>321</v>
      </c>
      <c r="C164" s="282">
        <f>IF(ROUND(SUM(D164:J164),3)&lt;&gt;ROUND(SUM(C155:C162),3),#VALUE!,SUM(D164:J164))</f>
        <v>173653677.82262999</v>
      </c>
      <c r="D164" s="280">
        <f t="shared" ref="D164:J164" si="27">SUM(D155:D163)</f>
        <v>125714074.25</v>
      </c>
      <c r="E164" s="280">
        <f t="shared" si="27"/>
        <v>38819142.379999995</v>
      </c>
      <c r="F164" s="280">
        <f t="shared" si="27"/>
        <v>4203270.75</v>
      </c>
      <c r="G164" s="280">
        <f t="shared" si="27"/>
        <v>733819.29</v>
      </c>
      <c r="H164" s="280">
        <f>SUM(H155:H163)</f>
        <v>2576795.6326299999</v>
      </c>
      <c r="I164" s="280">
        <f t="shared" si="27"/>
        <v>1186386.9100000001</v>
      </c>
      <c r="J164" s="280">
        <f t="shared" si="27"/>
        <v>420188.61</v>
      </c>
      <c r="K164" s="252"/>
      <c r="L164" s="252"/>
      <c r="M164" s="252"/>
      <c r="N164" s="252"/>
      <c r="O164" s="252"/>
      <c r="P164" s="252"/>
      <c r="Q164" s="252"/>
      <c r="R164" s="252"/>
      <c r="S164" s="252"/>
    </row>
    <row r="165" spans="1:19">
      <c r="A165" s="252"/>
      <c r="B165" s="252" t="s">
        <v>331</v>
      </c>
      <c r="C165" s="232"/>
      <c r="D165" s="233"/>
      <c r="E165" s="233"/>
      <c r="F165" s="233"/>
      <c r="G165" s="233"/>
      <c r="H165" s="233"/>
      <c r="I165" s="233"/>
      <c r="J165" s="233"/>
      <c r="K165" s="252"/>
      <c r="L165" s="252"/>
      <c r="M165" s="252"/>
      <c r="N165" s="252"/>
      <c r="O165" s="252"/>
      <c r="P165" s="252"/>
      <c r="Q165" s="252"/>
      <c r="R165" s="252"/>
      <c r="S165" s="252"/>
    </row>
    <row r="166" spans="1:19">
      <c r="A166" s="251"/>
      <c r="B166" s="252"/>
      <c r="C166" s="282"/>
      <c r="D166" s="280"/>
      <c r="E166" s="280"/>
      <c r="F166" s="280"/>
      <c r="G166" s="280"/>
      <c r="H166" s="280"/>
      <c r="I166" s="280"/>
      <c r="J166" s="280"/>
      <c r="K166" s="252"/>
      <c r="L166" s="252"/>
      <c r="M166" s="252"/>
      <c r="N166" s="252"/>
      <c r="O166" s="252"/>
      <c r="P166" s="252"/>
      <c r="Q166" s="252"/>
      <c r="R166" s="252"/>
      <c r="S166" s="252"/>
    </row>
    <row r="167" spans="1:19">
      <c r="A167" s="251"/>
      <c r="B167" s="252" t="s">
        <v>321</v>
      </c>
      <c r="C167" s="282">
        <f>SUM(D167:J167)</f>
        <v>173653677.82262999</v>
      </c>
      <c r="D167" s="280">
        <f t="shared" ref="D167:J167" si="28">D164+D165</f>
        <v>125714074.25</v>
      </c>
      <c r="E167" s="280">
        <f t="shared" si="28"/>
        <v>38819142.379999995</v>
      </c>
      <c r="F167" s="280">
        <f t="shared" si="28"/>
        <v>4203270.75</v>
      </c>
      <c r="G167" s="280">
        <f t="shared" si="28"/>
        <v>733819.29</v>
      </c>
      <c r="H167" s="280">
        <f>H164+H165</f>
        <v>2576795.6326299999</v>
      </c>
      <c r="I167" s="280">
        <f t="shared" si="28"/>
        <v>1186386.9100000001</v>
      </c>
      <c r="J167" s="280">
        <f t="shared" si="28"/>
        <v>420188.61</v>
      </c>
      <c r="K167" s="252"/>
      <c r="L167" s="252"/>
      <c r="M167" s="252"/>
      <c r="N167" s="252"/>
      <c r="O167" s="252"/>
      <c r="P167" s="252"/>
      <c r="Q167" s="252"/>
      <c r="R167" s="252"/>
      <c r="S167" s="252"/>
    </row>
    <row r="168" spans="1:19">
      <c r="A168" s="251"/>
      <c r="B168" s="252" t="s">
        <v>349</v>
      </c>
      <c r="C168" s="232">
        <f>SUM(D168:J168)</f>
        <v>0</v>
      </c>
      <c r="D168" s="233">
        <f>ROUND(D41*D83/100,2)</f>
        <v>0</v>
      </c>
      <c r="E168" s="233">
        <f t="shared" ref="E168:J168" si="29">ROUND(E41*E83/100,2)</f>
        <v>0</v>
      </c>
      <c r="F168" s="233">
        <f t="shared" si="29"/>
        <v>0</v>
      </c>
      <c r="G168" s="233">
        <f t="shared" si="29"/>
        <v>0</v>
      </c>
      <c r="H168" s="233">
        <f t="shared" si="29"/>
        <v>0</v>
      </c>
      <c r="I168" s="233">
        <f t="shared" si="29"/>
        <v>0</v>
      </c>
      <c r="J168" s="233">
        <f t="shared" si="29"/>
        <v>0</v>
      </c>
      <c r="K168" s="252"/>
      <c r="L168" s="252"/>
      <c r="M168" s="252"/>
      <c r="N168" s="252"/>
      <c r="O168" s="252"/>
      <c r="P168" s="252"/>
      <c r="Q168" s="252"/>
      <c r="R168" s="252"/>
      <c r="S168" s="252"/>
    </row>
    <row r="169" spans="1:19">
      <c r="A169" s="251"/>
      <c r="B169" s="252"/>
      <c r="C169" s="282"/>
      <c r="D169" s="280"/>
      <c r="E169" s="280"/>
      <c r="F169" s="280"/>
      <c r="G169" s="280"/>
      <c r="H169" s="280"/>
      <c r="I169" s="280"/>
      <c r="J169" s="280"/>
      <c r="K169" s="252"/>
      <c r="L169" s="252"/>
      <c r="M169" s="252"/>
      <c r="N169" s="252"/>
      <c r="O169" s="252"/>
      <c r="P169" s="252"/>
      <c r="Q169" s="252"/>
      <c r="R169" s="252"/>
      <c r="S169" s="252"/>
    </row>
    <row r="170" spans="1:19">
      <c r="A170" s="251"/>
      <c r="B170" s="252" t="s">
        <v>350</v>
      </c>
      <c r="C170" s="282">
        <f>IF(ROUND(SUM(D170:J170),3)&lt;&gt;ROUND(C167+C168,3),#VALUE!,SUM(D170:J170))</f>
        <v>173653677.82262999</v>
      </c>
      <c r="D170" s="280">
        <f t="shared" ref="D170:J170" si="30">D167+D168</f>
        <v>125714074.25</v>
      </c>
      <c r="E170" s="280">
        <f t="shared" si="30"/>
        <v>38819142.379999995</v>
      </c>
      <c r="F170" s="280">
        <f t="shared" si="30"/>
        <v>4203270.75</v>
      </c>
      <c r="G170" s="280">
        <f t="shared" si="30"/>
        <v>733819.29</v>
      </c>
      <c r="H170" s="280">
        <f>H167+H168</f>
        <v>2576795.6326299999</v>
      </c>
      <c r="I170" s="280">
        <f t="shared" si="30"/>
        <v>1186386.9100000001</v>
      </c>
      <c r="J170" s="280">
        <f t="shared" si="30"/>
        <v>420188.61</v>
      </c>
      <c r="K170" s="252"/>
      <c r="L170" s="252"/>
      <c r="M170" s="252"/>
      <c r="N170" s="252"/>
      <c r="O170" s="252"/>
      <c r="P170" s="252"/>
      <c r="Q170" s="252"/>
      <c r="R170" s="252"/>
      <c r="S170" s="252"/>
    </row>
    <row r="171" spans="1:19">
      <c r="A171" s="251"/>
      <c r="B171" s="252"/>
      <c r="C171" s="282"/>
      <c r="D171" s="280"/>
      <c r="E171" s="280"/>
      <c r="F171" s="280"/>
      <c r="G171" s="280"/>
      <c r="H171" s="280"/>
      <c r="I171" s="280"/>
      <c r="J171" s="280"/>
      <c r="K171" s="252"/>
      <c r="L171" s="252"/>
      <c r="M171" s="252"/>
      <c r="N171" s="252"/>
      <c r="O171" s="252"/>
      <c r="P171" s="252"/>
      <c r="Q171" s="252"/>
      <c r="R171" s="252"/>
      <c r="S171" s="252"/>
    </row>
    <row r="172" spans="1:19">
      <c r="A172" s="251"/>
      <c r="B172" s="258" t="s">
        <v>351</v>
      </c>
      <c r="C172" s="280"/>
      <c r="D172" s="280"/>
      <c r="E172" s="280"/>
      <c r="F172" s="280"/>
      <c r="G172" s="280"/>
      <c r="H172" s="280"/>
      <c r="I172" s="280"/>
      <c r="J172" s="280"/>
      <c r="K172" s="252"/>
      <c r="L172" s="252"/>
      <c r="M172" s="252"/>
      <c r="N172" s="252"/>
      <c r="O172" s="252"/>
      <c r="P172" s="252"/>
      <c r="Q172" s="252"/>
      <c r="R172" s="252"/>
      <c r="S172" s="252"/>
    </row>
    <row r="173" spans="1:19">
      <c r="A173" s="251"/>
      <c r="B173" s="236" t="s">
        <v>352</v>
      </c>
      <c r="C173" s="286"/>
      <c r="D173" s="286"/>
      <c r="E173" s="286"/>
      <c r="F173" s="286"/>
      <c r="G173" s="280"/>
      <c r="H173" s="280"/>
      <c r="I173" s="280"/>
      <c r="J173" s="280"/>
      <c r="K173" s="252"/>
      <c r="L173" s="252"/>
      <c r="M173" s="252"/>
      <c r="N173" s="252"/>
      <c r="O173" s="252"/>
      <c r="P173" s="252"/>
      <c r="Q173" s="252"/>
      <c r="R173" s="252"/>
      <c r="S173" s="252"/>
    </row>
    <row r="174" spans="1:19">
      <c r="A174" s="263"/>
      <c r="B174" s="289" t="s">
        <v>368</v>
      </c>
      <c r="C174" s="286">
        <f>SUM(D174:J174)</f>
        <v>-413938</v>
      </c>
      <c r="D174" s="286">
        <f>D126</f>
        <v>-282348</v>
      </c>
      <c r="E174" s="286">
        <f>E126</f>
        <v>-70921</v>
      </c>
      <c r="F174" s="286">
        <f>F126</f>
        <v>-60669</v>
      </c>
      <c r="G174" s="263"/>
      <c r="H174" s="263"/>
      <c r="I174" s="252"/>
      <c r="J174" s="263"/>
      <c r="K174" s="263"/>
      <c r="L174" s="263"/>
      <c r="M174" s="263"/>
      <c r="N174" s="263"/>
      <c r="O174" s="263"/>
      <c r="P174" s="263"/>
      <c r="Q174" s="263"/>
      <c r="R174" s="263"/>
      <c r="S174" s="263"/>
    </row>
    <row r="175" spans="1:19">
      <c r="A175" s="251" t="s">
        <v>417</v>
      </c>
      <c r="B175" s="292" t="s">
        <v>369</v>
      </c>
      <c r="C175" s="277"/>
      <c r="D175" s="239">
        <f>D83</f>
        <v>89.065516906892114</v>
      </c>
      <c r="E175" s="239">
        <f>E83</f>
        <v>74.906880517649498</v>
      </c>
      <c r="F175" s="239">
        <f>F83</f>
        <v>70.829927420308934</v>
      </c>
      <c r="G175" s="239"/>
      <c r="H175" s="239"/>
      <c r="I175" s="223"/>
      <c r="J175" s="240"/>
      <c r="K175" s="277"/>
      <c r="L175" s="277"/>
      <c r="M175" s="277"/>
      <c r="N175" s="277"/>
      <c r="O175" s="277"/>
      <c r="P175" s="277"/>
      <c r="Q175" s="277"/>
      <c r="R175" s="277"/>
      <c r="S175" s="277"/>
    </row>
    <row r="176" spans="1:19">
      <c r="A176" s="251"/>
      <c r="B176" s="293" t="s">
        <v>370</v>
      </c>
      <c r="C176" s="280">
        <f>SUM(D176:J176)</f>
        <v>-347571.23</v>
      </c>
      <c r="D176" s="280">
        <f>ROUND(D174*D175/100,2)</f>
        <v>-251474.71</v>
      </c>
      <c r="E176" s="280">
        <f>ROUND(E174*E175/100,2)</f>
        <v>-53124.71</v>
      </c>
      <c r="F176" s="280">
        <f>ROUND(F174*F175/100,2)</f>
        <v>-42971.81</v>
      </c>
      <c r="G176" s="280"/>
      <c r="H176" s="280"/>
      <c r="I176" s="252"/>
      <c r="J176" s="280"/>
      <c r="K176" s="280"/>
      <c r="L176" s="280"/>
      <c r="M176" s="280"/>
      <c r="N176" s="280"/>
      <c r="O176" s="280"/>
      <c r="P176" s="280"/>
      <c r="Q176" s="280"/>
      <c r="R176" s="280"/>
      <c r="S176" s="280"/>
    </row>
    <row r="177" spans="1:19">
      <c r="A177" s="251"/>
      <c r="B177" s="293"/>
      <c r="C177" s="280"/>
      <c r="D177" s="280"/>
      <c r="E177" s="280"/>
      <c r="F177" s="280"/>
      <c r="G177" s="280"/>
      <c r="H177" s="280"/>
      <c r="I177" s="252"/>
      <c r="J177" s="280"/>
      <c r="K177" s="280"/>
      <c r="L177" s="280"/>
      <c r="M177" s="280"/>
      <c r="N177" s="280"/>
      <c r="O177" s="280"/>
      <c r="P177" s="280"/>
      <c r="Q177" s="280"/>
      <c r="R177" s="280"/>
      <c r="S177" s="280"/>
    </row>
    <row r="178" spans="1:19">
      <c r="A178" s="251"/>
      <c r="B178" s="289" t="s">
        <v>358</v>
      </c>
      <c r="C178" s="286">
        <f>SUM(D178:J178)</f>
        <v>0</v>
      </c>
      <c r="D178" s="286">
        <f>D130</f>
        <v>0</v>
      </c>
      <c r="E178" s="286">
        <f>E130</f>
        <v>0</v>
      </c>
      <c r="F178" s="286">
        <f>F130</f>
        <v>0</v>
      </c>
      <c r="G178" s="263"/>
      <c r="H178" s="263"/>
      <c r="I178" s="252"/>
      <c r="J178" s="263"/>
      <c r="K178" s="263"/>
      <c r="L178" s="263"/>
      <c r="M178" s="263"/>
      <c r="N178" s="263"/>
      <c r="O178" s="263"/>
      <c r="P178" s="263"/>
      <c r="Q178" s="263"/>
      <c r="R178" s="263"/>
      <c r="S178" s="263"/>
    </row>
    <row r="179" spans="1:19">
      <c r="A179" s="251" t="s">
        <v>355</v>
      </c>
      <c r="B179" s="292" t="s">
        <v>359</v>
      </c>
      <c r="C179" s="277"/>
      <c r="D179" s="239">
        <f>D77</f>
        <v>84.808000000000007</v>
      </c>
      <c r="E179" s="239">
        <f>I240</f>
        <v>76.500633485366379</v>
      </c>
      <c r="F179" s="239">
        <f>F83</f>
        <v>70.829927420308934</v>
      </c>
      <c r="G179" s="239"/>
      <c r="H179" s="239"/>
      <c r="I179" s="223"/>
      <c r="J179" s="239"/>
      <c r="K179" s="277"/>
      <c r="L179" s="277"/>
      <c r="M179" s="277"/>
      <c r="N179" s="277"/>
      <c r="O179" s="277"/>
      <c r="P179" s="277"/>
      <c r="Q179" s="277"/>
      <c r="R179" s="277"/>
      <c r="S179" s="277"/>
    </row>
    <row r="180" spans="1:19">
      <c r="A180" s="251"/>
      <c r="B180" s="293" t="s">
        <v>360</v>
      </c>
      <c r="C180" s="280">
        <f>SUM(D180:J180)</f>
        <v>0</v>
      </c>
      <c r="D180" s="280">
        <f>ROUND(D178*D179/100,2)</f>
        <v>0</v>
      </c>
      <c r="E180" s="280">
        <f>ROUND(E178*E179/100,2)</f>
        <v>0</v>
      </c>
      <c r="F180" s="280">
        <f>ROUND(F178*F179/100,2)</f>
        <v>0</v>
      </c>
      <c r="G180" s="280"/>
      <c r="H180" s="280"/>
      <c r="I180" s="252"/>
      <c r="J180" s="280"/>
      <c r="K180" s="280"/>
      <c r="L180" s="280"/>
      <c r="M180" s="280"/>
      <c r="N180" s="280"/>
      <c r="O180" s="280"/>
      <c r="P180" s="280"/>
      <c r="Q180" s="280"/>
      <c r="R180" s="280"/>
      <c r="S180" s="280"/>
    </row>
    <row r="181" spans="1:19">
      <c r="A181" s="251"/>
      <c r="B181" s="293"/>
      <c r="C181" s="280"/>
      <c r="D181" s="280"/>
      <c r="E181" s="280"/>
      <c r="F181" s="280"/>
      <c r="G181" s="280"/>
      <c r="H181" s="280"/>
      <c r="I181" s="252"/>
      <c r="J181" s="280"/>
      <c r="K181" s="280"/>
      <c r="L181" s="280"/>
      <c r="M181" s="280"/>
      <c r="N181" s="280"/>
      <c r="O181" s="280"/>
      <c r="P181" s="280"/>
      <c r="Q181" s="280"/>
      <c r="R181" s="280"/>
      <c r="S181" s="280"/>
    </row>
    <row r="182" spans="1:19">
      <c r="A182" s="251"/>
      <c r="B182" s="289" t="s">
        <v>361</v>
      </c>
      <c r="C182" s="286">
        <f>C174+C178</f>
        <v>-413938</v>
      </c>
      <c r="D182" s="286">
        <f>D174+D178</f>
        <v>-282348</v>
      </c>
      <c r="E182" s="286">
        <f>E174+E178</f>
        <v>-70921</v>
      </c>
      <c r="F182" s="286">
        <f>F174+F178</f>
        <v>-60669</v>
      </c>
      <c r="G182" s="263"/>
      <c r="H182" s="263"/>
      <c r="I182" s="252"/>
      <c r="J182" s="263"/>
      <c r="K182" s="263"/>
      <c r="L182" s="263"/>
      <c r="M182" s="263"/>
      <c r="N182" s="263"/>
      <c r="O182" s="263"/>
      <c r="P182" s="263"/>
      <c r="Q182" s="263"/>
      <c r="R182" s="263"/>
      <c r="S182" s="263"/>
    </row>
    <row r="183" spans="1:19">
      <c r="A183" s="251"/>
      <c r="B183" s="293" t="s">
        <v>362</v>
      </c>
      <c r="C183" s="280">
        <f>C176+C180</f>
        <v>-347571.23</v>
      </c>
      <c r="D183" s="280">
        <f>D176+D180</f>
        <v>-251474.71</v>
      </c>
      <c r="E183" s="280">
        <f>E176+E180</f>
        <v>-53124.71</v>
      </c>
      <c r="F183" s="280">
        <f>F176+F180</f>
        <v>-42971.81</v>
      </c>
      <c r="G183" s="280"/>
      <c r="H183" s="280"/>
      <c r="I183" s="252"/>
      <c r="J183" s="280"/>
      <c r="K183" s="280"/>
      <c r="L183" s="280"/>
      <c r="M183" s="280"/>
      <c r="N183" s="280"/>
      <c r="O183" s="280"/>
      <c r="P183" s="280"/>
      <c r="Q183" s="280"/>
      <c r="R183" s="280"/>
      <c r="S183" s="280"/>
    </row>
    <row r="184" spans="1:19">
      <c r="A184" s="251"/>
      <c r="B184" s="236" t="s">
        <v>363</v>
      </c>
      <c r="C184" s="280"/>
      <c r="D184" s="280"/>
      <c r="E184" s="280"/>
      <c r="F184" s="280"/>
      <c r="G184" s="280"/>
      <c r="H184" s="280"/>
      <c r="I184" s="252"/>
      <c r="J184" s="280"/>
      <c r="K184" s="252"/>
      <c r="L184" s="252"/>
      <c r="M184" s="252"/>
      <c r="N184" s="252"/>
      <c r="O184" s="252"/>
      <c r="P184" s="252"/>
      <c r="Q184" s="252"/>
      <c r="R184" s="252"/>
      <c r="S184" s="252"/>
    </row>
    <row r="185" spans="1:19">
      <c r="A185" s="251"/>
      <c r="B185" s="289" t="s">
        <v>358</v>
      </c>
      <c r="C185" s="286">
        <f>SUM(D185:J185)</f>
        <v>-2761469</v>
      </c>
      <c r="D185" s="286">
        <f>D137</f>
        <v>-2076886</v>
      </c>
      <c r="E185" s="286">
        <f>E137</f>
        <v>-648079</v>
      </c>
      <c r="F185" s="286">
        <f>F137</f>
        <v>-36504</v>
      </c>
      <c r="G185" s="263"/>
      <c r="H185" s="263"/>
      <c r="I185" s="252"/>
      <c r="J185" s="263"/>
      <c r="K185" s="263"/>
      <c r="L185" s="263"/>
      <c r="M185" s="263"/>
      <c r="N185" s="263"/>
      <c r="O185" s="263"/>
      <c r="P185" s="263"/>
      <c r="Q185" s="263"/>
      <c r="R185" s="263"/>
      <c r="S185" s="263"/>
    </row>
    <row r="186" spans="1:19">
      <c r="A186" s="251" t="s">
        <v>417</v>
      </c>
      <c r="B186" s="292" t="s">
        <v>359</v>
      </c>
      <c r="C186" s="228"/>
      <c r="D186" s="239">
        <f>I217</f>
        <v>90.152423158940351</v>
      </c>
      <c r="E186" s="239">
        <f>I240</f>
        <v>76.500633485366379</v>
      </c>
      <c r="F186" s="239">
        <f>I270</f>
        <v>65.629232242803397</v>
      </c>
      <c r="G186" s="239"/>
      <c r="H186" s="239"/>
      <c r="I186" s="223"/>
      <c r="J186" s="239"/>
      <c r="K186" s="277"/>
      <c r="L186" s="277"/>
      <c r="M186" s="277"/>
      <c r="N186" s="277"/>
      <c r="O186" s="277"/>
      <c r="P186" s="277"/>
      <c r="Q186" s="277"/>
      <c r="R186" s="277"/>
      <c r="S186" s="277"/>
    </row>
    <row r="187" spans="1:19">
      <c r="A187" s="251"/>
      <c r="B187" s="293" t="s">
        <v>360</v>
      </c>
      <c r="C187" s="280">
        <f>SUM(D187:J187)</f>
        <v>-2392104.89</v>
      </c>
      <c r="D187" s="280">
        <f>ROUND(D185*D186/100,2)</f>
        <v>-1872363.06</v>
      </c>
      <c r="E187" s="280">
        <f>ROUND(E185*E186/100,2)</f>
        <v>-495784.54</v>
      </c>
      <c r="F187" s="280">
        <f>ROUND(F185*F186/100,2)</f>
        <v>-23957.29</v>
      </c>
      <c r="G187" s="280"/>
      <c r="H187" s="280"/>
      <c r="I187" s="280"/>
      <c r="J187" s="280"/>
      <c r="K187" s="280"/>
      <c r="L187" s="280"/>
      <c r="M187" s="280"/>
      <c r="N187" s="280"/>
      <c r="O187" s="280"/>
      <c r="P187" s="280"/>
      <c r="Q187" s="280"/>
      <c r="R187" s="280"/>
      <c r="S187" s="280"/>
    </row>
    <row r="188" spans="1:19">
      <c r="A188" s="251"/>
      <c r="B188" s="293" t="s">
        <v>364</v>
      </c>
      <c r="C188" s="238"/>
      <c r="D188" s="238"/>
      <c r="E188" s="238"/>
      <c r="F188" s="238"/>
      <c r="G188" s="238"/>
      <c r="H188" s="238"/>
      <c r="I188" s="238"/>
      <c r="J188" s="238"/>
      <c r="K188" s="280"/>
      <c r="L188" s="280"/>
      <c r="M188" s="280"/>
      <c r="N188" s="280"/>
      <c r="O188" s="280"/>
      <c r="P188" s="280"/>
      <c r="Q188" s="280"/>
      <c r="R188" s="280"/>
      <c r="S188" s="280"/>
    </row>
    <row r="189" spans="1:19">
      <c r="A189" s="251"/>
      <c r="B189" s="252"/>
      <c r="C189" s="280"/>
      <c r="D189" s="280"/>
      <c r="E189" s="280"/>
      <c r="F189" s="280"/>
      <c r="G189" s="280"/>
      <c r="H189" s="280"/>
      <c r="I189" s="280"/>
      <c r="J189" s="280"/>
      <c r="K189" s="252"/>
      <c r="L189" s="252"/>
      <c r="M189" s="252"/>
      <c r="N189" s="252"/>
      <c r="O189" s="252"/>
      <c r="P189" s="252"/>
      <c r="Q189" s="252"/>
      <c r="R189" s="252"/>
      <c r="S189" s="252"/>
    </row>
    <row r="190" spans="1:19">
      <c r="A190" s="251"/>
      <c r="B190" s="252" t="s">
        <v>365</v>
      </c>
      <c r="C190" s="280">
        <f>SUM(D190:J190)</f>
        <v>-2739676.12</v>
      </c>
      <c r="D190" s="280">
        <f t="shared" ref="D190:J190" si="31">D187+D183</f>
        <v>-2123837.77</v>
      </c>
      <c r="E190" s="280">
        <f t="shared" si="31"/>
        <v>-548909.25</v>
      </c>
      <c r="F190" s="280">
        <f t="shared" si="31"/>
        <v>-66929.100000000006</v>
      </c>
      <c r="G190" s="280">
        <f t="shared" si="31"/>
        <v>0</v>
      </c>
      <c r="H190" s="280">
        <f>H187+H183</f>
        <v>0</v>
      </c>
      <c r="I190" s="280">
        <f t="shared" si="31"/>
        <v>0</v>
      </c>
      <c r="J190" s="280">
        <f t="shared" si="31"/>
        <v>0</v>
      </c>
      <c r="K190" s="252"/>
      <c r="L190" s="252"/>
      <c r="M190" s="252"/>
      <c r="N190" s="252"/>
      <c r="O190" s="252"/>
      <c r="P190" s="252"/>
      <c r="Q190" s="252"/>
      <c r="R190" s="252"/>
      <c r="S190" s="252"/>
    </row>
    <row r="191" spans="1:19">
      <c r="A191" s="251"/>
      <c r="B191" s="252" t="s">
        <v>350</v>
      </c>
      <c r="C191" s="233">
        <f>SUM(D191:J191)</f>
        <v>173653677.82262999</v>
      </c>
      <c r="D191" s="233">
        <f t="shared" ref="D191:J191" si="32">D170</f>
        <v>125714074.25</v>
      </c>
      <c r="E191" s="233">
        <f t="shared" si="32"/>
        <v>38819142.379999995</v>
      </c>
      <c r="F191" s="233">
        <f t="shared" si="32"/>
        <v>4203270.75</v>
      </c>
      <c r="G191" s="233">
        <f t="shared" si="32"/>
        <v>733819.29</v>
      </c>
      <c r="H191" s="233">
        <f>H170</f>
        <v>2576795.6326299999</v>
      </c>
      <c r="I191" s="233">
        <f t="shared" si="32"/>
        <v>1186386.9100000001</v>
      </c>
      <c r="J191" s="233">
        <f t="shared" si="32"/>
        <v>420188.61</v>
      </c>
      <c r="K191" s="252"/>
      <c r="L191" s="252"/>
      <c r="M191" s="252"/>
      <c r="N191" s="252"/>
      <c r="O191" s="252"/>
      <c r="P191" s="252"/>
      <c r="Q191" s="252"/>
      <c r="R191" s="252"/>
      <c r="S191" s="252"/>
    </row>
    <row r="192" spans="1:19">
      <c r="A192" s="251"/>
      <c r="B192" s="252" t="s">
        <v>371</v>
      </c>
      <c r="C192" s="280">
        <f>SUM(D192:J192)</f>
        <v>170914001.70263001</v>
      </c>
      <c r="D192" s="280">
        <f t="shared" ref="D192:J192" si="33">D190+D191</f>
        <v>123590236.48</v>
      </c>
      <c r="E192" s="280">
        <f t="shared" si="33"/>
        <v>38270233.129999995</v>
      </c>
      <c r="F192" s="280">
        <f t="shared" si="33"/>
        <v>4136341.65</v>
      </c>
      <c r="G192" s="280">
        <f t="shared" si="33"/>
        <v>733819.29</v>
      </c>
      <c r="H192" s="280">
        <f>H190+H191</f>
        <v>2576795.6326299999</v>
      </c>
      <c r="I192" s="280">
        <f t="shared" si="33"/>
        <v>1186386.9100000001</v>
      </c>
      <c r="J192" s="280">
        <f t="shared" si="33"/>
        <v>420188.61</v>
      </c>
      <c r="K192" s="252"/>
      <c r="L192" s="252"/>
      <c r="M192" s="252"/>
      <c r="N192" s="252"/>
      <c r="O192" s="252"/>
      <c r="P192" s="252"/>
      <c r="Q192" s="252"/>
      <c r="R192" s="252"/>
      <c r="S192" s="252"/>
    </row>
    <row r="193" spans="1:19">
      <c r="A193" s="251"/>
      <c r="B193" s="252" t="s">
        <v>366</v>
      </c>
      <c r="C193" s="238">
        <f>SUM(D193:J193)</f>
        <v>170914001.70263001</v>
      </c>
      <c r="D193" s="238">
        <f t="shared" ref="D193:J193" si="34">D145</f>
        <v>123590236.48</v>
      </c>
      <c r="E193" s="238">
        <f t="shared" si="34"/>
        <v>38270233.129999995</v>
      </c>
      <c r="F193" s="238">
        <f t="shared" si="34"/>
        <v>4136341.65</v>
      </c>
      <c r="G193" s="238">
        <f t="shared" si="34"/>
        <v>733819.29</v>
      </c>
      <c r="H193" s="238">
        <f>H145</f>
        <v>2576795.6326299999</v>
      </c>
      <c r="I193" s="238">
        <f t="shared" si="34"/>
        <v>1186386.9100000001</v>
      </c>
      <c r="J193" s="238">
        <f t="shared" si="34"/>
        <v>420188.61</v>
      </c>
      <c r="K193" s="252"/>
      <c r="L193" s="252"/>
      <c r="M193" s="252"/>
      <c r="N193" s="252"/>
      <c r="O193" s="252"/>
      <c r="P193" s="252"/>
      <c r="Q193" s="252"/>
      <c r="R193" s="252"/>
      <c r="S193" s="252"/>
    </row>
    <row r="194" spans="1:19">
      <c r="A194" s="251"/>
      <c r="B194" s="252"/>
      <c r="C194" s="252"/>
      <c r="D194" s="252"/>
      <c r="E194" s="252"/>
      <c r="F194" s="252"/>
      <c r="G194" s="252"/>
      <c r="H194" s="252"/>
      <c r="I194" s="252"/>
      <c r="J194" s="252"/>
      <c r="K194" s="252"/>
      <c r="L194" s="252"/>
      <c r="M194" s="252"/>
      <c r="N194" s="252"/>
      <c r="O194" s="252"/>
      <c r="P194" s="252"/>
      <c r="Q194" s="252"/>
      <c r="R194" s="252"/>
      <c r="S194" s="252"/>
    </row>
    <row r="195" spans="1:19">
      <c r="A195" s="300"/>
      <c r="B195" s="278" t="s">
        <v>372</v>
      </c>
      <c r="C195" s="301">
        <f>SUM(D195:J195)</f>
        <v>0</v>
      </c>
      <c r="D195" s="301">
        <f>D192-D193</f>
        <v>0</v>
      </c>
      <c r="E195" s="301">
        <f t="shared" ref="E195:J195" si="35">E192-E193</f>
        <v>0</v>
      </c>
      <c r="F195" s="301">
        <f t="shared" si="35"/>
        <v>0</v>
      </c>
      <c r="G195" s="301">
        <f t="shared" si="35"/>
        <v>0</v>
      </c>
      <c r="H195" s="301">
        <f>H192-H193</f>
        <v>0</v>
      </c>
      <c r="I195" s="301">
        <f t="shared" si="35"/>
        <v>0</v>
      </c>
      <c r="J195" s="301">
        <f t="shared" si="35"/>
        <v>0</v>
      </c>
      <c r="K195" s="278"/>
      <c r="L195" s="278"/>
      <c r="M195" s="278"/>
      <c r="N195" s="278"/>
      <c r="O195" s="278"/>
      <c r="P195" s="278"/>
      <c r="Q195" s="278"/>
      <c r="R195" s="278"/>
      <c r="S195" s="278"/>
    </row>
    <row r="196" spans="1:19">
      <c r="A196" s="300"/>
      <c r="B196" s="278" t="s">
        <v>373</v>
      </c>
      <c r="C196" s="302">
        <f>C195/C193</f>
        <v>0</v>
      </c>
      <c r="D196" s="302">
        <f t="shared" ref="D196:J196" si="36">D195/D193</f>
        <v>0</v>
      </c>
      <c r="E196" s="302">
        <f t="shared" si="36"/>
        <v>0</v>
      </c>
      <c r="F196" s="302">
        <f>F195/F193</f>
        <v>0</v>
      </c>
      <c r="G196" s="302">
        <f t="shared" si="36"/>
        <v>0</v>
      </c>
      <c r="H196" s="302">
        <f t="shared" si="36"/>
        <v>0</v>
      </c>
      <c r="I196" s="302">
        <f t="shared" si="36"/>
        <v>0</v>
      </c>
      <c r="J196" s="302">
        <f t="shared" si="36"/>
        <v>0</v>
      </c>
      <c r="K196" s="278"/>
      <c r="L196" s="278"/>
      <c r="M196" s="278"/>
      <c r="N196" s="278"/>
      <c r="O196" s="278"/>
      <c r="P196" s="278"/>
      <c r="Q196" s="278"/>
      <c r="R196" s="278"/>
      <c r="S196" s="278"/>
    </row>
    <row r="197" spans="1:19">
      <c r="A197" s="251"/>
      <c r="B197" s="253"/>
      <c r="C197" s="303"/>
      <c r="D197" s="303"/>
      <c r="E197" s="304"/>
      <c r="F197" s="304"/>
      <c r="G197" s="304"/>
      <c r="H197" s="304"/>
      <c r="I197" s="304"/>
      <c r="J197" s="304"/>
      <c r="K197" s="253"/>
      <c r="L197" s="253"/>
      <c r="M197" s="253"/>
      <c r="N197" s="253"/>
      <c r="O197" s="253"/>
      <c r="P197" s="253"/>
      <c r="Q197" s="253"/>
      <c r="R197" s="253"/>
      <c r="S197" s="253"/>
    </row>
    <row r="198" spans="1:19">
      <c r="A198" s="251"/>
      <c r="B198" s="253"/>
      <c r="C198" s="303"/>
      <c r="D198" s="303"/>
      <c r="E198" s="303"/>
      <c r="F198" s="303"/>
      <c r="G198" s="303"/>
      <c r="H198" s="303"/>
      <c r="I198" s="303"/>
      <c r="J198" s="303"/>
      <c r="K198" s="253"/>
      <c r="L198" s="253"/>
      <c r="M198" s="253"/>
      <c r="N198" s="253"/>
      <c r="O198" s="253"/>
      <c r="P198" s="253"/>
      <c r="Q198" s="253"/>
      <c r="R198" s="253"/>
      <c r="S198" s="253"/>
    </row>
    <row r="199" spans="1:19">
      <c r="A199" s="251"/>
      <c r="B199" s="253"/>
      <c r="C199" s="303"/>
      <c r="D199" s="303"/>
      <c r="E199" s="303"/>
      <c r="F199" s="303"/>
      <c r="G199" s="303"/>
      <c r="H199" s="303"/>
      <c r="I199" s="303"/>
      <c r="J199" s="303"/>
      <c r="K199" s="253"/>
      <c r="L199" s="253"/>
      <c r="M199" s="253"/>
      <c r="N199" s="253"/>
      <c r="O199" s="253"/>
      <c r="P199" s="253"/>
      <c r="Q199" s="253"/>
      <c r="R199" s="253"/>
      <c r="S199" s="253"/>
    </row>
    <row r="200" spans="1:19">
      <c r="A200" s="254" t="s">
        <v>298</v>
      </c>
      <c r="B200" s="253"/>
      <c r="C200" s="253" t="s">
        <v>299</v>
      </c>
      <c r="D200" s="253" t="s">
        <v>306</v>
      </c>
      <c r="E200" s="253" t="s">
        <v>306</v>
      </c>
      <c r="F200" s="253" t="s">
        <v>374</v>
      </c>
      <c r="G200" s="253" t="s">
        <v>374</v>
      </c>
      <c r="H200" s="253" t="s">
        <v>375</v>
      </c>
      <c r="I200" s="253" t="s">
        <v>375</v>
      </c>
      <c r="J200" s="253"/>
      <c r="K200" s="253"/>
      <c r="L200" s="253"/>
      <c r="M200" s="253"/>
      <c r="N200" s="253"/>
      <c r="O200" s="253"/>
      <c r="P200" s="253"/>
      <c r="Q200" s="253"/>
      <c r="R200" s="253"/>
      <c r="S200" s="253"/>
    </row>
    <row r="201" spans="1:19">
      <c r="A201" s="254" t="s">
        <v>305</v>
      </c>
      <c r="B201" s="253"/>
      <c r="C201" s="221" t="s">
        <v>376</v>
      </c>
      <c r="D201" s="221" t="s">
        <v>315</v>
      </c>
      <c r="E201" s="221" t="s">
        <v>377</v>
      </c>
      <c r="F201" s="221" t="s">
        <v>378</v>
      </c>
      <c r="G201" s="221" t="s">
        <v>377</v>
      </c>
      <c r="H201" s="221" t="s">
        <v>315</v>
      </c>
      <c r="I201" s="221" t="s">
        <v>377</v>
      </c>
      <c r="J201" s="253"/>
      <c r="K201" s="253"/>
      <c r="L201" s="253"/>
      <c r="M201" s="253"/>
      <c r="N201" s="253"/>
      <c r="O201" s="253"/>
      <c r="P201" s="253"/>
      <c r="Q201" s="253"/>
      <c r="R201" s="253"/>
      <c r="S201" s="253"/>
    </row>
    <row r="202" spans="1:19">
      <c r="A202" s="251"/>
      <c r="B202" s="305" t="s">
        <v>379</v>
      </c>
      <c r="C202" s="252"/>
      <c r="D202" s="252"/>
      <c r="E202" s="252"/>
      <c r="F202" s="252"/>
      <c r="G202" s="252"/>
      <c r="H202" s="252"/>
      <c r="I202" s="252"/>
      <c r="J202" s="252"/>
      <c r="K202" s="252"/>
      <c r="L202" s="252"/>
      <c r="M202" s="252"/>
      <c r="N202" s="252"/>
      <c r="O202" s="252"/>
      <c r="P202" s="252"/>
      <c r="Q202" s="252"/>
      <c r="R202" s="252"/>
      <c r="S202" s="252"/>
    </row>
    <row r="203" spans="1:19">
      <c r="A203" s="251"/>
      <c r="B203" s="252" t="s">
        <v>307</v>
      </c>
      <c r="C203" s="252"/>
      <c r="D203" s="252"/>
      <c r="E203" s="252"/>
      <c r="F203" s="252"/>
      <c r="G203" s="252"/>
      <c r="H203" s="252"/>
      <c r="I203" s="252"/>
      <c r="J203" s="252"/>
      <c r="K203" s="252"/>
      <c r="L203" s="252"/>
      <c r="M203" s="252"/>
      <c r="N203" s="252"/>
      <c r="O203" s="252"/>
      <c r="P203" s="252"/>
      <c r="Q203" s="252"/>
      <c r="R203" s="252"/>
      <c r="S203" s="252"/>
    </row>
    <row r="204" spans="1:19">
      <c r="A204" s="251"/>
      <c r="B204" s="281" t="s">
        <v>380</v>
      </c>
      <c r="C204" s="277">
        <f>D59</f>
        <v>84.807999999999993</v>
      </c>
      <c r="D204" s="263">
        <f>D8</f>
        <v>73705663.25597468</v>
      </c>
      <c r="E204" s="280">
        <f>C204*D204/100</f>
        <v>62508298.894126996</v>
      </c>
      <c r="F204" s="306">
        <f>MIN(D204,F207)</f>
        <v>25031202</v>
      </c>
      <c r="G204" s="280">
        <f>F204*C204/100</f>
        <v>21228461.792159997</v>
      </c>
      <c r="H204" s="263">
        <f>D204-F204</f>
        <v>48674461.25597468</v>
      </c>
      <c r="I204" s="280">
        <f>H204*C204/100</f>
        <v>41279837.101966999</v>
      </c>
      <c r="J204" s="252"/>
      <c r="K204" s="307">
        <f>H204/H207</f>
        <v>0.49642672581359204</v>
      </c>
      <c r="L204" s="252"/>
      <c r="M204" s="252"/>
      <c r="N204" s="252"/>
      <c r="O204" s="252"/>
      <c r="P204" s="252"/>
      <c r="Q204" s="252"/>
      <c r="R204" s="252"/>
      <c r="S204" s="252"/>
    </row>
    <row r="205" spans="1:19">
      <c r="A205" s="251"/>
      <c r="B205" s="281" t="s">
        <v>381</v>
      </c>
      <c r="C205" s="277">
        <f>D60</f>
        <v>95.420999999999992</v>
      </c>
      <c r="D205" s="263">
        <f>D9</f>
        <v>49375177.74402532</v>
      </c>
      <c r="E205" s="228">
        <f>C205*D205/100</f>
        <v>47114288.355126403</v>
      </c>
      <c r="F205" s="241">
        <f>MIN(F207-F204,D205)</f>
        <v>0</v>
      </c>
      <c r="G205" s="228">
        <f>F205*C205/100</f>
        <v>0</v>
      </c>
      <c r="H205" s="263">
        <f>D205-F205</f>
        <v>49375177.74402532</v>
      </c>
      <c r="I205" s="280">
        <f>H205*C205/100</f>
        <v>47114288.355126403</v>
      </c>
      <c r="J205" s="252"/>
      <c r="K205" s="307">
        <f>H205/H207</f>
        <v>0.50357327418640796</v>
      </c>
      <c r="L205" s="252"/>
      <c r="M205" s="252"/>
      <c r="N205" s="252"/>
      <c r="O205" s="252"/>
      <c r="P205" s="252"/>
      <c r="Q205" s="252"/>
      <c r="R205" s="252"/>
      <c r="S205" s="252"/>
    </row>
    <row r="206" spans="1:19">
      <c r="A206" s="251"/>
      <c r="B206" s="252"/>
      <c r="C206" s="252"/>
      <c r="D206" s="230"/>
      <c r="E206" s="230"/>
      <c r="F206" s="230"/>
      <c r="G206" s="230"/>
      <c r="H206" s="230"/>
      <c r="I206" s="231"/>
      <c r="J206" s="252"/>
      <c r="K206" s="252"/>
      <c r="L206" s="252"/>
      <c r="M206" s="252"/>
      <c r="N206" s="252"/>
      <c r="O206" s="252"/>
      <c r="P206" s="252"/>
      <c r="Q206" s="252"/>
      <c r="R206" s="252"/>
      <c r="S206" s="252"/>
    </row>
    <row r="207" spans="1:19">
      <c r="A207" s="251"/>
      <c r="B207" s="252" t="s">
        <v>306</v>
      </c>
      <c r="C207" s="252"/>
      <c r="D207" s="263">
        <f>D204+D205</f>
        <v>123080841</v>
      </c>
      <c r="E207" s="280">
        <f>E204+E205</f>
        <v>109622587.24925339</v>
      </c>
      <c r="F207" s="308">
        <f>14*D25</f>
        <v>25031202</v>
      </c>
      <c r="G207" s="280">
        <f>G204+G205</f>
        <v>21228461.792159997</v>
      </c>
      <c r="H207" s="263">
        <f>H204+H205</f>
        <v>98049639</v>
      </c>
      <c r="I207" s="280">
        <f>I204+I205</f>
        <v>88394125.457093403</v>
      </c>
      <c r="J207" s="252"/>
      <c r="K207" s="252"/>
      <c r="L207" s="252"/>
      <c r="M207" s="252"/>
      <c r="N207" s="252"/>
      <c r="O207" s="252"/>
      <c r="P207" s="252"/>
      <c r="Q207" s="252"/>
      <c r="R207" s="252"/>
      <c r="S207" s="252"/>
    </row>
    <row r="208" spans="1:19">
      <c r="A208" s="251"/>
      <c r="B208" s="252" t="s">
        <v>382</v>
      </c>
      <c r="C208" s="252"/>
      <c r="D208" s="252"/>
      <c r="E208" s="277">
        <f>E207/D207*100</f>
        <v>89.065516906285509</v>
      </c>
      <c r="F208" s="277"/>
      <c r="G208" s="277">
        <f>G207/F207*100</f>
        <v>84.807999999999979</v>
      </c>
      <c r="H208" s="252"/>
      <c r="I208" s="277">
        <f>I207/H207*100</f>
        <v>90.152423158940337</v>
      </c>
      <c r="J208" s="252"/>
      <c r="K208" s="252"/>
      <c r="L208" s="252"/>
      <c r="M208" s="252"/>
      <c r="N208" s="252"/>
      <c r="O208" s="252"/>
      <c r="P208" s="252"/>
      <c r="Q208" s="252"/>
      <c r="R208" s="252"/>
      <c r="S208" s="252"/>
    </row>
    <row r="209" spans="1:19">
      <c r="A209" s="251"/>
      <c r="B209" s="252"/>
      <c r="C209" s="252"/>
      <c r="D209" s="252"/>
      <c r="E209" s="252"/>
      <c r="F209" s="252"/>
      <c r="G209" s="252"/>
      <c r="H209" s="252"/>
      <c r="I209" s="252"/>
      <c r="J209" s="252"/>
      <c r="K209" s="252"/>
      <c r="L209" s="252"/>
      <c r="M209" s="252"/>
      <c r="N209" s="252"/>
      <c r="O209" s="252"/>
      <c r="P209" s="252"/>
      <c r="Q209" s="252"/>
      <c r="R209" s="252"/>
      <c r="S209" s="252"/>
    </row>
    <row r="210" spans="1:19">
      <c r="A210" s="251"/>
      <c r="B210" s="252"/>
      <c r="C210" s="252"/>
      <c r="D210" s="252"/>
      <c r="E210" s="252"/>
      <c r="F210" s="252"/>
      <c r="G210" s="252"/>
      <c r="H210" s="252"/>
      <c r="I210" s="252"/>
      <c r="J210" s="252"/>
      <c r="K210" s="252"/>
      <c r="L210" s="252"/>
      <c r="M210" s="252"/>
      <c r="N210" s="252"/>
      <c r="O210" s="252"/>
      <c r="P210" s="252"/>
      <c r="Q210" s="252"/>
      <c r="R210" s="252"/>
      <c r="S210" s="252"/>
    </row>
    <row r="211" spans="1:19" hidden="1">
      <c r="A211" s="251"/>
      <c r="B211" s="305" t="s">
        <v>383</v>
      </c>
      <c r="C211" s="252"/>
      <c r="D211" s="252"/>
      <c r="E211" s="252"/>
      <c r="F211" s="252"/>
      <c r="G211" s="252"/>
      <c r="H211" s="252"/>
      <c r="I211" s="252"/>
      <c r="J211" s="252"/>
      <c r="K211" s="252"/>
      <c r="L211" s="252"/>
      <c r="M211" s="252"/>
      <c r="N211" s="252"/>
      <c r="O211" s="252"/>
      <c r="P211" s="252"/>
      <c r="Q211" s="252"/>
      <c r="R211" s="252"/>
      <c r="S211" s="252"/>
    </row>
    <row r="212" spans="1:19" hidden="1">
      <c r="A212" s="251"/>
      <c r="B212" s="252" t="s">
        <v>307</v>
      </c>
      <c r="C212" s="252"/>
      <c r="D212" s="252"/>
      <c r="E212" s="252"/>
      <c r="F212" s="252"/>
      <c r="G212" s="252"/>
      <c r="H212" s="252"/>
      <c r="I212" s="252"/>
      <c r="J212" s="252"/>
      <c r="K212" s="252"/>
      <c r="L212" s="252"/>
      <c r="M212" s="252"/>
      <c r="N212" s="252"/>
      <c r="O212" s="252"/>
      <c r="P212" s="252"/>
      <c r="Q212" s="252"/>
      <c r="R212" s="252"/>
      <c r="S212" s="252"/>
    </row>
    <row r="213" spans="1:19" hidden="1">
      <c r="A213" s="251"/>
      <c r="B213" s="281" t="s">
        <v>380</v>
      </c>
      <c r="C213" s="277">
        <f>D77</f>
        <v>84.808000000000007</v>
      </c>
      <c r="D213" s="263">
        <f>D8</f>
        <v>73705663.25597468</v>
      </c>
      <c r="E213" s="280">
        <f>C213*D213/100</f>
        <v>62508298.894127019</v>
      </c>
      <c r="F213" s="306">
        <f>MIN(D213,F216)</f>
        <v>25031202</v>
      </c>
      <c r="G213" s="280">
        <f>F213*C213/100</f>
        <v>21228461.792160001</v>
      </c>
      <c r="H213" s="263">
        <f>D213-F213</f>
        <v>48674461.25597468</v>
      </c>
      <c r="I213" s="280">
        <f>H213*C213/100</f>
        <v>41279837.101967007</v>
      </c>
      <c r="J213" s="252"/>
      <c r="K213" s="252"/>
      <c r="L213" s="252"/>
      <c r="M213" s="252"/>
      <c r="N213" s="252"/>
      <c r="O213" s="252"/>
      <c r="P213" s="252"/>
      <c r="Q213" s="252"/>
      <c r="R213" s="252"/>
      <c r="S213" s="252"/>
    </row>
    <row r="214" spans="1:19" hidden="1">
      <c r="A214" s="251"/>
      <c r="B214" s="281" t="s">
        <v>381</v>
      </c>
      <c r="C214" s="277">
        <f>D78</f>
        <v>95.421000000000006</v>
      </c>
      <c r="D214" s="227">
        <f>D9</f>
        <v>49375177.74402532</v>
      </c>
      <c r="E214" s="228">
        <f>C214*D214/100</f>
        <v>47114288.355126403</v>
      </c>
      <c r="F214" s="241">
        <f>MIN(F216-F213,D214)</f>
        <v>0</v>
      </c>
      <c r="G214" s="228">
        <f>F214*C214/100</f>
        <v>0</v>
      </c>
      <c r="H214" s="263">
        <f>D214-F214</f>
        <v>49375177.74402532</v>
      </c>
      <c r="I214" s="280">
        <f>H214*C214/100</f>
        <v>47114288.355126403</v>
      </c>
      <c r="J214" s="252"/>
      <c r="K214" s="252"/>
      <c r="L214" s="252"/>
      <c r="M214" s="252"/>
      <c r="N214" s="252"/>
      <c r="O214" s="252"/>
      <c r="P214" s="252"/>
      <c r="Q214" s="252"/>
      <c r="R214" s="252"/>
      <c r="S214" s="252"/>
    </row>
    <row r="215" spans="1:19" hidden="1">
      <c r="A215" s="251"/>
      <c r="B215" s="252"/>
      <c r="C215" s="252"/>
      <c r="D215" s="230"/>
      <c r="E215" s="230"/>
      <c r="F215" s="230"/>
      <c r="G215" s="230"/>
      <c r="H215" s="230"/>
      <c r="I215" s="230"/>
      <c r="J215" s="252"/>
      <c r="K215" s="252"/>
      <c r="L215" s="252"/>
      <c r="M215" s="252"/>
      <c r="N215" s="252"/>
      <c r="O215" s="252"/>
      <c r="P215" s="252"/>
      <c r="Q215" s="252"/>
      <c r="R215" s="252"/>
      <c r="S215" s="252"/>
    </row>
    <row r="216" spans="1:19" hidden="1">
      <c r="A216" s="251"/>
      <c r="B216" s="252" t="s">
        <v>306</v>
      </c>
      <c r="C216" s="252"/>
      <c r="D216" s="263">
        <f>D213+D214</f>
        <v>123080841</v>
      </c>
      <c r="E216" s="280">
        <f>E213+E214</f>
        <v>109622587.24925342</v>
      </c>
      <c r="F216" s="286">
        <f>F207</f>
        <v>25031202</v>
      </c>
      <c r="G216" s="280">
        <f>G213+G214</f>
        <v>21228461.792160001</v>
      </c>
      <c r="H216" s="263">
        <f>H213+H214</f>
        <v>98049639</v>
      </c>
      <c r="I216" s="263">
        <f>I212+I213+I214</f>
        <v>88394125.457093418</v>
      </c>
      <c r="J216" s="252"/>
      <c r="K216" s="252"/>
      <c r="L216" s="252"/>
      <c r="M216" s="252"/>
      <c r="N216" s="252"/>
      <c r="O216" s="252"/>
      <c r="P216" s="252"/>
      <c r="Q216" s="252"/>
      <c r="R216" s="252"/>
      <c r="S216" s="252"/>
    </row>
    <row r="217" spans="1:19" hidden="1">
      <c r="A217" s="251"/>
      <c r="B217" s="252" t="s">
        <v>382</v>
      </c>
      <c r="C217" s="252"/>
      <c r="D217" s="252"/>
      <c r="E217" s="277">
        <f>E216/D216*100</f>
        <v>89.065516906285538</v>
      </c>
      <c r="F217" s="277"/>
      <c r="G217" s="277">
        <f>G216/F216*100</f>
        <v>84.808000000000007</v>
      </c>
      <c r="H217" s="252"/>
      <c r="I217" s="277">
        <f>I216/H216*100</f>
        <v>90.152423158940351</v>
      </c>
      <c r="J217" s="252"/>
      <c r="K217" s="252"/>
      <c r="L217" s="252"/>
      <c r="M217" s="252"/>
      <c r="N217" s="252"/>
      <c r="O217" s="252"/>
      <c r="P217" s="252"/>
      <c r="Q217" s="252"/>
      <c r="R217" s="252"/>
      <c r="S217" s="252"/>
    </row>
    <row r="218" spans="1:19" hidden="1">
      <c r="A218" s="251"/>
      <c r="B218" s="252"/>
      <c r="C218" s="252"/>
      <c r="D218" s="252"/>
      <c r="E218" s="252"/>
      <c r="F218" s="252"/>
      <c r="G218" s="252"/>
      <c r="H218" s="252"/>
      <c r="I218" s="252"/>
      <c r="J218" s="252"/>
      <c r="K218" s="252"/>
      <c r="L218" s="252"/>
      <c r="M218" s="252"/>
      <c r="N218" s="252"/>
      <c r="O218" s="252"/>
      <c r="P218" s="252"/>
      <c r="Q218" s="252"/>
      <c r="R218" s="252"/>
      <c r="S218" s="252"/>
    </row>
    <row r="219" spans="1:19" hidden="1">
      <c r="A219" s="251"/>
      <c r="B219" s="252"/>
      <c r="C219" s="252"/>
      <c r="D219" s="252"/>
      <c r="E219" s="252"/>
      <c r="F219" s="252"/>
      <c r="G219" s="252"/>
      <c r="H219" s="252"/>
      <c r="I219" s="252"/>
      <c r="J219" s="252"/>
      <c r="K219" s="252"/>
      <c r="L219" s="252"/>
      <c r="M219" s="252"/>
      <c r="N219" s="252"/>
      <c r="O219" s="252"/>
      <c r="P219" s="252"/>
      <c r="Q219" s="252"/>
      <c r="R219" s="252"/>
      <c r="S219" s="252"/>
    </row>
    <row r="220" spans="1:19">
      <c r="A220" s="251"/>
      <c r="B220" s="309" t="s">
        <v>419</v>
      </c>
      <c r="C220" s="252"/>
      <c r="D220" s="252"/>
      <c r="E220" s="252"/>
      <c r="F220" s="252"/>
      <c r="G220" s="252"/>
      <c r="H220" s="252"/>
      <c r="I220" s="252"/>
      <c r="J220" s="252"/>
      <c r="K220" s="252"/>
      <c r="L220" s="252"/>
      <c r="M220" s="252"/>
      <c r="N220" s="252"/>
      <c r="O220" s="252"/>
      <c r="P220" s="252"/>
      <c r="Q220" s="252"/>
      <c r="R220" s="252"/>
      <c r="S220" s="252"/>
    </row>
    <row r="221" spans="1:19">
      <c r="A221" s="251"/>
      <c r="B221" s="310" t="str">
        <f>"14 X "&amp;TEXT(D25,"#,##0")&amp;" = "&amp;TEXT(F207,"#,##0")</f>
        <v>14 X 1,787,943 = 25,031,202</v>
      </c>
      <c r="C221" s="252"/>
      <c r="D221" s="252"/>
      <c r="E221" s="252"/>
      <c r="F221" s="252"/>
      <c r="G221" s="252"/>
      <c r="H221" s="252"/>
      <c r="I221" s="252"/>
      <c r="J221" s="252"/>
      <c r="K221" s="252"/>
      <c r="L221" s="252"/>
      <c r="M221" s="252"/>
      <c r="N221" s="252"/>
      <c r="O221" s="252"/>
      <c r="P221" s="252"/>
      <c r="Q221" s="252"/>
      <c r="R221" s="252"/>
      <c r="S221" s="252"/>
    </row>
    <row r="222" spans="1:19">
      <c r="A222" s="251"/>
      <c r="B222" s="252"/>
      <c r="C222" s="252"/>
      <c r="D222" s="252"/>
      <c r="E222" s="252"/>
      <c r="F222" s="252"/>
      <c r="G222" s="252"/>
      <c r="H222" s="252"/>
      <c r="I222" s="252"/>
      <c r="J222" s="252"/>
      <c r="K222" s="252"/>
      <c r="L222" s="252"/>
      <c r="M222" s="252"/>
      <c r="N222" s="252"/>
      <c r="O222" s="252"/>
      <c r="P222" s="252"/>
      <c r="Q222" s="252"/>
      <c r="R222" s="252"/>
      <c r="S222" s="252"/>
    </row>
    <row r="223" spans="1:19">
      <c r="A223" s="251"/>
      <c r="B223" s="305" t="s">
        <v>379</v>
      </c>
      <c r="C223" s="252"/>
      <c r="D223" s="252"/>
      <c r="E223" s="252"/>
      <c r="F223" s="252"/>
      <c r="G223" s="252"/>
      <c r="H223" s="252"/>
      <c r="I223" s="252"/>
      <c r="J223" s="252"/>
      <c r="K223" s="252"/>
      <c r="L223" s="252"/>
      <c r="M223" s="252"/>
      <c r="N223" s="252"/>
      <c r="O223" s="252"/>
      <c r="P223" s="252"/>
      <c r="Q223" s="252"/>
      <c r="R223" s="252"/>
      <c r="S223" s="252"/>
    </row>
    <row r="224" spans="1:19">
      <c r="A224" s="251"/>
      <c r="B224" s="252" t="s">
        <v>332</v>
      </c>
      <c r="C224" s="252"/>
      <c r="D224" s="252"/>
      <c r="E224" s="252"/>
      <c r="F224" s="252"/>
      <c r="G224" s="252"/>
      <c r="H224" s="252"/>
      <c r="I224" s="252"/>
      <c r="J224" s="252"/>
      <c r="K224" s="252"/>
      <c r="L224" s="252"/>
      <c r="M224" s="252"/>
      <c r="N224" s="252"/>
      <c r="O224" s="252"/>
      <c r="P224" s="252"/>
      <c r="Q224" s="252"/>
      <c r="R224" s="252"/>
      <c r="S224" s="252"/>
    </row>
    <row r="225" spans="1:19">
      <c r="A225" s="251"/>
      <c r="B225" s="281" t="s">
        <v>384</v>
      </c>
      <c r="C225" s="277">
        <f>E59</f>
        <v>52.454999999999998</v>
      </c>
      <c r="D225" s="263">
        <f>E8</f>
        <v>5462682.2359244339</v>
      </c>
      <c r="E225" s="280">
        <f>C225*D225/100</f>
        <v>2865449.9668541616</v>
      </c>
      <c r="F225" s="306">
        <f>MIN(D225,F229)</f>
        <v>5462682.2359244339</v>
      </c>
      <c r="G225" s="280">
        <f>F225*C225/100</f>
        <v>2865449.9668541616</v>
      </c>
      <c r="H225" s="263">
        <f>D225-F225</f>
        <v>0</v>
      </c>
      <c r="I225" s="280">
        <f>H225*C225/100</f>
        <v>0</v>
      </c>
      <c r="J225" s="252"/>
      <c r="K225" s="252"/>
      <c r="L225" s="252"/>
      <c r="M225" s="252"/>
      <c r="N225" s="252"/>
      <c r="O225" s="252"/>
      <c r="P225" s="252"/>
      <c r="Q225" s="252"/>
      <c r="R225" s="252"/>
      <c r="S225" s="252"/>
    </row>
    <row r="226" spans="1:19">
      <c r="A226" s="251"/>
      <c r="B226" s="281" t="s">
        <v>385</v>
      </c>
      <c r="C226" s="277">
        <f>E60</f>
        <v>82.834000000000003</v>
      </c>
      <c r="D226" s="263">
        <f>E9</f>
        <v>14596426.301056234</v>
      </c>
      <c r="E226" s="280">
        <f>C226*D226/100</f>
        <v>12090803.76221692</v>
      </c>
      <c r="F226" s="306">
        <f>MIN(F229-F225,D226)</f>
        <v>8596543.7640755456</v>
      </c>
      <c r="G226" s="280">
        <f>F226*C226/100</f>
        <v>7120861.0615343377</v>
      </c>
      <c r="H226" s="263">
        <f>D226-F226</f>
        <v>5999882.5369806886</v>
      </c>
      <c r="I226" s="280">
        <f>H226*C226/100</f>
        <v>4969942.7006825842</v>
      </c>
      <c r="J226" s="252"/>
      <c r="K226" s="252"/>
      <c r="L226" s="252"/>
      <c r="M226" s="252"/>
      <c r="N226" s="252"/>
      <c r="O226" s="252"/>
      <c r="P226" s="252"/>
      <c r="Q226" s="252"/>
      <c r="R226" s="252"/>
      <c r="S226" s="252"/>
    </row>
    <row r="227" spans="1:19">
      <c r="A227" s="251"/>
      <c r="B227" s="281" t="s">
        <v>386</v>
      </c>
      <c r="C227" s="277">
        <f>E61</f>
        <v>75.152999999999992</v>
      </c>
      <c r="D227" s="227">
        <f>E10</f>
        <v>28197173.46301933</v>
      </c>
      <c r="E227" s="228">
        <f>C227*D227/100</f>
        <v>21191021.772662915</v>
      </c>
      <c r="F227" s="241">
        <f>MIN(F229-F225-F226,D227)</f>
        <v>0</v>
      </c>
      <c r="G227" s="228">
        <f>F227*C227/100</f>
        <v>0</v>
      </c>
      <c r="H227" s="263">
        <f>D227-F227</f>
        <v>28197173.46301933</v>
      </c>
      <c r="I227" s="280">
        <f>H227*C227/100</f>
        <v>21191021.772662915</v>
      </c>
      <c r="J227" s="252"/>
      <c r="K227" s="252"/>
      <c r="L227" s="252"/>
      <c r="M227" s="252"/>
      <c r="N227" s="252"/>
      <c r="O227" s="252"/>
      <c r="P227" s="252"/>
      <c r="Q227" s="252"/>
      <c r="R227" s="252"/>
      <c r="S227" s="252"/>
    </row>
    <row r="228" spans="1:19">
      <c r="A228" s="251"/>
      <c r="B228" s="252"/>
      <c r="C228" s="252"/>
      <c r="D228" s="230"/>
      <c r="E228" s="230"/>
      <c r="F228" s="230"/>
      <c r="G228" s="230"/>
      <c r="H228" s="230"/>
      <c r="I228" s="231"/>
      <c r="J228" s="252"/>
      <c r="K228" s="252"/>
      <c r="L228" s="252"/>
      <c r="M228" s="252"/>
      <c r="N228" s="252"/>
      <c r="O228" s="252"/>
      <c r="P228" s="252"/>
      <c r="Q228" s="252"/>
      <c r="R228" s="252"/>
      <c r="S228" s="252"/>
    </row>
    <row r="229" spans="1:19">
      <c r="A229" s="251"/>
      <c r="B229" s="252" t="s">
        <v>306</v>
      </c>
      <c r="C229" s="252"/>
      <c r="D229" s="263">
        <f>D225+D226+D227</f>
        <v>48256282</v>
      </c>
      <c r="E229" s="280">
        <f>E225+E226+E227</f>
        <v>36147275.501733996</v>
      </c>
      <c r="F229" s="308">
        <f>458*E26</f>
        <v>14059225.99999998</v>
      </c>
      <c r="G229" s="280">
        <f>G225+G226+G227</f>
        <v>9986311.0283885002</v>
      </c>
      <c r="H229" s="263">
        <f>H225+H226+H227</f>
        <v>34197056.000000015</v>
      </c>
      <c r="I229" s="280">
        <f>I225+I226+I227</f>
        <v>26160964.473345499</v>
      </c>
      <c r="J229" s="252"/>
      <c r="K229" s="252"/>
      <c r="L229" s="252"/>
      <c r="M229" s="252"/>
      <c r="N229" s="252"/>
      <c r="O229" s="252"/>
      <c r="P229" s="252"/>
      <c r="Q229" s="252"/>
      <c r="R229" s="252"/>
      <c r="S229" s="252"/>
    </row>
    <row r="230" spans="1:19">
      <c r="A230" s="251"/>
      <c r="B230" s="252" t="s">
        <v>382</v>
      </c>
      <c r="C230" s="252"/>
      <c r="D230" s="252"/>
      <c r="E230" s="277">
        <f>E229/D229*100</f>
        <v>74.906880521242797</v>
      </c>
      <c r="F230" s="277"/>
      <c r="G230" s="277">
        <f>G229/F229*100</f>
        <v>71.030304430617406</v>
      </c>
      <c r="H230" s="252"/>
      <c r="I230" s="277">
        <f>I229/H229*100</f>
        <v>76.500633485366365</v>
      </c>
      <c r="J230" s="252"/>
      <c r="K230" s="252"/>
      <c r="L230" s="252"/>
      <c r="M230" s="252"/>
      <c r="N230" s="252"/>
      <c r="O230" s="252"/>
      <c r="P230" s="252"/>
      <c r="Q230" s="252"/>
      <c r="R230" s="252"/>
      <c r="S230" s="252"/>
    </row>
    <row r="231" spans="1:19">
      <c r="A231" s="251"/>
      <c r="B231" s="252"/>
      <c r="C231" s="252"/>
      <c r="D231" s="252"/>
      <c r="E231" s="252"/>
      <c r="F231" s="252"/>
      <c r="G231" s="252"/>
      <c r="H231" s="252"/>
      <c r="I231" s="252"/>
      <c r="J231" s="252"/>
      <c r="K231" s="252"/>
      <c r="L231" s="252"/>
      <c r="M231" s="252"/>
      <c r="N231" s="252"/>
      <c r="O231" s="252"/>
      <c r="P231" s="252"/>
      <c r="Q231" s="252"/>
      <c r="R231" s="252"/>
      <c r="S231" s="252"/>
    </row>
    <row r="232" spans="1:19">
      <c r="A232" s="251"/>
      <c r="B232" s="252"/>
      <c r="C232" s="252"/>
      <c r="D232" s="252"/>
      <c r="E232" s="252"/>
      <c r="F232" s="252"/>
      <c r="G232" s="252"/>
      <c r="H232" s="252"/>
      <c r="I232" s="252"/>
      <c r="J232" s="252"/>
      <c r="K232" s="252"/>
      <c r="L232" s="252"/>
      <c r="M232" s="252"/>
      <c r="N232" s="252"/>
      <c r="O232" s="252"/>
      <c r="P232" s="252"/>
      <c r="Q232" s="252"/>
      <c r="R232" s="252"/>
      <c r="S232" s="252"/>
    </row>
    <row r="233" spans="1:19" hidden="1">
      <c r="A233" s="251"/>
      <c r="B233" s="305" t="s">
        <v>383</v>
      </c>
      <c r="C233" s="252"/>
      <c r="D233" s="252"/>
      <c r="E233" s="252"/>
      <c r="F233" s="252"/>
      <c r="G233" s="252"/>
      <c r="H233" s="252"/>
      <c r="I233" s="252"/>
      <c r="J233" s="252"/>
      <c r="K233" s="252"/>
      <c r="L233" s="252"/>
      <c r="M233" s="252"/>
      <c r="N233" s="252"/>
      <c r="O233" s="252"/>
      <c r="P233" s="252"/>
      <c r="Q233" s="252"/>
      <c r="R233" s="252"/>
      <c r="S233" s="252"/>
    </row>
    <row r="234" spans="1:19" hidden="1">
      <c r="A234" s="251"/>
      <c r="B234" s="252" t="s">
        <v>332</v>
      </c>
      <c r="C234" s="252"/>
      <c r="D234" s="252"/>
      <c r="E234" s="252"/>
      <c r="F234" s="252"/>
      <c r="G234" s="252"/>
      <c r="H234" s="252"/>
      <c r="I234" s="252"/>
      <c r="J234" s="252"/>
      <c r="K234" s="252"/>
      <c r="L234" s="252"/>
      <c r="M234" s="252"/>
      <c r="N234" s="252"/>
      <c r="O234" s="252"/>
      <c r="P234" s="252"/>
      <c r="Q234" s="252"/>
      <c r="R234" s="252"/>
      <c r="S234" s="252"/>
    </row>
    <row r="235" spans="1:19" hidden="1">
      <c r="A235" s="251"/>
      <c r="B235" s="281" t="s">
        <v>384</v>
      </c>
      <c r="C235" s="277">
        <f>E77</f>
        <v>52.454999999999998</v>
      </c>
      <c r="D235" s="263">
        <f>E31</f>
        <v>5462682.2359244339</v>
      </c>
      <c r="E235" s="280">
        <f>C235*D235/100</f>
        <v>2865449.9668541616</v>
      </c>
      <c r="F235" s="306">
        <f>MIN(D235,F239)</f>
        <v>5462682.2359244339</v>
      </c>
      <c r="G235" s="280">
        <f>F235*C235/100</f>
        <v>2865449.9668541616</v>
      </c>
      <c r="H235" s="263">
        <f>D235-F235</f>
        <v>0</v>
      </c>
      <c r="I235" s="280">
        <f>H235*C235/100</f>
        <v>0</v>
      </c>
      <c r="J235" s="252"/>
      <c r="K235" s="252"/>
      <c r="L235" s="252"/>
      <c r="M235" s="252"/>
      <c r="N235" s="252"/>
      <c r="O235" s="252"/>
      <c r="P235" s="252"/>
      <c r="Q235" s="252"/>
      <c r="R235" s="252"/>
      <c r="S235" s="252"/>
    </row>
    <row r="236" spans="1:19" hidden="1">
      <c r="A236" s="251"/>
      <c r="B236" s="281" t="s">
        <v>385</v>
      </c>
      <c r="C236" s="277">
        <f>E78</f>
        <v>82.834000000000003</v>
      </c>
      <c r="D236" s="263">
        <f>E32</f>
        <v>14596426.301056234</v>
      </c>
      <c r="E236" s="280">
        <f>C236*D236/100</f>
        <v>12090803.76221692</v>
      </c>
      <c r="F236" s="306">
        <f>MIN(F239-F235,D236)</f>
        <v>8596543.7640755456</v>
      </c>
      <c r="G236" s="280">
        <f>F236*C236/100</f>
        <v>7120861.0615343377</v>
      </c>
      <c r="H236" s="263">
        <f>D236-F236</f>
        <v>5999882.5369806886</v>
      </c>
      <c r="I236" s="280">
        <f>H236*C236/100</f>
        <v>4969942.7006825842</v>
      </c>
      <c r="J236" s="252"/>
      <c r="K236" s="252"/>
      <c r="L236" s="252"/>
      <c r="M236" s="252"/>
      <c r="N236" s="252"/>
      <c r="O236" s="252"/>
      <c r="P236" s="252"/>
      <c r="Q236" s="252"/>
      <c r="R236" s="252"/>
      <c r="S236" s="252"/>
    </row>
    <row r="237" spans="1:19" hidden="1">
      <c r="A237" s="251"/>
      <c r="B237" s="281" t="s">
        <v>386</v>
      </c>
      <c r="C237" s="277">
        <f>E79</f>
        <v>75.153000000000006</v>
      </c>
      <c r="D237" s="227">
        <f>E33</f>
        <v>28197173.46301933</v>
      </c>
      <c r="E237" s="228">
        <f>C237*D237/100</f>
        <v>21191021.772662919</v>
      </c>
      <c r="F237" s="241">
        <f>MIN(F239-F235-F236,D237)</f>
        <v>0</v>
      </c>
      <c r="G237" s="228">
        <f>F237*C237/100</f>
        <v>0</v>
      </c>
      <c r="H237" s="263">
        <f>D237-F237</f>
        <v>28197173.46301933</v>
      </c>
      <c r="I237" s="280">
        <f>H237*C237/100</f>
        <v>21191021.772662919</v>
      </c>
      <c r="J237" s="252"/>
      <c r="K237" s="252"/>
      <c r="L237" s="252"/>
      <c r="M237" s="252"/>
      <c r="N237" s="252"/>
      <c r="O237" s="252"/>
      <c r="P237" s="252"/>
      <c r="Q237" s="252"/>
      <c r="R237" s="252"/>
      <c r="S237" s="252"/>
    </row>
    <row r="238" spans="1:19" hidden="1">
      <c r="A238" s="251"/>
      <c r="B238" s="252"/>
      <c r="C238" s="252"/>
      <c r="D238" s="230"/>
      <c r="E238" s="230"/>
      <c r="F238" s="230"/>
      <c r="G238" s="230"/>
      <c r="H238" s="230"/>
      <c r="I238" s="230"/>
      <c r="J238" s="252"/>
      <c r="K238" s="252"/>
      <c r="L238" s="252"/>
      <c r="M238" s="252"/>
      <c r="N238" s="252"/>
      <c r="O238" s="252"/>
      <c r="P238" s="252"/>
      <c r="Q238" s="252"/>
      <c r="R238" s="252"/>
      <c r="S238" s="252"/>
    </row>
    <row r="239" spans="1:19" hidden="1">
      <c r="A239" s="251"/>
      <c r="B239" s="252" t="s">
        <v>306</v>
      </c>
      <c r="C239" s="252"/>
      <c r="D239" s="263">
        <f>D235+D236+D237</f>
        <v>48256282</v>
      </c>
      <c r="E239" s="280">
        <f>E235+E236+E237</f>
        <v>36147275.501734003</v>
      </c>
      <c r="F239" s="286">
        <f>F229</f>
        <v>14059225.99999998</v>
      </c>
      <c r="G239" s="280">
        <f>G235+G236+G237</f>
        <v>9986311.0283885002</v>
      </c>
      <c r="H239" s="263">
        <f>H235+H236+H237</f>
        <v>34197056.000000015</v>
      </c>
      <c r="I239" s="263">
        <f>I234+I235+I236+I237</f>
        <v>26160964.473345503</v>
      </c>
      <c r="J239" s="252"/>
      <c r="K239" s="252"/>
      <c r="L239" s="252"/>
      <c r="M239" s="252"/>
      <c r="N239" s="252"/>
      <c r="O239" s="252"/>
      <c r="P239" s="252"/>
      <c r="Q239" s="252"/>
      <c r="R239" s="252"/>
      <c r="S239" s="252"/>
    </row>
    <row r="240" spans="1:19" hidden="1">
      <c r="A240" s="251"/>
      <c r="B240" s="252" t="s">
        <v>382</v>
      </c>
      <c r="C240" s="252"/>
      <c r="D240" s="252"/>
      <c r="E240" s="277">
        <f>E239/D239*100</f>
        <v>74.906880521242812</v>
      </c>
      <c r="F240" s="277"/>
      <c r="G240" s="277">
        <f>G239/F239*100</f>
        <v>71.030304430617406</v>
      </c>
      <c r="H240" s="252"/>
      <c r="I240" s="277">
        <f>I239/H239*100</f>
        <v>76.500633485366379</v>
      </c>
      <c r="J240" s="252"/>
      <c r="K240" s="252"/>
      <c r="L240" s="252"/>
      <c r="M240" s="252"/>
      <c r="N240" s="252"/>
      <c r="O240" s="252"/>
      <c r="P240" s="252"/>
      <c r="Q240" s="252"/>
      <c r="R240" s="252"/>
      <c r="S240" s="252"/>
    </row>
    <row r="241" spans="1:19" hidden="1">
      <c r="A241" s="251"/>
      <c r="B241" s="252"/>
      <c r="C241" s="252"/>
      <c r="D241" s="252"/>
      <c r="E241" s="252"/>
      <c r="F241" s="252"/>
      <c r="G241" s="252"/>
      <c r="H241" s="252"/>
      <c r="I241" s="252"/>
      <c r="J241" s="252"/>
      <c r="K241" s="252"/>
      <c r="L241" s="252"/>
      <c r="M241" s="252"/>
      <c r="N241" s="252"/>
      <c r="O241" s="252"/>
      <c r="P241" s="252"/>
      <c r="Q241" s="252"/>
      <c r="R241" s="252"/>
      <c r="S241" s="252"/>
    </row>
    <row r="242" spans="1:19" hidden="1">
      <c r="A242" s="251"/>
      <c r="B242" s="252"/>
      <c r="C242" s="252"/>
      <c r="D242" s="252"/>
      <c r="E242" s="252"/>
      <c r="F242" s="252"/>
      <c r="G242" s="252"/>
      <c r="H242" s="252"/>
      <c r="I242" s="252"/>
      <c r="J242" s="252"/>
      <c r="K242" s="252"/>
      <c r="L242" s="252"/>
      <c r="M242" s="252"/>
      <c r="N242" s="252"/>
      <c r="O242" s="252"/>
      <c r="P242" s="252"/>
      <c r="Q242" s="252"/>
      <c r="R242" s="252"/>
      <c r="S242" s="252"/>
    </row>
    <row r="243" spans="1:19">
      <c r="A243" s="251"/>
      <c r="B243" s="309" t="s">
        <v>420</v>
      </c>
      <c r="C243" s="252"/>
      <c r="D243" s="252"/>
      <c r="E243" s="252"/>
      <c r="F243" s="252"/>
      <c r="G243" s="252"/>
      <c r="H243" s="252"/>
      <c r="I243" s="252"/>
      <c r="J243" s="252"/>
      <c r="K243" s="252"/>
      <c r="L243" s="252"/>
      <c r="M243" s="252"/>
      <c r="N243" s="252"/>
      <c r="O243" s="252"/>
      <c r="P243" s="252"/>
      <c r="Q243" s="252"/>
      <c r="R243" s="252"/>
      <c r="S243" s="252"/>
    </row>
    <row r="244" spans="1:19">
      <c r="A244" s="251"/>
      <c r="B244" s="310" t="str">
        <f>"458 X "&amp;TEXT(E26,"#,##0")&amp;" = "&amp;TEXT(F229,"#,##0")</f>
        <v>458 X 30,697 = 14,059,226</v>
      </c>
      <c r="C244" s="252"/>
      <c r="D244" s="252"/>
      <c r="E244" s="252"/>
      <c r="F244" s="252"/>
      <c r="G244" s="252"/>
      <c r="H244" s="252"/>
      <c r="I244" s="252"/>
      <c r="J244" s="252"/>
      <c r="K244" s="252"/>
      <c r="L244" s="252"/>
      <c r="M244" s="252"/>
      <c r="N244" s="252"/>
      <c r="O244" s="252"/>
      <c r="P244" s="252"/>
      <c r="Q244" s="252"/>
      <c r="R244" s="252"/>
      <c r="S244" s="252"/>
    </row>
    <row r="245" spans="1:19">
      <c r="A245" s="251"/>
      <c r="B245" s="252"/>
      <c r="C245" s="252"/>
      <c r="D245" s="252"/>
      <c r="E245" s="252"/>
      <c r="F245" s="252"/>
      <c r="G245" s="252"/>
      <c r="H245" s="252"/>
      <c r="I245" s="252"/>
      <c r="J245" s="252"/>
      <c r="K245" s="252"/>
      <c r="L245" s="252"/>
      <c r="M245" s="252"/>
      <c r="N245" s="252"/>
      <c r="O245" s="252"/>
      <c r="P245" s="252"/>
      <c r="Q245" s="252"/>
      <c r="R245" s="252"/>
      <c r="S245" s="252"/>
    </row>
    <row r="246" spans="1:19">
      <c r="A246" s="254" t="s">
        <v>298</v>
      </c>
      <c r="B246" s="253"/>
      <c r="C246" s="253" t="s">
        <v>299</v>
      </c>
      <c r="D246" s="253" t="s">
        <v>306</v>
      </c>
      <c r="E246" s="253" t="s">
        <v>306</v>
      </c>
      <c r="F246" s="253" t="s">
        <v>374</v>
      </c>
      <c r="G246" s="253" t="s">
        <v>374</v>
      </c>
      <c r="H246" s="253" t="s">
        <v>375</v>
      </c>
      <c r="I246" s="253" t="s">
        <v>375</v>
      </c>
      <c r="J246" s="252"/>
      <c r="K246" s="252"/>
      <c r="L246" s="252"/>
      <c r="M246" s="252"/>
      <c r="N246" s="252"/>
      <c r="O246" s="252"/>
      <c r="P246" s="252"/>
      <c r="Q246" s="252"/>
      <c r="R246" s="252"/>
      <c r="S246" s="252"/>
    </row>
    <row r="247" spans="1:19">
      <c r="A247" s="254" t="s">
        <v>305</v>
      </c>
      <c r="B247" s="253"/>
      <c r="C247" s="221" t="s">
        <v>376</v>
      </c>
      <c r="D247" s="221" t="s">
        <v>315</v>
      </c>
      <c r="E247" s="221" t="s">
        <v>377</v>
      </c>
      <c r="F247" s="221" t="s">
        <v>378</v>
      </c>
      <c r="G247" s="221" t="s">
        <v>377</v>
      </c>
      <c r="H247" s="221" t="s">
        <v>315</v>
      </c>
      <c r="I247" s="221" t="s">
        <v>377</v>
      </c>
      <c r="J247" s="252"/>
      <c r="K247" s="252"/>
      <c r="L247" s="252"/>
      <c r="M247" s="252"/>
      <c r="N247" s="252"/>
      <c r="O247" s="252"/>
      <c r="P247" s="252"/>
      <c r="Q247" s="252"/>
      <c r="R247" s="252"/>
      <c r="S247" s="252"/>
    </row>
    <row r="248" spans="1:19">
      <c r="A248" s="251"/>
      <c r="B248" s="252"/>
      <c r="C248" s="252"/>
      <c r="D248" s="252"/>
      <c r="E248" s="252"/>
      <c r="F248" s="252"/>
      <c r="G248" s="252"/>
      <c r="H248" s="252"/>
      <c r="I248" s="252"/>
      <c r="J248" s="252"/>
      <c r="K248" s="252"/>
      <c r="L248" s="252"/>
      <c r="M248" s="252"/>
      <c r="N248" s="252"/>
      <c r="O248" s="252"/>
      <c r="P248" s="252"/>
      <c r="Q248" s="252"/>
      <c r="R248" s="252"/>
      <c r="S248" s="252"/>
    </row>
    <row r="249" spans="1:19">
      <c r="A249" s="251"/>
      <c r="B249" s="305" t="s">
        <v>379</v>
      </c>
      <c r="C249" s="252"/>
      <c r="D249" s="252"/>
      <c r="E249" s="252"/>
      <c r="F249" s="252"/>
      <c r="G249" s="252"/>
      <c r="H249" s="252"/>
      <c r="I249" s="252"/>
      <c r="J249" s="252"/>
      <c r="K249" s="252"/>
      <c r="L249" s="252"/>
      <c r="M249" s="252"/>
      <c r="N249" s="252"/>
      <c r="O249" s="252"/>
      <c r="P249" s="252"/>
      <c r="Q249" s="252"/>
      <c r="R249" s="252"/>
      <c r="S249" s="252"/>
    </row>
    <row r="250" spans="1:19">
      <c r="A250" s="251"/>
      <c r="B250" s="252" t="s">
        <v>333</v>
      </c>
      <c r="C250" s="252"/>
      <c r="D250" s="252"/>
      <c r="E250" s="252"/>
      <c r="F250" s="252"/>
      <c r="G250" s="252"/>
      <c r="H250" s="252"/>
      <c r="I250" s="252"/>
      <c r="J250" s="252"/>
      <c r="K250" s="252"/>
      <c r="L250" s="252"/>
      <c r="M250" s="252"/>
      <c r="N250" s="252"/>
      <c r="O250" s="252"/>
      <c r="P250" s="252"/>
      <c r="Q250" s="252"/>
      <c r="R250" s="252"/>
      <c r="S250" s="252"/>
    </row>
    <row r="251" spans="1:19">
      <c r="A251" s="251"/>
      <c r="B251" s="281" t="s">
        <v>387</v>
      </c>
      <c r="C251" s="277">
        <f>F59</f>
        <v>50.545000000000002</v>
      </c>
      <c r="D251" s="263">
        <f>F31</f>
        <v>166500</v>
      </c>
      <c r="E251" s="280">
        <f>C251*D251/100</f>
        <v>84157.425000000003</v>
      </c>
      <c r="F251" s="306">
        <f>MIN(D251,F257)</f>
        <v>166500</v>
      </c>
      <c r="G251" s="280">
        <f>F251*C251/100</f>
        <v>84157.425000000003</v>
      </c>
      <c r="H251" s="263">
        <f>D251-F251</f>
        <v>0</v>
      </c>
      <c r="I251" s="280">
        <f>H251*C251/100</f>
        <v>0</v>
      </c>
      <c r="J251" s="252"/>
      <c r="K251" s="252"/>
      <c r="L251" s="252"/>
      <c r="M251" s="252"/>
      <c r="N251" s="252"/>
      <c r="O251" s="252"/>
      <c r="P251" s="252"/>
      <c r="Q251" s="252"/>
      <c r="R251" s="252"/>
      <c r="S251" s="252"/>
    </row>
    <row r="252" spans="1:19">
      <c r="A252" s="251"/>
      <c r="B252" s="281" t="s">
        <v>388</v>
      </c>
      <c r="C252" s="277">
        <f>F60</f>
        <v>82.771000000000001</v>
      </c>
      <c r="D252" s="263">
        <f>F32</f>
        <v>166500</v>
      </c>
      <c r="E252" s="280">
        <f>C252*D252/100</f>
        <v>137813.715</v>
      </c>
      <c r="F252" s="306">
        <f>MIN(F257-F251,D252)</f>
        <v>166500</v>
      </c>
      <c r="G252" s="280">
        <f>F252*C252/100</f>
        <v>137813.715</v>
      </c>
      <c r="H252" s="263">
        <f>D252-F252</f>
        <v>0</v>
      </c>
      <c r="I252" s="280">
        <f>H252*C252/100</f>
        <v>0</v>
      </c>
      <c r="J252" s="252"/>
      <c r="K252" s="252"/>
      <c r="L252" s="252"/>
      <c r="M252" s="252"/>
      <c r="N252" s="252"/>
      <c r="O252" s="252"/>
      <c r="P252" s="252"/>
      <c r="Q252" s="252"/>
      <c r="R252" s="252"/>
      <c r="S252" s="252"/>
    </row>
    <row r="253" spans="1:19">
      <c r="A253" s="251"/>
      <c r="B253" s="281" t="s">
        <v>389</v>
      </c>
      <c r="C253" s="277">
        <f>F61</f>
        <v>74.88900000000001</v>
      </c>
      <c r="D253" s="263">
        <f>F33</f>
        <v>2699784</v>
      </c>
      <c r="E253" s="228">
        <f>C253*D253/100</f>
        <v>2021841.2397600005</v>
      </c>
      <c r="F253" s="241">
        <f>MIN(F257-F251-F252,D253)</f>
        <v>2699784</v>
      </c>
      <c r="G253" s="228">
        <f>F253*C253/100</f>
        <v>2021841.2397600005</v>
      </c>
      <c r="H253" s="263">
        <f>D253-F253</f>
        <v>0</v>
      </c>
      <c r="I253" s="280">
        <f>H253*C253/100</f>
        <v>0</v>
      </c>
      <c r="J253" s="252"/>
      <c r="K253" s="252"/>
      <c r="L253" s="252"/>
      <c r="M253" s="252"/>
      <c r="N253" s="252"/>
      <c r="O253" s="252"/>
      <c r="P253" s="252"/>
      <c r="Q253" s="252"/>
      <c r="R253" s="252"/>
      <c r="S253" s="252"/>
    </row>
    <row r="254" spans="1:19">
      <c r="A254" s="251"/>
      <c r="B254" s="281" t="s">
        <v>390</v>
      </c>
      <c r="C254" s="277">
        <f>F62</f>
        <v>69.94</v>
      </c>
      <c r="D254" s="263">
        <f>F34</f>
        <v>1805732</v>
      </c>
      <c r="E254" s="228">
        <f>C254*D254/100</f>
        <v>1262928.9608</v>
      </c>
      <c r="F254" s="241">
        <f>MIN(F257-F251-F252-F253,D254)</f>
        <v>1157472</v>
      </c>
      <c r="G254" s="228">
        <f>F254*C254/100</f>
        <v>809535.91679999989</v>
      </c>
      <c r="H254" s="263">
        <f>D254-F254</f>
        <v>648260</v>
      </c>
      <c r="I254" s="280">
        <f>H254*C254/100</f>
        <v>453393.04399999999</v>
      </c>
      <c r="J254" s="252"/>
      <c r="K254" s="252"/>
      <c r="L254" s="252"/>
      <c r="M254" s="252"/>
      <c r="N254" s="252"/>
      <c r="O254" s="252"/>
      <c r="P254" s="252"/>
      <c r="Q254" s="252"/>
      <c r="R254" s="252"/>
      <c r="S254" s="252"/>
    </row>
    <row r="255" spans="1:19">
      <c r="A255" s="251"/>
      <c r="B255" s="281" t="s">
        <v>391</v>
      </c>
      <c r="C255" s="277">
        <f>F63</f>
        <v>62.817</v>
      </c>
      <c r="D255" s="263">
        <f>F35</f>
        <v>993694</v>
      </c>
      <c r="E255" s="228">
        <f>C255*D255/100</f>
        <v>624208.75998000009</v>
      </c>
      <c r="F255" s="241">
        <f>MIN(F257-F251-F252-F253-F254,D255)</f>
        <v>0</v>
      </c>
      <c r="G255" s="228">
        <f>F255*C255/100</f>
        <v>0</v>
      </c>
      <c r="H255" s="263">
        <f>D255-F255</f>
        <v>993694</v>
      </c>
      <c r="I255" s="280">
        <f>H255*C255/100</f>
        <v>624208.75998000009</v>
      </c>
      <c r="J255" s="252"/>
      <c r="K255" s="252"/>
      <c r="L255" s="252"/>
      <c r="M255" s="252"/>
      <c r="N255" s="252"/>
      <c r="O255" s="252"/>
      <c r="P255" s="252"/>
      <c r="Q255" s="252"/>
      <c r="R255" s="252"/>
      <c r="S255" s="252"/>
    </row>
    <row r="256" spans="1:19">
      <c r="A256" s="251"/>
      <c r="B256" s="252"/>
      <c r="C256" s="252"/>
      <c r="D256" s="230"/>
      <c r="E256" s="230"/>
      <c r="F256" s="230"/>
      <c r="G256" s="230"/>
      <c r="H256" s="230"/>
      <c r="I256" s="231"/>
      <c r="J256" s="252"/>
      <c r="K256" s="252"/>
      <c r="L256" s="252"/>
      <c r="M256" s="252"/>
      <c r="N256" s="252"/>
      <c r="O256" s="252"/>
      <c r="P256" s="252"/>
      <c r="Q256" s="252"/>
      <c r="R256" s="252"/>
      <c r="S256" s="252"/>
    </row>
    <row r="257" spans="1:19">
      <c r="A257" s="251"/>
      <c r="B257" s="252" t="s">
        <v>306</v>
      </c>
      <c r="C257" s="252"/>
      <c r="D257" s="263">
        <f>D251+D252+D253+D254+D255</f>
        <v>5832210</v>
      </c>
      <c r="E257" s="280">
        <f>E251+E252+E253+E254+E255</f>
        <v>4130950.1005400005</v>
      </c>
      <c r="F257" s="308">
        <f>12471*F26</f>
        <v>4190256</v>
      </c>
      <c r="G257" s="280">
        <f>G251+G252+G253</f>
        <v>2243812.3797600004</v>
      </c>
      <c r="H257" s="263">
        <f>H251+H252+H253+H254+H255</f>
        <v>1641954</v>
      </c>
      <c r="I257" s="280">
        <f>I251+I252+I253+I254+I255</f>
        <v>1077601.8039800001</v>
      </c>
      <c r="J257" s="252"/>
      <c r="K257" s="252"/>
      <c r="L257" s="252"/>
      <c r="M257" s="252"/>
      <c r="N257" s="252"/>
      <c r="O257" s="252"/>
      <c r="P257" s="252"/>
      <c r="Q257" s="252"/>
      <c r="R257" s="252"/>
      <c r="S257" s="252"/>
    </row>
    <row r="258" spans="1:19">
      <c r="A258" s="251"/>
      <c r="B258" s="252" t="s">
        <v>382</v>
      </c>
      <c r="C258" s="252"/>
      <c r="D258" s="252"/>
      <c r="E258" s="277">
        <f>E257/D257*100</f>
        <v>70.829927258106281</v>
      </c>
      <c r="F258" s="277"/>
      <c r="G258" s="277">
        <f>G257/F257*100</f>
        <v>53.548336420495559</v>
      </c>
      <c r="H258" s="252"/>
      <c r="I258" s="277">
        <f>I257/H257*100</f>
        <v>65.629232242803397</v>
      </c>
      <c r="J258" s="252"/>
      <c r="K258" s="252"/>
      <c r="L258" s="252"/>
      <c r="M258" s="252"/>
      <c r="N258" s="252"/>
      <c r="O258" s="252"/>
      <c r="P258" s="252"/>
      <c r="Q258" s="252"/>
      <c r="R258" s="252"/>
      <c r="S258" s="252"/>
    </row>
    <row r="259" spans="1:19">
      <c r="A259" s="251"/>
      <c r="B259" s="252"/>
      <c r="C259" s="252"/>
      <c r="D259" s="252"/>
      <c r="E259" s="252"/>
      <c r="F259" s="252"/>
      <c r="G259" s="252"/>
      <c r="H259" s="252"/>
      <c r="I259" s="252"/>
      <c r="J259" s="252"/>
      <c r="K259" s="252"/>
      <c r="L259" s="252"/>
      <c r="M259" s="252"/>
      <c r="N259" s="252"/>
      <c r="O259" s="252"/>
      <c r="P259" s="252"/>
      <c r="Q259" s="252"/>
      <c r="R259" s="252"/>
      <c r="S259" s="252"/>
    </row>
    <row r="260" spans="1:19">
      <c r="A260" s="251"/>
      <c r="B260" s="252"/>
      <c r="C260" s="252"/>
      <c r="D260" s="252"/>
      <c r="E260" s="252"/>
      <c r="F260" s="252"/>
      <c r="G260" s="252"/>
      <c r="H260" s="252"/>
      <c r="I260" s="252"/>
      <c r="J260" s="252"/>
      <c r="K260" s="252"/>
      <c r="L260" s="252"/>
      <c r="M260" s="252"/>
      <c r="N260" s="252"/>
      <c r="O260" s="252"/>
      <c r="P260" s="252"/>
      <c r="Q260" s="252"/>
      <c r="R260" s="252"/>
      <c r="S260" s="252"/>
    </row>
    <row r="261" spans="1:19" hidden="1">
      <c r="A261" s="251"/>
      <c r="B261" s="305" t="s">
        <v>383</v>
      </c>
      <c r="C261" s="252"/>
      <c r="D261" s="252"/>
      <c r="E261" s="252"/>
      <c r="F261" s="252"/>
      <c r="G261" s="252"/>
      <c r="H261" s="252"/>
      <c r="I261" s="252"/>
      <c r="J261" s="252"/>
      <c r="K261" s="252"/>
      <c r="L261" s="252"/>
      <c r="M261" s="252"/>
      <c r="N261" s="252"/>
      <c r="O261" s="252"/>
      <c r="P261" s="252"/>
      <c r="Q261" s="252"/>
      <c r="R261" s="252"/>
      <c r="S261" s="252"/>
    </row>
    <row r="262" spans="1:19" hidden="1">
      <c r="A262" s="251"/>
      <c r="B262" s="252" t="s">
        <v>333</v>
      </c>
      <c r="C262" s="252"/>
      <c r="D262" s="252"/>
      <c r="E262" s="252"/>
      <c r="F262" s="252"/>
      <c r="G262" s="252"/>
      <c r="H262" s="252"/>
      <c r="I262" s="252"/>
      <c r="J262" s="252"/>
      <c r="K262" s="252"/>
      <c r="L262" s="252"/>
      <c r="M262" s="252"/>
      <c r="N262" s="252"/>
      <c r="O262" s="252"/>
      <c r="P262" s="252"/>
      <c r="Q262" s="252"/>
      <c r="R262" s="252"/>
      <c r="S262" s="252"/>
    </row>
    <row r="263" spans="1:19" hidden="1">
      <c r="A263" s="251"/>
      <c r="B263" s="281" t="s">
        <v>387</v>
      </c>
      <c r="C263" s="277">
        <f>F77</f>
        <v>50.545000000000002</v>
      </c>
      <c r="D263" s="263">
        <f>F31</f>
        <v>166500</v>
      </c>
      <c r="E263" s="280">
        <f>C263*D263/100</f>
        <v>84157.425000000003</v>
      </c>
      <c r="F263" s="306">
        <f>MIN(D263,F269)</f>
        <v>166500</v>
      </c>
      <c r="G263" s="280">
        <f>F263*C263/100</f>
        <v>84157.425000000003</v>
      </c>
      <c r="H263" s="263">
        <f>D263-F263</f>
        <v>0</v>
      </c>
      <c r="I263" s="280">
        <f>H263*C263/100</f>
        <v>0</v>
      </c>
      <c r="J263" s="252"/>
      <c r="K263" s="252"/>
      <c r="L263" s="252"/>
      <c r="M263" s="252"/>
      <c r="N263" s="252"/>
      <c r="O263" s="252"/>
      <c r="P263" s="252"/>
      <c r="Q263" s="252"/>
      <c r="R263" s="252"/>
      <c r="S263" s="252"/>
    </row>
    <row r="264" spans="1:19" hidden="1">
      <c r="A264" s="251"/>
      <c r="B264" s="281" t="s">
        <v>388</v>
      </c>
      <c r="C264" s="277">
        <f>F78</f>
        <v>82.771000000000001</v>
      </c>
      <c r="D264" s="263">
        <f>F32</f>
        <v>166500</v>
      </c>
      <c r="E264" s="280">
        <f>C264*D264/100</f>
        <v>137813.715</v>
      </c>
      <c r="F264" s="306">
        <f>MIN(F269-F263,D264)</f>
        <v>166500</v>
      </c>
      <c r="G264" s="280">
        <f>F264*C264/100</f>
        <v>137813.715</v>
      </c>
      <c r="H264" s="263">
        <f>D264-F264</f>
        <v>0</v>
      </c>
      <c r="I264" s="280">
        <f>H264*C264/100</f>
        <v>0</v>
      </c>
      <c r="J264" s="252"/>
      <c r="K264" s="252"/>
      <c r="L264" s="252"/>
      <c r="M264" s="252"/>
      <c r="N264" s="252"/>
      <c r="O264" s="252"/>
      <c r="P264" s="252"/>
      <c r="Q264" s="252"/>
      <c r="R264" s="252"/>
      <c r="S264" s="252"/>
    </row>
    <row r="265" spans="1:19" hidden="1">
      <c r="A265" s="251"/>
      <c r="B265" s="281" t="s">
        <v>389</v>
      </c>
      <c r="C265" s="277">
        <f>F79</f>
        <v>74.888999999999996</v>
      </c>
      <c r="D265" s="263">
        <f>F33</f>
        <v>2699784</v>
      </c>
      <c r="E265" s="280">
        <f>C265*D265/100</f>
        <v>2021841.2397599998</v>
      </c>
      <c r="F265" s="241">
        <f>MIN(F269-F263-F264,D265)</f>
        <v>2699784</v>
      </c>
      <c r="G265" s="228">
        <f>F265*C265/100</f>
        <v>2021841.2397599998</v>
      </c>
      <c r="H265" s="263">
        <f>D265-F265</f>
        <v>0</v>
      </c>
      <c r="I265" s="280">
        <f>H265*C265/100</f>
        <v>0</v>
      </c>
      <c r="J265" s="252"/>
      <c r="K265" s="252"/>
      <c r="L265" s="252"/>
      <c r="M265" s="252"/>
      <c r="N265" s="252"/>
      <c r="O265" s="252"/>
      <c r="P265" s="252"/>
      <c r="Q265" s="252"/>
      <c r="R265" s="252"/>
      <c r="S265" s="252"/>
    </row>
    <row r="266" spans="1:19" hidden="1">
      <c r="A266" s="251"/>
      <c r="B266" s="281" t="s">
        <v>390</v>
      </c>
      <c r="C266" s="277">
        <f>F80</f>
        <v>69.94</v>
      </c>
      <c r="D266" s="263">
        <f>F34</f>
        <v>1805732</v>
      </c>
      <c r="E266" s="280">
        <f>C266*D266/100</f>
        <v>1262928.9608</v>
      </c>
      <c r="F266" s="241">
        <f>MIN(F269-F263-F264-F265,D266)</f>
        <v>1157472</v>
      </c>
      <c r="G266" s="228">
        <f>F266*C266/100</f>
        <v>809535.91679999989</v>
      </c>
      <c r="H266" s="263">
        <f>D266-F266</f>
        <v>648260</v>
      </c>
      <c r="I266" s="280">
        <f>H266*C266/100</f>
        <v>453393.04399999999</v>
      </c>
      <c r="J266" s="252"/>
      <c r="K266" s="252"/>
      <c r="L266" s="252"/>
      <c r="M266" s="252"/>
      <c r="N266" s="252"/>
      <c r="O266" s="252"/>
      <c r="P266" s="252"/>
      <c r="Q266" s="252"/>
      <c r="R266" s="252"/>
      <c r="S266" s="252"/>
    </row>
    <row r="267" spans="1:19" hidden="1">
      <c r="A267" s="251"/>
      <c r="B267" s="281" t="s">
        <v>391</v>
      </c>
      <c r="C267" s="277">
        <f>F81</f>
        <v>62.817</v>
      </c>
      <c r="D267" s="263">
        <f>F35</f>
        <v>993694</v>
      </c>
      <c r="E267" s="280">
        <f>C267*D267/100</f>
        <v>624208.75998000009</v>
      </c>
      <c r="F267" s="241">
        <f>MIN(F269-F263-F264-F265-F266,D267)</f>
        <v>0</v>
      </c>
      <c r="G267" s="228">
        <f>F267*C267/100</f>
        <v>0</v>
      </c>
      <c r="H267" s="263">
        <f>D267-F267</f>
        <v>993694</v>
      </c>
      <c r="I267" s="280">
        <f>H267*C267/100</f>
        <v>624208.75998000009</v>
      </c>
      <c r="J267" s="252"/>
      <c r="K267" s="252"/>
      <c r="L267" s="252"/>
      <c r="M267" s="252"/>
      <c r="N267" s="252"/>
      <c r="O267" s="252"/>
      <c r="P267" s="252"/>
      <c r="Q267" s="252"/>
      <c r="R267" s="252"/>
      <c r="S267" s="252"/>
    </row>
    <row r="268" spans="1:19" hidden="1">
      <c r="A268" s="251"/>
      <c r="B268" s="252"/>
      <c r="C268" s="252"/>
      <c r="D268" s="230"/>
      <c r="E268" s="230"/>
      <c r="F268" s="230"/>
      <c r="G268" s="230"/>
      <c r="H268" s="230"/>
      <c r="I268" s="230"/>
      <c r="J268" s="252"/>
      <c r="K268" s="252"/>
      <c r="L268" s="252"/>
      <c r="M268" s="252"/>
      <c r="N268" s="252"/>
      <c r="O268" s="252"/>
      <c r="P268" s="252"/>
      <c r="Q268" s="252"/>
      <c r="R268" s="252"/>
      <c r="S268" s="252"/>
    </row>
    <row r="269" spans="1:19" hidden="1">
      <c r="A269" s="251"/>
      <c r="B269" s="252" t="s">
        <v>306</v>
      </c>
      <c r="C269" s="252"/>
      <c r="D269" s="263">
        <f>D263+D264+D265+D266+D267</f>
        <v>5832210</v>
      </c>
      <c r="E269" s="280">
        <f>E263+E264+E265+E266+E267</f>
        <v>4130950.10054</v>
      </c>
      <c r="F269" s="286">
        <f>F257</f>
        <v>4190256</v>
      </c>
      <c r="G269" s="280">
        <f>G263+G264+G265+G266+G267</f>
        <v>3053348.2965599997</v>
      </c>
      <c r="H269" s="263">
        <f>H263+H264+H265+H266+H267</f>
        <v>1641954</v>
      </c>
      <c r="I269" s="263">
        <f>I262+I263+I264+I265+I266+I267</f>
        <v>1077601.8039800001</v>
      </c>
      <c r="J269" s="252"/>
      <c r="K269" s="252"/>
      <c r="L269" s="252"/>
      <c r="M269" s="252"/>
      <c r="N269" s="252"/>
      <c r="O269" s="252"/>
      <c r="P269" s="252"/>
      <c r="Q269" s="252"/>
      <c r="R269" s="252"/>
      <c r="S269" s="252"/>
    </row>
    <row r="270" spans="1:19" hidden="1">
      <c r="A270" s="251"/>
      <c r="B270" s="252" t="s">
        <v>382</v>
      </c>
      <c r="C270" s="252"/>
      <c r="D270" s="252"/>
      <c r="E270" s="277">
        <f>E269/D269*100</f>
        <v>70.829927258106267</v>
      </c>
      <c r="F270" s="277"/>
      <c r="G270" s="277">
        <f>G269/F269*100</f>
        <v>72.867822313481554</v>
      </c>
      <c r="H270" s="252"/>
      <c r="I270" s="277">
        <f>I269/H269*100</f>
        <v>65.629232242803397</v>
      </c>
      <c r="J270" s="252"/>
      <c r="K270" s="252"/>
      <c r="L270" s="252"/>
      <c r="M270" s="252"/>
      <c r="N270" s="252"/>
      <c r="O270" s="252"/>
      <c r="P270" s="252"/>
      <c r="Q270" s="252"/>
      <c r="R270" s="252"/>
      <c r="S270" s="252"/>
    </row>
    <row r="271" spans="1:19" hidden="1">
      <c r="A271" s="251"/>
      <c r="B271" s="252"/>
      <c r="C271" s="252"/>
      <c r="D271" s="252"/>
      <c r="E271" s="252"/>
      <c r="F271" s="252"/>
      <c r="G271" s="252"/>
      <c r="H271" s="252"/>
      <c r="I271" s="252"/>
      <c r="J271" s="252"/>
      <c r="K271" s="252"/>
      <c r="L271" s="252"/>
      <c r="M271" s="252"/>
      <c r="N271" s="252"/>
      <c r="O271" s="252"/>
      <c r="P271" s="252"/>
      <c r="Q271" s="252"/>
      <c r="R271" s="252"/>
      <c r="S271" s="252"/>
    </row>
    <row r="272" spans="1:19">
      <c r="A272" s="251"/>
      <c r="B272" s="309" t="s">
        <v>421</v>
      </c>
      <c r="C272" s="252"/>
      <c r="D272" s="252"/>
      <c r="E272" s="252"/>
      <c r="F272" s="252"/>
      <c r="G272" s="252"/>
      <c r="H272" s="252"/>
      <c r="I272" s="252"/>
      <c r="J272" s="252"/>
      <c r="K272" s="252"/>
      <c r="L272" s="252"/>
      <c r="M272" s="252"/>
      <c r="N272" s="252"/>
      <c r="O272" s="252"/>
      <c r="P272" s="252"/>
      <c r="Q272" s="252"/>
      <c r="R272" s="252"/>
      <c r="S272" s="252"/>
    </row>
    <row r="273" spans="1:19">
      <c r="A273" s="251"/>
      <c r="B273" s="310" t="str">
        <f>"12,471 X "&amp;TEXT(F26,"#,##0")&amp;" = "&amp;TEXT(F257,"#,##0")</f>
        <v>12,471 X 336 = 4,190,256</v>
      </c>
      <c r="C273" s="252"/>
      <c r="D273" s="252"/>
      <c r="E273" s="252"/>
      <c r="F273" s="252"/>
      <c r="G273" s="252"/>
      <c r="H273" s="252"/>
      <c r="I273" s="252"/>
      <c r="J273" s="252"/>
      <c r="K273" s="252"/>
      <c r="L273" s="252"/>
      <c r="M273" s="252"/>
      <c r="N273" s="252"/>
      <c r="O273" s="252"/>
      <c r="P273" s="252"/>
      <c r="Q273" s="252"/>
      <c r="R273" s="252"/>
      <c r="S273" s="252"/>
    </row>
    <row r="274" spans="1:19">
      <c r="A274" s="251"/>
      <c r="B274" s="252"/>
      <c r="C274" s="252"/>
      <c r="D274" s="252"/>
      <c r="E274" s="252"/>
      <c r="F274" s="252"/>
      <c r="G274" s="252"/>
      <c r="H274" s="252"/>
      <c r="I274" s="252"/>
      <c r="J274" s="252"/>
      <c r="K274" s="252"/>
      <c r="L274" s="252"/>
      <c r="M274" s="252"/>
      <c r="N274" s="252"/>
      <c r="O274" s="252"/>
      <c r="P274" s="252"/>
      <c r="Q274" s="252"/>
      <c r="R274" s="252"/>
      <c r="S274" s="252"/>
    </row>
    <row r="275" spans="1:19">
      <c r="A275" s="251"/>
      <c r="B275" s="252"/>
      <c r="C275" s="252"/>
      <c r="D275" s="252"/>
      <c r="E275" s="252"/>
      <c r="F275" s="252"/>
      <c r="G275" s="252"/>
      <c r="H275" s="252"/>
      <c r="I275" s="252"/>
      <c r="J275" s="252"/>
      <c r="K275" s="252"/>
      <c r="L275" s="252"/>
      <c r="M275" s="252"/>
      <c r="N275" s="252"/>
      <c r="O275" s="252"/>
      <c r="P275" s="252"/>
      <c r="Q275" s="252"/>
      <c r="R275" s="252"/>
      <c r="S275" s="252"/>
    </row>
    <row r="276" spans="1:19">
      <c r="A276" s="251"/>
      <c r="B276" s="252"/>
      <c r="C276" s="252"/>
      <c r="D276" s="311">
        <f>D195/D48</f>
        <v>0</v>
      </c>
      <c r="E276" s="311">
        <f>E195/E49</f>
        <v>0</v>
      </c>
      <c r="F276" s="311">
        <f>F195/F49</f>
        <v>0</v>
      </c>
      <c r="G276" s="311">
        <f>G195/G48</f>
        <v>0</v>
      </c>
      <c r="H276" s="311">
        <f>H195/H48</f>
        <v>0</v>
      </c>
      <c r="I276" s="280"/>
      <c r="J276" s="252"/>
      <c r="K276" s="252"/>
      <c r="L276" s="252"/>
      <c r="M276" s="252"/>
      <c r="N276" s="252"/>
      <c r="O276" s="252"/>
      <c r="P276" s="252"/>
      <c r="Q276" s="252"/>
      <c r="R276" s="252"/>
      <c r="S276" s="252"/>
    </row>
    <row r="277" spans="1:19">
      <c r="A277" s="251"/>
      <c r="B277" s="252"/>
      <c r="C277" s="252"/>
      <c r="D277" s="263">
        <f>D46/D48</f>
        <v>67.519829770859587</v>
      </c>
      <c r="E277" s="263">
        <f>E46/E49</f>
        <v>1548.5969964491667</v>
      </c>
      <c r="F277" s="263">
        <f>F46/F49</f>
        <v>17068.5625</v>
      </c>
      <c r="G277" s="263">
        <f>G46/G48</f>
        <v>46487.666666666664</v>
      </c>
      <c r="H277" s="263">
        <f>H46/H48</f>
        <v>67061.846491228076</v>
      </c>
      <c r="I277" s="252"/>
      <c r="J277" s="252"/>
      <c r="K277" s="252"/>
      <c r="L277" s="252"/>
      <c r="M277" s="252"/>
      <c r="N277" s="252"/>
      <c r="O277" s="252"/>
      <c r="P277" s="252"/>
      <c r="Q277" s="252"/>
      <c r="R277" s="252"/>
      <c r="S277" s="252"/>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60"/>
  <sheetViews>
    <sheetView workbookViewId="0">
      <selection activeCell="J18" sqref="J18"/>
    </sheetView>
  </sheetViews>
  <sheetFormatPr defaultRowHeight="12.75"/>
  <cols>
    <col min="2" max="2" width="4.7109375" customWidth="1"/>
    <col min="4" max="4" width="13.28515625" customWidth="1"/>
    <col min="5" max="5" width="10.5703125" customWidth="1"/>
    <col min="6" max="6" width="14.85546875" customWidth="1"/>
    <col min="7" max="7" width="11.140625" customWidth="1"/>
    <col min="8" max="8" width="10.28515625" customWidth="1"/>
    <col min="9" max="9" width="4.7109375" customWidth="1"/>
  </cols>
  <sheetData>
    <row r="1" spans="1:7">
      <c r="A1" s="70" t="s">
        <v>424</v>
      </c>
      <c r="G1" s="70" t="s">
        <v>197</v>
      </c>
    </row>
    <row r="3" spans="1:7">
      <c r="D3" s="40">
        <v>2016</v>
      </c>
    </row>
    <row r="4" spans="1:7">
      <c r="A4" s="70" t="s">
        <v>193</v>
      </c>
      <c r="D4" s="41" t="s">
        <v>192</v>
      </c>
    </row>
    <row r="5" spans="1:7">
      <c r="A5" t="s">
        <v>169</v>
      </c>
      <c r="D5" s="101">
        <v>119462330.63324322</v>
      </c>
      <c r="E5" s="40" t="s">
        <v>425</v>
      </c>
    </row>
    <row r="6" spans="1:7">
      <c r="A6" t="s">
        <v>170</v>
      </c>
      <c r="D6" s="101">
        <v>47624382.497314692</v>
      </c>
      <c r="E6" s="40" t="s">
        <v>426</v>
      </c>
    </row>
    <row r="7" spans="1:7">
      <c r="A7" t="s">
        <v>171</v>
      </c>
      <c r="D7" s="101">
        <v>5939603.5239413138</v>
      </c>
      <c r="E7" s="40" t="s">
        <v>427</v>
      </c>
    </row>
    <row r="8" spans="1:7">
      <c r="A8" t="s">
        <v>172</v>
      </c>
      <c r="D8" s="101">
        <v>1252782.6386017113</v>
      </c>
      <c r="E8" s="40" t="s">
        <v>428</v>
      </c>
    </row>
    <row r="9" spans="1:7">
      <c r="A9" t="s">
        <v>173</v>
      </c>
      <c r="D9" s="101">
        <v>30484400.609234795</v>
      </c>
      <c r="E9" s="40" t="s">
        <v>429</v>
      </c>
    </row>
    <row r="10" spans="1:7">
      <c r="A10" t="s">
        <v>174</v>
      </c>
      <c r="D10" s="101">
        <v>47057044</v>
      </c>
      <c r="E10" s="40" t="s">
        <v>430</v>
      </c>
    </row>
    <row r="11" spans="1:7">
      <c r="A11" t="s">
        <v>175</v>
      </c>
      <c r="D11" s="101">
        <v>55305993.510589242</v>
      </c>
      <c r="E11" s="40" t="s">
        <v>431</v>
      </c>
    </row>
    <row r="12" spans="1:7">
      <c r="A12" t="s">
        <v>176</v>
      </c>
      <c r="D12" s="101">
        <v>23547561.306628376</v>
      </c>
      <c r="E12" s="40" t="s">
        <v>432</v>
      </c>
    </row>
    <row r="13" spans="1:7">
      <c r="A13" t="s">
        <v>177</v>
      </c>
      <c r="D13" s="101">
        <v>235774.13823051512</v>
      </c>
      <c r="E13" s="40" t="s">
        <v>433</v>
      </c>
    </row>
    <row r="14" spans="1:7">
      <c r="A14" t="s">
        <v>178</v>
      </c>
      <c r="D14" s="101">
        <v>2974782</v>
      </c>
      <c r="E14" s="40" t="s">
        <v>434</v>
      </c>
    </row>
    <row r="15" spans="1:7">
      <c r="A15" t="s">
        <v>179</v>
      </c>
      <c r="D15" s="101">
        <v>1938513.4686099577</v>
      </c>
      <c r="E15" s="40" t="s">
        <v>435</v>
      </c>
    </row>
    <row r="16" spans="1:7">
      <c r="A16" t="s">
        <v>180</v>
      </c>
      <c r="D16" s="101">
        <v>39459747.468320042</v>
      </c>
      <c r="E16" s="40" t="s">
        <v>436</v>
      </c>
    </row>
    <row r="17" spans="1:5">
      <c r="A17" t="s">
        <v>181</v>
      </c>
      <c r="D17" s="101">
        <v>49018942.147681557</v>
      </c>
      <c r="E17" s="40" t="s">
        <v>437</v>
      </c>
    </row>
    <row r="18" spans="1:5">
      <c r="A18" t="s">
        <v>182</v>
      </c>
      <c r="D18" s="101">
        <v>26621407.537486605</v>
      </c>
      <c r="E18" s="40" t="s">
        <v>438</v>
      </c>
    </row>
    <row r="19" spans="1:5">
      <c r="A19" t="s">
        <v>183</v>
      </c>
      <c r="D19" s="101">
        <v>4588281.1213198705</v>
      </c>
      <c r="E19" s="40" t="s">
        <v>439</v>
      </c>
    </row>
    <row r="20" spans="1:5">
      <c r="A20" t="s">
        <v>184</v>
      </c>
      <c r="D20" s="101">
        <v>3975022.8776251576</v>
      </c>
      <c r="E20" s="40" t="s">
        <v>440</v>
      </c>
    </row>
    <row r="21" spans="1:5">
      <c r="A21" t="s">
        <v>185</v>
      </c>
      <c r="D21" s="101">
        <v>258498.47033765676</v>
      </c>
      <c r="E21" s="40" t="s">
        <v>441</v>
      </c>
    </row>
    <row r="22" spans="1:5">
      <c r="A22" t="s">
        <v>186</v>
      </c>
      <c r="D22" s="101">
        <v>8658756</v>
      </c>
      <c r="E22" s="40" t="s">
        <v>442</v>
      </c>
    </row>
    <row r="23" spans="1:5">
      <c r="A23" t="s">
        <v>187</v>
      </c>
      <c r="D23" s="101">
        <v>38460264.379730739</v>
      </c>
      <c r="E23" s="40" t="s">
        <v>443</v>
      </c>
    </row>
    <row r="24" spans="1:5">
      <c r="D24" s="101"/>
      <c r="E24" s="40"/>
    </row>
    <row r="25" spans="1:5">
      <c r="A25" s="70" t="s">
        <v>194</v>
      </c>
      <c r="D25" s="101"/>
      <c r="E25" s="40"/>
    </row>
    <row r="26" spans="1:5">
      <c r="A26" t="s">
        <v>188</v>
      </c>
      <c r="D26" s="101">
        <f>SUM(D5:D10)</f>
        <v>251820543.9023357</v>
      </c>
      <c r="E26" s="40" t="s">
        <v>444</v>
      </c>
    </row>
    <row r="27" spans="1:5">
      <c r="A27" t="s">
        <v>189</v>
      </c>
      <c r="D27" s="101">
        <f>SUM(D11:D16)</f>
        <v>123462371.89237814</v>
      </c>
      <c r="E27" s="40" t="s">
        <v>445</v>
      </c>
    </row>
    <row r="28" spans="1:5">
      <c r="A28" t="s">
        <v>190</v>
      </c>
      <c r="D28" s="101">
        <f>SUM(D17:D23)</f>
        <v>131581172.53418159</v>
      </c>
      <c r="E28" s="40" t="s">
        <v>446</v>
      </c>
    </row>
    <row r="29" spans="1:5">
      <c r="D29" s="101"/>
      <c r="E29" s="40"/>
    </row>
    <row r="30" spans="1:5" ht="11.25" customHeight="1">
      <c r="A30" t="s">
        <v>191</v>
      </c>
      <c r="D30" s="101">
        <f>SUM(D26:D28)</f>
        <v>506864088.32889545</v>
      </c>
      <c r="E30" s="40" t="s">
        <v>447</v>
      </c>
    </row>
    <row r="33" spans="1:7">
      <c r="D33" s="40">
        <v>2016</v>
      </c>
      <c r="F33" s="40">
        <v>2016</v>
      </c>
    </row>
    <row r="34" spans="1:7">
      <c r="A34" s="70" t="s">
        <v>193</v>
      </c>
      <c r="D34" s="41" t="s">
        <v>195</v>
      </c>
      <c r="F34" s="70" t="s">
        <v>196</v>
      </c>
    </row>
    <row r="35" spans="1:7">
      <c r="A35" t="s">
        <v>169</v>
      </c>
      <c r="D35" s="325">
        <v>152348.46600833334</v>
      </c>
      <c r="F35" s="100">
        <f>D35*12</f>
        <v>1828181.5921</v>
      </c>
      <c r="G35" s="41" t="s">
        <v>449</v>
      </c>
    </row>
    <row r="36" spans="1:7">
      <c r="A36" t="s">
        <v>170</v>
      </c>
      <c r="D36" s="325">
        <v>2614.4773749999999</v>
      </c>
      <c r="F36" s="100">
        <f t="shared" ref="F36:F60" si="0">D36*12</f>
        <v>31373.728499999997</v>
      </c>
      <c r="G36" s="41" t="s">
        <v>450</v>
      </c>
    </row>
    <row r="37" spans="1:7">
      <c r="A37" t="s">
        <v>171</v>
      </c>
      <c r="D37" s="325">
        <v>28.23142616675948</v>
      </c>
      <c r="F37" s="100">
        <f t="shared" si="0"/>
        <v>338.77711400111377</v>
      </c>
      <c r="G37" s="41" t="s">
        <v>451</v>
      </c>
    </row>
    <row r="38" spans="1:7">
      <c r="A38" t="s">
        <v>172</v>
      </c>
      <c r="D38" s="325">
        <v>2</v>
      </c>
      <c r="F38" s="100">
        <f t="shared" si="0"/>
        <v>24</v>
      </c>
      <c r="G38" s="41" t="s">
        <v>452</v>
      </c>
    </row>
    <row r="39" spans="1:7">
      <c r="A39" t="s">
        <v>173</v>
      </c>
      <c r="D39" s="325">
        <v>42.984122353374509</v>
      </c>
      <c r="F39" s="100">
        <f t="shared" si="0"/>
        <v>515.80946824049408</v>
      </c>
      <c r="G39" s="41" t="s">
        <v>453</v>
      </c>
    </row>
    <row r="40" spans="1:7">
      <c r="A40" t="s">
        <v>174</v>
      </c>
      <c r="D40" s="325">
        <v>5.4751614567764477</v>
      </c>
      <c r="F40" s="100">
        <f t="shared" si="0"/>
        <v>65.701937481317373</v>
      </c>
      <c r="G40" s="41" t="s">
        <v>454</v>
      </c>
    </row>
    <row r="41" spans="1:7">
      <c r="A41" t="s">
        <v>175</v>
      </c>
      <c r="D41" s="325">
        <v>77779.85454568667</v>
      </c>
      <c r="F41" s="100">
        <f t="shared" si="0"/>
        <v>933358.25454823999</v>
      </c>
      <c r="G41" s="41" t="s">
        <v>455</v>
      </c>
    </row>
    <row r="42" spans="1:7">
      <c r="A42" t="s">
        <v>176</v>
      </c>
      <c r="D42" s="325">
        <v>1405.9290556080352</v>
      </c>
      <c r="F42" s="100">
        <f t="shared" si="0"/>
        <v>16871.148667296424</v>
      </c>
      <c r="G42" s="41" t="s">
        <v>456</v>
      </c>
    </row>
    <row r="43" spans="1:7">
      <c r="A43" t="s">
        <v>177</v>
      </c>
      <c r="D43" s="325">
        <v>1</v>
      </c>
      <c r="F43" s="100">
        <f t="shared" si="0"/>
        <v>12</v>
      </c>
      <c r="G43" s="41" t="s">
        <v>457</v>
      </c>
    </row>
    <row r="44" spans="1:7">
      <c r="A44" t="s">
        <v>178</v>
      </c>
      <c r="D44" s="325">
        <v>6</v>
      </c>
      <c r="F44" s="100">
        <f t="shared" si="0"/>
        <v>72</v>
      </c>
      <c r="G44" s="41" t="s">
        <v>458</v>
      </c>
    </row>
    <row r="45" spans="1:7">
      <c r="A45" t="s">
        <v>179</v>
      </c>
      <c r="D45" s="325">
        <v>1.2559464254156472</v>
      </c>
      <c r="F45" s="100">
        <f t="shared" si="0"/>
        <v>15.071357104987765</v>
      </c>
      <c r="G45" s="41" t="s">
        <v>459</v>
      </c>
    </row>
    <row r="46" spans="1:7">
      <c r="A46" t="s">
        <v>180</v>
      </c>
      <c r="D46" s="325">
        <v>1</v>
      </c>
      <c r="F46" s="100">
        <f t="shared" si="0"/>
        <v>12</v>
      </c>
      <c r="G46" s="41" t="s">
        <v>460</v>
      </c>
    </row>
    <row r="47" spans="1:7">
      <c r="A47" t="s">
        <v>181</v>
      </c>
      <c r="D47" s="325">
        <v>87064.704186120274</v>
      </c>
      <c r="F47" s="100">
        <f t="shared" si="0"/>
        <v>1044776.4502334433</v>
      </c>
      <c r="G47" s="41" t="s">
        <v>461</v>
      </c>
    </row>
    <row r="48" spans="1:7">
      <c r="A48" t="s">
        <v>182</v>
      </c>
      <c r="D48" s="325">
        <v>11416.257039637139</v>
      </c>
      <c r="F48" s="100">
        <f t="shared" si="0"/>
        <v>136995.08447564568</v>
      </c>
      <c r="G48" s="41" t="s">
        <v>462</v>
      </c>
    </row>
    <row r="49" spans="1:7">
      <c r="A49" t="s">
        <v>183</v>
      </c>
      <c r="D49" s="325">
        <v>82.795433615969401</v>
      </c>
      <c r="F49" s="100">
        <f t="shared" si="0"/>
        <v>993.54520339163287</v>
      </c>
      <c r="G49" s="41" t="s">
        <v>463</v>
      </c>
    </row>
    <row r="50" spans="1:7">
      <c r="A50" t="s">
        <v>184</v>
      </c>
      <c r="D50" s="325">
        <v>34.662696736553443</v>
      </c>
      <c r="F50" s="100">
        <f t="shared" si="0"/>
        <v>415.95236083864131</v>
      </c>
      <c r="G50" s="41" t="s">
        <v>464</v>
      </c>
    </row>
    <row r="51" spans="1:7">
      <c r="A51" t="s">
        <v>185</v>
      </c>
      <c r="D51" s="325">
        <v>3.4166666666666665</v>
      </c>
      <c r="F51" s="100">
        <f t="shared" si="0"/>
        <v>41</v>
      </c>
      <c r="G51" s="41" t="s">
        <v>465</v>
      </c>
    </row>
    <row r="52" spans="1:7">
      <c r="A52" t="s">
        <v>186</v>
      </c>
      <c r="D52" s="325">
        <v>3</v>
      </c>
      <c r="F52" s="100">
        <f t="shared" si="0"/>
        <v>36</v>
      </c>
      <c r="G52" s="41" t="s">
        <v>466</v>
      </c>
    </row>
    <row r="53" spans="1:7">
      <c r="A53" t="s">
        <v>187</v>
      </c>
      <c r="D53" s="325">
        <v>35.038620746051457</v>
      </c>
      <c r="F53" s="100">
        <f t="shared" si="0"/>
        <v>420.46344895261745</v>
      </c>
      <c r="G53" s="41" t="s">
        <v>467</v>
      </c>
    </row>
    <row r="54" spans="1:7">
      <c r="D54" s="101"/>
      <c r="F54" s="100"/>
      <c r="G54" s="40"/>
    </row>
    <row r="55" spans="1:7">
      <c r="A55" s="70" t="s">
        <v>194</v>
      </c>
      <c r="D55" s="101"/>
      <c r="F55" s="100"/>
      <c r="G55" s="40"/>
    </row>
    <row r="56" spans="1:7">
      <c r="A56" t="s">
        <v>188</v>
      </c>
      <c r="D56" s="101">
        <f>SUM(D35:D40)</f>
        <v>155041.63409331022</v>
      </c>
      <c r="F56" s="100">
        <f t="shared" si="0"/>
        <v>1860499.6091197226</v>
      </c>
      <c r="G56" s="41" t="s">
        <v>468</v>
      </c>
    </row>
    <row r="57" spans="1:7">
      <c r="A57" t="s">
        <v>189</v>
      </c>
      <c r="D57" s="101">
        <f>SUM(D41:D46)</f>
        <v>79195.039547720124</v>
      </c>
      <c r="F57" s="100">
        <f t="shared" si="0"/>
        <v>950340.47457264154</v>
      </c>
      <c r="G57" s="41" t="s">
        <v>469</v>
      </c>
    </row>
    <row r="58" spans="1:7">
      <c r="A58" t="s">
        <v>190</v>
      </c>
      <c r="D58" s="101">
        <f>SUM(D47:D53)</f>
        <v>98639.874643522679</v>
      </c>
      <c r="F58" s="100">
        <f t="shared" si="0"/>
        <v>1183678.4957222722</v>
      </c>
      <c r="G58" s="41" t="s">
        <v>470</v>
      </c>
    </row>
    <row r="59" spans="1:7">
      <c r="D59" s="101"/>
      <c r="F59" s="100">
        <f t="shared" si="0"/>
        <v>0</v>
      </c>
      <c r="G59" s="40"/>
    </row>
    <row r="60" spans="1:7">
      <c r="A60" t="s">
        <v>191</v>
      </c>
      <c r="D60" s="101">
        <f>SUM(D56:D58)</f>
        <v>332876.54828455299</v>
      </c>
      <c r="F60" s="100">
        <f t="shared" si="0"/>
        <v>3994518.5794146359</v>
      </c>
      <c r="G60" s="41" t="s">
        <v>471</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R65"/>
  <sheetViews>
    <sheetView workbookViewId="0">
      <pane xSplit="9345" ySplit="6600" topLeftCell="AE43" activePane="topRight"/>
      <selection activeCell="J18" sqref="J18"/>
      <selection pane="topRight" activeCell="J18" sqref="J18"/>
      <selection pane="bottomLeft" activeCell="J18" sqref="J18"/>
      <selection pane="bottomRight" activeCell="J18" sqref="J18"/>
    </sheetView>
  </sheetViews>
  <sheetFormatPr defaultRowHeight="12.75"/>
  <cols>
    <col min="1" max="1" width="5.7109375" style="22" customWidth="1"/>
    <col min="2" max="3" width="1.7109375" style="3" customWidth="1"/>
    <col min="4" max="4" width="23.28515625" style="3" customWidth="1"/>
    <col min="5" max="5" width="9" style="128" customWidth="1"/>
    <col min="6" max="6" width="3.85546875" style="128"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28"/>
  </cols>
  <sheetData>
    <row r="1" spans="1:44">
      <c r="A1" s="2" t="s">
        <v>43</v>
      </c>
    </row>
    <row r="2" spans="1:44">
      <c r="A2" s="2" t="s">
        <v>48</v>
      </c>
    </row>
    <row r="3" spans="1:44">
      <c r="A3" s="2" t="s">
        <v>55</v>
      </c>
      <c r="I3" s="112"/>
      <c r="M3" s="112"/>
    </row>
    <row r="4" spans="1:44">
      <c r="A4" s="2" t="s">
        <v>39</v>
      </c>
      <c r="B4" s="2"/>
      <c r="C4" s="2"/>
      <c r="D4" s="2"/>
      <c r="I4" s="112"/>
      <c r="M4" s="112"/>
    </row>
    <row r="5" spans="1:44">
      <c r="A5" s="2"/>
      <c r="G5" s="47"/>
      <c r="H5" s="112"/>
      <c r="I5" s="47"/>
      <c r="J5" s="112"/>
      <c r="K5" s="47"/>
      <c r="L5" s="112"/>
      <c r="M5" s="47"/>
      <c r="N5" s="112"/>
      <c r="O5" s="47"/>
      <c r="P5" s="112"/>
      <c r="Q5" s="47"/>
      <c r="R5" s="112"/>
      <c r="S5" s="47"/>
      <c r="T5" s="112"/>
      <c r="U5" s="47"/>
      <c r="V5" s="112"/>
      <c r="W5" s="55"/>
      <c r="X5" s="47"/>
      <c r="Y5" s="112"/>
      <c r="Z5" s="112"/>
      <c r="AA5" s="47"/>
      <c r="AD5" s="47"/>
      <c r="AG5" s="47"/>
      <c r="AJ5" s="47"/>
      <c r="AK5" s="112"/>
      <c r="AL5" s="55"/>
      <c r="AM5" s="47"/>
      <c r="AN5" s="112"/>
      <c r="AO5" s="55"/>
      <c r="AP5" s="47"/>
      <c r="AQ5" s="112"/>
      <c r="AR5" s="376" t="s">
        <v>498</v>
      </c>
    </row>
    <row r="6" spans="1:44">
      <c r="A6" s="5"/>
      <c r="B6" s="6"/>
      <c r="C6" s="6"/>
      <c r="D6" s="6"/>
      <c r="G6" s="48">
        <v>2000</v>
      </c>
      <c r="H6" s="121"/>
      <c r="I6" s="48">
        <v>2001</v>
      </c>
      <c r="J6" s="121"/>
      <c r="K6" s="48">
        <v>2002</v>
      </c>
      <c r="L6" s="121"/>
      <c r="M6" s="48">
        <v>2003</v>
      </c>
      <c r="N6" s="121"/>
      <c r="O6" s="65" t="s">
        <v>68</v>
      </c>
      <c r="P6" s="119"/>
      <c r="Q6" s="48">
        <v>2005</v>
      </c>
      <c r="R6" s="121"/>
      <c r="S6" s="65" t="s">
        <v>69</v>
      </c>
      <c r="T6" s="119"/>
      <c r="U6" s="48" t="s">
        <v>65</v>
      </c>
      <c r="V6" s="56"/>
      <c r="W6" s="113"/>
      <c r="X6" s="48" t="s">
        <v>64</v>
      </c>
      <c r="Y6" s="113"/>
      <c r="Z6" s="113"/>
      <c r="AA6" s="48" t="s">
        <v>63</v>
      </c>
      <c r="AB6" s="42"/>
      <c r="AC6" s="42"/>
      <c r="AD6" s="48" t="s">
        <v>62</v>
      </c>
      <c r="AE6" s="42"/>
      <c r="AF6" s="42"/>
      <c r="AG6" s="48" t="s">
        <v>60</v>
      </c>
      <c r="AH6" s="42"/>
      <c r="AI6" s="42"/>
      <c r="AJ6" s="585" t="s">
        <v>134</v>
      </c>
      <c r="AK6" s="586"/>
      <c r="AL6" s="587"/>
      <c r="AM6" s="585" t="s">
        <v>394</v>
      </c>
      <c r="AN6" s="586"/>
      <c r="AO6" s="587"/>
      <c r="AP6" s="585" t="s">
        <v>482</v>
      </c>
      <c r="AQ6" s="586"/>
      <c r="AR6" s="587"/>
    </row>
    <row r="7" spans="1:44">
      <c r="A7" s="8"/>
      <c r="B7" s="9"/>
      <c r="C7" s="10"/>
      <c r="D7" s="11"/>
      <c r="G7" s="49"/>
      <c r="H7" s="120"/>
      <c r="I7" s="49"/>
      <c r="J7" s="120"/>
      <c r="K7" s="49"/>
      <c r="L7" s="120"/>
      <c r="M7" s="49"/>
      <c r="N7" s="120"/>
      <c r="O7" s="49"/>
      <c r="P7" s="120"/>
      <c r="Q7" s="49"/>
      <c r="R7" s="120"/>
      <c r="S7" s="49"/>
      <c r="T7" s="120"/>
      <c r="U7" s="49"/>
      <c r="V7" s="114" t="s">
        <v>57</v>
      </c>
      <c r="W7" s="57"/>
      <c r="X7" s="49"/>
      <c r="Y7" s="114" t="s">
        <v>57</v>
      </c>
      <c r="Z7" s="57"/>
      <c r="AA7" s="49"/>
      <c r="AB7" s="41" t="s">
        <v>57</v>
      </c>
      <c r="AC7" s="41"/>
      <c r="AD7" s="49"/>
      <c r="AE7" s="41" t="s">
        <v>57</v>
      </c>
      <c r="AF7" s="41"/>
      <c r="AG7" s="49"/>
      <c r="AH7" s="41" t="s">
        <v>57</v>
      </c>
      <c r="AI7" s="41"/>
      <c r="AJ7" s="49"/>
      <c r="AK7" s="114" t="s">
        <v>57</v>
      </c>
      <c r="AL7" s="55"/>
      <c r="AM7" s="49"/>
      <c r="AN7" s="114" t="s">
        <v>57</v>
      </c>
      <c r="AO7" s="55"/>
      <c r="AP7" s="49"/>
      <c r="AQ7" s="114" t="s">
        <v>57</v>
      </c>
      <c r="AR7" s="364"/>
    </row>
    <row r="8" spans="1:44">
      <c r="A8" s="12" t="s">
        <v>0</v>
      </c>
      <c r="B8" s="13"/>
      <c r="C8" s="14"/>
      <c r="D8" s="15"/>
      <c r="G8" s="50" t="s">
        <v>57</v>
      </c>
      <c r="H8" s="114" t="s">
        <v>57</v>
      </c>
      <c r="I8" s="50" t="s">
        <v>57</v>
      </c>
      <c r="J8" s="114" t="s">
        <v>57</v>
      </c>
      <c r="K8" s="50" t="s">
        <v>57</v>
      </c>
      <c r="L8" s="114" t="s">
        <v>57</v>
      </c>
      <c r="M8" s="50" t="s">
        <v>57</v>
      </c>
      <c r="N8" s="114" t="s">
        <v>57</v>
      </c>
      <c r="O8" s="50" t="s">
        <v>57</v>
      </c>
      <c r="P8" s="114" t="s">
        <v>57</v>
      </c>
      <c r="Q8" s="50" t="s">
        <v>57</v>
      </c>
      <c r="R8" s="114" t="s">
        <v>57</v>
      </c>
      <c r="S8" s="50" t="s">
        <v>57</v>
      </c>
      <c r="T8" s="114" t="s">
        <v>57</v>
      </c>
      <c r="U8" s="50" t="s">
        <v>57</v>
      </c>
      <c r="V8" s="114" t="s">
        <v>61</v>
      </c>
      <c r="W8" s="114" t="s">
        <v>57</v>
      </c>
      <c r="X8" s="50" t="s">
        <v>57</v>
      </c>
      <c r="Y8" s="114" t="s">
        <v>61</v>
      </c>
      <c r="Z8" s="114" t="s">
        <v>57</v>
      </c>
      <c r="AA8" s="50" t="s">
        <v>57</v>
      </c>
      <c r="AB8" s="114" t="s">
        <v>61</v>
      </c>
      <c r="AC8" s="114" t="s">
        <v>57</v>
      </c>
      <c r="AD8" s="50" t="s">
        <v>57</v>
      </c>
      <c r="AE8" s="114" t="s">
        <v>61</v>
      </c>
      <c r="AF8" s="114" t="s">
        <v>57</v>
      </c>
      <c r="AG8" s="50" t="s">
        <v>57</v>
      </c>
      <c r="AH8" s="114" t="s">
        <v>61</v>
      </c>
      <c r="AI8" s="114" t="s">
        <v>57</v>
      </c>
      <c r="AJ8" s="50" t="s">
        <v>57</v>
      </c>
      <c r="AK8" s="114" t="s">
        <v>61</v>
      </c>
      <c r="AL8" s="57" t="s">
        <v>57</v>
      </c>
      <c r="AM8" s="50" t="s">
        <v>57</v>
      </c>
      <c r="AN8" s="114" t="s">
        <v>61</v>
      </c>
      <c r="AO8" s="57" t="s">
        <v>57</v>
      </c>
      <c r="AP8" s="50" t="s">
        <v>57</v>
      </c>
      <c r="AQ8" s="114" t="s">
        <v>61</v>
      </c>
      <c r="AR8" s="365" t="s">
        <v>57</v>
      </c>
    </row>
    <row r="9" spans="1:44">
      <c r="A9" s="17" t="s">
        <v>2</v>
      </c>
      <c r="B9" s="18"/>
      <c r="C9" s="19"/>
      <c r="D9" s="20" t="s">
        <v>3</v>
      </c>
      <c r="E9" s="130" t="s">
        <v>56</v>
      </c>
      <c r="F9" s="130"/>
      <c r="G9" s="51" t="s">
        <v>58</v>
      </c>
      <c r="H9" s="115" t="s">
        <v>157</v>
      </c>
      <c r="I9" s="51" t="s">
        <v>58</v>
      </c>
      <c r="J9" s="115" t="s">
        <v>157</v>
      </c>
      <c r="K9" s="51" t="s">
        <v>58</v>
      </c>
      <c r="L9" s="115" t="s">
        <v>157</v>
      </c>
      <c r="M9" s="51" t="s">
        <v>58</v>
      </c>
      <c r="N9" s="115" t="s">
        <v>157</v>
      </c>
      <c r="O9" s="51" t="s">
        <v>58</v>
      </c>
      <c r="P9" s="115" t="s">
        <v>157</v>
      </c>
      <c r="Q9" s="51" t="s">
        <v>58</v>
      </c>
      <c r="R9" s="115" t="s">
        <v>157</v>
      </c>
      <c r="S9" s="51" t="s">
        <v>58</v>
      </c>
      <c r="T9" s="115" t="s">
        <v>157</v>
      </c>
      <c r="U9" s="51" t="s">
        <v>58</v>
      </c>
      <c r="V9" s="115" t="s">
        <v>59</v>
      </c>
      <c r="W9" s="115" t="s">
        <v>157</v>
      </c>
      <c r="X9" s="51" t="s">
        <v>58</v>
      </c>
      <c r="Y9" s="115" t="s">
        <v>59</v>
      </c>
      <c r="Z9" s="115" t="s">
        <v>157</v>
      </c>
      <c r="AA9" s="51" t="s">
        <v>58</v>
      </c>
      <c r="AB9" s="115" t="s">
        <v>59</v>
      </c>
      <c r="AC9" s="115" t="s">
        <v>157</v>
      </c>
      <c r="AD9" s="51" t="s">
        <v>58</v>
      </c>
      <c r="AE9" s="115" t="s">
        <v>59</v>
      </c>
      <c r="AF9" s="115" t="s">
        <v>157</v>
      </c>
      <c r="AG9" s="51" t="s">
        <v>58</v>
      </c>
      <c r="AH9" s="115" t="s">
        <v>59</v>
      </c>
      <c r="AI9" s="115" t="s">
        <v>157</v>
      </c>
      <c r="AJ9" s="51" t="s">
        <v>58</v>
      </c>
      <c r="AK9" s="115" t="s">
        <v>59</v>
      </c>
      <c r="AL9" s="58" t="s">
        <v>157</v>
      </c>
      <c r="AM9" s="51" t="s">
        <v>58</v>
      </c>
      <c r="AN9" s="115" t="s">
        <v>59</v>
      </c>
      <c r="AO9" s="58" t="s">
        <v>157</v>
      </c>
      <c r="AP9" s="51" t="s">
        <v>58</v>
      </c>
      <c r="AQ9" s="115" t="s">
        <v>59</v>
      </c>
      <c r="AR9" s="366" t="s">
        <v>157</v>
      </c>
    </row>
    <row r="10" spans="1:44">
      <c r="B10" s="3" t="s">
        <v>6</v>
      </c>
      <c r="G10" s="47"/>
      <c r="H10" s="112"/>
      <c r="I10" s="47"/>
      <c r="J10" s="112"/>
      <c r="K10" s="47"/>
      <c r="L10" s="112"/>
      <c r="M10" s="47"/>
      <c r="N10" s="112"/>
      <c r="O10" s="47"/>
      <c r="P10" s="112"/>
      <c r="Q10" s="47"/>
      <c r="R10" s="112"/>
      <c r="S10" s="47"/>
      <c r="T10" s="112"/>
      <c r="U10" s="47"/>
      <c r="V10" s="112"/>
      <c r="W10" s="112"/>
      <c r="X10" s="47"/>
      <c r="Y10" s="112"/>
      <c r="Z10" s="112"/>
      <c r="AA10" s="47"/>
      <c r="AD10" s="47"/>
      <c r="AG10" s="47"/>
      <c r="AJ10" s="47"/>
      <c r="AK10" s="112"/>
      <c r="AL10" s="55"/>
      <c r="AM10" s="47"/>
      <c r="AN10" s="112"/>
      <c r="AO10" s="55"/>
      <c r="AP10" s="47"/>
      <c r="AQ10" s="112"/>
      <c r="AR10" s="364"/>
    </row>
    <row r="11" spans="1:44">
      <c r="A11" s="22">
        <v>1</v>
      </c>
      <c r="B11" s="23" t="s">
        <v>7</v>
      </c>
      <c r="C11" s="23"/>
      <c r="D11" s="23"/>
      <c r="E11" s="145">
        <f>ROR!F35</f>
        <v>0.95433199999999996</v>
      </c>
      <c r="F11" s="145"/>
      <c r="G11" s="52">
        <f>ROUND(G36/$E11,0)</f>
        <v>0</v>
      </c>
      <c r="H11" s="116">
        <f>ROUND((H21-H13)/$E11,0)</f>
        <v>-60123</v>
      </c>
      <c r="I11" s="52">
        <f>ROUND(I36/$E11,0)</f>
        <v>-994</v>
      </c>
      <c r="J11" s="116">
        <f>ROUND((J21-J13)/$E11,0)</f>
        <v>-111895</v>
      </c>
      <c r="K11" s="52">
        <f>ROUND(K36/$E11,0)-1</f>
        <v>-1778</v>
      </c>
      <c r="L11" s="116">
        <f>ROUND((L21-L13)/$E11,0)+1</f>
        <v>-115499</v>
      </c>
      <c r="M11" s="52">
        <f>ROUND(M36/$E11,0)+1</f>
        <v>-2125</v>
      </c>
      <c r="N11" s="116">
        <f>ROUND((N21-N13)/$E11,0)+0</f>
        <v>-101771</v>
      </c>
      <c r="O11" s="52">
        <f>ROUND(O36/$E11,0)</f>
        <v>0</v>
      </c>
      <c r="P11" s="116">
        <f>ROUND((P21-P13)/$E11,0)-1</f>
        <v>-119845</v>
      </c>
      <c r="Q11" s="52">
        <f>ROUND(Q36/$E11,0)</f>
        <v>-2978</v>
      </c>
      <c r="R11" s="116">
        <f>ROUND((R21-R13)/$E11,0)-1</f>
        <v>-136756</v>
      </c>
      <c r="S11" s="52">
        <f>ROUND(S36/$E11,0)</f>
        <v>0</v>
      </c>
      <c r="T11" s="116">
        <f>ROUND((T21-T13)/$E11,0)+1</f>
        <v>-156970</v>
      </c>
      <c r="U11" s="52">
        <f>ROUND(U36/$E11,0)</f>
        <v>-4019</v>
      </c>
      <c r="V11" s="116">
        <f>ROUND(V41/$E11,0)+1</f>
        <v>-88</v>
      </c>
      <c r="W11" s="116">
        <f>ROUND((W21-W13)/$E11,0)</f>
        <v>-163424</v>
      </c>
      <c r="X11" s="52">
        <f>ROUND(X36/$E11,0)</f>
        <v>-4591</v>
      </c>
      <c r="Y11" s="116">
        <f>ROUND(Y41/$E11,0)+1</f>
        <v>-452</v>
      </c>
      <c r="Z11" s="116">
        <f>ROUND((Z21-Z13)/$E11,0)-1</f>
        <v>-154427</v>
      </c>
      <c r="AA11" s="52">
        <f>ROUND(AA36/$E11,0)+0</f>
        <v>-7101</v>
      </c>
      <c r="AB11" s="44">
        <f>ROUND(AB41/$E11,0)+1</f>
        <v>-743</v>
      </c>
      <c r="AC11" s="116">
        <f>ROUND((AC21-AC13)/$E11,0)-1</f>
        <v>-126787</v>
      </c>
      <c r="AD11" s="52">
        <f>ROUND(AD36/$E11,0)-0</f>
        <v>-8819</v>
      </c>
      <c r="AE11" s="44">
        <f>ROUND(AE41/$E11,0)-0</f>
        <v>-518</v>
      </c>
      <c r="AF11" s="116">
        <f>ROUND((AF21-AF13)/$E11,0)-1</f>
        <v>-82759</v>
      </c>
      <c r="AG11" s="52">
        <f>ROUND(AG36/$E11,0)+0</f>
        <v>-9381</v>
      </c>
      <c r="AH11" s="44">
        <f>ROUND(AH41/$E11,0)-0</f>
        <v>-518</v>
      </c>
      <c r="AI11" s="116">
        <f>ROUND((AI21-AI13)/$E11,0)+1</f>
        <v>-88061</v>
      </c>
      <c r="AJ11" s="52">
        <f>ROUND(AJ36/$E11,0)</f>
        <v>-6226</v>
      </c>
      <c r="AK11" s="116">
        <f>ROUND(AK41/$E11,0)+1</f>
        <v>-191</v>
      </c>
      <c r="AL11" s="59">
        <f>ROUND((AL21-AL13)/$E11,0)</f>
        <v>-78385</v>
      </c>
      <c r="AM11" s="52">
        <f>ROUND(AM36/$E11,0)</f>
        <v>0</v>
      </c>
      <c r="AN11" s="116">
        <f>ROUND(AN41/$E11,0)</f>
        <v>0</v>
      </c>
      <c r="AO11" s="59">
        <f>ROUND((AO21-AO13)/$E11,0)</f>
        <v>-80476</v>
      </c>
      <c r="AP11" s="52">
        <f>ROUND(AP36/$E11,0)</f>
        <v>0</v>
      </c>
      <c r="AQ11" s="116">
        <f>ROUND(AQ41/$E11,0)</f>
        <v>0</v>
      </c>
      <c r="AR11" s="323">
        <f>ROUND((AR21-AR13)/$E11,0)+1</f>
        <v>-88215</v>
      </c>
    </row>
    <row r="12" spans="1:44">
      <c r="A12" s="22">
        <v>2</v>
      </c>
      <c r="B12" s="24" t="s">
        <v>8</v>
      </c>
      <c r="D12" s="24"/>
      <c r="E12" s="145"/>
      <c r="F12" s="145"/>
      <c r="G12" s="52"/>
      <c r="H12" s="116"/>
      <c r="I12" s="52"/>
      <c r="J12" s="116"/>
      <c r="K12" s="52"/>
      <c r="L12" s="116"/>
      <c r="M12" s="52"/>
      <c r="N12" s="116"/>
      <c r="O12" s="52"/>
      <c r="P12" s="116"/>
      <c r="Q12" s="52"/>
      <c r="R12" s="116"/>
      <c r="S12" s="52"/>
      <c r="T12" s="116"/>
      <c r="U12" s="52"/>
      <c r="V12" s="116"/>
      <c r="W12" s="116"/>
      <c r="X12" s="52"/>
      <c r="Y12" s="116"/>
      <c r="Z12" s="116"/>
      <c r="AA12" s="52"/>
      <c r="AB12" s="44"/>
      <c r="AC12" s="116"/>
      <c r="AD12" s="52"/>
      <c r="AE12" s="44"/>
      <c r="AF12" s="116"/>
      <c r="AG12" s="52"/>
      <c r="AH12" s="44"/>
      <c r="AI12" s="116"/>
      <c r="AJ12" s="52"/>
      <c r="AK12" s="116"/>
      <c r="AL12" s="59"/>
      <c r="AM12" s="52"/>
      <c r="AN12" s="116"/>
      <c r="AO12" s="59"/>
      <c r="AP12" s="52"/>
      <c r="AQ12" s="116"/>
      <c r="AR12" s="323"/>
    </row>
    <row r="13" spans="1:44">
      <c r="A13" s="22">
        <v>3</v>
      </c>
      <c r="B13" s="24" t="s">
        <v>9</v>
      </c>
      <c r="D13" s="24"/>
      <c r="E13" s="145"/>
      <c r="F13" s="145"/>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16"/>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22">
        <f>-AR61</f>
        <v>0</v>
      </c>
    </row>
    <row r="14" spans="1:44">
      <c r="A14" s="22">
        <v>4</v>
      </c>
      <c r="B14" s="3" t="s">
        <v>10</v>
      </c>
      <c r="C14" s="24"/>
      <c r="D14" s="24"/>
      <c r="E14" s="145"/>
      <c r="F14" s="145"/>
      <c r="G14" s="52">
        <f t="shared" ref="G14:P14" si="0">SUM(G11:G13)</f>
        <v>0</v>
      </c>
      <c r="H14" s="116">
        <f>SUM(H11:H13)</f>
        <v>-60365</v>
      </c>
      <c r="I14" s="52">
        <f t="shared" si="0"/>
        <v>-994</v>
      </c>
      <c r="J14" s="116">
        <f>SUM(J11:J13)</f>
        <v>-112139</v>
      </c>
      <c r="K14" s="52">
        <f t="shared" si="0"/>
        <v>-1778</v>
      </c>
      <c r="L14" s="116">
        <f t="shared" si="0"/>
        <v>-115643</v>
      </c>
      <c r="M14" s="52">
        <f t="shared" si="0"/>
        <v>-2125</v>
      </c>
      <c r="N14" s="116">
        <f t="shared" si="0"/>
        <v>-101771</v>
      </c>
      <c r="O14" s="52">
        <f t="shared" si="0"/>
        <v>0</v>
      </c>
      <c r="P14" s="116">
        <f t="shared" si="0"/>
        <v>-119845</v>
      </c>
      <c r="Q14" s="52">
        <f t="shared" ref="Q14:AI14" si="1">SUM(Q11:Q13)</f>
        <v>-2978</v>
      </c>
      <c r="R14" s="116">
        <f t="shared" si="1"/>
        <v>-165090</v>
      </c>
      <c r="S14" s="52">
        <f t="shared" si="1"/>
        <v>0</v>
      </c>
      <c r="T14" s="116">
        <f t="shared" si="1"/>
        <v>-156970</v>
      </c>
      <c r="U14" s="52">
        <f t="shared" si="1"/>
        <v>-4019</v>
      </c>
      <c r="V14" s="116">
        <f t="shared" si="1"/>
        <v>-88</v>
      </c>
      <c r="W14" s="116">
        <f t="shared" si="1"/>
        <v>-230110</v>
      </c>
      <c r="X14" s="52">
        <f t="shared" si="1"/>
        <v>-4591</v>
      </c>
      <c r="Y14" s="117">
        <f t="shared" si="1"/>
        <v>-452</v>
      </c>
      <c r="Z14" s="116">
        <f t="shared" si="1"/>
        <v>-307445</v>
      </c>
      <c r="AA14" s="52">
        <f t="shared" si="1"/>
        <v>-7101</v>
      </c>
      <c r="AB14" s="44">
        <f t="shared" si="1"/>
        <v>-743</v>
      </c>
      <c r="AC14" s="116">
        <f t="shared" si="1"/>
        <v>-210779</v>
      </c>
      <c r="AD14" s="52">
        <f t="shared" si="1"/>
        <v>-8819</v>
      </c>
      <c r="AE14" s="44">
        <f t="shared" si="1"/>
        <v>-518</v>
      </c>
      <c r="AF14" s="116">
        <f t="shared" si="1"/>
        <v>-197952</v>
      </c>
      <c r="AG14" s="52">
        <f t="shared" si="1"/>
        <v>-9381</v>
      </c>
      <c r="AH14" s="44">
        <f t="shared" si="1"/>
        <v>-518</v>
      </c>
      <c r="AI14" s="116">
        <f t="shared" si="1"/>
        <v>-186855</v>
      </c>
      <c r="AJ14" s="52">
        <f t="shared" ref="AJ14:AO14" si="2">SUM(AJ11:AJ13)</f>
        <v>-6226</v>
      </c>
      <c r="AK14" s="116">
        <f t="shared" si="2"/>
        <v>-191</v>
      </c>
      <c r="AL14" s="59">
        <f t="shared" si="2"/>
        <v>-146207</v>
      </c>
      <c r="AM14" s="52">
        <f t="shared" si="2"/>
        <v>0</v>
      </c>
      <c r="AN14" s="116">
        <f t="shared" si="2"/>
        <v>0</v>
      </c>
      <c r="AO14" s="59">
        <f t="shared" si="2"/>
        <v>-80476</v>
      </c>
      <c r="AP14" s="52">
        <f t="shared" ref="AP14:AR14" si="3">SUM(AP11:AP13)</f>
        <v>0</v>
      </c>
      <c r="AQ14" s="116">
        <f t="shared" si="3"/>
        <v>0</v>
      </c>
      <c r="AR14" s="323">
        <f t="shared" si="3"/>
        <v>-88215</v>
      </c>
    </row>
    <row r="15" spans="1:44">
      <c r="C15" s="24"/>
      <c r="D15" s="24"/>
      <c r="E15" s="145"/>
      <c r="F15" s="145"/>
      <c r="G15" s="52"/>
      <c r="H15" s="116"/>
      <c r="I15" s="52"/>
      <c r="J15" s="116"/>
      <c r="K15" s="52"/>
      <c r="L15" s="116"/>
      <c r="M15" s="52"/>
      <c r="N15" s="116"/>
      <c r="O15" s="52"/>
      <c r="P15" s="116"/>
      <c r="Q15" s="52"/>
      <c r="R15" s="116"/>
      <c r="S15" s="52"/>
      <c r="T15" s="116"/>
      <c r="U15" s="52"/>
      <c r="V15" s="116"/>
      <c r="W15" s="116"/>
      <c r="X15" s="52"/>
      <c r="Y15" s="116"/>
      <c r="Z15" s="116"/>
      <c r="AA15" s="52"/>
      <c r="AB15" s="44"/>
      <c r="AC15" s="116"/>
      <c r="AD15" s="52"/>
      <c r="AE15" s="44"/>
      <c r="AF15" s="116"/>
      <c r="AG15" s="52"/>
      <c r="AH15" s="44"/>
      <c r="AI15" s="116"/>
      <c r="AJ15" s="52"/>
      <c r="AK15" s="116"/>
      <c r="AL15" s="59"/>
      <c r="AM15" s="52"/>
      <c r="AN15" s="116"/>
      <c r="AO15" s="59"/>
      <c r="AP15" s="52"/>
      <c r="AQ15" s="116"/>
      <c r="AR15" s="323"/>
    </row>
    <row r="16" spans="1:44">
      <c r="B16" s="3" t="s">
        <v>11</v>
      </c>
      <c r="C16" s="24"/>
      <c r="D16" s="24"/>
      <c r="E16" s="145"/>
      <c r="F16" s="145"/>
      <c r="G16" s="52"/>
      <c r="H16" s="116"/>
      <c r="I16" s="52"/>
      <c r="J16" s="116"/>
      <c r="K16" s="52"/>
      <c r="L16" s="116"/>
      <c r="M16" s="52"/>
      <c r="N16" s="116"/>
      <c r="O16" s="52"/>
      <c r="P16" s="116"/>
      <c r="Q16" s="52"/>
      <c r="R16" s="116"/>
      <c r="S16" s="52"/>
      <c r="T16" s="116"/>
      <c r="U16" s="52"/>
      <c r="V16" s="116"/>
      <c r="W16" s="116"/>
      <c r="X16" s="52"/>
      <c r="Y16" s="116"/>
      <c r="Z16" s="116"/>
      <c r="AA16" s="52"/>
      <c r="AB16" s="44"/>
      <c r="AC16" s="116"/>
      <c r="AD16" s="52"/>
      <c r="AE16" s="44"/>
      <c r="AF16" s="116"/>
      <c r="AG16" s="52"/>
      <c r="AH16" s="44"/>
      <c r="AI16" s="116"/>
      <c r="AJ16" s="52"/>
      <c r="AK16" s="116"/>
      <c r="AL16" s="59"/>
      <c r="AM16" s="52"/>
      <c r="AN16" s="116"/>
      <c r="AO16" s="59"/>
      <c r="AP16" s="52"/>
      <c r="AQ16" s="116"/>
      <c r="AR16" s="323"/>
    </row>
    <row r="17" spans="1:44">
      <c r="B17" s="24" t="s">
        <v>51</v>
      </c>
      <c r="D17" s="24"/>
      <c r="E17" s="145"/>
      <c r="F17" s="145"/>
      <c r="G17" s="52"/>
      <c r="H17" s="116"/>
      <c r="I17" s="52"/>
      <c r="J17" s="116"/>
      <c r="K17" s="52"/>
      <c r="L17" s="116"/>
      <c r="M17" s="52"/>
      <c r="N17" s="116"/>
      <c r="O17" s="52"/>
      <c r="P17" s="116"/>
      <c r="Q17" s="52"/>
      <c r="R17" s="116"/>
      <c r="S17" s="52"/>
      <c r="T17" s="116"/>
      <c r="U17" s="52"/>
      <c r="V17" s="116"/>
      <c r="W17" s="116"/>
      <c r="X17" s="52"/>
      <c r="Y17" s="116"/>
      <c r="Z17" s="116"/>
      <c r="AA17" s="52"/>
      <c r="AB17" s="44"/>
      <c r="AC17" s="116"/>
      <c r="AD17" s="52"/>
      <c r="AE17" s="44"/>
      <c r="AF17" s="116"/>
      <c r="AG17" s="52"/>
      <c r="AH17" s="44"/>
      <c r="AI17" s="116"/>
      <c r="AJ17" s="52"/>
      <c r="AK17" s="116"/>
      <c r="AL17" s="59"/>
      <c r="AM17" s="52"/>
      <c r="AN17" s="116"/>
      <c r="AO17" s="59"/>
      <c r="AP17" s="52"/>
      <c r="AQ17" s="116"/>
      <c r="AR17" s="323"/>
    </row>
    <row r="18" spans="1:44">
      <c r="A18" s="22">
        <v>5</v>
      </c>
      <c r="C18" s="24" t="s">
        <v>12</v>
      </c>
      <c r="D18" s="24"/>
      <c r="E18" s="145"/>
      <c r="F18" s="145"/>
      <c r="G18" s="52"/>
      <c r="H18" s="116">
        <f>-'Cost Trends'!F19</f>
        <v>-59659</v>
      </c>
      <c r="I18" s="52"/>
      <c r="J18" s="116">
        <f>-'Cost Trends'!G19</f>
        <v>-106139</v>
      </c>
      <c r="K18" s="52"/>
      <c r="L18" s="116">
        <f>-'Cost Trends'!H19</f>
        <v>-109325</v>
      </c>
      <c r="M18" s="52"/>
      <c r="N18" s="116">
        <f>-'Cost Trends'!I19</f>
        <v>-96222</v>
      </c>
      <c r="O18" s="52"/>
      <c r="P18" s="116">
        <f>-'Cost Trends'!J19</f>
        <v>-114371</v>
      </c>
      <c r="Q18" s="52"/>
      <c r="R18" s="116">
        <f>-'Cost Trends'!K19</f>
        <v>-167251</v>
      </c>
      <c r="S18" s="52"/>
      <c r="T18" s="116">
        <f>-'Cost Trends'!L19</f>
        <v>-149802</v>
      </c>
      <c r="U18" s="52"/>
      <c r="V18" s="116"/>
      <c r="W18" s="116">
        <f>-'Cost Trends'!M19</f>
        <v>-222364</v>
      </c>
      <c r="X18" s="52"/>
      <c r="Y18" s="116"/>
      <c r="Z18" s="116">
        <f>-'Cost Trends'!N19</f>
        <v>-310276</v>
      </c>
      <c r="AA18" s="52"/>
      <c r="AB18" s="44"/>
      <c r="AC18" s="116">
        <f>-'Cost Trends'!O19</f>
        <v>-194267</v>
      </c>
      <c r="AD18" s="52"/>
      <c r="AE18" s="44"/>
      <c r="AF18" s="116">
        <f>-'Cost Trends'!P19</f>
        <v>-197494</v>
      </c>
      <c r="AG18" s="52"/>
      <c r="AH18" s="44"/>
      <c r="AI18" s="116">
        <f>-'Cost Trends'!Q19</f>
        <v>-188167</v>
      </c>
      <c r="AJ18" s="52"/>
      <c r="AK18" s="116"/>
      <c r="AL18" s="59">
        <f>-'Cost Trends'!R19</f>
        <v>-139073</v>
      </c>
      <c r="AM18" s="52"/>
      <c r="AN18" s="116"/>
      <c r="AO18" s="59">
        <f>-'Cost Trends'!S19</f>
        <v>-76801</v>
      </c>
      <c r="AP18" s="52"/>
      <c r="AQ18" s="116"/>
      <c r="AR18" s="323">
        <f>-'Cost Trends'!T19</f>
        <v>-84187</v>
      </c>
    </row>
    <row r="19" spans="1:44">
      <c r="A19" s="22">
        <v>6</v>
      </c>
      <c r="C19" s="24" t="s">
        <v>13</v>
      </c>
      <c r="D19" s="24"/>
      <c r="E19" s="145"/>
      <c r="F19" s="145"/>
      <c r="G19" s="52"/>
      <c r="H19" s="116">
        <f>-'Cost Trends'!F20+H63</f>
        <v>2078</v>
      </c>
      <c r="I19" s="52"/>
      <c r="J19" s="116">
        <f>-'Cost Trends'!G20+J63</f>
        <v>-756</v>
      </c>
      <c r="K19" s="52"/>
      <c r="L19" s="116">
        <f>-'Cost Trends'!H20+L63</f>
        <v>-916</v>
      </c>
      <c r="M19" s="52"/>
      <c r="N19" s="116">
        <f>-'Cost Trends'!I20+N63</f>
        <v>-901</v>
      </c>
      <c r="O19" s="52"/>
      <c r="P19" s="116">
        <f>-'Cost Trends'!J20+P63</f>
        <v>0</v>
      </c>
      <c r="Q19" s="52"/>
      <c r="R19" s="116">
        <f>-'Cost Trends'!K20+R63</f>
        <v>0</v>
      </c>
      <c r="S19" s="52"/>
      <c r="T19" s="116">
        <f>-'Cost Trends'!L20+T63</f>
        <v>0</v>
      </c>
      <c r="U19" s="52"/>
      <c r="V19" s="116"/>
      <c r="W19" s="116">
        <f>-'Cost Trends'!M20+W63</f>
        <v>0</v>
      </c>
      <c r="X19" s="52"/>
      <c r="Y19" s="116"/>
      <c r="Z19" s="116">
        <f>-'Cost Trends'!N20+Z63</f>
        <v>9886</v>
      </c>
      <c r="AA19" s="52"/>
      <c r="AB19" s="44"/>
      <c r="AC19" s="116">
        <f>-'Cost Trends'!O20+AC63</f>
        <v>-1</v>
      </c>
      <c r="AD19" s="52"/>
      <c r="AE19" s="44"/>
      <c r="AF19" s="116">
        <f>-'Cost Trends'!P20+AF63</f>
        <v>0</v>
      </c>
      <c r="AG19" s="52"/>
      <c r="AH19" s="44"/>
      <c r="AI19" s="116">
        <f>-'Cost Trends'!Q20+AI63</f>
        <v>967</v>
      </c>
      <c r="AJ19" s="52"/>
      <c r="AK19" s="116"/>
      <c r="AL19" s="59">
        <f>-'Cost Trends'!R20+AL63</f>
        <v>798</v>
      </c>
      <c r="AM19" s="52"/>
      <c r="AN19" s="116"/>
      <c r="AO19" s="59">
        <f>-'Cost Trends'!S20+AO63</f>
        <v>0</v>
      </c>
      <c r="AP19" s="52"/>
      <c r="AQ19" s="116"/>
      <c r="AR19" s="323">
        <f>-'Cost Trends'!T20+AR63</f>
        <v>0</v>
      </c>
    </row>
    <row r="20" spans="1:44">
      <c r="A20" s="22">
        <v>7</v>
      </c>
      <c r="C20" s="24" t="s">
        <v>14</v>
      </c>
      <c r="D20" s="24"/>
      <c r="E20" s="145"/>
      <c r="F20" s="145"/>
      <c r="G20" s="53"/>
      <c r="H20" s="116">
        <f>-'Cost Trends'!F21</f>
        <v>-38</v>
      </c>
      <c r="I20" s="53"/>
      <c r="J20" s="116">
        <f>-'Cost Trends'!G21</f>
        <v>-134</v>
      </c>
      <c r="K20" s="53"/>
      <c r="L20" s="116">
        <f>-'Cost Trends'!H21</f>
        <v>-128</v>
      </c>
      <c r="M20" s="53"/>
      <c r="N20" s="116">
        <f>-'Cost Trends'!I21</f>
        <v>0</v>
      </c>
      <c r="O20" s="53"/>
      <c r="P20" s="116">
        <f>-'Cost Trends'!J21</f>
        <v>0</v>
      </c>
      <c r="Q20" s="53"/>
      <c r="R20" s="116">
        <f>-'Cost Trends'!K21</f>
        <v>8407</v>
      </c>
      <c r="S20" s="53"/>
      <c r="T20" s="116">
        <f>-'Cost Trends'!L21</f>
        <v>0</v>
      </c>
      <c r="U20" s="53"/>
      <c r="V20" s="45"/>
      <c r="W20" s="116">
        <f>-'Cost Trends'!M21</f>
        <v>-283</v>
      </c>
      <c r="X20" s="53"/>
      <c r="Y20" s="116"/>
      <c r="Z20" s="116">
        <f>-'Cost Trends'!N21</f>
        <v>-2</v>
      </c>
      <c r="AA20" s="53"/>
      <c r="AB20" s="45"/>
      <c r="AC20" s="116">
        <f>-'Cost Trends'!O21</f>
        <v>-10720</v>
      </c>
      <c r="AD20" s="53"/>
      <c r="AE20" s="45"/>
      <c r="AF20" s="116">
        <f>-'Cost Trends'!P21</f>
        <v>3322</v>
      </c>
      <c r="AG20" s="53"/>
      <c r="AH20" s="45"/>
      <c r="AI20" s="116">
        <f>-'Cost Trends'!Q21</f>
        <v>4366</v>
      </c>
      <c r="AJ20" s="53"/>
      <c r="AK20" s="45"/>
      <c r="AL20" s="59">
        <f>-'Cost Trends'!R21</f>
        <v>-4352</v>
      </c>
      <c r="AM20" s="53"/>
      <c r="AN20" s="45"/>
      <c r="AO20" s="59">
        <f>-'Cost Trends'!S21</f>
        <v>0</v>
      </c>
      <c r="AP20" s="53"/>
      <c r="AQ20" s="45"/>
      <c r="AR20" s="323">
        <f>-'Cost Trends'!T21</f>
        <v>0</v>
      </c>
    </row>
    <row r="21" spans="1:44">
      <c r="A21" s="22">
        <v>8</v>
      </c>
      <c r="B21" s="24" t="s">
        <v>15</v>
      </c>
      <c r="C21" s="24"/>
      <c r="E21" s="145"/>
      <c r="F21" s="145"/>
      <c r="G21" s="52">
        <f t="shared" ref="G21:P21" si="4">SUM(G18:G20)</f>
        <v>0</v>
      </c>
      <c r="H21" s="118">
        <f>SUM(H18:H20)</f>
        <v>-57619</v>
      </c>
      <c r="I21" s="52">
        <f t="shared" si="4"/>
        <v>0</v>
      </c>
      <c r="J21" s="118">
        <f>SUM(J18:J20)</f>
        <v>-107029</v>
      </c>
      <c r="K21" s="52">
        <f t="shared" si="4"/>
        <v>0</v>
      </c>
      <c r="L21" s="118">
        <f t="shared" si="4"/>
        <v>-110369</v>
      </c>
      <c r="M21" s="52">
        <f t="shared" si="4"/>
        <v>0</v>
      </c>
      <c r="N21" s="118">
        <f t="shared" si="4"/>
        <v>-97123</v>
      </c>
      <c r="O21" s="52">
        <f t="shared" si="4"/>
        <v>0</v>
      </c>
      <c r="P21" s="118">
        <f t="shared" si="4"/>
        <v>-114371</v>
      </c>
      <c r="Q21" s="52">
        <f t="shared" ref="Q21:AI21" si="5">SUM(Q18:Q20)</f>
        <v>0</v>
      </c>
      <c r="R21" s="118">
        <f t="shared" si="5"/>
        <v>-158844</v>
      </c>
      <c r="S21" s="52">
        <f t="shared" si="5"/>
        <v>0</v>
      </c>
      <c r="T21" s="118">
        <f t="shared" si="5"/>
        <v>-149802</v>
      </c>
      <c r="U21" s="52">
        <f t="shared" si="5"/>
        <v>0</v>
      </c>
      <c r="V21" s="116">
        <f t="shared" si="5"/>
        <v>0</v>
      </c>
      <c r="W21" s="118">
        <f t="shared" si="5"/>
        <v>-222647</v>
      </c>
      <c r="X21" s="52">
        <f t="shared" si="5"/>
        <v>0</v>
      </c>
      <c r="Y21" s="117">
        <f t="shared" si="5"/>
        <v>0</v>
      </c>
      <c r="Z21" s="118">
        <f t="shared" si="5"/>
        <v>-300392</v>
      </c>
      <c r="AA21" s="52">
        <f t="shared" si="5"/>
        <v>0</v>
      </c>
      <c r="AB21" s="44">
        <f t="shared" si="5"/>
        <v>0</v>
      </c>
      <c r="AC21" s="118">
        <f t="shared" si="5"/>
        <v>-204988</v>
      </c>
      <c r="AD21" s="52">
        <f t="shared" si="5"/>
        <v>0</v>
      </c>
      <c r="AE21" s="44">
        <f t="shared" si="5"/>
        <v>0</v>
      </c>
      <c r="AF21" s="118">
        <f t="shared" si="5"/>
        <v>-194172</v>
      </c>
      <c r="AG21" s="52">
        <f t="shared" si="5"/>
        <v>0</v>
      </c>
      <c r="AH21" s="44">
        <f t="shared" si="5"/>
        <v>0</v>
      </c>
      <c r="AI21" s="118">
        <f t="shared" si="5"/>
        <v>-182834</v>
      </c>
      <c r="AJ21" s="52">
        <f t="shared" ref="AJ21:AO21" si="6">SUM(AJ18:AJ20)</f>
        <v>0</v>
      </c>
      <c r="AK21" s="116">
        <f t="shared" si="6"/>
        <v>0</v>
      </c>
      <c r="AL21" s="118">
        <f t="shared" si="6"/>
        <v>-142627</v>
      </c>
      <c r="AM21" s="52">
        <f t="shared" si="6"/>
        <v>0</v>
      </c>
      <c r="AN21" s="116">
        <f t="shared" si="6"/>
        <v>0</v>
      </c>
      <c r="AO21" s="118">
        <f t="shared" si="6"/>
        <v>-76801</v>
      </c>
      <c r="AP21" s="52">
        <f t="shared" ref="AP21:AR21" si="7">SUM(AP18:AP20)</f>
        <v>0</v>
      </c>
      <c r="AQ21" s="116">
        <f t="shared" si="7"/>
        <v>0</v>
      </c>
      <c r="AR21" s="324">
        <f t="shared" si="7"/>
        <v>-84187</v>
      </c>
    </row>
    <row r="22" spans="1:44">
      <c r="B22" s="24"/>
      <c r="C22" s="24"/>
      <c r="E22" s="145"/>
      <c r="F22" s="145"/>
      <c r="G22" s="52"/>
      <c r="H22" s="116"/>
      <c r="I22" s="52"/>
      <c r="J22" s="116"/>
      <c r="K22" s="52"/>
      <c r="L22" s="116"/>
      <c r="M22" s="52"/>
      <c r="N22" s="116"/>
      <c r="O22" s="52"/>
      <c r="P22" s="116"/>
      <c r="Q22" s="52"/>
      <c r="R22" s="116"/>
      <c r="S22" s="52"/>
      <c r="T22" s="116"/>
      <c r="U22" s="52"/>
      <c r="V22" s="116"/>
      <c r="W22" s="116"/>
      <c r="X22" s="52"/>
      <c r="Y22" s="116"/>
      <c r="Z22" s="116"/>
      <c r="AA22" s="52"/>
      <c r="AB22" s="44"/>
      <c r="AC22" s="116"/>
      <c r="AD22" s="52"/>
      <c r="AE22" s="44"/>
      <c r="AF22" s="116"/>
      <c r="AG22" s="52"/>
      <c r="AH22" s="44"/>
      <c r="AI22" s="116"/>
      <c r="AJ22" s="52"/>
      <c r="AK22" s="116"/>
      <c r="AL22" s="59"/>
      <c r="AM22" s="52"/>
      <c r="AN22" s="116"/>
      <c r="AO22" s="59"/>
      <c r="AP22" s="52"/>
      <c r="AQ22" s="116"/>
      <c r="AR22" s="323"/>
    </row>
    <row r="23" spans="1:44">
      <c r="B23" s="24" t="s">
        <v>16</v>
      </c>
      <c r="D23" s="24"/>
      <c r="E23" s="145"/>
      <c r="F23" s="145"/>
      <c r="G23" s="52"/>
      <c r="H23" s="116"/>
      <c r="I23" s="52"/>
      <c r="J23" s="116"/>
      <c r="K23" s="52"/>
      <c r="L23" s="116"/>
      <c r="M23" s="52"/>
      <c r="N23" s="116"/>
      <c r="O23" s="52"/>
      <c r="P23" s="116"/>
      <c r="Q23" s="52"/>
      <c r="R23" s="116"/>
      <c r="S23" s="52"/>
      <c r="T23" s="116"/>
      <c r="U23" s="52"/>
      <c r="V23" s="116"/>
      <c r="W23" s="116"/>
      <c r="X23" s="52"/>
      <c r="Y23" s="116"/>
      <c r="Z23" s="116"/>
      <c r="AA23" s="52"/>
      <c r="AB23" s="44"/>
      <c r="AC23" s="116"/>
      <c r="AD23" s="52"/>
      <c r="AE23" s="44"/>
      <c r="AF23" s="116"/>
      <c r="AG23" s="52"/>
      <c r="AH23" s="44"/>
      <c r="AI23" s="116"/>
      <c r="AJ23" s="52"/>
      <c r="AK23" s="116"/>
      <c r="AL23" s="59"/>
      <c r="AM23" s="52"/>
      <c r="AN23" s="116"/>
      <c r="AO23" s="59"/>
      <c r="AP23" s="52"/>
      <c r="AQ23" s="116"/>
      <c r="AR23" s="323"/>
    </row>
    <row r="24" spans="1:44">
      <c r="A24" s="22">
        <v>9</v>
      </c>
      <c r="C24" s="24" t="s">
        <v>17</v>
      </c>
      <c r="D24" s="24"/>
      <c r="E24" s="145"/>
      <c r="F24" s="145"/>
      <c r="G24" s="52"/>
      <c r="H24" s="116"/>
      <c r="I24" s="52"/>
      <c r="J24" s="116"/>
      <c r="K24" s="52"/>
      <c r="L24" s="116"/>
      <c r="M24" s="52"/>
      <c r="N24" s="116"/>
      <c r="O24" s="52"/>
      <c r="P24" s="116"/>
      <c r="Q24" s="52"/>
      <c r="R24" s="116"/>
      <c r="S24" s="52"/>
      <c r="T24" s="116"/>
      <c r="U24" s="52"/>
      <c r="V24" s="116"/>
      <c r="W24" s="116"/>
      <c r="X24" s="52"/>
      <c r="Y24" s="116"/>
      <c r="Z24" s="116"/>
      <c r="AA24" s="52"/>
      <c r="AB24" s="44"/>
      <c r="AC24" s="116"/>
      <c r="AD24" s="52"/>
      <c r="AE24" s="44"/>
      <c r="AF24" s="116"/>
      <c r="AG24" s="52"/>
      <c r="AH24" s="44"/>
      <c r="AI24" s="116"/>
      <c r="AJ24" s="52"/>
      <c r="AK24" s="116"/>
      <c r="AL24" s="59"/>
      <c r="AM24" s="52"/>
      <c r="AN24" s="116"/>
      <c r="AO24" s="59"/>
      <c r="AP24" s="52"/>
      <c r="AQ24" s="116"/>
      <c r="AR24" s="323"/>
    </row>
    <row r="25" spans="1:44">
      <c r="A25" s="22">
        <v>10</v>
      </c>
      <c r="C25" s="24" t="s">
        <v>47</v>
      </c>
      <c r="D25" s="24"/>
      <c r="E25" s="145"/>
      <c r="F25" s="145"/>
      <c r="G25" s="52"/>
      <c r="H25" s="116"/>
      <c r="I25" s="52"/>
      <c r="J25" s="116"/>
      <c r="K25" s="52"/>
      <c r="L25" s="116"/>
      <c r="M25" s="52"/>
      <c r="N25" s="116"/>
      <c r="O25" s="52"/>
      <c r="P25" s="116"/>
      <c r="Q25" s="52"/>
      <c r="R25" s="116"/>
      <c r="S25" s="52"/>
      <c r="T25" s="116"/>
      <c r="U25" s="52"/>
      <c r="V25" s="116"/>
      <c r="W25" s="116"/>
      <c r="X25" s="52"/>
      <c r="Y25" s="116"/>
      <c r="Z25" s="116"/>
      <c r="AA25" s="52"/>
      <c r="AB25" s="44"/>
      <c r="AC25" s="116"/>
      <c r="AD25" s="52"/>
      <c r="AE25" s="44"/>
      <c r="AF25" s="116"/>
      <c r="AG25" s="52"/>
      <c r="AH25" s="44"/>
      <c r="AI25" s="116"/>
      <c r="AJ25" s="52"/>
      <c r="AK25" s="116"/>
      <c r="AL25" s="59"/>
      <c r="AM25" s="52"/>
      <c r="AN25" s="116"/>
      <c r="AO25" s="59"/>
      <c r="AP25" s="52"/>
      <c r="AQ25" s="116"/>
      <c r="AR25" s="323"/>
    </row>
    <row r="26" spans="1:44">
      <c r="A26" s="22">
        <v>11</v>
      </c>
      <c r="C26" s="24" t="s">
        <v>4</v>
      </c>
      <c r="D26" s="24"/>
      <c r="E26" s="145"/>
      <c r="F26" s="145"/>
      <c r="G26" s="53"/>
      <c r="H26" s="45"/>
      <c r="I26" s="53"/>
      <c r="J26" s="45"/>
      <c r="K26" s="53"/>
      <c r="L26" s="45"/>
      <c r="M26" s="53"/>
      <c r="N26" s="45"/>
      <c r="O26" s="53"/>
      <c r="P26" s="45"/>
      <c r="Q26" s="53"/>
      <c r="R26" s="45"/>
      <c r="S26" s="53"/>
      <c r="T26" s="45"/>
      <c r="U26" s="53"/>
      <c r="V26" s="45"/>
      <c r="W26" s="45"/>
      <c r="X26" s="53"/>
      <c r="Y26" s="116"/>
      <c r="Z26" s="45"/>
      <c r="AA26" s="53"/>
      <c r="AB26" s="45"/>
      <c r="AC26" s="45"/>
      <c r="AD26" s="53"/>
      <c r="AE26" s="45"/>
      <c r="AF26" s="45"/>
      <c r="AG26" s="53"/>
      <c r="AH26" s="45"/>
      <c r="AI26" s="45"/>
      <c r="AJ26" s="53"/>
      <c r="AK26" s="45"/>
      <c r="AL26" s="60"/>
      <c r="AM26" s="53"/>
      <c r="AN26" s="45"/>
      <c r="AO26" s="60"/>
      <c r="AP26" s="53"/>
      <c r="AQ26" s="45"/>
      <c r="AR26" s="322"/>
    </row>
    <row r="27" spans="1:44">
      <c r="A27" s="22">
        <v>12</v>
      </c>
      <c r="B27" s="24" t="s">
        <v>18</v>
      </c>
      <c r="C27" s="24"/>
      <c r="E27" s="145"/>
      <c r="F27" s="145"/>
      <c r="G27" s="52">
        <f t="shared" ref="G27:P27" si="8">SUM(G24:G26)</f>
        <v>0</v>
      </c>
      <c r="H27" s="116">
        <f>SUM(H24:H26)</f>
        <v>0</v>
      </c>
      <c r="I27" s="52">
        <f t="shared" si="8"/>
        <v>0</v>
      </c>
      <c r="J27" s="116">
        <f>SUM(J24:J26)</f>
        <v>0</v>
      </c>
      <c r="K27" s="52">
        <f t="shared" si="8"/>
        <v>0</v>
      </c>
      <c r="L27" s="116">
        <f t="shared" si="8"/>
        <v>0</v>
      </c>
      <c r="M27" s="52">
        <f t="shared" si="8"/>
        <v>0</v>
      </c>
      <c r="N27" s="116">
        <f t="shared" si="8"/>
        <v>0</v>
      </c>
      <c r="O27" s="52">
        <f t="shared" si="8"/>
        <v>0</v>
      </c>
      <c r="P27" s="116">
        <f t="shared" si="8"/>
        <v>0</v>
      </c>
      <c r="Q27" s="52">
        <f t="shared" ref="Q27:AI27" si="9">SUM(Q24:Q26)</f>
        <v>0</v>
      </c>
      <c r="R27" s="116">
        <f t="shared" si="9"/>
        <v>0</v>
      </c>
      <c r="S27" s="52">
        <f t="shared" si="9"/>
        <v>0</v>
      </c>
      <c r="T27" s="116">
        <f t="shared" si="9"/>
        <v>0</v>
      </c>
      <c r="U27" s="52">
        <f t="shared" si="9"/>
        <v>0</v>
      </c>
      <c r="V27" s="116">
        <f t="shared" si="9"/>
        <v>0</v>
      </c>
      <c r="W27" s="116">
        <f t="shared" si="9"/>
        <v>0</v>
      </c>
      <c r="X27" s="52">
        <f t="shared" si="9"/>
        <v>0</v>
      </c>
      <c r="Y27" s="117">
        <f t="shared" si="9"/>
        <v>0</v>
      </c>
      <c r="Z27" s="116">
        <f t="shared" si="9"/>
        <v>0</v>
      </c>
      <c r="AA27" s="52">
        <f t="shared" si="9"/>
        <v>0</v>
      </c>
      <c r="AB27" s="44">
        <f t="shared" si="9"/>
        <v>0</v>
      </c>
      <c r="AC27" s="116">
        <f t="shared" si="9"/>
        <v>0</v>
      </c>
      <c r="AD27" s="52">
        <f t="shared" si="9"/>
        <v>0</v>
      </c>
      <c r="AE27" s="44">
        <f t="shared" si="9"/>
        <v>0</v>
      </c>
      <c r="AF27" s="116">
        <f t="shared" si="9"/>
        <v>0</v>
      </c>
      <c r="AG27" s="52">
        <f t="shared" si="9"/>
        <v>0</v>
      </c>
      <c r="AH27" s="44">
        <f t="shared" si="9"/>
        <v>0</v>
      </c>
      <c r="AI27" s="116">
        <f t="shared" si="9"/>
        <v>0</v>
      </c>
      <c r="AJ27" s="52">
        <f t="shared" ref="AJ27:AO27" si="10">SUM(AJ24:AJ26)</f>
        <v>0</v>
      </c>
      <c r="AK27" s="116">
        <f t="shared" si="10"/>
        <v>0</v>
      </c>
      <c r="AL27" s="59">
        <f t="shared" si="10"/>
        <v>0</v>
      </c>
      <c r="AM27" s="52">
        <f t="shared" si="10"/>
        <v>0</v>
      </c>
      <c r="AN27" s="116">
        <f t="shared" si="10"/>
        <v>0</v>
      </c>
      <c r="AO27" s="59">
        <f t="shared" si="10"/>
        <v>0</v>
      </c>
      <c r="AP27" s="52">
        <f t="shared" ref="AP27:AR27" si="11">SUM(AP24:AP26)</f>
        <v>0</v>
      </c>
      <c r="AQ27" s="116">
        <f t="shared" si="11"/>
        <v>0</v>
      </c>
      <c r="AR27" s="323">
        <f t="shared" si="11"/>
        <v>0</v>
      </c>
    </row>
    <row r="28" spans="1:44">
      <c r="B28" s="24"/>
      <c r="C28" s="24"/>
      <c r="E28" s="145"/>
      <c r="F28" s="145"/>
      <c r="G28" s="52"/>
      <c r="H28" s="116"/>
      <c r="I28" s="52"/>
      <c r="J28" s="116"/>
      <c r="K28" s="52"/>
      <c r="L28" s="116"/>
      <c r="M28" s="52"/>
      <c r="N28" s="116"/>
      <c r="O28" s="52"/>
      <c r="P28" s="116"/>
      <c r="Q28" s="52"/>
      <c r="R28" s="116"/>
      <c r="S28" s="52"/>
      <c r="T28" s="116"/>
      <c r="U28" s="52"/>
      <c r="V28" s="116"/>
      <c r="W28" s="116"/>
      <c r="X28" s="52"/>
      <c r="Y28" s="116"/>
      <c r="Z28" s="116"/>
      <c r="AA28" s="52"/>
      <c r="AB28" s="44"/>
      <c r="AC28" s="116"/>
      <c r="AD28" s="52"/>
      <c r="AE28" s="44"/>
      <c r="AF28" s="116"/>
      <c r="AG28" s="52"/>
      <c r="AH28" s="44"/>
      <c r="AI28" s="116"/>
      <c r="AJ28" s="52"/>
      <c r="AK28" s="116"/>
      <c r="AL28" s="59"/>
      <c r="AM28" s="52"/>
      <c r="AN28" s="116"/>
      <c r="AO28" s="59"/>
      <c r="AP28" s="52"/>
      <c r="AQ28" s="116"/>
      <c r="AR28" s="323"/>
    </row>
    <row r="29" spans="1:44">
      <c r="B29" s="24" t="s">
        <v>19</v>
      </c>
      <c r="D29" s="24"/>
      <c r="E29" s="145"/>
      <c r="F29" s="145"/>
      <c r="G29" s="52"/>
      <c r="H29" s="116"/>
      <c r="I29" s="52"/>
      <c r="J29" s="116"/>
      <c r="K29" s="52"/>
      <c r="L29" s="116"/>
      <c r="M29" s="52"/>
      <c r="N29" s="116"/>
      <c r="O29" s="52"/>
      <c r="P29" s="116"/>
      <c r="Q29" s="52"/>
      <c r="R29" s="116"/>
      <c r="S29" s="52"/>
      <c r="T29" s="116"/>
      <c r="U29" s="52"/>
      <c r="V29" s="116"/>
      <c r="W29" s="116"/>
      <c r="X29" s="52"/>
      <c r="Y29" s="116"/>
      <c r="Z29" s="116"/>
      <c r="AA29" s="52"/>
      <c r="AB29" s="44"/>
      <c r="AC29" s="116"/>
      <c r="AD29" s="52"/>
      <c r="AE29" s="44"/>
      <c r="AF29" s="116"/>
      <c r="AG29" s="52"/>
      <c r="AH29" s="44"/>
      <c r="AI29" s="116"/>
      <c r="AJ29" s="52"/>
      <c r="AK29" s="116"/>
      <c r="AL29" s="59"/>
      <c r="AM29" s="52"/>
      <c r="AN29" s="116"/>
      <c r="AO29" s="59"/>
      <c r="AP29" s="52"/>
      <c r="AQ29" s="116"/>
      <c r="AR29" s="323"/>
    </row>
    <row r="30" spans="1:44">
      <c r="A30" s="22">
        <v>13</v>
      </c>
      <c r="C30" s="24" t="s">
        <v>17</v>
      </c>
      <c r="D30" s="24"/>
      <c r="E30" s="145"/>
      <c r="F30" s="145"/>
      <c r="G30" s="52"/>
      <c r="H30" s="116"/>
      <c r="I30" s="52"/>
      <c r="J30" s="116"/>
      <c r="K30" s="52"/>
      <c r="L30" s="116"/>
      <c r="M30" s="52"/>
      <c r="N30" s="116"/>
      <c r="O30" s="52"/>
      <c r="P30" s="116"/>
      <c r="Q30" s="52"/>
      <c r="R30" s="116"/>
      <c r="S30" s="52"/>
      <c r="T30" s="116"/>
      <c r="U30" s="52"/>
      <c r="V30" s="116"/>
      <c r="W30" s="116"/>
      <c r="X30" s="52"/>
      <c r="Y30" s="116"/>
      <c r="Z30" s="116"/>
      <c r="AA30" s="52"/>
      <c r="AB30" s="44"/>
      <c r="AC30" s="116"/>
      <c r="AD30" s="52"/>
      <c r="AE30" s="44"/>
      <c r="AF30" s="116"/>
      <c r="AG30" s="52"/>
      <c r="AH30" s="44"/>
      <c r="AI30" s="116"/>
      <c r="AJ30" s="52"/>
      <c r="AK30" s="116"/>
      <c r="AL30" s="59"/>
      <c r="AM30" s="52"/>
      <c r="AN30" s="116"/>
      <c r="AO30" s="59"/>
      <c r="AP30" s="52"/>
      <c r="AQ30" s="116"/>
      <c r="AR30" s="323"/>
    </row>
    <row r="31" spans="1:44">
      <c r="A31" s="22">
        <v>14</v>
      </c>
      <c r="C31" s="24" t="s">
        <v>47</v>
      </c>
      <c r="D31" s="24"/>
      <c r="E31" s="145"/>
      <c r="F31" s="145"/>
      <c r="G31" s="52"/>
      <c r="H31" s="116"/>
      <c r="I31" s="52"/>
      <c r="J31" s="116"/>
      <c r="K31" s="52"/>
      <c r="L31" s="116"/>
      <c r="M31" s="52"/>
      <c r="N31" s="116"/>
      <c r="O31" s="52"/>
      <c r="P31" s="116"/>
      <c r="Q31" s="52"/>
      <c r="R31" s="116"/>
      <c r="S31" s="52"/>
      <c r="T31" s="116"/>
      <c r="U31" s="52"/>
      <c r="V31" s="116"/>
      <c r="W31" s="116"/>
      <c r="X31" s="52"/>
      <c r="Y31" s="116"/>
      <c r="Z31" s="116"/>
      <c r="AA31" s="52"/>
      <c r="AB31" s="44"/>
      <c r="AC31" s="116"/>
      <c r="AD31" s="52"/>
      <c r="AE31" s="44"/>
      <c r="AF31" s="116"/>
      <c r="AG31" s="52"/>
      <c r="AH31" s="44"/>
      <c r="AI31" s="116"/>
      <c r="AJ31" s="52"/>
      <c r="AK31" s="116"/>
      <c r="AL31" s="59"/>
      <c r="AM31" s="52"/>
      <c r="AN31" s="116"/>
      <c r="AO31" s="59"/>
      <c r="AP31" s="52"/>
      <c r="AQ31" s="116"/>
      <c r="AR31" s="323"/>
    </row>
    <row r="32" spans="1:44">
      <c r="A32" s="22">
        <v>15</v>
      </c>
      <c r="C32" s="24" t="s">
        <v>4</v>
      </c>
      <c r="D32" s="24"/>
      <c r="E32" s="145">
        <f>ROR!F31</f>
        <v>3.8314000000000001E-2</v>
      </c>
      <c r="F32" s="145"/>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16">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22">
        <f t="shared" si="15"/>
        <v>-3380</v>
      </c>
    </row>
    <row r="33" spans="1:44">
      <c r="A33" s="22">
        <v>16</v>
      </c>
      <c r="B33" s="24" t="s">
        <v>20</v>
      </c>
      <c r="C33" s="24"/>
      <c r="E33" s="145"/>
      <c r="F33" s="145"/>
      <c r="G33" s="52">
        <f t="shared" ref="G33:P33" si="16">SUM(G30:G32)</f>
        <v>0</v>
      </c>
      <c r="H33" s="116">
        <f>SUM(H30:H32)</f>
        <v>-2304</v>
      </c>
      <c r="I33" s="52">
        <f t="shared" si="16"/>
        <v>-38</v>
      </c>
      <c r="J33" s="116">
        <f>SUM(J30:J32)</f>
        <v>-4287</v>
      </c>
      <c r="K33" s="52">
        <f t="shared" si="16"/>
        <v>-68</v>
      </c>
      <c r="L33" s="116">
        <f t="shared" si="16"/>
        <v>-4425</v>
      </c>
      <c r="M33" s="52">
        <f t="shared" si="16"/>
        <v>-81</v>
      </c>
      <c r="N33" s="116">
        <f t="shared" si="16"/>
        <v>-3899</v>
      </c>
      <c r="O33" s="52">
        <f t="shared" si="16"/>
        <v>0</v>
      </c>
      <c r="P33" s="116">
        <f t="shared" si="16"/>
        <v>-4592</v>
      </c>
      <c r="Q33" s="52">
        <f t="shared" ref="Q33:AI33" si="17">SUM(Q30:Q32)</f>
        <v>-114</v>
      </c>
      <c r="R33" s="116">
        <f t="shared" si="17"/>
        <v>-5240</v>
      </c>
      <c r="S33" s="52">
        <f t="shared" si="17"/>
        <v>0</v>
      </c>
      <c r="T33" s="116">
        <f t="shared" si="17"/>
        <v>-6014</v>
      </c>
      <c r="U33" s="52">
        <f t="shared" si="17"/>
        <v>-154</v>
      </c>
      <c r="V33" s="116">
        <f t="shared" si="17"/>
        <v>-3</v>
      </c>
      <c r="W33" s="116">
        <f t="shared" si="17"/>
        <v>-6261</v>
      </c>
      <c r="X33" s="52">
        <f t="shared" si="17"/>
        <v>-176</v>
      </c>
      <c r="Y33" s="117">
        <f t="shared" si="17"/>
        <v>-17</v>
      </c>
      <c r="Z33" s="116">
        <f t="shared" si="17"/>
        <v>-5917</v>
      </c>
      <c r="AA33" s="52">
        <f t="shared" si="17"/>
        <v>-272</v>
      </c>
      <c r="AB33" s="44">
        <f t="shared" si="17"/>
        <v>-28</v>
      </c>
      <c r="AC33" s="116">
        <f t="shared" si="17"/>
        <v>-4858</v>
      </c>
      <c r="AD33" s="52">
        <f t="shared" si="17"/>
        <v>-338</v>
      </c>
      <c r="AE33" s="44">
        <f t="shared" si="17"/>
        <v>-20</v>
      </c>
      <c r="AF33" s="116">
        <f t="shared" si="17"/>
        <v>-3171</v>
      </c>
      <c r="AG33" s="52">
        <f t="shared" si="17"/>
        <v>-359</v>
      </c>
      <c r="AH33" s="44">
        <f t="shared" si="17"/>
        <v>-20</v>
      </c>
      <c r="AI33" s="116">
        <f t="shared" si="17"/>
        <v>-3374</v>
      </c>
      <c r="AJ33" s="52">
        <f t="shared" ref="AJ33:AO33" si="18">SUM(AJ30:AJ32)</f>
        <v>-239</v>
      </c>
      <c r="AK33" s="116">
        <f t="shared" si="18"/>
        <v>-7</v>
      </c>
      <c r="AL33" s="59">
        <f t="shared" si="18"/>
        <v>-3003</v>
      </c>
      <c r="AM33" s="52">
        <f t="shared" si="18"/>
        <v>0</v>
      </c>
      <c r="AN33" s="116">
        <f t="shared" si="18"/>
        <v>0</v>
      </c>
      <c r="AO33" s="59">
        <f t="shared" si="18"/>
        <v>-3083</v>
      </c>
      <c r="AP33" s="52">
        <f t="shared" ref="AP33:AR33" si="19">SUM(AP30:AP32)</f>
        <v>0</v>
      </c>
      <c r="AQ33" s="116">
        <f t="shared" si="19"/>
        <v>0</v>
      </c>
      <c r="AR33" s="323">
        <f t="shared" si="19"/>
        <v>-3380</v>
      </c>
    </row>
    <row r="34" spans="1:44">
      <c r="C34" s="24"/>
      <c r="D34" s="24"/>
      <c r="E34" s="145"/>
      <c r="F34" s="145"/>
      <c r="G34" s="52"/>
      <c r="H34" s="116"/>
      <c r="I34" s="52"/>
      <c r="J34" s="116"/>
      <c r="K34" s="52"/>
      <c r="L34" s="116"/>
      <c r="M34" s="52"/>
      <c r="N34" s="116"/>
      <c r="O34" s="52"/>
      <c r="P34" s="116"/>
      <c r="Q34" s="52"/>
      <c r="R34" s="116"/>
      <c r="S34" s="52"/>
      <c r="T34" s="116"/>
      <c r="U34" s="52"/>
      <c r="V34" s="116"/>
      <c r="W34" s="116"/>
      <c r="X34" s="52"/>
      <c r="Y34" s="116"/>
      <c r="Z34" s="116"/>
      <c r="AA34" s="52"/>
      <c r="AB34" s="44"/>
      <c r="AC34" s="116"/>
      <c r="AD34" s="52"/>
      <c r="AE34" s="44"/>
      <c r="AF34" s="116"/>
      <c r="AG34" s="52"/>
      <c r="AH34" s="44"/>
      <c r="AI34" s="116"/>
      <c r="AJ34" s="52"/>
      <c r="AK34" s="116"/>
      <c r="AL34" s="59"/>
      <c r="AM34" s="52"/>
      <c r="AN34" s="116"/>
      <c r="AO34" s="59"/>
      <c r="AP34" s="52"/>
      <c r="AQ34" s="116"/>
      <c r="AR34" s="323"/>
    </row>
    <row r="35" spans="1:44">
      <c r="A35" s="22">
        <v>17</v>
      </c>
      <c r="B35" s="3" t="s">
        <v>21</v>
      </c>
      <c r="C35" s="24"/>
      <c r="D35" s="24"/>
      <c r="E35" s="145">
        <f>ROR!F27</f>
        <v>5.3540000000000003E-3</v>
      </c>
      <c r="F35" s="145"/>
      <c r="G35" s="52">
        <f>ROUND(G11*$E35,0)</f>
        <v>0</v>
      </c>
      <c r="H35" s="116">
        <f>ROUND(H11*$E35,0)</f>
        <v>-322</v>
      </c>
      <c r="I35" s="52">
        <f t="shared" ref="I35:P35" si="20">ROUND(I11*$E35,0)</f>
        <v>-5</v>
      </c>
      <c r="J35" s="116">
        <f t="shared" si="20"/>
        <v>-599</v>
      </c>
      <c r="K35" s="52">
        <f t="shared" si="20"/>
        <v>-10</v>
      </c>
      <c r="L35" s="116">
        <f t="shared" si="20"/>
        <v>-618</v>
      </c>
      <c r="M35" s="52">
        <f t="shared" si="20"/>
        <v>-11</v>
      </c>
      <c r="N35" s="116">
        <f t="shared" si="20"/>
        <v>-545</v>
      </c>
      <c r="O35" s="52">
        <f t="shared" si="20"/>
        <v>0</v>
      </c>
      <c r="P35" s="116">
        <f t="shared" si="20"/>
        <v>-642</v>
      </c>
      <c r="Q35" s="52">
        <f t="shared" ref="Q35:AI35" si="21">ROUND(Q11*$E35,0)</f>
        <v>-16</v>
      </c>
      <c r="R35" s="116">
        <f t="shared" si="21"/>
        <v>-732</v>
      </c>
      <c r="S35" s="52">
        <f t="shared" si="21"/>
        <v>0</v>
      </c>
      <c r="T35" s="116">
        <f t="shared" si="21"/>
        <v>-840</v>
      </c>
      <c r="U35" s="52">
        <f t="shared" si="21"/>
        <v>-22</v>
      </c>
      <c r="V35" s="116">
        <f t="shared" si="21"/>
        <v>0</v>
      </c>
      <c r="W35" s="116">
        <f t="shared" si="21"/>
        <v>-875</v>
      </c>
      <c r="X35" s="52">
        <f t="shared" si="21"/>
        <v>-25</v>
      </c>
      <c r="Y35" s="116">
        <f t="shared" si="21"/>
        <v>-2</v>
      </c>
      <c r="Z35" s="116">
        <f t="shared" si="21"/>
        <v>-827</v>
      </c>
      <c r="AA35" s="52">
        <f t="shared" si="21"/>
        <v>-38</v>
      </c>
      <c r="AB35" s="44">
        <f t="shared" si="21"/>
        <v>-4</v>
      </c>
      <c r="AC35" s="116">
        <f t="shared" si="21"/>
        <v>-679</v>
      </c>
      <c r="AD35" s="52">
        <f t="shared" si="21"/>
        <v>-47</v>
      </c>
      <c r="AE35" s="44">
        <f t="shared" si="21"/>
        <v>-3</v>
      </c>
      <c r="AF35" s="116">
        <f t="shared" si="21"/>
        <v>-443</v>
      </c>
      <c r="AG35" s="52">
        <f t="shared" si="21"/>
        <v>-50</v>
      </c>
      <c r="AH35" s="44">
        <f t="shared" si="21"/>
        <v>-3</v>
      </c>
      <c r="AI35" s="116">
        <f t="shared" si="21"/>
        <v>-471</v>
      </c>
      <c r="AJ35" s="52">
        <f t="shared" ref="AJ35:AO35" si="22">ROUND(AJ11*$E35,0)</f>
        <v>-33</v>
      </c>
      <c r="AK35" s="116">
        <f t="shared" si="22"/>
        <v>-1</v>
      </c>
      <c r="AL35" s="59">
        <f t="shared" si="22"/>
        <v>-420</v>
      </c>
      <c r="AM35" s="52">
        <f t="shared" si="22"/>
        <v>0</v>
      </c>
      <c r="AN35" s="116">
        <f t="shared" si="22"/>
        <v>0</v>
      </c>
      <c r="AO35" s="59">
        <f t="shared" si="22"/>
        <v>-431</v>
      </c>
      <c r="AP35" s="52">
        <f t="shared" ref="AP35:AR35" si="23">ROUND(AP11*$E35,0)</f>
        <v>0</v>
      </c>
      <c r="AQ35" s="116">
        <f t="shared" si="23"/>
        <v>0</v>
      </c>
      <c r="AR35" s="323">
        <f t="shared" si="23"/>
        <v>-472</v>
      </c>
    </row>
    <row r="36" spans="1:44">
      <c r="A36" s="22">
        <v>18</v>
      </c>
      <c r="B36" s="3" t="s">
        <v>22</v>
      </c>
      <c r="C36" s="24"/>
      <c r="D36" s="24"/>
      <c r="E36" s="145"/>
      <c r="F36" s="145"/>
      <c r="G36" s="52">
        <v>0</v>
      </c>
      <c r="H36" s="116"/>
      <c r="I36" s="52">
        <v>-949</v>
      </c>
      <c r="J36" s="116"/>
      <c r="K36" s="52">
        <v>-1696</v>
      </c>
      <c r="L36" s="116"/>
      <c r="M36" s="52">
        <v>-2029</v>
      </c>
      <c r="N36" s="116"/>
      <c r="O36" s="52">
        <v>0</v>
      </c>
      <c r="P36" s="116"/>
      <c r="Q36" s="52">
        <v>-2842</v>
      </c>
      <c r="R36" s="116"/>
      <c r="S36" s="52">
        <v>0</v>
      </c>
      <c r="T36" s="116"/>
      <c r="U36" s="52">
        <v>-3835</v>
      </c>
      <c r="V36" s="116"/>
      <c r="W36" s="116"/>
      <c r="X36" s="52">
        <v>-4381</v>
      </c>
      <c r="Y36" s="116"/>
      <c r="Z36" s="116"/>
      <c r="AA36" s="52">
        <v>-6777</v>
      </c>
      <c r="AB36" s="44"/>
      <c r="AC36" s="116"/>
      <c r="AD36" s="52">
        <v>-8416</v>
      </c>
      <c r="AE36" s="44"/>
      <c r="AF36" s="116"/>
      <c r="AG36" s="52">
        <v>-8953</v>
      </c>
      <c r="AH36" s="44"/>
      <c r="AI36" s="116"/>
      <c r="AJ36" s="52">
        <f>-6212+270</f>
        <v>-5942</v>
      </c>
      <c r="AK36" s="116"/>
      <c r="AL36" s="59"/>
      <c r="AM36" s="52">
        <v>0</v>
      </c>
      <c r="AN36" s="116"/>
      <c r="AO36" s="59"/>
      <c r="AP36" s="52">
        <v>0</v>
      </c>
      <c r="AQ36" s="116"/>
      <c r="AR36" s="323"/>
    </row>
    <row r="37" spans="1:44">
      <c r="A37" s="22">
        <v>19</v>
      </c>
      <c r="B37" s="3" t="s">
        <v>23</v>
      </c>
      <c r="C37" s="24"/>
      <c r="D37" s="24"/>
      <c r="E37" s="145"/>
      <c r="F37" s="145"/>
      <c r="G37" s="52"/>
      <c r="H37" s="116"/>
      <c r="I37" s="52"/>
      <c r="J37" s="116"/>
      <c r="K37" s="52"/>
      <c r="L37" s="116"/>
      <c r="M37" s="52"/>
      <c r="N37" s="116"/>
      <c r="O37" s="52"/>
      <c r="P37" s="116"/>
      <c r="Q37" s="52"/>
      <c r="R37" s="116"/>
      <c r="S37" s="52"/>
      <c r="T37" s="116"/>
      <c r="U37" s="52"/>
      <c r="V37" s="116"/>
      <c r="W37" s="116"/>
      <c r="X37" s="52"/>
      <c r="Y37" s="116"/>
      <c r="Z37" s="116"/>
      <c r="AA37" s="52"/>
      <c r="AB37" s="44"/>
      <c r="AC37" s="116"/>
      <c r="AD37" s="52"/>
      <c r="AE37" s="44"/>
      <c r="AF37" s="116"/>
      <c r="AG37" s="52"/>
      <c r="AH37" s="44"/>
      <c r="AI37" s="116"/>
      <c r="AJ37" s="52"/>
      <c r="AK37" s="116"/>
      <c r="AL37" s="59"/>
      <c r="AM37" s="52"/>
      <c r="AN37" s="116"/>
      <c r="AO37" s="59"/>
      <c r="AP37" s="52"/>
      <c r="AQ37" s="116"/>
      <c r="AR37" s="323"/>
    </row>
    <row r="38" spans="1:44">
      <c r="C38" s="24"/>
      <c r="D38" s="24"/>
      <c r="E38" s="145"/>
      <c r="F38" s="145"/>
      <c r="G38" s="52"/>
      <c r="H38" s="116"/>
      <c r="I38" s="52"/>
      <c r="J38" s="116"/>
      <c r="K38" s="52"/>
      <c r="L38" s="116"/>
      <c r="M38" s="52"/>
      <c r="N38" s="116"/>
      <c r="O38" s="52"/>
      <c r="P38" s="116"/>
      <c r="Q38" s="52"/>
      <c r="R38" s="116"/>
      <c r="S38" s="52"/>
      <c r="T38" s="116"/>
      <c r="U38" s="52"/>
      <c r="V38" s="116"/>
      <c r="W38" s="116"/>
      <c r="X38" s="52"/>
      <c r="Y38" s="116"/>
      <c r="Z38" s="116"/>
      <c r="AA38" s="52"/>
      <c r="AB38" s="44"/>
      <c r="AC38" s="116"/>
      <c r="AD38" s="52"/>
      <c r="AE38" s="44"/>
      <c r="AF38" s="116"/>
      <c r="AG38" s="52"/>
      <c r="AH38" s="44"/>
      <c r="AI38" s="116"/>
      <c r="AJ38" s="52"/>
      <c r="AK38" s="116"/>
      <c r="AL38" s="59"/>
      <c r="AM38" s="52"/>
      <c r="AN38" s="116"/>
      <c r="AO38" s="59"/>
      <c r="AP38" s="52"/>
      <c r="AQ38" s="116"/>
      <c r="AR38" s="323"/>
    </row>
    <row r="39" spans="1:44">
      <c r="B39" s="3" t="s">
        <v>24</v>
      </c>
      <c r="C39" s="24"/>
      <c r="D39" s="24"/>
      <c r="E39" s="145"/>
      <c r="F39" s="145"/>
      <c r="G39" s="52"/>
      <c r="H39" s="116"/>
      <c r="I39" s="52"/>
      <c r="J39" s="116"/>
      <c r="K39" s="52"/>
      <c r="L39" s="116"/>
      <c r="M39" s="52"/>
      <c r="N39" s="116"/>
      <c r="O39" s="52"/>
      <c r="P39" s="116"/>
      <c r="Q39" s="52"/>
      <c r="R39" s="116"/>
      <c r="S39" s="52"/>
      <c r="T39" s="116"/>
      <c r="U39" s="52"/>
      <c r="V39" s="116"/>
      <c r="W39" s="116"/>
      <c r="X39" s="52"/>
      <c r="Y39" s="116"/>
      <c r="Z39" s="116"/>
      <c r="AA39" s="52"/>
      <c r="AB39" s="44"/>
      <c r="AC39" s="116"/>
      <c r="AD39" s="52"/>
      <c r="AE39" s="44"/>
      <c r="AF39" s="116"/>
      <c r="AG39" s="52"/>
      <c r="AH39" s="44"/>
      <c r="AI39" s="116"/>
      <c r="AJ39" s="52"/>
      <c r="AK39" s="116"/>
      <c r="AL39" s="59"/>
      <c r="AM39" s="52"/>
      <c r="AN39" s="116"/>
      <c r="AO39" s="59"/>
      <c r="AP39" s="52"/>
      <c r="AQ39" s="116"/>
      <c r="AR39" s="323"/>
    </row>
    <row r="40" spans="1:44">
      <c r="A40" s="22">
        <v>20</v>
      </c>
      <c r="C40" s="24" t="s">
        <v>17</v>
      </c>
      <c r="D40" s="24"/>
      <c r="E40" s="145">
        <f>ROR!F29</f>
        <v>2E-3</v>
      </c>
      <c r="F40" s="145"/>
      <c r="G40" s="52">
        <f>ROUND(G11*$E40,0)</f>
        <v>0</v>
      </c>
      <c r="H40" s="116">
        <f>ROUND(H11*$E40,0)</f>
        <v>-120</v>
      </c>
      <c r="I40" s="52">
        <f t="shared" ref="I40:P40" si="24">ROUND(I11*$E40,0)</f>
        <v>-2</v>
      </c>
      <c r="J40" s="116">
        <f t="shared" si="24"/>
        <v>-224</v>
      </c>
      <c r="K40" s="52">
        <f t="shared" si="24"/>
        <v>-4</v>
      </c>
      <c r="L40" s="116">
        <f t="shared" si="24"/>
        <v>-231</v>
      </c>
      <c r="M40" s="52">
        <f t="shared" si="24"/>
        <v>-4</v>
      </c>
      <c r="N40" s="116">
        <f t="shared" si="24"/>
        <v>-204</v>
      </c>
      <c r="O40" s="52">
        <f t="shared" si="24"/>
        <v>0</v>
      </c>
      <c r="P40" s="116">
        <f t="shared" si="24"/>
        <v>-240</v>
      </c>
      <c r="Q40" s="52">
        <f t="shared" ref="Q40:AI40" si="25">ROUND(Q11*$E40,0)</f>
        <v>-6</v>
      </c>
      <c r="R40" s="116">
        <f t="shared" si="25"/>
        <v>-274</v>
      </c>
      <c r="S40" s="52">
        <f t="shared" si="25"/>
        <v>0</v>
      </c>
      <c r="T40" s="116">
        <f t="shared" si="25"/>
        <v>-314</v>
      </c>
      <c r="U40" s="52">
        <f t="shared" si="25"/>
        <v>-8</v>
      </c>
      <c r="V40" s="116">
        <f t="shared" si="25"/>
        <v>0</v>
      </c>
      <c r="W40" s="116">
        <f t="shared" si="25"/>
        <v>-327</v>
      </c>
      <c r="X40" s="52">
        <f t="shared" si="25"/>
        <v>-9</v>
      </c>
      <c r="Y40" s="116">
        <f t="shared" si="25"/>
        <v>-1</v>
      </c>
      <c r="Z40" s="116">
        <f t="shared" si="25"/>
        <v>-309</v>
      </c>
      <c r="AA40" s="52">
        <f t="shared" si="25"/>
        <v>-14</v>
      </c>
      <c r="AB40" s="44">
        <f t="shared" si="25"/>
        <v>-1</v>
      </c>
      <c r="AC40" s="116">
        <f t="shared" si="25"/>
        <v>-254</v>
      </c>
      <c r="AD40" s="52">
        <f t="shared" si="25"/>
        <v>-18</v>
      </c>
      <c r="AE40" s="44">
        <f t="shared" si="25"/>
        <v>-1</v>
      </c>
      <c r="AF40" s="116">
        <f t="shared" si="25"/>
        <v>-166</v>
      </c>
      <c r="AG40" s="52">
        <f t="shared" si="25"/>
        <v>-19</v>
      </c>
      <c r="AH40" s="44">
        <f t="shared" si="25"/>
        <v>-1</v>
      </c>
      <c r="AI40" s="116">
        <f t="shared" si="25"/>
        <v>-176</v>
      </c>
      <c r="AJ40" s="52">
        <f t="shared" ref="AJ40:AO40" si="26">ROUND(AJ11*$E40,0)</f>
        <v>-12</v>
      </c>
      <c r="AK40" s="116">
        <f t="shared" si="26"/>
        <v>0</v>
      </c>
      <c r="AL40" s="59">
        <f t="shared" si="26"/>
        <v>-157</v>
      </c>
      <c r="AM40" s="52">
        <f t="shared" si="26"/>
        <v>0</v>
      </c>
      <c r="AN40" s="116">
        <f t="shared" si="26"/>
        <v>0</v>
      </c>
      <c r="AO40" s="59">
        <f t="shared" si="26"/>
        <v>-161</v>
      </c>
      <c r="AP40" s="52">
        <f t="shared" ref="AP40:AR40" si="27">ROUND(AP11*$E40,0)</f>
        <v>0</v>
      </c>
      <c r="AQ40" s="116">
        <f t="shared" si="27"/>
        <v>0</v>
      </c>
      <c r="AR40" s="323">
        <f t="shared" si="27"/>
        <v>-176</v>
      </c>
    </row>
    <row r="41" spans="1:44">
      <c r="A41" s="22">
        <v>21</v>
      </c>
      <c r="C41" s="24" t="s">
        <v>47</v>
      </c>
      <c r="D41" s="24"/>
      <c r="G41" s="52"/>
      <c r="H41" s="116"/>
      <c r="I41" s="52"/>
      <c r="J41" s="116"/>
      <c r="K41" s="52"/>
      <c r="L41" s="116"/>
      <c r="M41" s="52"/>
      <c r="N41" s="116"/>
      <c r="O41" s="52"/>
      <c r="P41" s="116"/>
      <c r="Q41" s="52"/>
      <c r="R41" s="116"/>
      <c r="S41" s="52"/>
      <c r="T41" s="116"/>
      <c r="U41" s="52"/>
      <c r="V41" s="116">
        <v>-85</v>
      </c>
      <c r="W41" s="116"/>
      <c r="X41" s="52"/>
      <c r="Y41" s="116">
        <v>-432</v>
      </c>
      <c r="Z41" s="116"/>
      <c r="AA41" s="52"/>
      <c r="AB41" s="44">
        <v>-710</v>
      </c>
      <c r="AC41" s="116"/>
      <c r="AD41" s="52"/>
      <c r="AE41" s="44">
        <v>-494</v>
      </c>
      <c r="AF41" s="116"/>
      <c r="AG41" s="52"/>
      <c r="AH41" s="44">
        <v>-494</v>
      </c>
      <c r="AI41" s="116"/>
      <c r="AJ41" s="52"/>
      <c r="AK41" s="116">
        <f>-184+1</f>
        <v>-183</v>
      </c>
      <c r="AL41" s="59"/>
      <c r="AM41" s="52"/>
      <c r="AN41" s="116">
        <v>0</v>
      </c>
      <c r="AO41" s="59"/>
      <c r="AP41" s="52"/>
      <c r="AQ41" s="116">
        <v>0</v>
      </c>
      <c r="AR41" s="323"/>
    </row>
    <row r="42" spans="1:44">
      <c r="A42" s="22">
        <v>22</v>
      </c>
      <c r="C42" s="1" t="s">
        <v>52</v>
      </c>
      <c r="D42" s="24"/>
      <c r="G42" s="52"/>
      <c r="H42" s="116"/>
      <c r="I42" s="52"/>
      <c r="J42" s="116"/>
      <c r="K42" s="52"/>
      <c r="L42" s="116"/>
      <c r="M42" s="52"/>
      <c r="N42" s="116"/>
      <c r="O42" s="52"/>
      <c r="P42" s="116"/>
      <c r="Q42" s="52"/>
      <c r="R42" s="116"/>
      <c r="S42" s="52"/>
      <c r="T42" s="116"/>
      <c r="U42" s="52"/>
      <c r="V42" s="116"/>
      <c r="W42" s="116"/>
      <c r="X42" s="52"/>
      <c r="Y42" s="116"/>
      <c r="Z42" s="116"/>
      <c r="AA42" s="52"/>
      <c r="AB42" s="44"/>
      <c r="AC42" s="116"/>
      <c r="AD42" s="52"/>
      <c r="AE42" s="44"/>
      <c r="AF42" s="116"/>
      <c r="AG42" s="52"/>
      <c r="AH42" s="44"/>
      <c r="AI42" s="116"/>
      <c r="AJ42" s="52"/>
      <c r="AK42" s="116"/>
      <c r="AL42" s="59"/>
      <c r="AM42" s="52"/>
      <c r="AN42" s="116"/>
      <c r="AO42" s="59"/>
      <c r="AP42" s="52"/>
      <c r="AQ42" s="116"/>
      <c r="AR42" s="323"/>
    </row>
    <row r="43" spans="1:44">
      <c r="A43" s="22">
        <v>23</v>
      </c>
      <c r="C43" s="24" t="s">
        <v>4</v>
      </c>
      <c r="D43" s="24"/>
      <c r="G43" s="53"/>
      <c r="H43" s="45"/>
      <c r="I43" s="53"/>
      <c r="J43" s="45"/>
      <c r="K43" s="53"/>
      <c r="L43" s="45"/>
      <c r="M43" s="53"/>
      <c r="N43" s="45"/>
      <c r="O43" s="53"/>
      <c r="P43" s="45"/>
      <c r="Q43" s="53"/>
      <c r="R43" s="45"/>
      <c r="S43" s="53"/>
      <c r="T43" s="45"/>
      <c r="U43" s="53"/>
      <c r="V43" s="45"/>
      <c r="W43" s="45"/>
      <c r="X43" s="53"/>
      <c r="Y43" s="116"/>
      <c r="Z43" s="45"/>
      <c r="AA43" s="53"/>
      <c r="AB43" s="45"/>
      <c r="AC43" s="45"/>
      <c r="AD43" s="53"/>
      <c r="AE43" s="45"/>
      <c r="AF43" s="45"/>
      <c r="AG43" s="53"/>
      <c r="AH43" s="45"/>
      <c r="AI43" s="45"/>
      <c r="AJ43" s="53"/>
      <c r="AK43" s="45"/>
      <c r="AL43" s="60"/>
      <c r="AM43" s="53"/>
      <c r="AN43" s="45"/>
      <c r="AO43" s="60"/>
      <c r="AP43" s="53"/>
      <c r="AQ43" s="45"/>
      <c r="AR43" s="322"/>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17">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67">
        <f t="shared" si="31"/>
        <v>-176</v>
      </c>
    </row>
    <row r="45" spans="1:44">
      <c r="A45" s="22">
        <v>25</v>
      </c>
      <c r="B45" s="3" t="s">
        <v>26</v>
      </c>
      <c r="C45" s="24"/>
      <c r="D45" s="24"/>
      <c r="G45" s="54">
        <f t="shared" ref="G45:P45" si="32">G21+G27+G33+G35+G36+G37+G44</f>
        <v>0</v>
      </c>
      <c r="H45" s="46">
        <f>H21+H27+H33+H35+H36+H37+H44</f>
        <v>-60365</v>
      </c>
      <c r="I45" s="54">
        <f t="shared" si="32"/>
        <v>-994</v>
      </c>
      <c r="J45" s="46">
        <f>J21+J27+J33+J35+J36+J37+J44</f>
        <v>-112139</v>
      </c>
      <c r="K45" s="54">
        <f t="shared" si="32"/>
        <v>-1778</v>
      </c>
      <c r="L45" s="46">
        <f t="shared" si="32"/>
        <v>-115643</v>
      </c>
      <c r="M45" s="54">
        <f t="shared" si="32"/>
        <v>-2125</v>
      </c>
      <c r="N45" s="46">
        <f t="shared" si="32"/>
        <v>-101771</v>
      </c>
      <c r="O45" s="54">
        <f t="shared" si="32"/>
        <v>0</v>
      </c>
      <c r="P45" s="46">
        <f t="shared" si="32"/>
        <v>-119845</v>
      </c>
      <c r="Q45" s="54">
        <f t="shared" ref="Q45:AI45" si="33">Q21+Q27+Q33+Q35+Q36+Q37+Q44</f>
        <v>-2978</v>
      </c>
      <c r="R45" s="46">
        <f t="shared" si="33"/>
        <v>-165090</v>
      </c>
      <c r="S45" s="54">
        <f t="shared" si="33"/>
        <v>0</v>
      </c>
      <c r="T45" s="46">
        <f t="shared" si="33"/>
        <v>-156970</v>
      </c>
      <c r="U45" s="54">
        <f t="shared" si="33"/>
        <v>-4019</v>
      </c>
      <c r="V45" s="46">
        <f t="shared" si="33"/>
        <v>-88</v>
      </c>
      <c r="W45" s="46">
        <f t="shared" si="33"/>
        <v>-230110</v>
      </c>
      <c r="X45" s="54">
        <f t="shared" si="33"/>
        <v>-4591</v>
      </c>
      <c r="Y45" s="117">
        <f t="shared" si="33"/>
        <v>-452</v>
      </c>
      <c r="Z45" s="46">
        <f t="shared" si="33"/>
        <v>-307445</v>
      </c>
      <c r="AA45" s="54">
        <f t="shared" si="33"/>
        <v>-7101</v>
      </c>
      <c r="AB45" s="46">
        <f t="shared" si="33"/>
        <v>-743</v>
      </c>
      <c r="AC45" s="46">
        <f t="shared" si="33"/>
        <v>-210779</v>
      </c>
      <c r="AD45" s="54">
        <f t="shared" si="33"/>
        <v>-8819</v>
      </c>
      <c r="AE45" s="46">
        <f t="shared" si="33"/>
        <v>-518</v>
      </c>
      <c r="AF45" s="46">
        <f t="shared" si="33"/>
        <v>-197952</v>
      </c>
      <c r="AG45" s="54">
        <f t="shared" si="33"/>
        <v>-9381</v>
      </c>
      <c r="AH45" s="46">
        <f t="shared" si="33"/>
        <v>-518</v>
      </c>
      <c r="AI45" s="46">
        <f t="shared" si="33"/>
        <v>-186855</v>
      </c>
      <c r="AJ45" s="54">
        <f t="shared" ref="AJ45:AO45" si="34">AJ21+AJ27+AJ33+AJ35+AJ36+AJ37+AJ44</f>
        <v>-6226</v>
      </c>
      <c r="AK45" s="46">
        <f t="shared" si="34"/>
        <v>-191</v>
      </c>
      <c r="AL45" s="61">
        <f t="shared" si="34"/>
        <v>-146207</v>
      </c>
      <c r="AM45" s="54">
        <f t="shared" si="34"/>
        <v>0</v>
      </c>
      <c r="AN45" s="46">
        <f t="shared" si="34"/>
        <v>0</v>
      </c>
      <c r="AO45" s="61">
        <f t="shared" si="34"/>
        <v>-80476</v>
      </c>
      <c r="AP45" s="54">
        <f t="shared" ref="AP45:AR45" si="35">AP21+AP27+AP33+AP35+AP36+AP37+AP44</f>
        <v>0</v>
      </c>
      <c r="AQ45" s="46">
        <f t="shared" si="35"/>
        <v>0</v>
      </c>
      <c r="AR45" s="367">
        <f t="shared" si="35"/>
        <v>-88215</v>
      </c>
    </row>
    <row r="46" spans="1:44">
      <c r="C46" s="24"/>
      <c r="D46" s="24"/>
      <c r="G46" s="52"/>
      <c r="H46" s="116"/>
      <c r="I46" s="52"/>
      <c r="J46" s="116"/>
      <c r="K46" s="52"/>
      <c r="L46" s="116"/>
      <c r="M46" s="52"/>
      <c r="N46" s="116"/>
      <c r="O46" s="52"/>
      <c r="P46" s="116"/>
      <c r="Q46" s="52"/>
      <c r="R46" s="116"/>
      <c r="S46" s="52"/>
      <c r="T46" s="116"/>
      <c r="U46" s="52"/>
      <c r="V46" s="116"/>
      <c r="W46" s="116"/>
      <c r="X46" s="52"/>
      <c r="Y46" s="117"/>
      <c r="Z46" s="116"/>
      <c r="AA46" s="52"/>
      <c r="AB46" s="44"/>
      <c r="AC46" s="116"/>
      <c r="AD46" s="52"/>
      <c r="AE46" s="44"/>
      <c r="AF46" s="116"/>
      <c r="AG46" s="52"/>
      <c r="AH46" s="44"/>
      <c r="AI46" s="116"/>
      <c r="AJ46" s="52"/>
      <c r="AK46" s="116"/>
      <c r="AL46" s="59"/>
      <c r="AM46" s="52"/>
      <c r="AN46" s="116"/>
      <c r="AO46" s="59"/>
      <c r="AP46" s="52"/>
      <c r="AQ46" s="116"/>
      <c r="AR46" s="323"/>
    </row>
    <row r="47" spans="1:44">
      <c r="A47" s="22">
        <v>26</v>
      </c>
      <c r="B47" s="3" t="s">
        <v>27</v>
      </c>
      <c r="C47" s="24"/>
      <c r="D47" s="24"/>
      <c r="G47" s="52">
        <f>G14-G45</f>
        <v>0</v>
      </c>
      <c r="H47" s="116">
        <f>H14-H45</f>
        <v>0</v>
      </c>
      <c r="I47" s="52">
        <f t="shared" ref="I47:P47" si="36">I14-I45</f>
        <v>0</v>
      </c>
      <c r="J47" s="116">
        <f t="shared" si="36"/>
        <v>0</v>
      </c>
      <c r="K47" s="52">
        <f t="shared" si="36"/>
        <v>0</v>
      </c>
      <c r="L47" s="116">
        <f t="shared" si="36"/>
        <v>0</v>
      </c>
      <c r="M47" s="52">
        <f t="shared" si="36"/>
        <v>0</v>
      </c>
      <c r="N47" s="116">
        <f t="shared" si="36"/>
        <v>0</v>
      </c>
      <c r="O47" s="52">
        <f t="shared" si="36"/>
        <v>0</v>
      </c>
      <c r="P47" s="116">
        <f t="shared" si="36"/>
        <v>0</v>
      </c>
      <c r="Q47" s="52">
        <f t="shared" ref="Q47:AI47" si="37">Q14-Q45</f>
        <v>0</v>
      </c>
      <c r="R47" s="116">
        <f t="shared" si="37"/>
        <v>0</v>
      </c>
      <c r="S47" s="52">
        <f t="shared" si="37"/>
        <v>0</v>
      </c>
      <c r="T47" s="116">
        <f t="shared" si="37"/>
        <v>0</v>
      </c>
      <c r="U47" s="52">
        <f t="shared" si="37"/>
        <v>0</v>
      </c>
      <c r="V47" s="116">
        <f t="shared" si="37"/>
        <v>0</v>
      </c>
      <c r="W47" s="116">
        <f t="shared" si="37"/>
        <v>0</v>
      </c>
      <c r="X47" s="52">
        <f t="shared" si="37"/>
        <v>0</v>
      </c>
      <c r="Y47" s="116">
        <f t="shared" si="37"/>
        <v>0</v>
      </c>
      <c r="Z47" s="116">
        <f t="shared" si="37"/>
        <v>0</v>
      </c>
      <c r="AA47" s="52">
        <f t="shared" si="37"/>
        <v>0</v>
      </c>
      <c r="AB47" s="44">
        <f t="shared" si="37"/>
        <v>0</v>
      </c>
      <c r="AC47" s="116">
        <f t="shared" si="37"/>
        <v>0</v>
      </c>
      <c r="AD47" s="52">
        <f t="shared" si="37"/>
        <v>0</v>
      </c>
      <c r="AE47" s="44">
        <f t="shared" si="37"/>
        <v>0</v>
      </c>
      <c r="AF47" s="116">
        <f t="shared" si="37"/>
        <v>0</v>
      </c>
      <c r="AG47" s="52">
        <f t="shared" si="37"/>
        <v>0</v>
      </c>
      <c r="AH47" s="44">
        <f t="shared" si="37"/>
        <v>0</v>
      </c>
      <c r="AI47" s="116">
        <f t="shared" si="37"/>
        <v>0</v>
      </c>
      <c r="AJ47" s="52">
        <f t="shared" ref="AJ47:AO47" si="38">AJ14-AJ45</f>
        <v>0</v>
      </c>
      <c r="AK47" s="116">
        <f t="shared" si="38"/>
        <v>0</v>
      </c>
      <c r="AL47" s="59">
        <f t="shared" si="38"/>
        <v>0</v>
      </c>
      <c r="AM47" s="52">
        <f t="shared" si="38"/>
        <v>0</v>
      </c>
      <c r="AN47" s="116">
        <f t="shared" si="38"/>
        <v>0</v>
      </c>
      <c r="AO47" s="59">
        <f t="shared" si="38"/>
        <v>0</v>
      </c>
      <c r="AP47" s="52">
        <f t="shared" ref="AP47:AR47" si="39">AP14-AP45</f>
        <v>0</v>
      </c>
      <c r="AQ47" s="116">
        <f t="shared" si="39"/>
        <v>0</v>
      </c>
      <c r="AR47" s="323">
        <f t="shared" si="39"/>
        <v>0</v>
      </c>
    </row>
    <row r="48" spans="1:44">
      <c r="C48" s="24"/>
      <c r="D48" s="24"/>
      <c r="G48" s="52"/>
      <c r="H48" s="116"/>
      <c r="I48" s="52"/>
      <c r="J48" s="116"/>
      <c r="K48" s="52"/>
      <c r="L48" s="116"/>
      <c r="M48" s="52"/>
      <c r="N48" s="116"/>
      <c r="O48" s="52"/>
      <c r="P48" s="116"/>
      <c r="Q48" s="52"/>
      <c r="R48" s="116"/>
      <c r="S48" s="52"/>
      <c r="T48" s="116"/>
      <c r="U48" s="52"/>
      <c r="V48" s="116"/>
      <c r="W48" s="116"/>
      <c r="X48" s="52"/>
      <c r="Y48" s="116"/>
      <c r="Z48" s="116"/>
      <c r="AA48" s="52"/>
      <c r="AB48" s="44"/>
      <c r="AC48" s="116"/>
      <c r="AD48" s="52"/>
      <c r="AE48" s="44"/>
      <c r="AF48" s="116"/>
      <c r="AG48" s="52"/>
      <c r="AH48" s="44"/>
      <c r="AI48" s="116"/>
      <c r="AJ48" s="52"/>
      <c r="AK48" s="116"/>
      <c r="AL48" s="59"/>
      <c r="AM48" s="52"/>
      <c r="AN48" s="116"/>
      <c r="AO48" s="59"/>
      <c r="AP48" s="52"/>
      <c r="AQ48" s="116"/>
      <c r="AR48" s="323"/>
    </row>
    <row r="49" spans="1:44">
      <c r="B49" s="3" t="s">
        <v>28</v>
      </c>
      <c r="C49" s="24"/>
      <c r="D49" s="24"/>
      <c r="G49" s="52"/>
      <c r="H49" s="116"/>
      <c r="I49" s="52"/>
      <c r="J49" s="116"/>
      <c r="K49" s="52"/>
      <c r="L49" s="116"/>
      <c r="M49" s="52"/>
      <c r="N49" s="116"/>
      <c r="O49" s="52"/>
      <c r="P49" s="116"/>
      <c r="Q49" s="52"/>
      <c r="R49" s="116"/>
      <c r="S49" s="52"/>
      <c r="T49" s="116"/>
      <c r="U49" s="52"/>
      <c r="V49" s="116"/>
      <c r="W49" s="116"/>
      <c r="X49" s="52"/>
      <c r="Y49" s="116"/>
      <c r="Z49" s="116"/>
      <c r="AA49" s="52"/>
      <c r="AB49" s="44"/>
      <c r="AC49" s="116"/>
      <c r="AD49" s="52"/>
      <c r="AE49" s="44"/>
      <c r="AF49" s="116"/>
      <c r="AG49" s="52"/>
      <c r="AH49" s="44"/>
      <c r="AI49" s="116"/>
      <c r="AJ49" s="52"/>
      <c r="AK49" s="116"/>
      <c r="AL49" s="59"/>
      <c r="AM49" s="52"/>
      <c r="AN49" s="116"/>
      <c r="AO49" s="59"/>
      <c r="AP49" s="52"/>
      <c r="AQ49" s="116"/>
      <c r="AR49" s="323"/>
    </row>
    <row r="50" spans="1:44">
      <c r="A50" s="22">
        <v>27</v>
      </c>
      <c r="B50" s="24" t="s">
        <v>29</v>
      </c>
      <c r="D50" s="24"/>
      <c r="G50" s="52"/>
      <c r="H50" s="116"/>
      <c r="I50" s="52"/>
      <c r="J50" s="116"/>
      <c r="K50" s="52"/>
      <c r="L50" s="116"/>
      <c r="M50" s="52"/>
      <c r="N50" s="116"/>
      <c r="O50" s="52"/>
      <c r="P50" s="116"/>
      <c r="Q50" s="52"/>
      <c r="R50" s="116"/>
      <c r="S50" s="52"/>
      <c r="T50" s="116"/>
      <c r="U50" s="52"/>
      <c r="V50" s="116"/>
      <c r="W50" s="116"/>
      <c r="X50" s="52"/>
      <c r="Y50" s="116"/>
      <c r="Z50" s="116"/>
      <c r="AA50" s="52"/>
      <c r="AB50" s="44"/>
      <c r="AC50" s="116"/>
      <c r="AD50" s="52"/>
      <c r="AE50" s="44"/>
      <c r="AF50" s="116"/>
      <c r="AG50" s="52"/>
      <c r="AH50" s="44"/>
      <c r="AI50" s="116"/>
      <c r="AJ50" s="52"/>
      <c r="AK50" s="116"/>
      <c r="AL50" s="59"/>
      <c r="AM50" s="52"/>
      <c r="AN50" s="116"/>
      <c r="AO50" s="59"/>
      <c r="AP50" s="52"/>
      <c r="AQ50" s="116"/>
      <c r="AR50" s="323"/>
    </row>
    <row r="51" spans="1:44">
      <c r="A51" s="22">
        <v>28</v>
      </c>
      <c r="B51" s="24" t="s">
        <v>46</v>
      </c>
      <c r="D51" s="24"/>
      <c r="G51" s="52"/>
      <c r="H51" s="116"/>
      <c r="I51" s="52"/>
      <c r="J51" s="116"/>
      <c r="K51" s="52"/>
      <c r="L51" s="116"/>
      <c r="M51" s="52"/>
      <c r="N51" s="116"/>
      <c r="O51" s="52"/>
      <c r="P51" s="116"/>
      <c r="Q51" s="52"/>
      <c r="R51" s="116"/>
      <c r="S51" s="52"/>
      <c r="T51" s="116"/>
      <c r="U51" s="52"/>
      <c r="V51" s="116"/>
      <c r="W51" s="116"/>
      <c r="X51" s="52"/>
      <c r="Y51" s="116"/>
      <c r="Z51" s="116"/>
      <c r="AA51" s="52"/>
      <c r="AB51" s="44"/>
      <c r="AC51" s="116"/>
      <c r="AD51" s="52"/>
      <c r="AE51" s="44"/>
      <c r="AF51" s="116"/>
      <c r="AG51" s="52"/>
      <c r="AH51" s="44"/>
      <c r="AI51" s="116"/>
      <c r="AJ51" s="52"/>
      <c r="AK51" s="116"/>
      <c r="AL51" s="59"/>
      <c r="AM51" s="52"/>
      <c r="AN51" s="116"/>
      <c r="AO51" s="59"/>
      <c r="AP51" s="52"/>
      <c r="AQ51" s="116"/>
      <c r="AR51" s="323"/>
    </row>
    <row r="52" spans="1:44">
      <c r="A52" s="22">
        <v>29</v>
      </c>
      <c r="B52" s="24" t="s">
        <v>30</v>
      </c>
      <c r="D52" s="24"/>
      <c r="G52" s="52"/>
      <c r="H52" s="116"/>
      <c r="I52" s="52"/>
      <c r="J52" s="116"/>
      <c r="K52" s="52"/>
      <c r="L52" s="116"/>
      <c r="M52" s="52"/>
      <c r="N52" s="116"/>
      <c r="O52" s="52"/>
      <c r="P52" s="116"/>
      <c r="Q52" s="52"/>
      <c r="R52" s="116"/>
      <c r="S52" s="52"/>
      <c r="T52" s="116"/>
      <c r="U52" s="52"/>
      <c r="V52" s="116"/>
      <c r="W52" s="116"/>
      <c r="X52" s="52"/>
      <c r="Y52" s="116"/>
      <c r="Z52" s="116"/>
      <c r="AA52" s="52"/>
      <c r="AB52" s="44"/>
      <c r="AC52" s="116"/>
      <c r="AD52" s="52"/>
      <c r="AE52" s="44"/>
      <c r="AF52" s="116"/>
      <c r="AG52" s="52"/>
      <c r="AH52" s="44"/>
      <c r="AI52" s="116"/>
      <c r="AJ52" s="52"/>
      <c r="AK52" s="116"/>
      <c r="AL52" s="59"/>
      <c r="AM52" s="52"/>
      <c r="AN52" s="116"/>
      <c r="AO52" s="59"/>
      <c r="AP52" s="52"/>
      <c r="AQ52" s="116"/>
      <c r="AR52" s="323"/>
    </row>
    <row r="53" spans="1:44">
      <c r="A53" s="22">
        <v>30</v>
      </c>
      <c r="B53" s="24" t="s">
        <v>31</v>
      </c>
      <c r="D53" s="24"/>
      <c r="G53" s="53"/>
      <c r="H53" s="45"/>
      <c r="I53" s="53"/>
      <c r="J53" s="45"/>
      <c r="K53" s="53"/>
      <c r="L53" s="45"/>
      <c r="M53" s="53"/>
      <c r="N53" s="45"/>
      <c r="O53" s="53"/>
      <c r="P53" s="45"/>
      <c r="Q53" s="53"/>
      <c r="R53" s="45"/>
      <c r="S53" s="53"/>
      <c r="T53" s="45"/>
      <c r="U53" s="53"/>
      <c r="V53" s="45"/>
      <c r="W53" s="45"/>
      <c r="X53" s="53"/>
      <c r="Y53" s="116"/>
      <c r="Z53" s="45"/>
      <c r="AA53" s="53"/>
      <c r="AB53" s="45"/>
      <c r="AC53" s="45"/>
      <c r="AD53" s="53"/>
      <c r="AE53" s="45"/>
      <c r="AF53" s="45"/>
      <c r="AG53" s="53"/>
      <c r="AH53" s="45"/>
      <c r="AI53" s="45"/>
      <c r="AJ53" s="53"/>
      <c r="AK53" s="45"/>
      <c r="AL53" s="60"/>
      <c r="AM53" s="53"/>
      <c r="AN53" s="45"/>
      <c r="AO53" s="60"/>
      <c r="AP53" s="53"/>
      <c r="AQ53" s="45"/>
      <c r="AR53" s="322"/>
    </row>
    <row r="54" spans="1:44">
      <c r="G54" s="52"/>
      <c r="H54" s="116"/>
      <c r="I54" s="52"/>
      <c r="J54" s="116"/>
      <c r="K54" s="52"/>
      <c r="L54" s="116"/>
      <c r="M54" s="52"/>
      <c r="N54" s="116"/>
      <c r="O54" s="52"/>
      <c r="P54" s="116"/>
      <c r="Q54" s="52"/>
      <c r="R54" s="116"/>
      <c r="S54" s="52"/>
      <c r="T54" s="116"/>
      <c r="U54" s="52"/>
      <c r="V54" s="116"/>
      <c r="W54" s="116"/>
      <c r="X54" s="52"/>
      <c r="Y54" s="117"/>
      <c r="Z54" s="116"/>
      <c r="AA54" s="52"/>
      <c r="AB54" s="44"/>
      <c r="AC54" s="116"/>
      <c r="AD54" s="52"/>
      <c r="AE54" s="44"/>
      <c r="AF54" s="116"/>
      <c r="AG54" s="52"/>
      <c r="AH54" s="44"/>
      <c r="AI54" s="116"/>
      <c r="AJ54" s="52"/>
      <c r="AK54" s="116"/>
      <c r="AL54" s="59"/>
      <c r="AM54" s="52"/>
      <c r="AN54" s="116"/>
      <c r="AO54" s="59"/>
      <c r="AP54" s="52"/>
      <c r="AQ54" s="116"/>
      <c r="AR54" s="323"/>
    </row>
    <row r="55" spans="1:44">
      <c r="A55" s="22">
        <v>31</v>
      </c>
      <c r="B55" s="23" t="s">
        <v>32</v>
      </c>
      <c r="C55" s="23"/>
      <c r="D55" s="23"/>
      <c r="G55" s="52">
        <f>G47-G50-G51-G52-G53</f>
        <v>0</v>
      </c>
      <c r="H55" s="116">
        <f>H47-H50-H51-H52-H53</f>
        <v>0</v>
      </c>
      <c r="I55" s="52">
        <f t="shared" ref="I55:P55" si="40">I47-I50-I51-I52-I53</f>
        <v>0</v>
      </c>
      <c r="J55" s="116">
        <f t="shared" si="40"/>
        <v>0</v>
      </c>
      <c r="K55" s="52">
        <f t="shared" si="40"/>
        <v>0</v>
      </c>
      <c r="L55" s="116">
        <f t="shared" si="40"/>
        <v>0</v>
      </c>
      <c r="M55" s="52">
        <f t="shared" si="40"/>
        <v>0</v>
      </c>
      <c r="N55" s="116">
        <f t="shared" si="40"/>
        <v>0</v>
      </c>
      <c r="O55" s="52">
        <f t="shared" si="40"/>
        <v>0</v>
      </c>
      <c r="P55" s="116">
        <f t="shared" si="40"/>
        <v>0</v>
      </c>
      <c r="Q55" s="52">
        <f t="shared" ref="Q55:AI55" si="41">Q47-Q50-Q51-Q52-Q53</f>
        <v>0</v>
      </c>
      <c r="R55" s="116">
        <f t="shared" si="41"/>
        <v>0</v>
      </c>
      <c r="S55" s="52">
        <f t="shared" si="41"/>
        <v>0</v>
      </c>
      <c r="T55" s="116">
        <f t="shared" si="41"/>
        <v>0</v>
      </c>
      <c r="U55" s="52">
        <f t="shared" si="41"/>
        <v>0</v>
      </c>
      <c r="V55" s="116">
        <f t="shared" si="41"/>
        <v>0</v>
      </c>
      <c r="W55" s="116">
        <f t="shared" si="41"/>
        <v>0</v>
      </c>
      <c r="X55" s="52">
        <f t="shared" si="41"/>
        <v>0</v>
      </c>
      <c r="Y55" s="116">
        <f t="shared" si="41"/>
        <v>0</v>
      </c>
      <c r="Z55" s="116">
        <f t="shared" si="41"/>
        <v>0</v>
      </c>
      <c r="AA55" s="52">
        <f t="shared" si="41"/>
        <v>0</v>
      </c>
      <c r="AB55" s="44">
        <f t="shared" si="41"/>
        <v>0</v>
      </c>
      <c r="AC55" s="116">
        <f t="shared" si="41"/>
        <v>0</v>
      </c>
      <c r="AD55" s="52">
        <f t="shared" si="41"/>
        <v>0</v>
      </c>
      <c r="AE55" s="44">
        <f t="shared" si="41"/>
        <v>0</v>
      </c>
      <c r="AF55" s="116">
        <f t="shared" si="41"/>
        <v>0</v>
      </c>
      <c r="AG55" s="52">
        <f t="shared" si="41"/>
        <v>0</v>
      </c>
      <c r="AH55" s="44">
        <f t="shared" si="41"/>
        <v>0</v>
      </c>
      <c r="AI55" s="116">
        <f t="shared" si="41"/>
        <v>0</v>
      </c>
      <c r="AJ55" s="52">
        <f t="shared" ref="AJ55:AO55" si="42">AJ47-AJ50-AJ51-AJ52-AJ53</f>
        <v>0</v>
      </c>
      <c r="AK55" s="116">
        <f t="shared" si="42"/>
        <v>0</v>
      </c>
      <c r="AL55" s="59">
        <f t="shared" si="42"/>
        <v>0</v>
      </c>
      <c r="AM55" s="52">
        <f t="shared" si="42"/>
        <v>0</v>
      </c>
      <c r="AN55" s="116">
        <f t="shared" si="42"/>
        <v>0</v>
      </c>
      <c r="AO55" s="59">
        <f t="shared" si="42"/>
        <v>0</v>
      </c>
      <c r="AP55" s="52">
        <f t="shared" ref="AP55:AR55" si="43">AP47-AP50-AP51-AP52-AP53</f>
        <v>0</v>
      </c>
      <c r="AQ55" s="116">
        <f t="shared" si="43"/>
        <v>0</v>
      </c>
      <c r="AR55" s="323">
        <f t="shared" si="43"/>
        <v>0</v>
      </c>
    </row>
    <row r="56" spans="1:44">
      <c r="G56" s="47"/>
      <c r="H56" s="112"/>
      <c r="I56" s="47"/>
      <c r="J56" s="112"/>
      <c r="K56" s="47"/>
      <c r="L56" s="112"/>
      <c r="M56" s="47"/>
      <c r="N56" s="112"/>
      <c r="O56" s="47"/>
      <c r="P56" s="112"/>
      <c r="Q56" s="47"/>
      <c r="R56" s="112"/>
      <c r="S56" s="47"/>
      <c r="T56" s="112"/>
      <c r="U56" s="47"/>
      <c r="V56" s="112"/>
      <c r="W56" s="112"/>
      <c r="X56" s="47"/>
      <c r="Y56" s="112"/>
      <c r="Z56" s="112"/>
      <c r="AA56" s="47"/>
      <c r="AC56" s="112"/>
      <c r="AD56" s="47"/>
      <c r="AF56" s="112"/>
      <c r="AG56" s="47"/>
      <c r="AI56" s="112"/>
      <c r="AJ56" s="47"/>
      <c r="AK56" s="112"/>
      <c r="AL56" s="112"/>
      <c r="AM56" s="47"/>
      <c r="AN56" s="112"/>
      <c r="AO56" s="112"/>
      <c r="AP56" s="47"/>
      <c r="AQ56" s="112"/>
      <c r="AR56" s="151"/>
    </row>
    <row r="57" spans="1:44">
      <c r="B57" s="28" t="s">
        <v>397</v>
      </c>
      <c r="C57" s="28"/>
      <c r="D57" s="28"/>
      <c r="K57" s="112"/>
      <c r="S57" s="112"/>
    </row>
    <row r="58" spans="1:44">
      <c r="B58" s="3" t="s">
        <v>70</v>
      </c>
      <c r="C58" s="3" t="s">
        <v>71</v>
      </c>
      <c r="K58" s="112"/>
      <c r="S58" s="112"/>
    </row>
    <row r="59" spans="1:44">
      <c r="B59" s="3" t="s">
        <v>395</v>
      </c>
      <c r="D59" s="3" t="s">
        <v>396</v>
      </c>
      <c r="K59" s="112"/>
      <c r="S59" s="112"/>
    </row>
    <row r="60" spans="1:44" ht="6" customHeight="1">
      <c r="K60" s="112"/>
      <c r="S60" s="112"/>
    </row>
    <row r="61" spans="1:44">
      <c r="D61" s="3" t="s">
        <v>158</v>
      </c>
      <c r="G61" s="101"/>
      <c r="H61" s="101">
        <v>242</v>
      </c>
      <c r="I61" s="101"/>
      <c r="J61" s="101">
        <v>244</v>
      </c>
      <c r="K61" s="101"/>
      <c r="L61" s="101">
        <v>144</v>
      </c>
      <c r="M61" s="101"/>
      <c r="N61" s="101">
        <v>0</v>
      </c>
      <c r="O61" s="101"/>
      <c r="P61" s="101">
        <v>0</v>
      </c>
      <c r="Q61" s="101"/>
      <c r="R61" s="101">
        <f>27855+479</f>
        <v>28334</v>
      </c>
      <c r="S61" s="101"/>
      <c r="T61" s="101">
        <f>36725+0</f>
        <v>36725</v>
      </c>
      <c r="U61" s="101"/>
      <c r="V61" s="101"/>
      <c r="W61" s="101">
        <f>66526+160</f>
        <v>66686</v>
      </c>
      <c r="X61" s="101"/>
      <c r="Y61" s="101"/>
      <c r="Z61" s="101">
        <f>149894+3124</f>
        <v>153018</v>
      </c>
      <c r="AA61" s="101"/>
      <c r="AB61" s="101"/>
      <c r="AC61" s="101">
        <f>78622+5370</f>
        <v>83992</v>
      </c>
      <c r="AD61" s="101"/>
      <c r="AE61" s="101"/>
      <c r="AF61" s="101">
        <f>109009+6184</f>
        <v>115193</v>
      </c>
      <c r="AG61" s="101"/>
      <c r="AH61" s="101"/>
      <c r="AI61" s="101">
        <f>94024+4770</f>
        <v>98794</v>
      </c>
      <c r="AJ61" s="101"/>
      <c r="AK61" s="101"/>
      <c r="AL61" s="101">
        <f>63689+4133</f>
        <v>67822</v>
      </c>
      <c r="AM61" s="101"/>
      <c r="AN61" s="101"/>
      <c r="AO61" s="101">
        <v>0</v>
      </c>
      <c r="AP61" s="101"/>
      <c r="AQ61" s="101"/>
      <c r="AR61" s="246">
        <v>0</v>
      </c>
    </row>
    <row r="62" spans="1:44">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246"/>
    </row>
    <row r="63" spans="1:44">
      <c r="D63" s="3" t="s">
        <v>159</v>
      </c>
      <c r="G63" s="101"/>
      <c r="H63" s="101">
        <f>125+38</f>
        <v>163</v>
      </c>
      <c r="I63" s="101"/>
      <c r="J63" s="101">
        <f>134+98</f>
        <v>232</v>
      </c>
      <c r="K63" s="101"/>
      <c r="L63" s="101">
        <f>131+128+2</f>
        <v>261</v>
      </c>
      <c r="M63" s="101"/>
      <c r="N63" s="101">
        <f>142+141+2</f>
        <v>285</v>
      </c>
      <c r="O63" s="101"/>
      <c r="P63" s="101">
        <f>148+181+48-8</f>
        <v>369</v>
      </c>
      <c r="Q63" s="101"/>
      <c r="R63" s="101">
        <f>643+8</f>
        <v>651</v>
      </c>
      <c r="S63" s="101"/>
      <c r="T63" s="101">
        <v>653</v>
      </c>
      <c r="U63" s="101"/>
      <c r="V63" s="101"/>
      <c r="W63" s="101">
        <v>792</v>
      </c>
      <c r="X63" s="101"/>
      <c r="Y63" s="101"/>
      <c r="Z63" s="101">
        <v>783</v>
      </c>
      <c r="AA63" s="101"/>
      <c r="AB63" s="101"/>
      <c r="AC63" s="101">
        <v>802</v>
      </c>
      <c r="AD63" s="101"/>
      <c r="AE63" s="101"/>
      <c r="AF63" s="101">
        <f>801-1</f>
        <v>800</v>
      </c>
      <c r="AG63" s="101"/>
      <c r="AH63" s="101"/>
      <c r="AI63" s="101">
        <f>903+78</f>
        <v>981</v>
      </c>
      <c r="AJ63" s="101"/>
      <c r="AK63" s="101"/>
      <c r="AL63" s="101">
        <f>857+71</f>
        <v>928</v>
      </c>
      <c r="AM63" s="101"/>
      <c r="AN63" s="101"/>
      <c r="AO63" s="101">
        <v>891</v>
      </c>
      <c r="AP63" s="101"/>
      <c r="AQ63" s="101"/>
      <c r="AR63" s="246">
        <v>779</v>
      </c>
    </row>
    <row r="64" spans="1:44">
      <c r="K64" s="112"/>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246"/>
    </row>
    <row r="65" spans="4:44">
      <c r="D65" s="3" t="s">
        <v>160</v>
      </c>
      <c r="H65" s="122">
        <f>'Cost Trends'!F22+H21</f>
        <v>163</v>
      </c>
      <c r="J65" s="122">
        <f>'Cost Trends'!G22+J21</f>
        <v>232</v>
      </c>
      <c r="K65" s="112"/>
      <c r="L65" s="122">
        <f>'Cost Trends'!H22+L21</f>
        <v>261</v>
      </c>
      <c r="N65" s="122">
        <f>'Cost Trends'!I22+N21</f>
        <v>285</v>
      </c>
      <c r="P65" s="122">
        <f>'Cost Trends'!J22+P21</f>
        <v>369</v>
      </c>
      <c r="R65" s="122">
        <f>'Cost Trends'!K22+R21</f>
        <v>651</v>
      </c>
      <c r="T65" s="122">
        <f>'Cost Trends'!L22+T21</f>
        <v>653</v>
      </c>
      <c r="W65" s="122">
        <f>'Cost Trends'!M22+W21</f>
        <v>792</v>
      </c>
      <c r="Z65" s="122">
        <f>'Cost Trends'!N22+Z21</f>
        <v>783</v>
      </c>
      <c r="AC65" s="122">
        <f>'Cost Trends'!O22+AC21</f>
        <v>802</v>
      </c>
      <c r="AF65" s="122">
        <f>'Cost Trends'!P22+AF21</f>
        <v>800</v>
      </c>
      <c r="AI65" s="122">
        <f>'Cost Trends'!Q22+AI21</f>
        <v>981</v>
      </c>
      <c r="AL65" s="122">
        <f>'Cost Trends'!R22+AL21</f>
        <v>928</v>
      </c>
      <c r="AO65" s="122">
        <f>'Cost Trends'!S22+AO21</f>
        <v>891</v>
      </c>
      <c r="AR65" s="368">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68"/>
  <sheetViews>
    <sheetView workbookViewId="0">
      <pane xSplit="6435" topLeftCell="L1" activePane="topRight"/>
      <selection activeCell="J18" sqref="J18"/>
      <selection pane="topRight" activeCell="J18" sqref="J18"/>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28"/>
  </cols>
  <sheetData>
    <row r="1" spans="1:19">
      <c r="A1" s="98" t="s">
        <v>135</v>
      </c>
      <c r="B1" s="98"/>
      <c r="C1" s="98"/>
      <c r="D1" s="98"/>
      <c r="E1" s="98"/>
      <c r="F1" s="98"/>
      <c r="G1" s="98"/>
      <c r="H1" s="98"/>
      <c r="I1" s="98"/>
      <c r="J1" s="98"/>
      <c r="K1" s="98"/>
      <c r="L1" s="98"/>
      <c r="M1" s="98"/>
      <c r="N1" s="98"/>
      <c r="O1" s="98"/>
      <c r="P1" s="98"/>
      <c r="Q1" s="98"/>
    </row>
    <row r="2" spans="1:19">
      <c r="A2" s="98" t="s">
        <v>146</v>
      </c>
      <c r="B2" s="98"/>
      <c r="C2" s="98"/>
      <c r="D2" s="98"/>
      <c r="E2" s="98"/>
      <c r="F2" s="98"/>
      <c r="G2" s="98"/>
      <c r="H2" s="98"/>
      <c r="I2" s="98"/>
      <c r="J2" s="98"/>
      <c r="K2" s="98"/>
      <c r="L2" s="98"/>
      <c r="M2" s="98"/>
      <c r="N2" s="98"/>
      <c r="O2" s="98"/>
      <c r="P2" s="98"/>
      <c r="Q2" s="98"/>
    </row>
    <row r="3" spans="1:19">
      <c r="A3" s="98" t="s">
        <v>483</v>
      </c>
      <c r="B3" s="98"/>
      <c r="C3" s="98"/>
      <c r="D3" s="98"/>
      <c r="E3" s="98"/>
      <c r="F3" s="98"/>
      <c r="G3" s="98"/>
      <c r="H3" s="98"/>
      <c r="I3" s="98"/>
      <c r="J3" s="98"/>
      <c r="K3" s="98"/>
      <c r="L3" s="98"/>
      <c r="M3" s="98"/>
      <c r="N3" s="98"/>
      <c r="O3" s="98"/>
      <c r="P3" s="98"/>
      <c r="Q3" s="98"/>
    </row>
    <row r="4" spans="1:19">
      <c r="A4" s="98" t="s">
        <v>136</v>
      </c>
      <c r="B4" s="98"/>
      <c r="C4" s="98"/>
      <c r="D4" s="98"/>
      <c r="E4" s="98"/>
      <c r="F4" s="98"/>
      <c r="G4" s="98"/>
      <c r="H4" s="98"/>
      <c r="I4" s="98"/>
      <c r="J4" s="98"/>
      <c r="K4" s="98"/>
      <c r="L4" s="98"/>
      <c r="M4" s="98"/>
      <c r="N4" s="98"/>
      <c r="O4" s="98"/>
      <c r="P4" s="98"/>
      <c r="Q4" s="98"/>
    </row>
    <row r="5" spans="1:19">
      <c r="A5" s="98"/>
      <c r="B5" s="98"/>
      <c r="C5" s="98"/>
      <c r="D5" s="98"/>
      <c r="E5" s="98"/>
      <c r="F5" s="98"/>
      <c r="G5" s="98"/>
      <c r="H5" s="98"/>
      <c r="I5" s="98"/>
      <c r="J5" s="98"/>
      <c r="K5" s="98"/>
      <c r="L5" s="98"/>
      <c r="M5" s="98"/>
      <c r="N5" s="98"/>
      <c r="O5" s="98"/>
      <c r="P5" s="98"/>
      <c r="Q5" s="98"/>
      <c r="S5" s="376" t="s">
        <v>498</v>
      </c>
    </row>
    <row r="6" spans="1:19">
      <c r="A6" s="98"/>
      <c r="B6" s="98"/>
      <c r="C6" s="98"/>
      <c r="D6" s="98"/>
      <c r="E6" s="99">
        <v>2000</v>
      </c>
      <c r="F6" s="99">
        <v>2001</v>
      </c>
      <c r="G6" s="99">
        <v>2002</v>
      </c>
      <c r="H6" s="99">
        <v>2003</v>
      </c>
      <c r="I6" s="99">
        <v>2004</v>
      </c>
      <c r="J6" s="99">
        <v>2005</v>
      </c>
      <c r="K6" s="99">
        <v>2006</v>
      </c>
      <c r="L6" s="99">
        <v>2007</v>
      </c>
      <c r="M6" s="99">
        <v>2008</v>
      </c>
      <c r="N6" s="99">
        <v>2009</v>
      </c>
      <c r="O6" s="99">
        <v>2010</v>
      </c>
      <c r="P6" s="99">
        <v>2011</v>
      </c>
      <c r="Q6" s="99">
        <v>2012</v>
      </c>
      <c r="R6" s="99">
        <v>2013</v>
      </c>
      <c r="S6" s="369">
        <v>2014</v>
      </c>
    </row>
    <row r="9" spans="1:19">
      <c r="A9" t="s">
        <v>147</v>
      </c>
    </row>
    <row r="10" spans="1:19">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42">
        <v>3868</v>
      </c>
      <c r="S10" s="242">
        <v>4389</v>
      </c>
    </row>
    <row r="11" spans="1:19">
      <c r="A11" s="22">
        <v>22</v>
      </c>
      <c r="B11" s="1" t="s">
        <v>52</v>
      </c>
      <c r="C11" s="1"/>
      <c r="D11" s="24"/>
      <c r="E11" s="32"/>
      <c r="F11" s="32"/>
      <c r="G11" s="32"/>
      <c r="H11" s="32"/>
      <c r="I11" s="32"/>
      <c r="J11" s="32"/>
      <c r="K11" s="32"/>
      <c r="L11" s="32"/>
      <c r="M11" s="32"/>
      <c r="N11" s="32"/>
      <c r="O11" s="32"/>
      <c r="P11" s="32">
        <v>-186</v>
      </c>
      <c r="Q11" s="32">
        <v>171</v>
      </c>
      <c r="R11" s="242">
        <v>91</v>
      </c>
      <c r="S11" s="242">
        <v>-91</v>
      </c>
    </row>
    <row r="12" spans="1:19">
      <c r="A12" s="70"/>
    </row>
    <row r="13" spans="1:19">
      <c r="A13" s="70"/>
      <c r="B13" s="70"/>
      <c r="E13" s="100"/>
      <c r="F13" s="100"/>
      <c r="G13" s="100"/>
      <c r="H13" s="100"/>
      <c r="I13" s="100"/>
      <c r="J13" s="100"/>
      <c r="K13" s="100"/>
      <c r="L13" s="100"/>
      <c r="M13" s="100"/>
      <c r="N13" s="100"/>
      <c r="O13" s="100"/>
      <c r="P13" s="100"/>
      <c r="Q13" s="100"/>
    </row>
    <row r="14" spans="1:19">
      <c r="A14" s="70" t="s">
        <v>148</v>
      </c>
      <c r="B14" s="70"/>
      <c r="E14" s="100">
        <v>565</v>
      </c>
      <c r="F14" s="100">
        <v>632</v>
      </c>
      <c r="G14" s="100">
        <v>811</v>
      </c>
      <c r="H14" s="100">
        <v>907</v>
      </c>
      <c r="I14" s="100">
        <f>291+478</f>
        <v>769</v>
      </c>
      <c r="J14" s="100">
        <f>827-54</f>
        <v>773</v>
      </c>
      <c r="K14" s="100">
        <v>903</v>
      </c>
      <c r="L14" s="100">
        <v>1014</v>
      </c>
      <c r="M14" s="100">
        <v>1151</v>
      </c>
      <c r="N14" s="100">
        <v>1220</v>
      </c>
      <c r="O14" s="100">
        <v>1478</v>
      </c>
      <c r="P14" s="100">
        <v>1642</v>
      </c>
      <c r="Q14" s="100">
        <v>1954</v>
      </c>
      <c r="R14" s="101">
        <f>2332+61</f>
        <v>2393</v>
      </c>
      <c r="S14" s="370">
        <f>2496+90</f>
        <v>2586</v>
      </c>
    </row>
    <row r="15" spans="1:19">
      <c r="A15" s="70" t="s">
        <v>149</v>
      </c>
      <c r="E15" s="101">
        <f>358+3</f>
        <v>361</v>
      </c>
      <c r="F15" s="101">
        <f>269+3</f>
        <v>272</v>
      </c>
      <c r="G15" s="101">
        <f>355+2</f>
        <v>357</v>
      </c>
      <c r="H15" s="101">
        <f>351+3</f>
        <v>354</v>
      </c>
      <c r="I15" s="101">
        <f>236+6</f>
        <v>242</v>
      </c>
      <c r="J15" s="101">
        <f>419+4</f>
        <v>423</v>
      </c>
      <c r="K15" s="101">
        <f>373+5+1</f>
        <v>379</v>
      </c>
      <c r="L15" s="101">
        <f>478+5</f>
        <v>483</v>
      </c>
      <c r="M15" s="101">
        <f>646+5</f>
        <v>651</v>
      </c>
      <c r="N15" s="101">
        <f>773+5</f>
        <v>778</v>
      </c>
      <c r="O15" s="101">
        <f>16+778+139</f>
        <v>933</v>
      </c>
      <c r="P15" s="101">
        <f>24+1066</f>
        <v>1090</v>
      </c>
      <c r="Q15" s="101">
        <f>1292+26</f>
        <v>1318</v>
      </c>
      <c r="R15" s="101">
        <v>1471</v>
      </c>
      <c r="S15" s="246">
        <v>1799</v>
      </c>
    </row>
    <row r="16" spans="1:19">
      <c r="A16" s="70" t="s">
        <v>150</v>
      </c>
      <c r="E16" s="101">
        <v>101</v>
      </c>
      <c r="F16" s="101">
        <v>116</v>
      </c>
      <c r="G16" s="101">
        <v>107</v>
      </c>
      <c r="H16" s="101">
        <v>102</v>
      </c>
      <c r="I16" s="101">
        <f>146+23</f>
        <v>169</v>
      </c>
      <c r="J16" s="101">
        <f>139+8</f>
        <v>147</v>
      </c>
      <c r="K16" s="101"/>
      <c r="L16" s="101">
        <v>1</v>
      </c>
      <c r="M16" s="101">
        <v>1</v>
      </c>
      <c r="N16" s="101">
        <v>1</v>
      </c>
      <c r="O16" s="101">
        <v>1</v>
      </c>
      <c r="P16" s="101">
        <v>2</v>
      </c>
      <c r="Q16" s="101">
        <v>4</v>
      </c>
      <c r="R16" s="101">
        <v>4</v>
      </c>
      <c r="S16" s="246">
        <v>4</v>
      </c>
    </row>
    <row r="17" spans="1:19">
      <c r="A17" s="70" t="s">
        <v>151</v>
      </c>
      <c r="E17" s="109">
        <f>SUM(E14:E16)</f>
        <v>1027</v>
      </c>
      <c r="F17" s="109">
        <f t="shared" ref="F17:Q17" si="0">SUM(F14:F16)</f>
        <v>1020</v>
      </c>
      <c r="G17" s="109">
        <f t="shared" si="0"/>
        <v>1275</v>
      </c>
      <c r="H17" s="109">
        <f t="shared" si="0"/>
        <v>1363</v>
      </c>
      <c r="I17" s="109">
        <f t="shared" si="0"/>
        <v>1180</v>
      </c>
      <c r="J17" s="109">
        <f t="shared" si="0"/>
        <v>1343</v>
      </c>
      <c r="K17" s="109">
        <f t="shared" si="0"/>
        <v>1282</v>
      </c>
      <c r="L17" s="109">
        <f t="shared" si="0"/>
        <v>1498</v>
      </c>
      <c r="M17" s="109">
        <f t="shared" si="0"/>
        <v>1803</v>
      </c>
      <c r="N17" s="109">
        <f t="shared" si="0"/>
        <v>1999</v>
      </c>
      <c r="O17" s="109">
        <f t="shared" si="0"/>
        <v>2412</v>
      </c>
      <c r="P17" s="109">
        <f t="shared" si="0"/>
        <v>2734</v>
      </c>
      <c r="Q17" s="109">
        <f t="shared" si="0"/>
        <v>3276</v>
      </c>
      <c r="R17" s="109">
        <f>SUM(R14:R16)</f>
        <v>3868</v>
      </c>
      <c r="S17" s="371">
        <f>SUM(S14:S16)</f>
        <v>4389</v>
      </c>
    </row>
    <row r="18" spans="1:19">
      <c r="A18" s="70"/>
      <c r="E18" s="102"/>
      <c r="F18" s="101"/>
      <c r="G18" s="101"/>
      <c r="H18" s="101"/>
      <c r="I18" s="101"/>
      <c r="J18" s="101"/>
      <c r="K18" s="101"/>
      <c r="L18" s="101"/>
      <c r="M18" s="101"/>
      <c r="N18" s="101"/>
      <c r="O18" s="101"/>
      <c r="P18" s="101"/>
      <c r="Q18" s="101"/>
      <c r="R18" s="101"/>
      <c r="S18" s="246"/>
    </row>
    <row r="19" spans="1:19">
      <c r="A19" s="70" t="s">
        <v>156</v>
      </c>
      <c r="B19" s="70"/>
      <c r="E19" s="108"/>
      <c r="F19" s="108">
        <v>167</v>
      </c>
      <c r="G19" s="108">
        <v>185</v>
      </c>
      <c r="H19" s="108">
        <v>159</v>
      </c>
      <c r="I19" s="108">
        <v>169</v>
      </c>
      <c r="J19" s="108">
        <v>0</v>
      </c>
      <c r="K19" s="108"/>
      <c r="L19" s="108"/>
      <c r="M19" s="108"/>
      <c r="N19" s="108"/>
      <c r="O19" s="108"/>
      <c r="P19" s="108"/>
      <c r="Q19" s="108"/>
      <c r="R19" s="108"/>
      <c r="S19" s="372"/>
    </row>
    <row r="20" spans="1:19">
      <c r="A20" s="70" t="s">
        <v>153</v>
      </c>
      <c r="B20" s="70"/>
      <c r="E20" s="108"/>
      <c r="F20" s="108"/>
      <c r="G20" s="108"/>
      <c r="H20" s="108"/>
      <c r="I20" s="108"/>
      <c r="J20" s="108"/>
      <c r="K20" s="108"/>
      <c r="L20" s="108"/>
      <c r="M20" s="108"/>
      <c r="N20" s="108"/>
      <c r="O20" s="108"/>
      <c r="P20" s="108">
        <v>-449</v>
      </c>
      <c r="Q20" s="108"/>
      <c r="R20" s="108"/>
      <c r="S20" s="372"/>
    </row>
    <row r="21" spans="1:19">
      <c r="A21" s="70" t="s">
        <v>154</v>
      </c>
      <c r="E21" s="101"/>
      <c r="F21" s="101"/>
      <c r="G21" s="101"/>
      <c r="H21" s="101"/>
      <c r="I21" s="101"/>
      <c r="J21" s="101"/>
      <c r="K21" s="101"/>
      <c r="L21" s="101">
        <v>-900</v>
      </c>
      <c r="M21" s="101">
        <v>-674</v>
      </c>
      <c r="N21" s="101">
        <v>-270</v>
      </c>
      <c r="O21" s="101">
        <v>-278</v>
      </c>
      <c r="P21" s="101">
        <v>-231</v>
      </c>
      <c r="Q21" s="101">
        <v>-13</v>
      </c>
      <c r="R21" s="246">
        <v>91</v>
      </c>
      <c r="S21" s="246">
        <v>-91</v>
      </c>
    </row>
    <row r="22" spans="1:19">
      <c r="A22" s="70" t="s">
        <v>155</v>
      </c>
      <c r="D22" s="70" t="s">
        <v>100</v>
      </c>
      <c r="L22">
        <v>85</v>
      </c>
      <c r="M22">
        <v>432</v>
      </c>
      <c r="N22">
        <v>710</v>
      </c>
      <c r="O22">
        <v>494</v>
      </c>
      <c r="P22">
        <v>494</v>
      </c>
      <c r="Q22">
        <v>184</v>
      </c>
      <c r="R22" s="128">
        <v>0</v>
      </c>
      <c r="S22" s="128">
        <v>0</v>
      </c>
    </row>
    <row r="25" spans="1:19">
      <c r="A25" s="70" t="s">
        <v>266</v>
      </c>
      <c r="E25" s="110">
        <f t="shared" ref="E25:P25" si="1">SUM(E19:E24)</f>
        <v>0</v>
      </c>
      <c r="F25" s="110">
        <f t="shared" si="1"/>
        <v>167</v>
      </c>
      <c r="G25" s="110">
        <f t="shared" si="1"/>
        <v>185</v>
      </c>
      <c r="H25" s="110">
        <f t="shared" si="1"/>
        <v>159</v>
      </c>
      <c r="I25" s="110">
        <f t="shared" si="1"/>
        <v>169</v>
      </c>
      <c r="J25" s="110">
        <f t="shared" si="1"/>
        <v>0</v>
      </c>
      <c r="K25" s="110">
        <f t="shared" si="1"/>
        <v>0</v>
      </c>
      <c r="L25" s="110">
        <f t="shared" si="1"/>
        <v>-815</v>
      </c>
      <c r="M25" s="110">
        <f t="shared" si="1"/>
        <v>-242</v>
      </c>
      <c r="N25" s="110">
        <f t="shared" si="1"/>
        <v>440</v>
      </c>
      <c r="O25" s="110">
        <f t="shared" si="1"/>
        <v>216</v>
      </c>
      <c r="P25" s="110">
        <f t="shared" si="1"/>
        <v>-186</v>
      </c>
      <c r="Q25" s="110">
        <f>SUM(Q19:Q24)</f>
        <v>171</v>
      </c>
      <c r="R25" s="110">
        <f>SUM(R19:R24)</f>
        <v>91</v>
      </c>
      <c r="S25" s="373">
        <f>SUM(S19:S24)</f>
        <v>-91</v>
      </c>
    </row>
    <row r="27" spans="1:19">
      <c r="B27" s="70" t="s">
        <v>137</v>
      </c>
      <c r="E27" s="100">
        <f>E17+E25</f>
        <v>1027</v>
      </c>
      <c r="F27" s="100">
        <f t="shared" ref="F27:Q27" si="2">F17+F25</f>
        <v>1187</v>
      </c>
      <c r="G27" s="100">
        <f t="shared" si="2"/>
        <v>1460</v>
      </c>
      <c r="H27" s="100">
        <f t="shared" si="2"/>
        <v>1522</v>
      </c>
      <c r="I27" s="100">
        <f t="shared" si="2"/>
        <v>1349</v>
      </c>
      <c r="J27" s="100">
        <f t="shared" si="2"/>
        <v>1343</v>
      </c>
      <c r="K27" s="100">
        <f t="shared" si="2"/>
        <v>1282</v>
      </c>
      <c r="L27" s="100">
        <f t="shared" si="2"/>
        <v>683</v>
      </c>
      <c r="M27" s="100">
        <f t="shared" si="2"/>
        <v>1561</v>
      </c>
      <c r="N27" s="100">
        <f t="shared" si="2"/>
        <v>2439</v>
      </c>
      <c r="O27" s="100">
        <f t="shared" si="2"/>
        <v>2628</v>
      </c>
      <c r="P27" s="100">
        <f t="shared" si="2"/>
        <v>2548</v>
      </c>
      <c r="Q27" s="100">
        <f t="shared" si="2"/>
        <v>3447</v>
      </c>
      <c r="R27" s="100">
        <f>R17+R25</f>
        <v>3959</v>
      </c>
      <c r="S27" s="370">
        <f>S17+S25</f>
        <v>4298</v>
      </c>
    </row>
    <row r="28" spans="1:19">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28" t="str">
        <f>IF(S27=S10+S11,"","check")</f>
        <v/>
      </c>
    </row>
    <row r="29" spans="1:19">
      <c r="B29" t="s">
        <v>138</v>
      </c>
    </row>
    <row r="30" spans="1:19">
      <c r="E30" s="100">
        <f>E25-E22</f>
        <v>0</v>
      </c>
      <c r="F30" s="100">
        <f t="shared" ref="F30:Q30" si="4">F25-F22</f>
        <v>167</v>
      </c>
      <c r="G30" s="100">
        <f t="shared" si="4"/>
        <v>185</v>
      </c>
      <c r="H30" s="100">
        <f t="shared" si="4"/>
        <v>159</v>
      </c>
      <c r="I30" s="100">
        <f t="shared" si="4"/>
        <v>169</v>
      </c>
      <c r="J30" s="100">
        <f t="shared" si="4"/>
        <v>0</v>
      </c>
      <c r="K30" s="100">
        <f t="shared" si="4"/>
        <v>0</v>
      </c>
      <c r="L30" s="100">
        <f t="shared" si="4"/>
        <v>-900</v>
      </c>
      <c r="M30" s="100">
        <f t="shared" si="4"/>
        <v>-674</v>
      </c>
      <c r="N30" s="100">
        <f t="shared" si="4"/>
        <v>-270</v>
      </c>
      <c r="O30" s="100">
        <f t="shared" si="4"/>
        <v>-278</v>
      </c>
      <c r="P30" s="100">
        <f t="shared" si="4"/>
        <v>-680</v>
      </c>
      <c r="Q30" s="100">
        <f t="shared" si="4"/>
        <v>-13</v>
      </c>
      <c r="R30" s="100">
        <f>R25-R22</f>
        <v>91</v>
      </c>
      <c r="S30" s="370">
        <f>S25-S22</f>
        <v>-91</v>
      </c>
    </row>
    <row r="31" spans="1:19">
      <c r="E31" s="100"/>
      <c r="F31" s="100"/>
      <c r="G31" s="100"/>
      <c r="H31" s="100"/>
      <c r="I31" s="100"/>
      <c r="J31" s="100"/>
      <c r="K31" s="100"/>
      <c r="L31" s="100"/>
      <c r="M31" s="100"/>
      <c r="N31" s="100"/>
      <c r="O31" s="100"/>
      <c r="P31" s="100"/>
      <c r="Q31" s="100"/>
      <c r="R31" s="100"/>
      <c r="S31" s="370"/>
    </row>
    <row r="32" spans="1:19">
      <c r="E32" s="99">
        <v>2000</v>
      </c>
      <c r="F32" s="99">
        <v>2001</v>
      </c>
      <c r="G32" s="99">
        <v>2002</v>
      </c>
      <c r="H32" s="99">
        <v>2003</v>
      </c>
      <c r="I32" s="99">
        <v>2004</v>
      </c>
      <c r="J32" s="99">
        <v>2005</v>
      </c>
      <c r="K32" s="99">
        <v>2006</v>
      </c>
      <c r="L32" s="99">
        <v>2007</v>
      </c>
      <c r="M32" s="99">
        <v>2008</v>
      </c>
      <c r="N32" s="99">
        <v>2009</v>
      </c>
      <c r="O32" s="99">
        <v>2010</v>
      </c>
      <c r="P32" s="99">
        <v>2011</v>
      </c>
      <c r="Q32" s="99">
        <v>2012</v>
      </c>
      <c r="R32" s="99">
        <v>2013</v>
      </c>
      <c r="S32" s="369">
        <v>2013</v>
      </c>
    </row>
    <row r="33" spans="1:20">
      <c r="A33" s="22"/>
      <c r="B33" s="3" t="s">
        <v>40</v>
      </c>
      <c r="C33" s="3"/>
      <c r="D33" s="3"/>
      <c r="E33" s="32"/>
      <c r="F33" s="32"/>
      <c r="G33" s="32"/>
      <c r="H33" s="32"/>
      <c r="I33" s="32"/>
      <c r="J33" s="32"/>
      <c r="K33" s="32"/>
      <c r="L33" s="32"/>
      <c r="M33" s="32"/>
      <c r="N33" s="32"/>
      <c r="O33" s="32"/>
      <c r="P33" s="32"/>
      <c r="Q33" s="32"/>
      <c r="R33" s="32"/>
      <c r="S33" s="242"/>
    </row>
    <row r="34" spans="1:20">
      <c r="A34" s="22"/>
      <c r="B34" s="3" t="s">
        <v>41</v>
      </c>
      <c r="C34" s="3"/>
      <c r="D34" s="3"/>
      <c r="E34" s="32"/>
      <c r="F34" s="32"/>
      <c r="G34" s="32"/>
      <c r="H34" s="32"/>
      <c r="I34" s="32"/>
      <c r="J34" s="32"/>
      <c r="K34" s="32"/>
      <c r="L34" s="32"/>
      <c r="M34" s="32"/>
      <c r="N34" s="32"/>
      <c r="O34" s="32"/>
      <c r="P34" s="32"/>
      <c r="Q34" s="32"/>
      <c r="R34" s="32"/>
      <c r="S34" s="242"/>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43">
        <v>24711</v>
      </c>
      <c r="S35" s="243">
        <v>25235</v>
      </c>
      <c r="T35" s="128"/>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42">
        <v>337894</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44">
        <v>59169</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42">
        <f t="shared" si="6"/>
        <v>422298</v>
      </c>
    </row>
    <row r="39" spans="1:20">
      <c r="A39" s="22"/>
      <c r="B39" s="24"/>
      <c r="C39" s="24"/>
      <c r="D39" s="3"/>
      <c r="E39" s="32"/>
      <c r="F39" s="32"/>
      <c r="G39" s="32"/>
      <c r="H39" s="32"/>
      <c r="I39" s="32"/>
      <c r="J39" s="32"/>
      <c r="K39" s="32"/>
      <c r="L39" s="32"/>
      <c r="M39" s="32"/>
      <c r="N39" s="32"/>
      <c r="O39" s="32"/>
      <c r="P39" s="32"/>
      <c r="Q39" s="32"/>
      <c r="R39" s="32"/>
      <c r="S39" s="242"/>
    </row>
    <row r="40" spans="1:20">
      <c r="A40" s="22"/>
      <c r="B40" s="24" t="s">
        <v>49</v>
      </c>
      <c r="C40" s="24"/>
      <c r="D40" s="24"/>
      <c r="E40" s="32"/>
      <c r="F40" s="32"/>
      <c r="G40" s="32"/>
      <c r="H40" s="32"/>
      <c r="I40" s="32"/>
      <c r="J40" s="32"/>
      <c r="K40" s="32"/>
      <c r="L40" s="32"/>
      <c r="M40" s="32"/>
      <c r="N40" s="32"/>
      <c r="O40" s="32"/>
      <c r="P40" s="32"/>
      <c r="Q40" s="32"/>
      <c r="R40" s="32"/>
      <c r="S40" s="242"/>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42">
        <v>9521</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42">
        <v>114795</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42">
        <v>17429</v>
      </c>
    </row>
    <row r="44" spans="1:20">
      <c r="A44" s="22">
        <v>39</v>
      </c>
      <c r="B44" s="24" t="s">
        <v>53</v>
      </c>
      <c r="C44" s="24"/>
      <c r="D44" s="3"/>
      <c r="E44" s="34">
        <f t="shared" ref="E44:M44" si="7">SUM(E41:E43)</f>
        <v>59276</v>
      </c>
      <c r="F44" s="34">
        <f t="shared" si="7"/>
        <v>63560</v>
      </c>
      <c r="G44" s="34">
        <f t="shared" si="7"/>
        <v>68402</v>
      </c>
      <c r="H44" s="34">
        <f t="shared" si="7"/>
        <v>74180</v>
      </c>
      <c r="I44" s="34">
        <f t="shared" si="7"/>
        <v>78460</v>
      </c>
      <c r="J44" s="34">
        <f t="shared" si="7"/>
        <v>83560</v>
      </c>
      <c r="K44" s="34">
        <f t="shared" si="7"/>
        <v>88498</v>
      </c>
      <c r="L44" s="34">
        <f t="shared" si="7"/>
        <v>92560</v>
      </c>
      <c r="M44" s="34">
        <f t="shared" si="7"/>
        <v>97295</v>
      </c>
      <c r="N44" s="34">
        <f t="shared" ref="N44:S44" si="8">SUM(N41:N43)</f>
        <v>100710</v>
      </c>
      <c r="O44" s="34">
        <f t="shared" si="8"/>
        <v>108254</v>
      </c>
      <c r="P44" s="34">
        <f t="shared" si="8"/>
        <v>116701</v>
      </c>
      <c r="Q44" s="34">
        <f t="shared" si="8"/>
        <v>123541</v>
      </c>
      <c r="R44" s="34">
        <f t="shared" si="8"/>
        <v>132474</v>
      </c>
      <c r="S44" s="374">
        <f t="shared" si="8"/>
        <v>141745</v>
      </c>
    </row>
    <row r="45" spans="1:20">
      <c r="A45" s="22">
        <v>40</v>
      </c>
      <c r="B45" s="24" t="s">
        <v>44</v>
      </c>
      <c r="C45" s="24"/>
      <c r="D45" s="24"/>
      <c r="E45" s="35">
        <f t="shared" ref="E45:M45" si="9">E38-E44</f>
        <v>141763</v>
      </c>
      <c r="F45" s="35">
        <f t="shared" si="9"/>
        <v>147116</v>
      </c>
      <c r="G45" s="35">
        <f t="shared" si="9"/>
        <v>148426</v>
      </c>
      <c r="H45" s="35">
        <f t="shared" si="9"/>
        <v>149875</v>
      </c>
      <c r="I45" s="35">
        <f t="shared" si="9"/>
        <v>152869</v>
      </c>
      <c r="J45" s="35">
        <f t="shared" si="9"/>
        <v>157851</v>
      </c>
      <c r="K45" s="35">
        <f t="shared" si="9"/>
        <v>166479</v>
      </c>
      <c r="L45" s="35">
        <f t="shared" si="9"/>
        <v>173043</v>
      </c>
      <c r="M45" s="35">
        <f t="shared" si="9"/>
        <v>183398</v>
      </c>
      <c r="N45" s="35">
        <f t="shared" ref="N45:S45" si="10">N38-N44</f>
        <v>203414</v>
      </c>
      <c r="O45" s="35">
        <f t="shared" si="10"/>
        <v>213500</v>
      </c>
      <c r="P45" s="35">
        <f t="shared" si="10"/>
        <v>225557</v>
      </c>
      <c r="Q45" s="35">
        <f t="shared" si="10"/>
        <v>241785</v>
      </c>
      <c r="R45" s="35">
        <f t="shared" si="10"/>
        <v>257929</v>
      </c>
      <c r="S45" s="245">
        <f t="shared" si="10"/>
        <v>280553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44">
        <v>-54652</v>
      </c>
    </row>
    <row r="47" spans="1:20">
      <c r="A47" s="25">
        <v>42</v>
      </c>
      <c r="B47" s="26" t="s">
        <v>50</v>
      </c>
      <c r="C47" s="26"/>
      <c r="D47" s="26"/>
      <c r="E47" s="35">
        <f t="shared" ref="E47:M47" si="11">E45+E46</f>
        <v>128627</v>
      </c>
      <c r="F47" s="35">
        <f t="shared" si="11"/>
        <v>132804</v>
      </c>
      <c r="G47" s="35">
        <f t="shared" si="11"/>
        <v>132595</v>
      </c>
      <c r="H47" s="35">
        <f t="shared" si="11"/>
        <v>127437</v>
      </c>
      <c r="I47" s="35">
        <f t="shared" si="11"/>
        <v>126154</v>
      </c>
      <c r="J47" s="35">
        <f t="shared" si="11"/>
        <v>134146</v>
      </c>
      <c r="K47" s="35">
        <f t="shared" si="11"/>
        <v>141887</v>
      </c>
      <c r="L47" s="35">
        <f t="shared" si="11"/>
        <v>146289</v>
      </c>
      <c r="M47" s="35">
        <f t="shared" si="11"/>
        <v>154506</v>
      </c>
      <c r="N47" s="35">
        <f t="shared" ref="N47:S47" si="12">N45+N46</f>
        <v>172447</v>
      </c>
      <c r="O47" s="35">
        <f t="shared" si="12"/>
        <v>176738</v>
      </c>
      <c r="P47" s="35">
        <f t="shared" si="12"/>
        <v>183553</v>
      </c>
      <c r="Q47" s="35">
        <f t="shared" si="12"/>
        <v>195287</v>
      </c>
      <c r="R47" s="35">
        <f t="shared" si="12"/>
        <v>207759</v>
      </c>
      <c r="S47" s="245">
        <f t="shared" si="12"/>
        <v>225901</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42">
        <v>14762</v>
      </c>
    </row>
    <row r="49" spans="1:19">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45">
        <v>0</v>
      </c>
    </row>
    <row r="50" spans="1:19">
      <c r="A50" s="25">
        <v>45</v>
      </c>
      <c r="B50" s="26" t="s">
        <v>54</v>
      </c>
      <c r="C50" s="26"/>
      <c r="D50" s="26"/>
      <c r="E50" s="35"/>
      <c r="F50" s="35"/>
      <c r="G50" s="35"/>
      <c r="H50" s="35"/>
      <c r="I50" s="35"/>
      <c r="J50" s="35"/>
      <c r="K50" s="35"/>
      <c r="L50" s="35"/>
      <c r="M50" s="35"/>
      <c r="N50" s="35"/>
      <c r="O50" s="35"/>
      <c r="P50" s="35">
        <v>-1012</v>
      </c>
      <c r="Q50" s="35">
        <v>-816</v>
      </c>
      <c r="R50" s="35">
        <f>-12-320</f>
        <v>-332</v>
      </c>
      <c r="S50" s="245">
        <v>-479</v>
      </c>
    </row>
    <row r="51" spans="1:19">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44">
        <v>10073</v>
      </c>
    </row>
    <row r="52" spans="1:19">
      <c r="A52" s="22"/>
      <c r="B52" s="3"/>
      <c r="C52" s="3"/>
      <c r="D52" s="3"/>
      <c r="E52" s="4"/>
      <c r="F52" s="4"/>
      <c r="G52" s="4"/>
      <c r="H52" s="4"/>
      <c r="I52" s="4"/>
      <c r="J52" s="4"/>
      <c r="K52" s="4"/>
      <c r="L52" s="4"/>
      <c r="M52" s="4"/>
      <c r="N52" s="4"/>
      <c r="O52" s="4"/>
      <c r="P52" s="4"/>
      <c r="Q52" s="4"/>
      <c r="R52" s="4"/>
      <c r="S52" s="29"/>
    </row>
    <row r="53" spans="1:19">
      <c r="A53" s="22"/>
      <c r="B53" s="3"/>
      <c r="C53" s="3"/>
      <c r="D53" s="3"/>
      <c r="E53" s="32"/>
      <c r="F53" s="32"/>
      <c r="G53" s="32"/>
      <c r="H53" s="32"/>
      <c r="I53" s="32"/>
      <c r="J53" s="32"/>
      <c r="K53" s="32"/>
      <c r="L53" s="32"/>
      <c r="M53" s="32"/>
      <c r="N53" s="32"/>
      <c r="O53" s="32"/>
      <c r="P53" s="32"/>
      <c r="Q53" s="32"/>
      <c r="R53" s="32"/>
      <c r="S53" s="242"/>
    </row>
    <row r="54" spans="1:19" ht="13.5" thickBot="1">
      <c r="A54" s="5">
        <v>47</v>
      </c>
      <c r="B54" s="37" t="s">
        <v>38</v>
      </c>
      <c r="C54" s="37"/>
      <c r="D54" s="37"/>
      <c r="E54" s="38">
        <f t="shared" ref="E54:M54" si="13">SUM(E47:E51)</f>
        <v>130920</v>
      </c>
      <c r="F54" s="38">
        <f t="shared" si="13"/>
        <v>135524</v>
      </c>
      <c r="G54" s="38">
        <f t="shared" si="13"/>
        <v>136362</v>
      </c>
      <c r="H54" s="38">
        <f t="shared" si="13"/>
        <v>131627</v>
      </c>
      <c r="I54" s="38">
        <f t="shared" si="13"/>
        <v>130718</v>
      </c>
      <c r="J54" s="38">
        <f t="shared" si="13"/>
        <v>140796</v>
      </c>
      <c r="K54" s="38">
        <f t="shared" si="13"/>
        <v>149362</v>
      </c>
      <c r="L54" s="38">
        <f t="shared" si="13"/>
        <v>151699</v>
      </c>
      <c r="M54" s="38">
        <f t="shared" si="13"/>
        <v>169681</v>
      </c>
      <c r="N54" s="38">
        <f t="shared" ref="N54:S54" si="14">SUM(N47:N51)</f>
        <v>180778</v>
      </c>
      <c r="O54" s="38">
        <f t="shared" si="14"/>
        <v>186920</v>
      </c>
      <c r="P54" s="38">
        <f t="shared" si="14"/>
        <v>196280</v>
      </c>
      <c r="Q54" s="38">
        <f t="shared" si="14"/>
        <v>207578</v>
      </c>
      <c r="R54" s="38">
        <f t="shared" si="14"/>
        <v>224824</v>
      </c>
      <c r="S54" s="375">
        <f t="shared" si="14"/>
        <v>250257</v>
      </c>
    </row>
    <row r="55" spans="1:19" ht="13.5" thickTop="1">
      <c r="A55" s="103"/>
      <c r="B55" s="104"/>
      <c r="C55" s="104"/>
      <c r="D55" s="104"/>
      <c r="E55" s="111"/>
      <c r="F55" s="105"/>
      <c r="G55" s="105"/>
      <c r="H55" s="105"/>
      <c r="I55" s="105"/>
      <c r="J55" s="105"/>
      <c r="K55" s="105"/>
      <c r="L55" s="105"/>
      <c r="M55" s="105"/>
      <c r="N55" s="105"/>
      <c r="O55" s="105"/>
      <c r="P55" s="105"/>
      <c r="Q55" s="105"/>
    </row>
    <row r="56" spans="1:19">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19">
      <c r="B58" s="106" t="s">
        <v>139</v>
      </c>
    </row>
    <row r="59" spans="1:19">
      <c r="A59" s="70" t="s">
        <v>141</v>
      </c>
      <c r="D59" s="107" t="s">
        <v>142</v>
      </c>
      <c r="E59" s="101">
        <v>181</v>
      </c>
      <c r="F59" s="101">
        <v>164</v>
      </c>
      <c r="G59" s="101">
        <v>148</v>
      </c>
      <c r="H59" s="101">
        <v>132</v>
      </c>
      <c r="I59" s="101">
        <v>85</v>
      </c>
      <c r="J59" s="101">
        <v>100</v>
      </c>
      <c r="K59" s="101">
        <v>53</v>
      </c>
      <c r="L59" s="101">
        <v>69</v>
      </c>
      <c r="M59" s="101">
        <v>53</v>
      </c>
      <c r="N59" s="101">
        <v>38</v>
      </c>
      <c r="O59" s="101">
        <v>0</v>
      </c>
      <c r="P59" s="101">
        <v>0</v>
      </c>
      <c r="Q59" s="101">
        <v>0</v>
      </c>
      <c r="R59" s="101">
        <v>0</v>
      </c>
      <c r="S59" s="246">
        <v>0</v>
      </c>
    </row>
    <row r="60" spans="1:19">
      <c r="A60" s="70" t="s">
        <v>152</v>
      </c>
      <c r="D60" s="107" t="s">
        <v>144</v>
      </c>
      <c r="E60" s="101">
        <v>3576</v>
      </c>
      <c r="F60" s="101">
        <v>3142</v>
      </c>
      <c r="G60" s="101">
        <v>2709</v>
      </c>
      <c r="H60" s="101">
        <v>2275</v>
      </c>
      <c r="I60" s="101">
        <v>1120</v>
      </c>
      <c r="J60" s="101">
        <v>1457</v>
      </c>
      <c r="K60" s="101">
        <v>1120</v>
      </c>
      <c r="L60" s="101">
        <v>784</v>
      </c>
      <c r="M60" s="101">
        <v>448</v>
      </c>
      <c r="N60" s="101">
        <v>0</v>
      </c>
      <c r="O60" s="101">
        <v>0</v>
      </c>
      <c r="P60" s="101">
        <v>0</v>
      </c>
      <c r="Q60" s="101">
        <v>0</v>
      </c>
      <c r="R60" s="101">
        <v>0</v>
      </c>
      <c r="S60" s="246">
        <v>0</v>
      </c>
    </row>
    <row r="61" spans="1:19">
      <c r="A61" s="70" t="s">
        <v>143</v>
      </c>
      <c r="D61" s="107" t="s">
        <v>144</v>
      </c>
      <c r="E61" s="101">
        <v>-15</v>
      </c>
      <c r="F61" s="101">
        <v>-2</v>
      </c>
      <c r="G61" s="101">
        <v>-2</v>
      </c>
      <c r="H61" s="101">
        <v>-14</v>
      </c>
      <c r="I61" s="101">
        <v>-1</v>
      </c>
      <c r="J61" s="101">
        <v>-28</v>
      </c>
      <c r="K61" s="101">
        <v>-75</v>
      </c>
      <c r="L61" s="101">
        <v>-64</v>
      </c>
      <c r="M61" s="101">
        <v>-49</v>
      </c>
      <c r="N61" s="101">
        <v>-38</v>
      </c>
      <c r="O61" s="101">
        <v>-31</v>
      </c>
      <c r="P61" s="101">
        <v>-22</v>
      </c>
      <c r="Q61" s="101">
        <v>-18</v>
      </c>
      <c r="R61" s="101">
        <v>-12</v>
      </c>
      <c r="S61" s="246">
        <v>-12</v>
      </c>
    </row>
    <row r="62" spans="1:19">
      <c r="A62" s="70" t="s">
        <v>145</v>
      </c>
      <c r="D62" s="107" t="s">
        <v>144</v>
      </c>
      <c r="E62" s="101"/>
      <c r="F62" s="101"/>
      <c r="G62" s="101"/>
      <c r="H62" s="101"/>
      <c r="I62" s="101"/>
      <c r="J62" s="101"/>
      <c r="K62" s="101"/>
      <c r="L62" s="101"/>
      <c r="M62" s="101"/>
      <c r="N62" s="101">
        <v>-1359</v>
      </c>
      <c r="O62" s="101">
        <v>-1132</v>
      </c>
      <c r="P62" s="101">
        <v>-990</v>
      </c>
      <c r="Q62" s="101">
        <v>-798</v>
      </c>
      <c r="R62" s="101">
        <v>-320</v>
      </c>
      <c r="S62" s="246">
        <v>-467</v>
      </c>
    </row>
    <row r="63" spans="1:19">
      <c r="A63" s="70"/>
    </row>
    <row r="64" spans="1:19">
      <c r="A64" s="70" t="s">
        <v>5</v>
      </c>
      <c r="E64" s="100">
        <f t="shared" ref="E64:R64" si="15">SUM(E59:E62)</f>
        <v>3742</v>
      </c>
      <c r="F64" s="100">
        <f t="shared" si="15"/>
        <v>3304</v>
      </c>
      <c r="G64" s="100">
        <f t="shared" si="15"/>
        <v>2855</v>
      </c>
      <c r="H64" s="100">
        <f t="shared" si="15"/>
        <v>2393</v>
      </c>
      <c r="I64" s="100">
        <f t="shared" si="15"/>
        <v>1204</v>
      </c>
      <c r="J64" s="100">
        <f t="shared" si="15"/>
        <v>1529</v>
      </c>
      <c r="K64" s="100">
        <f t="shared" si="15"/>
        <v>1098</v>
      </c>
      <c r="L64" s="100">
        <f t="shared" si="15"/>
        <v>789</v>
      </c>
      <c r="M64" s="100">
        <f t="shared" si="15"/>
        <v>452</v>
      </c>
      <c r="N64" s="100">
        <f t="shared" si="15"/>
        <v>-1359</v>
      </c>
      <c r="O64" s="100">
        <f t="shared" si="15"/>
        <v>-1163</v>
      </c>
      <c r="P64" s="100">
        <f t="shared" si="15"/>
        <v>-1012</v>
      </c>
      <c r="Q64" s="100">
        <f t="shared" si="15"/>
        <v>-816</v>
      </c>
      <c r="R64" s="100">
        <f t="shared" si="15"/>
        <v>-332</v>
      </c>
      <c r="S64" s="370">
        <f t="shared" ref="S64" si="16">SUM(S59:S62)</f>
        <v>-479</v>
      </c>
    </row>
    <row r="65" spans="1:19">
      <c r="A65" s="70"/>
      <c r="E65" s="100"/>
      <c r="F65" s="100"/>
      <c r="G65" s="100"/>
      <c r="H65" s="100"/>
      <c r="I65" s="100"/>
      <c r="J65" s="100"/>
      <c r="K65" s="100"/>
      <c r="L65" s="100"/>
      <c r="M65" s="100"/>
      <c r="N65" s="100"/>
      <c r="O65" s="100"/>
      <c r="P65" s="100"/>
      <c r="Q65" s="100"/>
    </row>
    <row r="66" spans="1:19">
      <c r="A66" s="70" t="s">
        <v>33</v>
      </c>
      <c r="E66" s="100">
        <f>SUM(E60:E62)</f>
        <v>3561</v>
      </c>
      <c r="F66" s="100">
        <f t="shared" ref="F66:O66" si="17">SUM(F60:F62)</f>
        <v>3140</v>
      </c>
      <c r="G66" s="100">
        <f t="shared" si="17"/>
        <v>2707</v>
      </c>
      <c r="H66" s="100">
        <f t="shared" si="17"/>
        <v>2261</v>
      </c>
      <c r="I66" s="100">
        <f t="shared" si="17"/>
        <v>1119</v>
      </c>
      <c r="J66" s="100">
        <f t="shared" si="17"/>
        <v>1429</v>
      </c>
      <c r="K66" s="100">
        <f t="shared" si="17"/>
        <v>1045</v>
      </c>
      <c r="L66" s="100">
        <f t="shared" si="17"/>
        <v>720</v>
      </c>
      <c r="M66" s="100">
        <f t="shared" si="17"/>
        <v>399</v>
      </c>
      <c r="N66" s="100">
        <f t="shared" si="17"/>
        <v>-1397</v>
      </c>
      <c r="O66" s="100">
        <f t="shared" si="17"/>
        <v>-1163</v>
      </c>
      <c r="P66" s="100"/>
      <c r="Q66" s="100"/>
    </row>
    <row r="67" spans="1:19">
      <c r="A67" s="70" t="s">
        <v>142</v>
      </c>
      <c r="E67" s="100">
        <f>E59</f>
        <v>181</v>
      </c>
      <c r="F67" s="100">
        <f t="shared" ref="F67:O67" si="18">F59</f>
        <v>164</v>
      </c>
      <c r="G67" s="100">
        <f t="shared" si="18"/>
        <v>148</v>
      </c>
      <c r="H67" s="100">
        <f t="shared" si="18"/>
        <v>132</v>
      </c>
      <c r="I67" s="100">
        <f t="shared" si="18"/>
        <v>85</v>
      </c>
      <c r="J67" s="100">
        <f t="shared" si="18"/>
        <v>100</v>
      </c>
      <c r="K67" s="100">
        <f t="shared" si="18"/>
        <v>53</v>
      </c>
      <c r="L67" s="100">
        <f t="shared" si="18"/>
        <v>69</v>
      </c>
      <c r="M67" s="100">
        <f t="shared" si="18"/>
        <v>53</v>
      </c>
      <c r="N67" s="100">
        <f t="shared" si="18"/>
        <v>38</v>
      </c>
      <c r="O67" s="100">
        <f t="shared" si="18"/>
        <v>0</v>
      </c>
      <c r="P67" s="100"/>
      <c r="Q67" s="100"/>
    </row>
    <row r="68" spans="1:19">
      <c r="A68" s="70" t="s">
        <v>140</v>
      </c>
      <c r="E68" s="100"/>
      <c r="F68" s="100"/>
      <c r="G68" s="100"/>
      <c r="H68" s="100"/>
      <c r="I68" s="100"/>
      <c r="J68" s="100"/>
      <c r="K68" s="100"/>
      <c r="L68" s="100"/>
      <c r="M68" s="100"/>
      <c r="N68" s="100"/>
      <c r="O68" s="100"/>
      <c r="P68" s="100">
        <f>SUM(P59:P62)</f>
        <v>-1012</v>
      </c>
      <c r="Q68" s="100">
        <f>SUM(Q59:Q62)</f>
        <v>-816</v>
      </c>
      <c r="R68" s="100">
        <f>SUM(R59:R62)</f>
        <v>-332</v>
      </c>
      <c r="S68" s="370">
        <f>SUM(S59:S62)</f>
        <v>-479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3"/>
  <sheetViews>
    <sheetView view="pageBreakPreview" zoomScale="115" zoomScaleNormal="100" zoomScaleSheetLayoutView="115" workbookViewId="0">
      <selection activeCell="B18" sqref="B18:F18"/>
    </sheetView>
  </sheetViews>
  <sheetFormatPr defaultRowHeight="12.75"/>
  <cols>
    <col min="4" max="6" width="9.28515625" bestFit="1" customWidth="1"/>
    <col min="8" max="8" width="2.140625" customWidth="1"/>
    <col min="9" max="9" width="2.28515625" customWidth="1"/>
  </cols>
  <sheetData>
    <row r="1" spans="1:9" ht="15">
      <c r="A1" s="152"/>
      <c r="B1" s="152"/>
      <c r="C1" s="152"/>
      <c r="D1" s="152"/>
      <c r="E1" s="152"/>
      <c r="F1" s="152"/>
      <c r="G1" s="152"/>
      <c r="H1" s="152"/>
      <c r="I1" s="152"/>
    </row>
    <row r="2" spans="1:9" ht="15.75" thickBot="1">
      <c r="A2" s="525"/>
      <c r="B2" s="525"/>
      <c r="C2" s="525"/>
      <c r="D2" s="525"/>
      <c r="E2" s="525"/>
      <c r="F2" s="525"/>
      <c r="G2" s="525"/>
      <c r="H2" s="152"/>
      <c r="I2" s="152"/>
    </row>
    <row r="3" spans="1:9" ht="15">
      <c r="A3" s="526" t="s">
        <v>501</v>
      </c>
      <c r="B3" s="527"/>
      <c r="C3" s="527"/>
      <c r="D3" s="527"/>
      <c r="E3" s="527"/>
      <c r="F3" s="527"/>
      <c r="G3" s="528"/>
      <c r="H3" s="152"/>
      <c r="I3" s="152"/>
    </row>
    <row r="4" spans="1:9" ht="15.75" customHeight="1">
      <c r="A4" s="529" t="s">
        <v>219</v>
      </c>
      <c r="B4" s="524"/>
      <c r="C4" s="524"/>
      <c r="D4" s="524"/>
      <c r="E4" s="524"/>
      <c r="F4" s="524"/>
      <c r="G4" s="530"/>
      <c r="H4" s="152"/>
      <c r="I4" s="152"/>
    </row>
    <row r="5" spans="1:9" ht="15.75" thickBot="1">
      <c r="A5" s="531"/>
      <c r="B5" s="532"/>
      <c r="C5" s="532"/>
      <c r="D5" s="532"/>
      <c r="E5" s="532"/>
      <c r="F5" s="532"/>
      <c r="G5" s="533"/>
      <c r="H5" s="152"/>
      <c r="I5" s="152"/>
    </row>
    <row r="6" spans="1:9" ht="15">
      <c r="A6" s="153" t="s">
        <v>217</v>
      </c>
      <c r="B6" s="154"/>
      <c r="C6" s="154"/>
      <c r="D6" s="154"/>
      <c r="E6" s="154"/>
      <c r="F6" s="154"/>
      <c r="G6" s="155"/>
      <c r="H6" s="152"/>
      <c r="I6" s="152"/>
    </row>
    <row r="7" spans="1:9" ht="15">
      <c r="A7" s="157"/>
      <c r="B7" s="158"/>
      <c r="C7" s="158"/>
      <c r="D7" s="159"/>
      <c r="E7" s="160"/>
      <c r="F7" s="159"/>
      <c r="G7" s="161"/>
      <c r="H7" s="152"/>
      <c r="I7" s="152"/>
    </row>
    <row r="8" spans="1:9" ht="15">
      <c r="A8" s="157"/>
      <c r="B8" s="163"/>
      <c r="C8" s="159"/>
      <c r="D8" s="159" t="s">
        <v>205</v>
      </c>
      <c r="E8" s="159"/>
      <c r="F8" s="159" t="s">
        <v>108</v>
      </c>
      <c r="G8" s="161"/>
      <c r="H8" s="152"/>
      <c r="I8" s="152"/>
    </row>
    <row r="9" spans="1:9" ht="15">
      <c r="A9" s="157"/>
      <c r="B9" s="166" t="s">
        <v>206</v>
      </c>
      <c r="C9" s="159"/>
      <c r="D9" s="166" t="s">
        <v>207</v>
      </c>
      <c r="E9" s="166" t="s">
        <v>163</v>
      </c>
      <c r="F9" s="166" t="s">
        <v>163</v>
      </c>
      <c r="G9" s="161"/>
      <c r="H9" s="152"/>
      <c r="I9" s="152"/>
    </row>
    <row r="10" spans="1:9" ht="15">
      <c r="A10" s="157"/>
      <c r="B10" s="158"/>
      <c r="C10" s="158"/>
      <c r="D10" s="158"/>
      <c r="E10" s="160"/>
      <c r="F10" s="158"/>
      <c r="G10" s="167"/>
      <c r="H10" s="152"/>
      <c r="I10" s="152"/>
    </row>
    <row r="11" spans="1:9" ht="15">
      <c r="A11" s="157"/>
      <c r="B11" s="163" t="s">
        <v>209</v>
      </c>
      <c r="C11" s="169"/>
      <c r="D11" s="170">
        <f>100%-D13</f>
        <v>0.51500000000000001</v>
      </c>
      <c r="E11" s="170">
        <v>5.1999999999999998E-2</v>
      </c>
      <c r="F11" s="170">
        <f>ROUND(D11*E11,4)</f>
        <v>2.6800000000000001E-2</v>
      </c>
      <c r="G11" s="172"/>
      <c r="H11" s="152"/>
      <c r="I11" s="152"/>
    </row>
    <row r="12" spans="1:9" ht="15">
      <c r="A12" s="157"/>
      <c r="B12" s="163"/>
      <c r="C12" s="173"/>
      <c r="D12" s="170"/>
      <c r="E12" s="170"/>
      <c r="F12" s="170"/>
      <c r="G12" s="174"/>
      <c r="H12" s="152"/>
      <c r="I12" s="152"/>
    </row>
    <row r="13" spans="1:9" ht="15">
      <c r="A13" s="157"/>
      <c r="B13" s="163" t="s">
        <v>211</v>
      </c>
      <c r="C13" s="173"/>
      <c r="D13" s="170">
        <v>0.48499999999999999</v>
      </c>
      <c r="E13" s="170">
        <v>9.5000000000000001E-2</v>
      </c>
      <c r="F13" s="170">
        <f>ROUND(D13*E13,4)</f>
        <v>4.6100000000000002E-2</v>
      </c>
      <c r="G13" s="167"/>
      <c r="H13" s="152"/>
      <c r="I13" s="152"/>
    </row>
    <row r="14" spans="1:9" ht="15">
      <c r="A14" s="157"/>
      <c r="B14" s="163"/>
      <c r="C14" s="173"/>
      <c r="D14" s="175"/>
      <c r="E14" s="176"/>
      <c r="F14" s="170"/>
      <c r="G14" s="161"/>
      <c r="H14" s="152"/>
      <c r="I14" s="152"/>
    </row>
    <row r="15" spans="1:9" ht="15.75" thickBot="1">
      <c r="A15" s="157"/>
      <c r="B15" s="163" t="s">
        <v>5</v>
      </c>
      <c r="C15" s="169"/>
      <c r="D15" s="177">
        <f>SUM(D11:D13)</f>
        <v>1</v>
      </c>
      <c r="E15" s="176"/>
      <c r="F15" s="177">
        <f>SUM(F11:F13)</f>
        <v>7.2900000000000006E-2</v>
      </c>
      <c r="G15" s="161"/>
      <c r="H15" s="152"/>
      <c r="I15" s="152"/>
    </row>
    <row r="16" spans="1:9" ht="16.5" thickTop="1" thickBot="1">
      <c r="A16" s="178"/>
      <c r="B16" s="179"/>
      <c r="C16" s="180"/>
      <c r="D16" s="181"/>
      <c r="E16" s="182"/>
      <c r="F16" s="181"/>
      <c r="G16" s="183"/>
      <c r="H16" s="152"/>
      <c r="I16" s="152"/>
    </row>
    <row r="17" spans="1:9" ht="15.75" thickBot="1">
      <c r="A17" s="112"/>
      <c r="H17" s="152"/>
      <c r="I17" s="152"/>
    </row>
    <row r="18" spans="1:9" ht="15.75" thickBot="1">
      <c r="A18" s="112"/>
      <c r="B18" s="534" t="s">
        <v>201</v>
      </c>
      <c r="C18" s="535"/>
      <c r="D18" s="535"/>
      <c r="E18" s="535"/>
      <c r="F18" s="536"/>
      <c r="H18" s="152"/>
      <c r="I18" s="152"/>
    </row>
    <row r="19" spans="1:9" ht="15">
      <c r="A19" s="112"/>
      <c r="B19" s="537" t="s">
        <v>588</v>
      </c>
      <c r="C19" s="538"/>
      <c r="D19" s="538"/>
      <c r="E19" s="538"/>
      <c r="F19" s="539"/>
      <c r="H19" s="152"/>
      <c r="I19" s="152"/>
    </row>
    <row r="20" spans="1:9" ht="15.75" thickBot="1">
      <c r="A20" s="112"/>
      <c r="B20" s="540" t="s">
        <v>481</v>
      </c>
      <c r="C20" s="541"/>
      <c r="D20" s="541"/>
      <c r="E20" s="541"/>
      <c r="F20" s="542"/>
      <c r="H20" s="152"/>
      <c r="I20" s="152"/>
    </row>
    <row r="21" spans="1:9" ht="15">
      <c r="B21" s="492"/>
      <c r="C21" s="165"/>
      <c r="D21" s="165"/>
      <c r="E21" s="165"/>
      <c r="F21" s="493"/>
      <c r="H21" s="152"/>
      <c r="I21" s="152"/>
    </row>
    <row r="22" spans="1:9" ht="15">
      <c r="B22" s="494" t="s">
        <v>258</v>
      </c>
      <c r="C22" s="164" t="s">
        <v>88</v>
      </c>
      <c r="D22" s="112"/>
      <c r="E22" s="165"/>
      <c r="F22" s="495" t="s">
        <v>162</v>
      </c>
      <c r="H22" s="152"/>
      <c r="I22" s="152"/>
    </row>
    <row r="23" spans="1:9" ht="15">
      <c r="B23" s="496"/>
      <c r="C23" s="194"/>
      <c r="D23" s="112"/>
      <c r="E23" s="194"/>
      <c r="F23" s="497"/>
      <c r="H23" s="152"/>
      <c r="I23" s="152"/>
    </row>
    <row r="24" spans="1:9" ht="15">
      <c r="B24" s="498">
        <v>1</v>
      </c>
      <c r="C24" s="447" t="s">
        <v>208</v>
      </c>
      <c r="D24" s="112"/>
      <c r="E24" s="194"/>
      <c r="F24" s="499">
        <v>1</v>
      </c>
      <c r="H24" s="152"/>
      <c r="I24" s="152"/>
    </row>
    <row r="25" spans="1:9" ht="15">
      <c r="B25" s="498"/>
      <c r="C25" s="194"/>
      <c r="D25" s="112"/>
      <c r="E25" s="194"/>
      <c r="F25" s="499"/>
      <c r="H25" s="152"/>
      <c r="I25" s="152"/>
    </row>
    <row r="26" spans="1:9" ht="15">
      <c r="B26" s="498"/>
      <c r="C26" s="500" t="s">
        <v>210</v>
      </c>
      <c r="D26" s="112"/>
      <c r="E26" s="501"/>
      <c r="F26" s="499"/>
      <c r="H26" s="152"/>
      <c r="I26" s="152"/>
    </row>
    <row r="27" spans="1:9" ht="15">
      <c r="B27" s="498">
        <v>2</v>
      </c>
      <c r="C27" s="501" t="s">
        <v>212</v>
      </c>
      <c r="D27" s="112"/>
      <c r="E27" s="501"/>
      <c r="F27" s="502">
        <v>5.3540000000000003E-3</v>
      </c>
      <c r="H27" s="152"/>
      <c r="I27" s="152"/>
    </row>
    <row r="28" spans="1:9" ht="15">
      <c r="B28" s="498"/>
      <c r="C28" s="501"/>
      <c r="D28" s="112"/>
      <c r="E28" s="501"/>
      <c r="F28" s="502"/>
      <c r="H28" s="152"/>
      <c r="I28" s="152"/>
    </row>
    <row r="29" spans="1:9" ht="15">
      <c r="B29" s="498">
        <v>3</v>
      </c>
      <c r="C29" s="501" t="s">
        <v>213</v>
      </c>
      <c r="D29" s="112"/>
      <c r="E29" s="501"/>
      <c r="F29" s="502">
        <v>2E-3</v>
      </c>
      <c r="H29" s="152"/>
      <c r="I29" s="152"/>
    </row>
    <row r="30" spans="1:9" ht="15">
      <c r="B30" s="498"/>
      <c r="C30" s="501"/>
      <c r="D30" s="112"/>
      <c r="E30" s="501"/>
      <c r="F30" s="502"/>
      <c r="H30" s="152"/>
      <c r="I30" s="152"/>
    </row>
    <row r="31" spans="1:9" ht="15">
      <c r="B31" s="498">
        <v>4</v>
      </c>
      <c r="C31" s="501" t="s">
        <v>214</v>
      </c>
      <c r="D31" s="112"/>
      <c r="E31" s="501"/>
      <c r="F31" s="502">
        <v>3.8314000000000001E-2</v>
      </c>
      <c r="H31" s="152"/>
      <c r="I31" s="152"/>
    </row>
    <row r="32" spans="1:9" ht="15">
      <c r="B32" s="498"/>
      <c r="C32" s="501"/>
      <c r="D32" s="112"/>
      <c r="E32" s="501"/>
      <c r="F32" s="502"/>
      <c r="H32" s="152"/>
      <c r="I32" s="152"/>
    </row>
    <row r="33" spans="1:9" ht="15">
      <c r="B33" s="498">
        <v>5</v>
      </c>
      <c r="C33" s="501" t="s">
        <v>215</v>
      </c>
      <c r="D33" s="112"/>
      <c r="E33" s="501"/>
      <c r="F33" s="503">
        <f>SUM(F27:F31)</f>
        <v>4.5668E-2</v>
      </c>
      <c r="H33" s="152"/>
      <c r="I33" s="152"/>
    </row>
    <row r="34" spans="1:9" ht="15">
      <c r="B34" s="498"/>
      <c r="C34" s="501"/>
      <c r="D34" s="112"/>
      <c r="E34" s="501"/>
      <c r="F34" s="499"/>
      <c r="H34" s="152"/>
      <c r="I34" s="152"/>
    </row>
    <row r="35" spans="1:9" ht="15">
      <c r="B35" s="498">
        <v>6</v>
      </c>
      <c r="C35" s="501" t="s">
        <v>216</v>
      </c>
      <c r="D35" s="112"/>
      <c r="E35" s="501"/>
      <c r="F35" s="499">
        <f>F24-F33</f>
        <v>0.95433199999999996</v>
      </c>
      <c r="H35" s="152"/>
      <c r="I35" s="152"/>
    </row>
    <row r="36" spans="1:9" ht="15">
      <c r="B36" s="496"/>
      <c r="C36" s="501"/>
      <c r="D36" s="112"/>
      <c r="E36" s="501"/>
      <c r="F36" s="499"/>
      <c r="H36" s="152"/>
      <c r="I36" s="152"/>
    </row>
    <row r="37" spans="1:9" ht="15">
      <c r="B37" s="498">
        <v>7</v>
      </c>
      <c r="C37" s="501" t="s">
        <v>218</v>
      </c>
      <c r="D37" s="112"/>
      <c r="E37" s="504"/>
      <c r="F37" s="505">
        <f>ROUND(F35*0.35,6)</f>
        <v>0.33401599999999998</v>
      </c>
      <c r="H37" s="152"/>
      <c r="I37" s="152"/>
    </row>
    <row r="38" spans="1:9" ht="15">
      <c r="B38" s="496"/>
      <c r="C38" s="501"/>
      <c r="D38" s="112"/>
      <c r="E38" s="501"/>
      <c r="F38" s="499"/>
      <c r="H38" s="152"/>
      <c r="I38" s="152"/>
    </row>
    <row r="39" spans="1:9" ht="15.75" thickBot="1">
      <c r="B39" s="498">
        <v>8</v>
      </c>
      <c r="C39" s="500" t="s">
        <v>589</v>
      </c>
      <c r="D39" s="112"/>
      <c r="E39" s="501"/>
      <c r="F39" s="506">
        <f>ROUND(F35-F37,5)</f>
        <v>0.62031999999999998</v>
      </c>
      <c r="H39" s="152"/>
      <c r="I39" s="152"/>
    </row>
    <row r="40" spans="1:9" ht="16.5" thickTop="1" thickBot="1">
      <c r="A40" s="112"/>
      <c r="B40" s="507"/>
      <c r="C40" s="408"/>
      <c r="D40" s="408"/>
      <c r="E40" s="408"/>
      <c r="F40" s="508"/>
      <c r="H40" s="152"/>
      <c r="I40" s="152"/>
    </row>
    <row r="41" spans="1:9" ht="15">
      <c r="A41" s="112"/>
      <c r="H41" s="152"/>
      <c r="I41" s="152"/>
    </row>
    <row r="42" spans="1:9" ht="15">
      <c r="A42" s="112"/>
      <c r="H42" s="152"/>
      <c r="I42" s="152"/>
    </row>
    <row r="43" spans="1:9" ht="15">
      <c r="A43" s="112"/>
      <c r="H43" s="152"/>
      <c r="I43" s="152"/>
    </row>
    <row r="44" spans="1:9" ht="15">
      <c r="A44" s="112"/>
      <c r="H44" s="152"/>
      <c r="I44" s="152"/>
    </row>
    <row r="45" spans="1:9" ht="15">
      <c r="A45" s="112"/>
      <c r="H45" s="152"/>
      <c r="I45" s="152"/>
    </row>
    <row r="46" spans="1:9" ht="15">
      <c r="A46" s="112"/>
      <c r="H46" s="152"/>
      <c r="I46" s="152"/>
    </row>
    <row r="47" spans="1:9" ht="15">
      <c r="A47" s="112"/>
      <c r="H47" s="152"/>
      <c r="I47" s="152"/>
    </row>
    <row r="48" spans="1:9">
      <c r="A48" s="112"/>
    </row>
    <row r="49" spans="1:7">
      <c r="A49" s="524" t="s">
        <v>43</v>
      </c>
      <c r="B49" s="525"/>
      <c r="C49" s="525"/>
      <c r="D49" s="525"/>
      <c r="E49" s="525"/>
      <c r="F49" s="525"/>
      <c r="G49" s="525"/>
    </row>
    <row r="50" spans="1:7" ht="11.25" customHeight="1">
      <c r="A50" s="524" t="s">
        <v>393</v>
      </c>
      <c r="B50" s="525"/>
      <c r="C50" s="525"/>
      <c r="D50" s="525"/>
      <c r="E50" s="525"/>
      <c r="F50" s="525"/>
      <c r="G50" s="525"/>
    </row>
    <row r="51" spans="1:7">
      <c r="A51" s="524" t="s">
        <v>219</v>
      </c>
      <c r="B51" s="525"/>
      <c r="C51" s="525"/>
      <c r="D51" s="525"/>
      <c r="E51" s="525"/>
      <c r="F51" s="525"/>
      <c r="G51" s="525"/>
    </row>
    <row r="52" spans="1:7" ht="13.5" thickBot="1">
      <c r="A52" s="524"/>
      <c r="B52" s="525"/>
      <c r="C52" s="525"/>
      <c r="D52" s="525"/>
      <c r="E52" s="525"/>
      <c r="F52" s="525"/>
      <c r="G52" s="525"/>
    </row>
    <row r="53" spans="1:7">
      <c r="A53" s="153" t="s">
        <v>202</v>
      </c>
      <c r="B53" s="154"/>
      <c r="C53" s="154"/>
      <c r="D53" s="154"/>
      <c r="E53" s="154"/>
      <c r="F53" s="154"/>
      <c r="G53" s="155"/>
    </row>
    <row r="54" spans="1:7">
      <c r="A54" s="157"/>
      <c r="B54" s="158"/>
      <c r="C54" s="158"/>
      <c r="D54" s="159"/>
      <c r="E54" s="160"/>
      <c r="F54" s="159" t="s">
        <v>203</v>
      </c>
      <c r="G54" s="161"/>
    </row>
    <row r="55" spans="1:7">
      <c r="A55" s="157"/>
      <c r="B55" s="163"/>
      <c r="C55" s="159"/>
      <c r="D55" s="159" t="s">
        <v>205</v>
      </c>
      <c r="E55" s="159" t="s">
        <v>203</v>
      </c>
      <c r="F55" s="159" t="s">
        <v>108</v>
      </c>
      <c r="G55" s="161"/>
    </row>
    <row r="56" spans="1:7">
      <c r="A56" s="157"/>
      <c r="B56" s="166" t="s">
        <v>206</v>
      </c>
      <c r="C56" s="159"/>
      <c r="D56" s="166" t="s">
        <v>207</v>
      </c>
      <c r="E56" s="166" t="s">
        <v>163</v>
      </c>
      <c r="F56" s="166" t="s">
        <v>163</v>
      </c>
      <c r="G56" s="161"/>
    </row>
    <row r="57" spans="1:7">
      <c r="A57" s="157"/>
      <c r="B57" s="158"/>
      <c r="C57" s="158"/>
      <c r="D57" s="158"/>
      <c r="E57" s="160"/>
      <c r="F57" s="158"/>
      <c r="G57" s="167"/>
    </row>
    <row r="58" spans="1:7">
      <c r="A58" s="157"/>
      <c r="B58" s="163" t="s">
        <v>209</v>
      </c>
      <c r="C58" s="169"/>
      <c r="D58" s="170">
        <f>100%-D60</f>
        <v>0.51069999999999993</v>
      </c>
      <c r="E58" s="171">
        <v>5.3800000000000001E-2</v>
      </c>
      <c r="F58" s="175">
        <f>ROUND(D58*E58,5)</f>
        <v>2.7480000000000001E-2</v>
      </c>
      <c r="G58" s="172"/>
    </row>
    <row r="59" spans="1:7">
      <c r="A59" s="157"/>
      <c r="B59" s="163"/>
      <c r="C59" s="173"/>
      <c r="D59" s="170"/>
      <c r="E59" s="171"/>
      <c r="F59" s="170"/>
      <c r="G59" s="174"/>
    </row>
    <row r="60" spans="1:7">
      <c r="A60" s="157"/>
      <c r="B60" s="163" t="s">
        <v>211</v>
      </c>
      <c r="C60" s="173"/>
      <c r="D60" s="170">
        <v>0.48930000000000001</v>
      </c>
      <c r="E60" s="171">
        <v>9.8000000000000004E-2</v>
      </c>
      <c r="F60" s="170">
        <f>ROUND(D60*E60,4)</f>
        <v>4.8000000000000001E-2</v>
      </c>
      <c r="G60" s="167"/>
    </row>
    <row r="61" spans="1:7">
      <c r="A61" s="157"/>
      <c r="B61" s="163"/>
      <c r="C61" s="173"/>
      <c r="D61" s="175"/>
      <c r="E61" s="176"/>
      <c r="F61" s="170"/>
      <c r="G61" s="161"/>
    </row>
    <row r="62" spans="1:7" ht="13.5" thickBot="1">
      <c r="A62" s="157"/>
      <c r="B62" s="163" t="s">
        <v>5</v>
      </c>
      <c r="C62" s="169"/>
      <c r="D62" s="177">
        <f>SUM(D58:D60)</f>
        <v>1</v>
      </c>
      <c r="E62" s="176"/>
      <c r="F62" s="177">
        <f>SUM(F58:F60)</f>
        <v>7.5480000000000005E-2</v>
      </c>
      <c r="G62" s="161"/>
    </row>
    <row r="63" spans="1:7" ht="14.25" thickTop="1" thickBot="1">
      <c r="A63" s="178"/>
      <c r="B63" s="179"/>
      <c r="C63" s="180"/>
      <c r="D63" s="181"/>
      <c r="E63" s="182"/>
      <c r="F63" s="181"/>
      <c r="G63" s="183"/>
    </row>
    <row r="282" spans="7:7">
      <c r="G282" t="s">
        <v>474</v>
      </c>
    </row>
    <row r="283" spans="7:7">
      <c r="G283" t="s">
        <v>475</v>
      </c>
    </row>
  </sheetData>
  <mergeCells count="11">
    <mergeCell ref="A52:G52"/>
    <mergeCell ref="A2:G2"/>
    <mergeCell ref="A3:G3"/>
    <mergeCell ref="A4:G4"/>
    <mergeCell ref="A5:G5"/>
    <mergeCell ref="A49:G49"/>
    <mergeCell ref="A50:G50"/>
    <mergeCell ref="A51:G51"/>
    <mergeCell ref="B18:F18"/>
    <mergeCell ref="B19:F19"/>
    <mergeCell ref="B20:F20"/>
  </mergeCells>
  <pageMargins left="1.2" right="0.7" top="0.75" bottom="0.75" header="0.3" footer="0.3"/>
  <pageSetup orientation="portrait" r:id="rId1"/>
  <headerFooter scaleWithDoc="0">
    <oddHeader>&amp;RExhibit No. __(CRM-9)</oddHeader>
    <oddFooter>&amp;RPage &amp;P of &amp;N</oddFooter>
  </headerFooter>
  <colBreaks count="1" manualBreakCount="1">
    <brk id="8" max="4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07"/>
  <sheetViews>
    <sheetView view="pageBreakPreview" topLeftCell="A58" zoomScaleNormal="100" zoomScaleSheetLayoutView="100" workbookViewId="0">
      <selection activeCell="U88" sqref="U88"/>
    </sheetView>
  </sheetViews>
  <sheetFormatPr defaultColWidth="10.7109375" defaultRowHeight="12"/>
  <cols>
    <col min="1" max="1" width="5" style="22" customWidth="1"/>
    <col min="2" max="3" width="1.7109375" style="3" customWidth="1"/>
    <col min="4" max="4" width="22.85546875" style="3" customWidth="1"/>
    <col min="5" max="5" width="10.5703125" style="4" customWidth="1"/>
    <col min="6" max="6" width="8.5703125" style="28" customWidth="1"/>
    <col min="7" max="7" width="10.7109375" style="3" customWidth="1"/>
    <col min="8" max="8" width="9.85546875" style="3" customWidth="1"/>
    <col min="9" max="9" width="9" style="3" customWidth="1"/>
    <col min="10" max="10" width="0.5703125" style="3" customWidth="1"/>
    <col min="11" max="11" width="7.7109375" style="3" customWidth="1"/>
    <col min="12" max="12" width="7.85546875" style="3" customWidth="1"/>
    <col min="13" max="13" width="9.28515625" style="3" customWidth="1"/>
    <col min="14" max="14" width="0.5703125" style="3" customWidth="1"/>
    <col min="15" max="15" width="10.85546875" style="3" customWidth="1"/>
    <col min="16" max="16" width="6.85546875" style="3" customWidth="1"/>
    <col min="17" max="17" width="7.5703125" style="3" customWidth="1"/>
    <col min="18" max="18" width="6.85546875" style="3" customWidth="1"/>
    <col min="19" max="19" width="10.28515625" style="3" customWidth="1"/>
    <col min="20" max="16384" width="10.7109375" style="3"/>
  </cols>
  <sheetData>
    <row r="1" spans="1:19" ht="5.25" customHeight="1">
      <c r="A1" s="2"/>
      <c r="B1" s="555"/>
      <c r="C1" s="555"/>
      <c r="D1" s="555"/>
      <c r="E1" s="555"/>
      <c r="F1" s="555"/>
      <c r="G1" s="555"/>
      <c r="H1" s="555"/>
      <c r="I1" s="555"/>
      <c r="J1" s="555"/>
      <c r="K1" s="555"/>
      <c r="L1" s="555"/>
      <c r="M1" s="555"/>
      <c r="N1" s="555"/>
      <c r="O1" s="555"/>
      <c r="P1" s="555"/>
      <c r="Q1" s="555"/>
      <c r="R1" s="555"/>
      <c r="S1" s="555"/>
    </row>
    <row r="2" spans="1:19" ht="19.5" thickBot="1">
      <c r="A2" s="556" t="s">
        <v>532</v>
      </c>
      <c r="B2" s="556"/>
      <c r="C2" s="556"/>
      <c r="D2" s="556"/>
      <c r="E2" s="556"/>
      <c r="F2" s="556"/>
      <c r="G2" s="556"/>
      <c r="H2" s="556"/>
      <c r="I2" s="556"/>
      <c r="J2" s="556"/>
      <c r="K2" s="556"/>
      <c r="L2" s="556"/>
      <c r="M2" s="556"/>
      <c r="N2" s="556"/>
      <c r="O2" s="556"/>
      <c r="P2" s="556"/>
      <c r="Q2" s="556"/>
      <c r="R2" s="556"/>
      <c r="S2" s="556"/>
    </row>
    <row r="3" spans="1:19" ht="1.5" customHeight="1">
      <c r="A3" s="2"/>
    </row>
    <row r="4" spans="1:19" ht="2.25" customHeight="1" thickBot="1">
      <c r="A4" s="2"/>
      <c r="B4" s="2"/>
      <c r="C4" s="2"/>
      <c r="D4" s="2"/>
    </row>
    <row r="5" spans="1:19" ht="13.5" thickBot="1">
      <c r="A5" s="346"/>
      <c r="B5" s="347"/>
      <c r="C5" s="347"/>
      <c r="D5" s="348" t="s">
        <v>220</v>
      </c>
      <c r="E5" s="550" t="s">
        <v>246</v>
      </c>
      <c r="F5" s="550"/>
      <c r="G5" s="550"/>
      <c r="H5" s="550"/>
      <c r="I5" s="551"/>
      <c r="J5" s="349"/>
      <c r="K5" s="350"/>
      <c r="L5" s="552" t="s">
        <v>164</v>
      </c>
      <c r="M5" s="552"/>
      <c r="N5" s="350"/>
      <c r="O5" s="566" t="s">
        <v>245</v>
      </c>
      <c r="P5" s="552"/>
      <c r="Q5" s="567"/>
      <c r="R5" s="397"/>
      <c r="S5" s="351"/>
    </row>
    <row r="6" spans="1:19" s="6" customFormat="1" ht="13.15" customHeight="1">
      <c r="A6" s="5"/>
      <c r="E6" s="557" t="s">
        <v>569</v>
      </c>
      <c r="F6" s="560" t="s">
        <v>499</v>
      </c>
      <c r="G6" s="560" t="s">
        <v>398</v>
      </c>
      <c r="H6" s="560" t="s">
        <v>293</v>
      </c>
      <c r="I6" s="564" t="s">
        <v>500</v>
      </c>
      <c r="J6" s="14"/>
      <c r="K6" s="564" t="s">
        <v>198</v>
      </c>
      <c r="L6" s="564" t="s">
        <v>472</v>
      </c>
      <c r="M6" s="564" t="s">
        <v>473</v>
      </c>
      <c r="N6" s="215"/>
      <c r="O6" s="553" t="s">
        <v>480</v>
      </c>
      <c r="P6" s="553" t="s">
        <v>294</v>
      </c>
      <c r="Q6" s="547" t="s">
        <v>533</v>
      </c>
      <c r="R6" s="547" t="s">
        <v>537</v>
      </c>
      <c r="S6" s="564" t="s">
        <v>570</v>
      </c>
    </row>
    <row r="7" spans="1:19" s="6" customFormat="1" ht="12" customHeight="1">
      <c r="A7" s="25" t="s">
        <v>221</v>
      </c>
      <c r="B7" s="75"/>
      <c r="C7" s="75"/>
      <c r="D7" s="27"/>
      <c r="E7" s="558"/>
      <c r="F7" s="561"/>
      <c r="G7" s="560"/>
      <c r="H7" s="560"/>
      <c r="I7" s="564"/>
      <c r="J7" s="75"/>
      <c r="K7" s="564"/>
      <c r="L7" s="564"/>
      <c r="M7" s="564"/>
      <c r="N7" s="216"/>
      <c r="O7" s="553"/>
      <c r="P7" s="553"/>
      <c r="Q7" s="548"/>
      <c r="R7" s="548"/>
      <c r="S7" s="564"/>
    </row>
    <row r="8" spans="1:19" s="6" customFormat="1" ht="12" customHeight="1">
      <c r="A8" s="25" t="s">
        <v>0</v>
      </c>
      <c r="B8" s="75"/>
      <c r="C8" s="75"/>
      <c r="D8" s="27"/>
      <c r="E8" s="558"/>
      <c r="F8" s="561"/>
      <c r="G8" s="560"/>
      <c r="H8" s="560"/>
      <c r="I8" s="564"/>
      <c r="J8" s="75"/>
      <c r="K8" s="564"/>
      <c r="L8" s="564"/>
      <c r="M8" s="564"/>
      <c r="N8" s="216"/>
      <c r="O8" s="553"/>
      <c r="P8" s="553"/>
      <c r="Q8" s="548"/>
      <c r="R8" s="548"/>
      <c r="S8" s="564"/>
    </row>
    <row r="9" spans="1:19" s="6" customFormat="1" ht="26.25" customHeight="1">
      <c r="A9" s="95" t="s">
        <v>2</v>
      </c>
      <c r="B9" s="96"/>
      <c r="C9" s="96"/>
      <c r="D9" s="96" t="s">
        <v>3</v>
      </c>
      <c r="E9" s="559"/>
      <c r="F9" s="562"/>
      <c r="G9" s="563"/>
      <c r="H9" s="563"/>
      <c r="I9" s="565"/>
      <c r="J9" s="201"/>
      <c r="K9" s="565"/>
      <c r="L9" s="565"/>
      <c r="M9" s="565"/>
      <c r="N9" s="217"/>
      <c r="O9" s="554"/>
      <c r="P9" s="554"/>
      <c r="Q9" s="549"/>
      <c r="R9" s="549"/>
      <c r="S9" s="565"/>
    </row>
    <row r="10" spans="1:19" s="6" customFormat="1" ht="12.75">
      <c r="A10" s="25"/>
      <c r="B10" s="75"/>
      <c r="C10" s="75"/>
      <c r="D10" s="75"/>
      <c r="E10" s="203" t="s">
        <v>247</v>
      </c>
      <c r="F10" s="203" t="s">
        <v>248</v>
      </c>
      <c r="G10" s="203" t="s">
        <v>249</v>
      </c>
      <c r="H10" s="203" t="s">
        <v>250</v>
      </c>
      <c r="I10" s="203" t="s">
        <v>251</v>
      </c>
      <c r="J10" s="75"/>
      <c r="K10" s="203" t="s">
        <v>252</v>
      </c>
      <c r="L10" s="203" t="s">
        <v>253</v>
      </c>
      <c r="M10" s="203" t="s">
        <v>254</v>
      </c>
      <c r="N10" s="203"/>
      <c r="O10" s="203" t="s">
        <v>255</v>
      </c>
      <c r="P10" s="203" t="s">
        <v>256</v>
      </c>
      <c r="Q10" s="203" t="s">
        <v>257</v>
      </c>
      <c r="R10" s="203" t="s">
        <v>545</v>
      </c>
      <c r="S10" s="203" t="s">
        <v>546</v>
      </c>
    </row>
    <row r="11" spans="1:19">
      <c r="A11" s="25"/>
      <c r="B11" s="3" t="s">
        <v>6</v>
      </c>
    </row>
    <row r="12" spans="1:19" s="23" customFormat="1">
      <c r="A12" s="25">
        <v>1</v>
      </c>
      <c r="B12" s="23" t="s">
        <v>7</v>
      </c>
      <c r="E12" s="77">
        <v>154546</v>
      </c>
      <c r="F12" s="142">
        <v>0</v>
      </c>
      <c r="G12" s="77">
        <v>12185</v>
      </c>
      <c r="H12" s="77">
        <f>ROUND(H19/'Riders and Gas Cost Revenue'!E11,0)</f>
        <v>-92072</v>
      </c>
      <c r="I12" s="77">
        <f>SUM(E12:H12)</f>
        <v>74659</v>
      </c>
      <c r="J12" s="84"/>
      <c r="K12" s="358">
        <f>'Weighted Revenue Growth'!J19</f>
        <v>1.1891950960229668E-2</v>
      </c>
      <c r="L12" s="142"/>
      <c r="M12" s="143">
        <f>I12+L12</f>
        <v>74659</v>
      </c>
      <c r="N12" s="142"/>
      <c r="O12" s="142">
        <f>-H12</f>
        <v>92072</v>
      </c>
      <c r="P12" s="142">
        <f>(M12+O12)*K12</f>
        <v>1982.7568755500529</v>
      </c>
      <c r="Q12" s="142"/>
      <c r="R12" s="142"/>
      <c r="S12" s="142">
        <f>SUM(M12:P12)</f>
        <v>168713.75687555005</v>
      </c>
    </row>
    <row r="13" spans="1:19">
      <c r="A13" s="25">
        <v>2</v>
      </c>
      <c r="B13" s="24" t="s">
        <v>8</v>
      </c>
      <c r="D13" s="24"/>
      <c r="E13" s="77">
        <v>3960</v>
      </c>
      <c r="F13" s="142">
        <v>0</v>
      </c>
      <c r="G13" s="77">
        <v>223</v>
      </c>
      <c r="H13" s="78"/>
      <c r="I13" s="77">
        <f>SUM(E13:H13)</f>
        <v>4183</v>
      </c>
      <c r="J13" s="84"/>
      <c r="K13" s="358">
        <f>'Weighted Revenue Growth'!J25</f>
        <v>-1.436104808825828E-3</v>
      </c>
      <c r="L13" s="143"/>
      <c r="M13" s="143">
        <f>I13+L13</f>
        <v>4183</v>
      </c>
      <c r="N13" s="143"/>
      <c r="O13" s="143"/>
      <c r="P13" s="142">
        <f>M13*K13</f>
        <v>-6.0072264153184385</v>
      </c>
      <c r="Q13" s="142"/>
      <c r="R13" s="142"/>
      <c r="S13" s="143">
        <f>SUM(M13:P13)</f>
        <v>4176.9927735846813</v>
      </c>
    </row>
    <row r="14" spans="1:19">
      <c r="A14" s="25">
        <v>3</v>
      </c>
      <c r="B14" s="24" t="s">
        <v>9</v>
      </c>
      <c r="D14" s="24"/>
      <c r="E14" s="77">
        <v>332</v>
      </c>
      <c r="F14" s="142">
        <v>0</v>
      </c>
      <c r="G14" s="77">
        <v>0</v>
      </c>
      <c r="H14" s="79"/>
      <c r="I14" s="77">
        <f>SUM(E14:H14)</f>
        <v>332</v>
      </c>
      <c r="J14" s="78"/>
      <c r="K14" s="395">
        <v>0</v>
      </c>
      <c r="L14" s="79"/>
      <c r="M14" s="143">
        <f>I14+L14</f>
        <v>332</v>
      </c>
      <c r="N14" s="79"/>
      <c r="O14" s="79"/>
      <c r="P14" s="142">
        <f>M14*K14</f>
        <v>0</v>
      </c>
      <c r="Q14" s="142"/>
      <c r="R14" s="142"/>
      <c r="S14" s="79">
        <f>SUM(M14:P14)</f>
        <v>332</v>
      </c>
    </row>
    <row r="15" spans="1:19">
      <c r="A15" s="25">
        <v>4</v>
      </c>
      <c r="B15" s="3" t="s">
        <v>10</v>
      </c>
      <c r="C15" s="24"/>
      <c r="D15" s="24"/>
      <c r="E15" s="140">
        <f>SUM(E12:E14)</f>
        <v>158838</v>
      </c>
      <c r="F15" s="331">
        <f>SUM(F12:F14)</f>
        <v>0</v>
      </c>
      <c r="G15" s="140">
        <f>SUM(G12:G14)</f>
        <v>12408</v>
      </c>
      <c r="H15" s="140">
        <f>SUM(H12:H14)</f>
        <v>-92072</v>
      </c>
      <c r="I15" s="140">
        <f>SUM(I12:I14)</f>
        <v>79174</v>
      </c>
      <c r="K15" s="359"/>
      <c r="L15" s="140">
        <f t="shared" ref="L15:S15" si="0">SUM(L12:L14)</f>
        <v>0</v>
      </c>
      <c r="M15" s="140">
        <f t="shared" si="0"/>
        <v>79174</v>
      </c>
      <c r="N15" s="140">
        <f t="shared" si="0"/>
        <v>0</v>
      </c>
      <c r="O15" s="140">
        <f t="shared" si="0"/>
        <v>92072</v>
      </c>
      <c r="P15" s="140">
        <f t="shared" si="0"/>
        <v>1976.7496491347345</v>
      </c>
      <c r="Q15" s="140"/>
      <c r="R15" s="140"/>
      <c r="S15" s="140">
        <f t="shared" si="0"/>
        <v>173222.74964913473</v>
      </c>
    </row>
    <row r="16" spans="1:19">
      <c r="A16" s="25"/>
      <c r="C16" s="24"/>
      <c r="D16" s="24"/>
      <c r="E16" s="78"/>
      <c r="F16" s="143"/>
      <c r="G16" s="78"/>
      <c r="H16" s="78"/>
      <c r="I16" s="78"/>
      <c r="K16" s="359"/>
      <c r="L16" s="78"/>
      <c r="M16" s="78"/>
      <c r="N16" s="78"/>
      <c r="O16" s="78"/>
      <c r="P16" s="78"/>
      <c r="Q16" s="78"/>
      <c r="R16" s="78"/>
      <c r="S16" s="78"/>
    </row>
    <row r="17" spans="1:23">
      <c r="A17" s="25"/>
      <c r="B17" s="3" t="s">
        <v>11</v>
      </c>
      <c r="C17" s="24"/>
      <c r="D17" s="24"/>
      <c r="E17" s="78"/>
      <c r="F17" s="143"/>
      <c r="G17" s="78"/>
      <c r="H17" s="78"/>
      <c r="I17" s="78"/>
      <c r="K17" s="359"/>
      <c r="L17" s="78"/>
      <c r="M17" s="78"/>
      <c r="N17" s="78"/>
      <c r="O17" s="78"/>
      <c r="P17" s="78"/>
      <c r="Q17" s="78"/>
      <c r="R17" s="78"/>
      <c r="S17" s="78"/>
    </row>
    <row r="18" spans="1:23" ht="12.75" thickBot="1">
      <c r="A18" s="25"/>
      <c r="B18" s="24" t="s">
        <v>51</v>
      </c>
      <c r="D18" s="24"/>
      <c r="E18" s="78"/>
      <c r="F18" s="143"/>
      <c r="G18" s="78"/>
      <c r="H18" s="78"/>
      <c r="I18" s="78"/>
      <c r="K18" s="359"/>
      <c r="L18" s="78"/>
      <c r="M18" s="78"/>
      <c r="N18" s="78"/>
      <c r="O18" s="78"/>
      <c r="P18" s="78"/>
      <c r="Q18" s="78"/>
      <c r="R18" s="78"/>
      <c r="S18" s="78"/>
    </row>
    <row r="19" spans="1:23" ht="12.75" thickBot="1">
      <c r="A19" s="25">
        <v>5</v>
      </c>
      <c r="C19" s="24" t="s">
        <v>12</v>
      </c>
      <c r="D19" s="24"/>
      <c r="E19" s="77">
        <v>84187</v>
      </c>
      <c r="F19" s="142">
        <v>0</v>
      </c>
      <c r="G19" s="77">
        <v>3680</v>
      </c>
      <c r="H19" s="77">
        <v>-87867</v>
      </c>
      <c r="I19" s="77">
        <f>SUM(E19:H19)</f>
        <v>0</v>
      </c>
      <c r="K19" s="88"/>
      <c r="L19" s="143"/>
      <c r="M19" s="143">
        <f>I19+L19</f>
        <v>0</v>
      </c>
      <c r="N19" s="143"/>
      <c r="O19" s="142">
        <f>-H19</f>
        <v>87867</v>
      </c>
      <c r="P19" s="417">
        <f>'Weighted Revenue Growth'!I44/1000</f>
        <v>950.13234462310015</v>
      </c>
      <c r="Q19" s="143"/>
      <c r="R19" s="143"/>
      <c r="S19" s="143">
        <f>SUM(M19:P19)</f>
        <v>88817.132344623096</v>
      </c>
    </row>
    <row r="20" spans="1:23">
      <c r="A20" s="25">
        <v>6</v>
      </c>
      <c r="C20" s="24" t="s">
        <v>13</v>
      </c>
      <c r="D20" s="24"/>
      <c r="E20" s="77">
        <v>779</v>
      </c>
      <c r="F20" s="142">
        <v>0</v>
      </c>
      <c r="G20" s="77">
        <v>3</v>
      </c>
      <c r="H20" s="78"/>
      <c r="I20" s="77">
        <f>SUM(E20:H20)</f>
        <v>782</v>
      </c>
      <c r="J20" s="84"/>
      <c r="K20" s="402">
        <f>'Op Exp'!D12</f>
        <v>4.8399999999999999E-2</v>
      </c>
      <c r="L20" s="78">
        <f>I20*K20</f>
        <v>37.848799999999997</v>
      </c>
      <c r="M20" s="143">
        <f>I20+L20</f>
        <v>819.84879999999998</v>
      </c>
      <c r="N20" s="78"/>
      <c r="O20" s="78"/>
      <c r="P20" s="78"/>
      <c r="Q20" s="78"/>
      <c r="R20" s="78"/>
      <c r="S20" s="143">
        <f>SUM(M20:P20)</f>
        <v>819.84879999999998</v>
      </c>
    </row>
    <row r="21" spans="1:23">
      <c r="A21" s="25">
        <v>7</v>
      </c>
      <c r="C21" s="24" t="s">
        <v>14</v>
      </c>
      <c r="D21" s="24"/>
      <c r="E21" s="77">
        <v>0</v>
      </c>
      <c r="F21" s="142">
        <v>0</v>
      </c>
      <c r="G21" s="77">
        <v>0</v>
      </c>
      <c r="H21" s="79"/>
      <c r="I21" s="77">
        <f>SUM(E21:H21)</f>
        <v>0</v>
      </c>
      <c r="J21" s="78"/>
      <c r="K21" s="361"/>
      <c r="L21" s="79">
        <f>I21*K21</f>
        <v>0</v>
      </c>
      <c r="M21" s="143">
        <f>I21+L21</f>
        <v>0</v>
      </c>
      <c r="N21" s="79"/>
      <c r="O21" s="79"/>
      <c r="P21" s="79"/>
      <c r="Q21" s="82"/>
      <c r="R21" s="82"/>
      <c r="S21" s="143">
        <f>SUM(M21:P21)</f>
        <v>0</v>
      </c>
      <c r="T21" s="27"/>
      <c r="U21" s="27"/>
      <c r="V21" s="27"/>
      <c r="W21" s="27"/>
    </row>
    <row r="22" spans="1:23">
      <c r="A22" s="25">
        <v>8</v>
      </c>
      <c r="B22" s="24" t="s">
        <v>15</v>
      </c>
      <c r="C22" s="24"/>
      <c r="E22" s="140">
        <f>SUM(E19:E21)</f>
        <v>84966</v>
      </c>
      <c r="F22" s="331">
        <f>SUM(F19:F21)</f>
        <v>0</v>
      </c>
      <c r="G22" s="140">
        <f>SUM(G19:G21)</f>
        <v>3683</v>
      </c>
      <c r="H22" s="140">
        <f>SUM(H19:H21)</f>
        <v>-87867</v>
      </c>
      <c r="I22" s="140">
        <f>SUM(I19:I21)</f>
        <v>782</v>
      </c>
      <c r="K22" s="359"/>
      <c r="L22" s="140">
        <f t="shared" ref="L22:S22" si="1">SUM(L19:L21)</f>
        <v>37.848799999999997</v>
      </c>
      <c r="M22" s="140">
        <f t="shared" si="1"/>
        <v>819.84879999999998</v>
      </c>
      <c r="N22" s="140">
        <f t="shared" si="1"/>
        <v>0</v>
      </c>
      <c r="O22" s="140">
        <f t="shared" si="1"/>
        <v>87867</v>
      </c>
      <c r="P22" s="140">
        <f t="shared" si="1"/>
        <v>950.13234462310015</v>
      </c>
      <c r="Q22" s="140"/>
      <c r="R22" s="140"/>
      <c r="S22" s="140">
        <f t="shared" si="1"/>
        <v>89636.981144623103</v>
      </c>
      <c r="T22" s="27"/>
      <c r="U22" s="27"/>
      <c r="V22" s="27"/>
      <c r="W22" s="27"/>
    </row>
    <row r="23" spans="1:23">
      <c r="A23" s="25"/>
      <c r="B23" s="24"/>
      <c r="C23" s="24"/>
      <c r="E23" s="78"/>
      <c r="F23" s="143"/>
      <c r="G23" s="78"/>
      <c r="H23" s="78"/>
      <c r="I23" s="78"/>
      <c r="K23" s="359"/>
      <c r="L23" s="78"/>
      <c r="M23" s="78"/>
      <c r="N23" s="78"/>
      <c r="O23" s="78"/>
      <c r="P23" s="78"/>
      <c r="Q23" s="78"/>
      <c r="R23" s="78"/>
      <c r="S23" s="78"/>
      <c r="T23" s="27"/>
      <c r="U23" s="27"/>
      <c r="V23" s="27"/>
      <c r="W23" s="27"/>
    </row>
    <row r="24" spans="1:23">
      <c r="A24" s="25"/>
      <c r="B24" s="24" t="s">
        <v>16</v>
      </c>
      <c r="D24" s="24"/>
      <c r="E24" s="78"/>
      <c r="F24" s="143"/>
      <c r="G24" s="78"/>
      <c r="H24" s="78"/>
      <c r="I24" s="78"/>
      <c r="K24" s="359"/>
      <c r="L24" s="78"/>
      <c r="M24" s="78"/>
      <c r="N24" s="78"/>
      <c r="O24" s="78"/>
      <c r="P24" s="78"/>
      <c r="Q24" s="78"/>
      <c r="R24" s="78"/>
      <c r="S24" s="78"/>
      <c r="T24" s="27"/>
      <c r="U24" s="27"/>
      <c r="V24" s="27"/>
      <c r="W24" s="27"/>
    </row>
    <row r="25" spans="1:23">
      <c r="A25" s="25">
        <v>9</v>
      </c>
      <c r="C25" s="24" t="s">
        <v>17</v>
      </c>
      <c r="D25" s="24"/>
      <c r="E25" s="77">
        <v>893</v>
      </c>
      <c r="F25" s="142">
        <v>0</v>
      </c>
      <c r="G25" s="77">
        <v>0</v>
      </c>
      <c r="H25" s="78"/>
      <c r="I25" s="77">
        <f>SUM(E25:H25)</f>
        <v>893</v>
      </c>
      <c r="J25" s="84"/>
      <c r="K25" s="360">
        <f>K20</f>
        <v>4.8399999999999999E-2</v>
      </c>
      <c r="L25" s="78">
        <f>I25*K25</f>
        <v>43.221199999999996</v>
      </c>
      <c r="M25" s="143">
        <f>I25+L25</f>
        <v>936.22119999999995</v>
      </c>
      <c r="N25" s="78"/>
      <c r="O25" s="78"/>
      <c r="P25" s="78"/>
      <c r="Q25" s="78"/>
      <c r="R25" s="78"/>
      <c r="S25" s="143">
        <f>SUM(M25:P25)</f>
        <v>936.22119999999995</v>
      </c>
      <c r="T25" s="340"/>
      <c r="U25" s="27"/>
      <c r="V25" s="27"/>
      <c r="W25" s="27"/>
    </row>
    <row r="26" spans="1:23">
      <c r="A26" s="25">
        <v>10</v>
      </c>
      <c r="C26" s="24" t="s">
        <v>47</v>
      </c>
      <c r="D26" s="24"/>
      <c r="E26" s="77">
        <v>402</v>
      </c>
      <c r="F26" s="142">
        <v>0</v>
      </c>
      <c r="G26" s="77">
        <v>0</v>
      </c>
      <c r="H26" s="78"/>
      <c r="I26" s="77">
        <f>SUM(E26:H26)</f>
        <v>402</v>
      </c>
      <c r="J26" s="84"/>
      <c r="K26" s="418">
        <f>'Dep Amort'!C29</f>
        <v>0.25856677890011226</v>
      </c>
      <c r="L26" s="78">
        <f>I26*K26</f>
        <v>103.94384511784513</v>
      </c>
      <c r="M26" s="143">
        <f>I26+L26</f>
        <v>505.94384511784511</v>
      </c>
      <c r="N26" s="78"/>
      <c r="O26" s="78"/>
      <c r="P26" s="78"/>
      <c r="Q26" s="78"/>
      <c r="R26" s="78"/>
      <c r="S26" s="143">
        <f>SUM(M26:P26)</f>
        <v>505.94384511784511</v>
      </c>
      <c r="T26" s="340"/>
      <c r="U26" s="27"/>
      <c r="V26" s="27"/>
      <c r="W26" s="27"/>
    </row>
    <row r="27" spans="1:23">
      <c r="A27" s="25">
        <v>11</v>
      </c>
      <c r="C27" s="24" t="s">
        <v>4</v>
      </c>
      <c r="D27" s="24"/>
      <c r="E27" s="77">
        <v>184</v>
      </c>
      <c r="F27" s="142">
        <v>0</v>
      </c>
      <c r="G27" s="77">
        <v>0</v>
      </c>
      <c r="H27" s="79"/>
      <c r="I27" s="77">
        <f>SUM(E27:H27)</f>
        <v>184</v>
      </c>
      <c r="J27" s="84"/>
      <c r="K27" s="418">
        <f>'Taxes (other than income)'!C30</f>
        <v>0.20995038928118775</v>
      </c>
      <c r="L27" s="79">
        <f>I27*K27</f>
        <v>38.63087162773855</v>
      </c>
      <c r="M27" s="143">
        <f>I27+L27</f>
        <v>222.63087162773854</v>
      </c>
      <c r="N27" s="79"/>
      <c r="O27" s="79"/>
      <c r="P27" s="79"/>
      <c r="Q27" s="82"/>
      <c r="R27" s="82"/>
      <c r="S27" s="143">
        <f>SUM(M27:P27)</f>
        <v>222.63087162773854</v>
      </c>
      <c r="T27" s="340"/>
      <c r="U27" s="27"/>
      <c r="V27" s="27"/>
      <c r="W27" s="27"/>
    </row>
    <row r="28" spans="1:23">
      <c r="A28" s="25">
        <v>12</v>
      </c>
      <c r="B28" s="24" t="s">
        <v>18</v>
      </c>
      <c r="C28" s="24"/>
      <c r="E28" s="140">
        <f>SUM(E25:E27)</f>
        <v>1479</v>
      </c>
      <c r="F28" s="331">
        <f>SUM(F25:F27)</f>
        <v>0</v>
      </c>
      <c r="G28" s="140">
        <f>SUM(G25:G27)</f>
        <v>0</v>
      </c>
      <c r="H28" s="140">
        <f>SUM(H25:H27)</f>
        <v>0</v>
      </c>
      <c r="I28" s="140">
        <f>SUM(I25:I27)</f>
        <v>1479</v>
      </c>
      <c r="J28" s="28"/>
      <c r="K28" s="359"/>
      <c r="L28" s="140">
        <f t="shared" ref="L28:S28" si="2">SUM(L25:L27)</f>
        <v>185.79591674558367</v>
      </c>
      <c r="M28" s="140">
        <f t="shared" si="2"/>
        <v>1664.7959167455836</v>
      </c>
      <c r="N28" s="140">
        <f t="shared" si="2"/>
        <v>0</v>
      </c>
      <c r="O28" s="140">
        <f t="shared" si="2"/>
        <v>0</v>
      </c>
      <c r="P28" s="140">
        <f t="shared" si="2"/>
        <v>0</v>
      </c>
      <c r="Q28" s="140"/>
      <c r="R28" s="140"/>
      <c r="S28" s="140">
        <f t="shared" si="2"/>
        <v>1664.7959167455836</v>
      </c>
      <c r="T28" s="340"/>
      <c r="U28" s="27"/>
      <c r="V28" s="27"/>
      <c r="W28" s="27"/>
    </row>
    <row r="29" spans="1:23">
      <c r="A29" s="25"/>
      <c r="B29" s="24"/>
      <c r="C29" s="24"/>
      <c r="E29" s="78"/>
      <c r="F29" s="143"/>
      <c r="G29" s="78"/>
      <c r="H29" s="78"/>
      <c r="I29" s="78"/>
      <c r="K29" s="359"/>
      <c r="L29" s="78"/>
      <c r="M29" s="78"/>
      <c r="N29" s="78"/>
      <c r="O29" s="78"/>
      <c r="P29" s="78"/>
      <c r="Q29" s="78"/>
      <c r="R29" s="78"/>
      <c r="S29" s="78"/>
      <c r="T29" s="27"/>
      <c r="U29" s="149"/>
      <c r="V29" s="27"/>
      <c r="W29" s="27"/>
    </row>
    <row r="30" spans="1:23" ht="11.25" customHeight="1" thickBot="1">
      <c r="A30" s="25"/>
      <c r="B30" s="24" t="s">
        <v>19</v>
      </c>
      <c r="D30" s="24"/>
      <c r="E30" s="78"/>
      <c r="F30" s="143"/>
      <c r="G30" s="78"/>
      <c r="H30" s="78"/>
      <c r="I30" s="78"/>
      <c r="K30" s="359"/>
      <c r="L30" s="78"/>
      <c r="M30" s="78"/>
      <c r="N30" s="78"/>
      <c r="O30" s="78"/>
      <c r="P30" s="78"/>
      <c r="Q30" s="78"/>
      <c r="R30" s="78"/>
      <c r="S30" s="78"/>
      <c r="T30" s="27"/>
      <c r="U30" s="27"/>
      <c r="V30" s="27"/>
      <c r="W30" s="27"/>
    </row>
    <row r="31" spans="1:23" ht="12.75" thickBot="1">
      <c r="A31" s="25">
        <v>13</v>
      </c>
      <c r="C31" s="24" t="s">
        <v>17</v>
      </c>
      <c r="D31" s="24"/>
      <c r="E31" s="77">
        <v>10704</v>
      </c>
      <c r="F31" s="142">
        <v>0</v>
      </c>
      <c r="G31" s="77">
        <v>0</v>
      </c>
      <c r="H31" s="78"/>
      <c r="I31" s="77">
        <f>SUM(E31:H31)</f>
        <v>10704</v>
      </c>
      <c r="J31" s="84"/>
      <c r="K31" s="360">
        <f>K20</f>
        <v>4.8399999999999999E-2</v>
      </c>
      <c r="L31" s="78">
        <f>I31*K31</f>
        <v>518.07359999999994</v>
      </c>
      <c r="M31" s="143">
        <f>I31+L31</f>
        <v>11222.0736</v>
      </c>
      <c r="N31" s="78"/>
      <c r="O31" s="78"/>
      <c r="P31" s="78"/>
      <c r="Q31" s="78"/>
      <c r="R31" s="417">
        <v>707</v>
      </c>
      <c r="S31" s="143">
        <f>SUM(M31:R31)</f>
        <v>11929.0736</v>
      </c>
      <c r="T31" s="27"/>
      <c r="U31" s="27"/>
      <c r="V31" s="27"/>
      <c r="W31" s="27"/>
    </row>
    <row r="32" spans="1:23">
      <c r="A32" s="25">
        <v>14</v>
      </c>
      <c r="C32" s="24" t="s">
        <v>47</v>
      </c>
      <c r="D32" s="24"/>
      <c r="E32" s="77">
        <v>8513</v>
      </c>
      <c r="F32" s="142">
        <v>0</v>
      </c>
      <c r="G32" s="77">
        <v>0</v>
      </c>
      <c r="H32" s="78"/>
      <c r="I32" s="77">
        <f>SUM(E32:H32)</f>
        <v>8513</v>
      </c>
      <c r="J32" s="84"/>
      <c r="K32" s="360">
        <f>K26</f>
        <v>0.25856677890011226</v>
      </c>
      <c r="L32" s="78">
        <f>I32*K32</f>
        <v>2201.1789887766558</v>
      </c>
      <c r="M32" s="143">
        <f>I32+L32</f>
        <v>10714.178988776655</v>
      </c>
      <c r="N32" s="78"/>
      <c r="O32" s="78"/>
      <c r="P32" s="78"/>
      <c r="Q32" s="78"/>
      <c r="R32" s="78"/>
      <c r="S32" s="143">
        <f>SUM(M32:P32)</f>
        <v>10714.178988776655</v>
      </c>
      <c r="T32" s="341"/>
      <c r="U32" s="27"/>
      <c r="V32" s="27"/>
      <c r="W32" s="27"/>
    </row>
    <row r="33" spans="1:23">
      <c r="A33" s="22">
        <v>15</v>
      </c>
      <c r="C33" s="24" t="s">
        <v>4</v>
      </c>
      <c r="D33" s="24"/>
      <c r="E33" s="77">
        <v>8719</v>
      </c>
      <c r="F33" s="142">
        <v>0</v>
      </c>
      <c r="G33" s="77">
        <f>G$15*ROR!$F$31</f>
        <v>475.40011200000004</v>
      </c>
      <c r="H33" s="77">
        <f>ROUND($H$12*'Riders and Gas Cost Revenue'!E32,0)</f>
        <v>-3528</v>
      </c>
      <c r="I33" s="77">
        <f>SUM(E33:H33)</f>
        <v>5666.4001119999994</v>
      </c>
      <c r="J33" s="84"/>
      <c r="K33" s="360">
        <f>K27</f>
        <v>0.20995038928118775</v>
      </c>
      <c r="L33" s="79">
        <f>I33*K33</f>
        <v>1189.6629093373658</v>
      </c>
      <c r="M33" s="143">
        <f>I33+L33</f>
        <v>6856.0630213373652</v>
      </c>
      <c r="N33" s="79"/>
      <c r="O33" s="142">
        <f>-H33</f>
        <v>3528</v>
      </c>
      <c r="P33" s="77">
        <f>ROUND($P$12*'Riders and Gas Cost Revenue'!E32,0)</f>
        <v>76</v>
      </c>
      <c r="Q33" s="77"/>
      <c r="R33" s="77"/>
      <c r="S33" s="143">
        <f>SUM(M33:P33)</f>
        <v>10460.063021337366</v>
      </c>
      <c r="T33" s="27"/>
      <c r="U33" s="27"/>
      <c r="V33" s="27"/>
      <c r="W33" s="27"/>
    </row>
    <row r="34" spans="1:23" ht="12.75">
      <c r="A34" s="22">
        <v>16</v>
      </c>
      <c r="B34" s="24" t="s">
        <v>20</v>
      </c>
      <c r="C34" s="249"/>
      <c r="E34" s="140">
        <f>SUM(E31:E33)</f>
        <v>27936</v>
      </c>
      <c r="F34" s="331">
        <f>SUM(F31:F33)</f>
        <v>0</v>
      </c>
      <c r="G34" s="140">
        <f>SUM(G31:G33)</f>
        <v>475.40011200000004</v>
      </c>
      <c r="H34" s="140">
        <f>SUM(H31:H33)</f>
        <v>-3528</v>
      </c>
      <c r="I34" s="140">
        <f>SUM(I31:I33)</f>
        <v>24883.400111999999</v>
      </c>
      <c r="K34" s="359"/>
      <c r="L34" s="140">
        <f t="shared" ref="L34:S34" si="3">SUM(L31:L33)</f>
        <v>3908.9154981140218</v>
      </c>
      <c r="M34" s="140">
        <f t="shared" si="3"/>
        <v>28792.315610114019</v>
      </c>
      <c r="N34" s="140">
        <f t="shared" si="3"/>
        <v>0</v>
      </c>
      <c r="O34" s="140">
        <f t="shared" si="3"/>
        <v>3528</v>
      </c>
      <c r="P34" s="140">
        <f t="shared" si="3"/>
        <v>76</v>
      </c>
      <c r="Q34" s="140"/>
      <c r="R34" s="140">
        <f t="shared" si="3"/>
        <v>707</v>
      </c>
      <c r="S34" s="140">
        <f t="shared" si="3"/>
        <v>33103.315610114019</v>
      </c>
      <c r="T34" s="340"/>
      <c r="U34" s="342"/>
      <c r="V34" s="149"/>
      <c r="W34" s="343"/>
    </row>
    <row r="35" spans="1:23">
      <c r="C35" s="24"/>
      <c r="D35" s="24"/>
      <c r="E35" s="78"/>
      <c r="F35" s="143"/>
      <c r="G35" s="78"/>
      <c r="H35" s="78"/>
      <c r="I35" s="78"/>
      <c r="K35" s="359"/>
      <c r="L35" s="78"/>
      <c r="M35" s="78"/>
      <c r="N35" s="78"/>
      <c r="O35" s="78"/>
      <c r="P35" s="78"/>
      <c r="Q35" s="78"/>
      <c r="R35" s="78"/>
      <c r="S35" s="78"/>
      <c r="T35" s="27"/>
      <c r="U35" s="27"/>
      <c r="V35" s="27"/>
      <c r="W35" s="27"/>
    </row>
    <row r="36" spans="1:23">
      <c r="A36" s="22">
        <v>17</v>
      </c>
      <c r="B36" s="3" t="s">
        <v>21</v>
      </c>
      <c r="C36" s="24"/>
      <c r="D36" s="24"/>
      <c r="E36" s="77">
        <v>6108</v>
      </c>
      <c r="F36" s="142">
        <v>0</v>
      </c>
      <c r="G36" s="77">
        <f>G$15*ROR!$F$27</f>
        <v>66.432432000000006</v>
      </c>
      <c r="H36" s="77">
        <f>ROUND($H$12*'Riders and Gas Cost Revenue'!E35,0)</f>
        <v>-493</v>
      </c>
      <c r="I36" s="77">
        <f>SUM(E36:H36)</f>
        <v>5681.4324319999996</v>
      </c>
      <c r="J36" s="84"/>
      <c r="K36" s="360">
        <f>K20</f>
        <v>4.8399999999999999E-2</v>
      </c>
      <c r="L36" s="78">
        <f>I36*K36</f>
        <v>274.98132970879999</v>
      </c>
      <c r="M36" s="143">
        <f>I36+L36</f>
        <v>5956.4137617087999</v>
      </c>
      <c r="N36" s="78"/>
      <c r="O36" s="142">
        <f>-H36</f>
        <v>493</v>
      </c>
      <c r="P36" s="77">
        <f>ROUND($P$12*'Riders and Gas Cost Revenue'!E35,0)</f>
        <v>11</v>
      </c>
      <c r="Q36" s="77"/>
      <c r="R36" s="77"/>
      <c r="S36" s="143">
        <f>SUM(M36:P36)</f>
        <v>6460.4137617087999</v>
      </c>
      <c r="T36" s="27"/>
      <c r="U36" s="149"/>
      <c r="V36" s="27"/>
      <c r="W36" s="27"/>
    </row>
    <row r="37" spans="1:23">
      <c r="A37" s="22">
        <v>18</v>
      </c>
      <c r="B37" s="3" t="s">
        <v>22</v>
      </c>
      <c r="C37" s="24"/>
      <c r="D37" s="24"/>
      <c r="E37" s="77">
        <v>865</v>
      </c>
      <c r="F37" s="142">
        <v>0</v>
      </c>
      <c r="G37" s="77">
        <v>0</v>
      </c>
      <c r="H37" s="78"/>
      <c r="I37" s="77">
        <f>SUM(E37:H37)</f>
        <v>865</v>
      </c>
      <c r="J37" s="84"/>
      <c r="K37" s="360">
        <f>K20</f>
        <v>4.8399999999999999E-2</v>
      </c>
      <c r="L37" s="78">
        <f>I37*K37</f>
        <v>41.866</v>
      </c>
      <c r="M37" s="143">
        <f>I37+L37</f>
        <v>906.86599999999999</v>
      </c>
      <c r="N37" s="78"/>
      <c r="O37" s="78"/>
      <c r="P37" s="78"/>
      <c r="Q37" s="78"/>
      <c r="R37" s="78"/>
      <c r="S37" s="143">
        <f>SUM(M37:P37)</f>
        <v>906.86599999999999</v>
      </c>
      <c r="T37" s="76"/>
    </row>
    <row r="38" spans="1:23">
      <c r="A38" s="22">
        <v>19</v>
      </c>
      <c r="B38" s="3" t="s">
        <v>23</v>
      </c>
      <c r="C38" s="24"/>
      <c r="D38" s="24"/>
      <c r="E38" s="77">
        <v>0</v>
      </c>
      <c r="F38" s="142">
        <v>0</v>
      </c>
      <c r="G38" s="77">
        <v>0</v>
      </c>
      <c r="H38" s="78"/>
      <c r="I38" s="77">
        <f>SUM(E38:H38)</f>
        <v>0</v>
      </c>
      <c r="J38" s="84"/>
      <c r="K38" s="360">
        <f>K20</f>
        <v>4.8399999999999999E-2</v>
      </c>
      <c r="L38" s="78">
        <f>I38*K38</f>
        <v>0</v>
      </c>
      <c r="M38" s="143">
        <f>I38+L38</f>
        <v>0</v>
      </c>
      <c r="N38" s="78"/>
      <c r="O38" s="78"/>
      <c r="P38" s="78"/>
      <c r="Q38" s="78"/>
      <c r="R38" s="78"/>
      <c r="S38" s="143">
        <f>SUM(M38:P38)</f>
        <v>0</v>
      </c>
      <c r="T38" s="341"/>
      <c r="U38" s="27"/>
      <c r="V38" s="27"/>
    </row>
    <row r="39" spans="1:23">
      <c r="C39" s="24"/>
      <c r="D39" s="24"/>
      <c r="E39" s="78"/>
      <c r="F39" s="143"/>
      <c r="G39" s="78"/>
      <c r="H39" s="78"/>
      <c r="I39" s="78"/>
      <c r="K39" s="359"/>
      <c r="L39" s="78"/>
      <c r="M39" s="78"/>
      <c r="N39" s="78"/>
      <c r="O39" s="78"/>
      <c r="P39" s="78"/>
      <c r="Q39" s="78"/>
      <c r="R39" s="78"/>
      <c r="S39" s="78"/>
      <c r="T39" s="27"/>
      <c r="U39" s="27"/>
      <c r="V39" s="27"/>
    </row>
    <row r="40" spans="1:23">
      <c r="B40" s="3" t="s">
        <v>24</v>
      </c>
      <c r="C40" s="24"/>
      <c r="D40" s="24"/>
      <c r="E40" s="78"/>
      <c r="F40" s="143"/>
      <c r="G40" s="78"/>
      <c r="H40" s="78"/>
      <c r="I40" s="78"/>
      <c r="K40" s="359"/>
      <c r="L40" s="78"/>
      <c r="M40" s="78"/>
      <c r="N40" s="78"/>
      <c r="O40" s="78"/>
      <c r="P40" s="78"/>
      <c r="Q40" s="78"/>
      <c r="R40" s="78"/>
      <c r="S40" s="78"/>
      <c r="T40" s="340"/>
      <c r="U40" s="342"/>
      <c r="V40" s="149"/>
    </row>
    <row r="41" spans="1:23" ht="12.75" thickBot="1">
      <c r="A41" s="22">
        <v>20</v>
      </c>
      <c r="C41" s="24" t="s">
        <v>17</v>
      </c>
      <c r="D41" s="24"/>
      <c r="E41" s="77">
        <v>12777</v>
      </c>
      <c r="F41" s="142">
        <v>0</v>
      </c>
      <c r="G41" s="77">
        <f>G$15*ROR!$F$29</f>
        <v>24.815999999999999</v>
      </c>
      <c r="H41" s="77">
        <f>ROUND($H$12*'Riders and Gas Cost Revenue'!E40,0)</f>
        <v>-184</v>
      </c>
      <c r="I41" s="77">
        <f>SUM(E41:H41)</f>
        <v>12617.816000000001</v>
      </c>
      <c r="J41" s="84"/>
      <c r="K41" s="360">
        <f>K20</f>
        <v>4.8399999999999999E-2</v>
      </c>
      <c r="L41" s="78">
        <f>I41*K41</f>
        <v>610.70229440000003</v>
      </c>
      <c r="M41" s="143">
        <f>I41+L41</f>
        <v>13228.518294400001</v>
      </c>
      <c r="N41" s="78"/>
      <c r="O41" s="142">
        <f>-H41</f>
        <v>184</v>
      </c>
      <c r="P41" s="77">
        <f>ROUND($P$12*'Riders and Gas Cost Revenue'!E40,0)</f>
        <v>4</v>
      </c>
      <c r="Q41" s="77"/>
      <c r="R41" s="77"/>
      <c r="S41" s="143">
        <f>SUM(M41:P41)</f>
        <v>13416.518294400001</v>
      </c>
      <c r="T41" s="27"/>
      <c r="U41" s="27"/>
      <c r="V41" s="27"/>
    </row>
    <row r="42" spans="1:23" ht="12.75" thickBot="1">
      <c r="A42" s="22">
        <v>21</v>
      </c>
      <c r="C42" s="24" t="s">
        <v>47</v>
      </c>
      <c r="D42" s="24"/>
      <c r="E42" s="77">
        <v>4389</v>
      </c>
      <c r="F42" s="142">
        <v>0</v>
      </c>
      <c r="G42" s="77">
        <v>0</v>
      </c>
      <c r="H42" s="78"/>
      <c r="I42" s="77">
        <f>SUM(E42:H42)</f>
        <v>4389</v>
      </c>
      <c r="J42" s="84"/>
      <c r="K42" s="360">
        <f>K26</f>
        <v>0.25856677890011226</v>
      </c>
      <c r="L42" s="78">
        <f>I42*K42</f>
        <v>1134.8495925925927</v>
      </c>
      <c r="M42" s="143">
        <f>I42+L42</f>
        <v>5523.8495925925927</v>
      </c>
      <c r="N42" s="78"/>
      <c r="O42" s="78"/>
      <c r="P42" s="78"/>
      <c r="Q42" s="417">
        <v>1119</v>
      </c>
      <c r="R42" s="78"/>
      <c r="S42" s="143">
        <f>SUM(M42:Q42)</f>
        <v>6642.8495925925927</v>
      </c>
      <c r="T42" s="27"/>
      <c r="U42" s="149"/>
      <c r="V42" s="27"/>
    </row>
    <row r="43" spans="1:23">
      <c r="A43" s="22">
        <v>22</v>
      </c>
      <c r="C43" s="1" t="s">
        <v>52</v>
      </c>
      <c r="D43" s="24"/>
      <c r="E43" s="77">
        <v>-91</v>
      </c>
      <c r="F43" s="142">
        <v>1143</v>
      </c>
      <c r="G43" s="77">
        <v>91</v>
      </c>
      <c r="H43" s="78"/>
      <c r="I43" s="77">
        <f>SUM(E43:H43)</f>
        <v>1143</v>
      </c>
      <c r="J43" s="78"/>
      <c r="K43" s="360">
        <v>0</v>
      </c>
      <c r="L43" s="78">
        <f>I43*K43</f>
        <v>0</v>
      </c>
      <c r="M43" s="143">
        <f>I43+L43</f>
        <v>1143</v>
      </c>
      <c r="N43" s="78"/>
      <c r="O43" s="78"/>
      <c r="P43" s="78"/>
      <c r="Q43" s="78"/>
      <c r="R43" s="78"/>
      <c r="S43" s="143">
        <f>SUM(M43:P43)</f>
        <v>1143</v>
      </c>
      <c r="T43" s="27"/>
      <c r="U43" s="27"/>
      <c r="V43" s="27"/>
    </row>
    <row r="44" spans="1:23">
      <c r="A44" s="22">
        <v>23</v>
      </c>
      <c r="C44" s="24" t="s">
        <v>4</v>
      </c>
      <c r="D44" s="24"/>
      <c r="E44" s="77">
        <v>0</v>
      </c>
      <c r="F44" s="142">
        <v>0</v>
      </c>
      <c r="G44" s="77">
        <v>0</v>
      </c>
      <c r="H44" s="79"/>
      <c r="I44" s="77">
        <f>SUM(E44:H44)</f>
        <v>0</v>
      </c>
      <c r="J44" s="84"/>
      <c r="K44" s="360">
        <f>K27</f>
        <v>0.20995038928118775</v>
      </c>
      <c r="L44" s="79">
        <f>I44*K44</f>
        <v>0</v>
      </c>
      <c r="M44" s="143">
        <f>I44+L44</f>
        <v>0</v>
      </c>
      <c r="N44" s="79"/>
      <c r="O44" s="79"/>
      <c r="P44" s="79"/>
      <c r="Q44" s="82"/>
      <c r="R44" s="82"/>
      <c r="S44" s="143">
        <f>SUM(M44:P44)</f>
        <v>0</v>
      </c>
    </row>
    <row r="45" spans="1:23">
      <c r="A45" s="22">
        <v>24</v>
      </c>
      <c r="B45" s="24" t="s">
        <v>25</v>
      </c>
      <c r="C45" s="24"/>
      <c r="E45" s="140">
        <f t="shared" ref="E45:J45" si="4">SUM(E41:E44)</f>
        <v>17075</v>
      </c>
      <c r="F45" s="331">
        <f t="shared" si="4"/>
        <v>1143</v>
      </c>
      <c r="G45" s="140">
        <f t="shared" si="4"/>
        <v>115.816</v>
      </c>
      <c r="H45" s="140">
        <f t="shared" si="4"/>
        <v>-184</v>
      </c>
      <c r="I45" s="140">
        <f t="shared" si="4"/>
        <v>18149.815999999999</v>
      </c>
      <c r="J45" s="140">
        <f t="shared" si="4"/>
        <v>0</v>
      </c>
      <c r="K45" s="359"/>
      <c r="L45" s="140">
        <f t="shared" ref="L45:S45" si="5">SUM(L41:L44)</f>
        <v>1745.5518869925927</v>
      </c>
      <c r="M45" s="140">
        <f t="shared" si="5"/>
        <v>19895.367886992593</v>
      </c>
      <c r="N45" s="140">
        <f t="shared" si="5"/>
        <v>0</v>
      </c>
      <c r="O45" s="140">
        <f t="shared" si="5"/>
        <v>184</v>
      </c>
      <c r="P45" s="140">
        <f>SUM(P41:P44)</f>
        <v>4</v>
      </c>
      <c r="Q45" s="140">
        <f>Q42</f>
        <v>1119</v>
      </c>
      <c r="R45" s="140">
        <f>SUM(R41:R44)</f>
        <v>0</v>
      </c>
      <c r="S45" s="140">
        <f t="shared" si="5"/>
        <v>21202.367886992593</v>
      </c>
    </row>
    <row r="46" spans="1:23">
      <c r="A46" s="22">
        <v>25</v>
      </c>
      <c r="B46" s="3" t="s">
        <v>26</v>
      </c>
      <c r="C46" s="24"/>
      <c r="D46" s="24"/>
      <c r="E46" s="140">
        <f t="shared" ref="E46:J46" si="6">E22+E28+E34+E36+E37+E38+E45</f>
        <v>138429</v>
      </c>
      <c r="F46" s="331">
        <f t="shared" si="6"/>
        <v>1143</v>
      </c>
      <c r="G46" s="140">
        <f t="shared" si="6"/>
        <v>4340.6485439999997</v>
      </c>
      <c r="H46" s="140">
        <f t="shared" si="6"/>
        <v>-92072</v>
      </c>
      <c r="I46" s="140">
        <f t="shared" si="6"/>
        <v>51840.648543999996</v>
      </c>
      <c r="J46" s="140">
        <f t="shared" si="6"/>
        <v>0</v>
      </c>
      <c r="K46" s="359"/>
      <c r="L46" s="140">
        <f t="shared" ref="L46:S46" si="7">L22+L28+L34+L36+L37+L38+L45</f>
        <v>6194.9594315609984</v>
      </c>
      <c r="M46" s="140">
        <f t="shared" si="7"/>
        <v>58035.607975560997</v>
      </c>
      <c r="N46" s="140">
        <f t="shared" si="7"/>
        <v>0</v>
      </c>
      <c r="O46" s="140">
        <f t="shared" si="7"/>
        <v>92072</v>
      </c>
      <c r="P46" s="140">
        <f>P22+P28+P34+P36+P37+P38+P45</f>
        <v>1041.1323446231002</v>
      </c>
      <c r="Q46" s="140">
        <f>Q45</f>
        <v>1119</v>
      </c>
      <c r="R46" s="424">
        <f>R22+R28+R34+R36+R37+R38+R45</f>
        <v>707</v>
      </c>
      <c r="S46" s="140">
        <f t="shared" si="7"/>
        <v>152974.74032018409</v>
      </c>
    </row>
    <row r="47" spans="1:23" ht="5.25" customHeight="1" thickBot="1">
      <c r="C47" s="24"/>
      <c r="D47" s="24"/>
      <c r="E47" s="140"/>
      <c r="F47" s="331"/>
      <c r="G47" s="140"/>
      <c r="H47" s="138"/>
      <c r="I47" s="138"/>
      <c r="J47" s="138"/>
      <c r="L47" s="138"/>
      <c r="M47" s="138"/>
      <c r="N47" s="138"/>
      <c r="O47" s="138"/>
      <c r="P47" s="138"/>
      <c r="Q47" s="138"/>
      <c r="R47" s="138"/>
      <c r="S47" s="138"/>
    </row>
    <row r="48" spans="1:23" ht="12.75" thickBot="1">
      <c r="A48" s="22">
        <v>26</v>
      </c>
      <c r="B48" s="3" t="s">
        <v>587</v>
      </c>
      <c r="C48" s="24"/>
      <c r="D48" s="24"/>
      <c r="E48" s="77">
        <f t="shared" ref="E48:J48" si="8">E15-E46</f>
        <v>20409</v>
      </c>
      <c r="F48" s="142">
        <f t="shared" si="8"/>
        <v>-1143</v>
      </c>
      <c r="G48" s="77">
        <f t="shared" si="8"/>
        <v>8067.3514560000003</v>
      </c>
      <c r="H48" s="77">
        <f t="shared" si="8"/>
        <v>0</v>
      </c>
      <c r="I48" s="77">
        <f t="shared" si="8"/>
        <v>27333.351456000004</v>
      </c>
      <c r="J48" s="77">
        <f t="shared" si="8"/>
        <v>0</v>
      </c>
      <c r="L48" s="77">
        <f t="shared" ref="L48:S48" si="9">L15-L46</f>
        <v>-6194.9594315609984</v>
      </c>
      <c r="M48" s="77">
        <f t="shared" si="9"/>
        <v>21138.392024439003</v>
      </c>
      <c r="N48" s="77">
        <f t="shared" si="9"/>
        <v>0</v>
      </c>
      <c r="O48" s="77">
        <f t="shared" si="9"/>
        <v>0</v>
      </c>
      <c r="P48" s="77">
        <f t="shared" si="9"/>
        <v>935.6173045116343</v>
      </c>
      <c r="Q48" s="77">
        <f>-Q46</f>
        <v>-1119</v>
      </c>
      <c r="R48" s="417">
        <f t="shared" ref="R48" si="10">R15-R46</f>
        <v>-707</v>
      </c>
      <c r="S48" s="77">
        <f t="shared" si="9"/>
        <v>20248.009328950633</v>
      </c>
    </row>
    <row r="49" spans="1:19" ht="13.5">
      <c r="C49" s="24"/>
      <c r="D49" s="24" t="s">
        <v>571</v>
      </c>
      <c r="E49" s="78"/>
      <c r="F49" s="143"/>
      <c r="G49" s="143"/>
      <c r="H49" s="78"/>
      <c r="I49" s="78"/>
      <c r="L49" s="78"/>
      <c r="M49" s="78"/>
      <c r="N49" s="78"/>
      <c r="O49" s="78"/>
      <c r="P49" s="78"/>
      <c r="Q49" s="78"/>
      <c r="R49" s="78"/>
      <c r="S49" s="78"/>
    </row>
    <row r="50" spans="1:19" ht="19.5" thickBot="1">
      <c r="A50" s="556" t="str">
        <f>A2</f>
        <v>2016 NATURAL GAS ATTRITION REVENUE REQUIREMENT</v>
      </c>
      <c r="B50" s="556"/>
      <c r="C50" s="556"/>
      <c r="D50" s="556"/>
      <c r="E50" s="556"/>
      <c r="F50" s="556"/>
      <c r="G50" s="556"/>
      <c r="H50" s="556"/>
      <c r="I50" s="556"/>
      <c r="J50" s="556"/>
      <c r="K50" s="556"/>
      <c r="L50" s="556"/>
      <c r="M50" s="556"/>
      <c r="N50" s="556"/>
      <c r="O50" s="556"/>
      <c r="P50" s="556"/>
      <c r="Q50" s="556"/>
      <c r="R50" s="556"/>
      <c r="S50" s="556"/>
    </row>
    <row r="51" spans="1:19" ht="1.5" customHeight="1">
      <c r="A51" s="2"/>
    </row>
    <row r="52" spans="1:19" ht="3" customHeight="1" thickBot="1">
      <c r="A52" s="2"/>
      <c r="B52" s="2"/>
      <c r="C52" s="2"/>
      <c r="D52" s="2"/>
    </row>
    <row r="53" spans="1:19" ht="13.5" customHeight="1" thickBot="1">
      <c r="A53" s="346"/>
      <c r="B53" s="347"/>
      <c r="C53" s="347"/>
      <c r="D53" s="348" t="s">
        <v>220</v>
      </c>
      <c r="E53" s="550" t="s">
        <v>246</v>
      </c>
      <c r="F53" s="550"/>
      <c r="G53" s="550"/>
      <c r="H53" s="550"/>
      <c r="I53" s="551"/>
      <c r="J53" s="349"/>
      <c r="K53" s="350"/>
      <c r="L53" s="552" t="s">
        <v>164</v>
      </c>
      <c r="M53" s="552"/>
      <c r="N53" s="350"/>
      <c r="O53" s="566" t="s">
        <v>245</v>
      </c>
      <c r="P53" s="552"/>
      <c r="Q53" s="552"/>
      <c r="R53" s="386"/>
      <c r="S53" s="351"/>
    </row>
    <row r="54" spans="1:19" s="6" customFormat="1" ht="13.15" customHeight="1">
      <c r="A54" s="5"/>
      <c r="E54" s="557" t="s">
        <v>569</v>
      </c>
      <c r="F54" s="572" t="str">
        <f>F6</f>
        <v>Regulatory Amorts Adjs</v>
      </c>
      <c r="G54" s="572" t="str">
        <f>G6</f>
        <v>Pro Forma Revenue Normalization Adjustment</v>
      </c>
      <c r="H54" s="572" t="str">
        <f>H6</f>
        <v>Exclude Normalized Gas Costs and Revenue</v>
      </c>
      <c r="I54" s="569" t="str">
        <f>I6</f>
        <v>December 2014 Escalation Base</v>
      </c>
      <c r="K54" s="569" t="str">
        <f>K6</f>
        <v>Escalation Factor</v>
      </c>
      <c r="L54" s="569" t="str">
        <f>L6</f>
        <v>Escalation Amount      [E] *[F]=[G]</v>
      </c>
      <c r="M54" s="569" t="str">
        <f>M6</f>
        <v>Trended 2016 Non-Energy Cost [E]+[G]=[H]</v>
      </c>
      <c r="O54" s="573" t="str">
        <f>O6</f>
        <v>(plus) 12.2014 Pro-Formed Gas Cost/Revenue</v>
      </c>
      <c r="P54" s="569" t="str">
        <f>P6</f>
        <v>(plus) Revenue Growth</v>
      </c>
      <c r="Q54" s="543" t="str">
        <f>Q6</f>
        <v>After Attrition Adj - Project Compass</v>
      </c>
      <c r="R54" s="543" t="str">
        <f>R6</f>
        <v>After Attrition Adj - Atmos Testing</v>
      </c>
      <c r="S54" s="543" t="str">
        <f>S6</f>
        <v>2016 Revenue and Cost [H]+[I]+[J]+ [K]+[L] = [M]</v>
      </c>
    </row>
    <row r="55" spans="1:19" s="6" customFormat="1">
      <c r="A55" s="25" t="s">
        <v>221</v>
      </c>
      <c r="B55" s="75"/>
      <c r="C55" s="75"/>
      <c r="D55" s="27"/>
      <c r="E55" s="558"/>
      <c r="F55" s="558"/>
      <c r="G55" s="558"/>
      <c r="H55" s="558"/>
      <c r="I55" s="570"/>
      <c r="J55" s="76"/>
      <c r="K55" s="570"/>
      <c r="L55" s="570"/>
      <c r="M55" s="570"/>
      <c r="N55" s="76"/>
      <c r="O55" s="574"/>
      <c r="P55" s="570"/>
      <c r="Q55" s="544"/>
      <c r="R55" s="544"/>
      <c r="S55" s="544"/>
    </row>
    <row r="56" spans="1:19" s="6" customFormat="1">
      <c r="A56" s="25" t="s">
        <v>0</v>
      </c>
      <c r="B56" s="75"/>
      <c r="C56" s="75"/>
      <c r="D56" s="27"/>
      <c r="E56" s="558"/>
      <c r="F56" s="558"/>
      <c r="G56" s="558"/>
      <c r="H56" s="558"/>
      <c r="I56" s="570"/>
      <c r="J56" s="76"/>
      <c r="K56" s="570"/>
      <c r="L56" s="570"/>
      <c r="M56" s="570"/>
      <c r="N56" s="76"/>
      <c r="O56" s="574"/>
      <c r="P56" s="570"/>
      <c r="Q56" s="544"/>
      <c r="R56" s="544"/>
      <c r="S56" s="544"/>
    </row>
    <row r="57" spans="1:19" s="6" customFormat="1" ht="26.25" customHeight="1">
      <c r="A57" s="95" t="s">
        <v>2</v>
      </c>
      <c r="B57" s="96"/>
      <c r="C57" s="96"/>
      <c r="D57" s="96" t="s">
        <v>3</v>
      </c>
      <c r="E57" s="559"/>
      <c r="F57" s="559"/>
      <c r="G57" s="559"/>
      <c r="H57" s="559"/>
      <c r="I57" s="571"/>
      <c r="J57" s="76"/>
      <c r="K57" s="571"/>
      <c r="L57" s="571"/>
      <c r="M57" s="571"/>
      <c r="N57" s="76"/>
      <c r="O57" s="575"/>
      <c r="P57" s="571"/>
      <c r="Q57" s="545"/>
      <c r="R57" s="545"/>
      <c r="S57" s="545"/>
    </row>
    <row r="58" spans="1:19" s="6" customFormat="1" ht="12.75">
      <c r="A58" s="25"/>
      <c r="B58" s="75"/>
      <c r="C58" s="75"/>
      <c r="D58" s="75"/>
      <c r="E58" s="136" t="str">
        <f>E10</f>
        <v>[A]</v>
      </c>
      <c r="F58" s="332" t="str">
        <f t="shared" ref="F58:S58" si="11">F10</f>
        <v>[B]</v>
      </c>
      <c r="G58" s="136" t="str">
        <f t="shared" si="11"/>
        <v>[C]</v>
      </c>
      <c r="H58" s="136" t="str">
        <f t="shared" si="11"/>
        <v>[D]</v>
      </c>
      <c r="I58" s="136" t="str">
        <f t="shared" si="11"/>
        <v>[E]</v>
      </c>
      <c r="J58" s="137"/>
      <c r="K58" s="136" t="str">
        <f t="shared" si="11"/>
        <v>[F]</v>
      </c>
      <c r="L58" s="136" t="str">
        <f t="shared" si="11"/>
        <v>[G]</v>
      </c>
      <c r="M58" s="136" t="str">
        <f t="shared" si="11"/>
        <v>[H]</v>
      </c>
      <c r="N58" s="137"/>
      <c r="O58" s="136" t="str">
        <f t="shared" si="11"/>
        <v>[I]</v>
      </c>
      <c r="P58" s="136" t="str">
        <f t="shared" si="11"/>
        <v>[J]</v>
      </c>
      <c r="Q58" s="203" t="s">
        <v>257</v>
      </c>
      <c r="R58" s="203" t="s">
        <v>545</v>
      </c>
      <c r="S58" s="136" t="str">
        <f t="shared" si="11"/>
        <v>[M]</v>
      </c>
    </row>
    <row r="59" spans="1:19" ht="12.75" thickBot="1">
      <c r="B59" s="3" t="s">
        <v>28</v>
      </c>
      <c r="C59" s="24"/>
      <c r="D59" s="24"/>
      <c r="E59" s="78"/>
      <c r="F59" s="143"/>
      <c r="G59" s="78"/>
      <c r="H59" s="78"/>
      <c r="I59" s="78"/>
      <c r="L59" s="78"/>
      <c r="M59" s="78"/>
      <c r="N59" s="78"/>
      <c r="O59" s="78"/>
      <c r="P59" s="78"/>
      <c r="Q59" s="78"/>
      <c r="R59" s="78"/>
      <c r="S59" s="78"/>
    </row>
    <row r="60" spans="1:19" ht="12.75" thickBot="1">
      <c r="A60" s="22">
        <v>27</v>
      </c>
      <c r="B60" s="24" t="s">
        <v>29</v>
      </c>
      <c r="D60" s="24"/>
      <c r="E60" s="77">
        <v>-6945</v>
      </c>
      <c r="F60" s="142">
        <f>0.35*F48</f>
        <v>-400.04999999999995</v>
      </c>
      <c r="G60" s="143">
        <f>0.35*G48</f>
        <v>2823.5730095999998</v>
      </c>
      <c r="H60" s="143">
        <f>0.35*H48</f>
        <v>0</v>
      </c>
      <c r="I60" s="77">
        <f>SUM(E60:H60)</f>
        <v>-4521.4769904000004</v>
      </c>
      <c r="L60" s="143">
        <f>0.35*L48</f>
        <v>-2168.2358010463495</v>
      </c>
      <c r="M60" s="143">
        <f>I60+L60</f>
        <v>-6689.7127914463499</v>
      </c>
      <c r="N60" s="143"/>
      <c r="O60" s="143">
        <f>0.35*O48</f>
        <v>0</v>
      </c>
      <c r="P60" s="143">
        <f>0.35*P48</f>
        <v>327.46605657907196</v>
      </c>
      <c r="Q60" s="143">
        <f>0.35*Q48</f>
        <v>-391.65</v>
      </c>
      <c r="R60" s="417">
        <f>0.35*R48</f>
        <v>-247.45</v>
      </c>
      <c r="S60" s="143">
        <f>SUM(M60:R60)</f>
        <v>-7001.3467348672775</v>
      </c>
    </row>
    <row r="61" spans="1:19" ht="12.75" thickBot="1">
      <c r="A61" s="22">
        <v>28</v>
      </c>
      <c r="B61" s="24" t="s">
        <v>46</v>
      </c>
      <c r="D61" s="24"/>
      <c r="E61" s="77">
        <v>-137</v>
      </c>
      <c r="F61" s="142">
        <f>F86*ROR!$F$58*-0.35</f>
        <v>0</v>
      </c>
      <c r="G61" s="142">
        <f>G86*ROR!$F$58*-0.35</f>
        <v>0</v>
      </c>
      <c r="H61" s="77">
        <f>H86*ROR!$F$58*-0.35</f>
        <v>0</v>
      </c>
      <c r="I61" s="77">
        <f>SUM(E61:H61)</f>
        <v>-137</v>
      </c>
      <c r="L61" s="143">
        <f>(ROR!F11*-0.35*L86)+(ROR!F11-ROR!F58)*I86*-0.35</f>
        <v>-178.55013400000001</v>
      </c>
      <c r="M61" s="143">
        <f>I61+L61</f>
        <v>-315.55013400000001</v>
      </c>
      <c r="N61" s="78"/>
      <c r="O61" s="78"/>
      <c r="P61" s="78"/>
      <c r="Q61" s="417">
        <f>Q86*ROR!$F$11*-0.35</f>
        <v>-113.52614</v>
      </c>
      <c r="R61" s="78"/>
      <c r="S61" s="417">
        <f>SUM(M61:Q61)</f>
        <v>-429.07627400000001</v>
      </c>
    </row>
    <row r="62" spans="1:19">
      <c r="A62" s="22">
        <v>29</v>
      </c>
      <c r="B62" s="24" t="s">
        <v>30</v>
      </c>
      <c r="D62" s="24"/>
      <c r="E62" s="77">
        <v>13105</v>
      </c>
      <c r="F62" s="142">
        <v>0</v>
      </c>
      <c r="G62" s="77">
        <v>0</v>
      </c>
      <c r="H62" s="78"/>
      <c r="I62" s="77">
        <f>SUM(E62:H62)</f>
        <v>13105</v>
      </c>
      <c r="L62" s="78"/>
      <c r="M62" s="143">
        <f>I62+L62</f>
        <v>13105</v>
      </c>
      <c r="N62" s="78"/>
      <c r="O62" s="78"/>
      <c r="P62" s="78"/>
      <c r="Q62" s="78"/>
      <c r="R62" s="78"/>
      <c r="S62" s="143">
        <f>SUM(M62:P62)</f>
        <v>13105</v>
      </c>
    </row>
    <row r="63" spans="1:19">
      <c r="A63" s="22">
        <v>30</v>
      </c>
      <c r="B63" s="24" t="s">
        <v>31</v>
      </c>
      <c r="D63" s="24"/>
      <c r="E63" s="77">
        <f>-21+1</f>
        <v>-20</v>
      </c>
      <c r="F63" s="142">
        <v>0</v>
      </c>
      <c r="G63" s="77">
        <v>0</v>
      </c>
      <c r="H63" s="79"/>
      <c r="I63" s="77">
        <f>SUM(E63:H63)</f>
        <v>-20</v>
      </c>
      <c r="L63" s="79"/>
      <c r="M63" s="143">
        <f>I63+L63</f>
        <v>-20</v>
      </c>
      <c r="N63" s="79"/>
      <c r="O63" s="79"/>
      <c r="P63" s="79"/>
      <c r="Q63" s="79"/>
      <c r="R63" s="79"/>
      <c r="S63" s="143">
        <f>SUM(M63:P63)</f>
        <v>-20</v>
      </c>
    </row>
    <row r="64" spans="1:19">
      <c r="E64" s="138"/>
      <c r="F64" s="333"/>
      <c r="G64" s="138"/>
      <c r="H64" s="78"/>
      <c r="I64" s="138"/>
      <c r="L64" s="78"/>
      <c r="M64" s="138"/>
      <c r="N64" s="78"/>
      <c r="O64" s="78"/>
      <c r="P64" s="78"/>
      <c r="Q64" s="78"/>
      <c r="R64" s="78"/>
      <c r="S64" s="138"/>
    </row>
    <row r="65" spans="1:22" s="23" customFormat="1" ht="12.75" thickBot="1">
      <c r="A65" s="22">
        <v>31</v>
      </c>
      <c r="B65" s="23" t="s">
        <v>32</v>
      </c>
      <c r="E65" s="80">
        <f>E48-E60-E61-E62-E63</f>
        <v>14406</v>
      </c>
      <c r="F65" s="144">
        <f>F48-F60-F61-F62-F63</f>
        <v>-742.95</v>
      </c>
      <c r="G65" s="80">
        <f>G48-G60-G61-G62-G63</f>
        <v>5243.7784464000006</v>
      </c>
      <c r="H65" s="80">
        <f>H48-H60-H61-H62-H63</f>
        <v>0</v>
      </c>
      <c r="I65" s="80">
        <f>I48-I60-I61-I62-I63</f>
        <v>18906.828446400003</v>
      </c>
      <c r="K65" s="362"/>
      <c r="L65" s="144">
        <f t="shared" ref="L65:O65" si="12">L48-L60-L61-L62-L63</f>
        <v>-3848.1734965146488</v>
      </c>
      <c r="M65" s="144">
        <f>M48-M60-M61-M62-M63</f>
        <v>15058.654949885353</v>
      </c>
      <c r="N65" s="144">
        <f t="shared" si="12"/>
        <v>0</v>
      </c>
      <c r="O65" s="144">
        <f t="shared" si="12"/>
        <v>0</v>
      </c>
      <c r="P65" s="80">
        <f>P48-P60-P61-P62-P63</f>
        <v>608.15124793256234</v>
      </c>
      <c r="Q65" s="80">
        <f>Q48-Q60-Q61-Q62-Q63</f>
        <v>-613.82385999999997</v>
      </c>
      <c r="R65" s="80">
        <f>R48-R60-R61-R62-R63</f>
        <v>-459.55</v>
      </c>
      <c r="S65" s="144">
        <f>S48-S60-S61-S62-S63</f>
        <v>14593.432337817911</v>
      </c>
    </row>
    <row r="66" spans="1:22" ht="6.75" customHeight="1" thickTop="1">
      <c r="E66" s="78"/>
      <c r="F66" s="143"/>
      <c r="G66" s="78"/>
      <c r="H66" s="78"/>
      <c r="I66" s="78"/>
      <c r="K66" s="359"/>
      <c r="L66" s="78"/>
      <c r="M66" s="78"/>
      <c r="N66" s="78"/>
      <c r="O66" s="78"/>
      <c r="P66" s="78"/>
      <c r="Q66" s="78"/>
      <c r="R66" s="78"/>
      <c r="S66" s="78"/>
    </row>
    <row r="67" spans="1:22">
      <c r="B67" s="3" t="s">
        <v>40</v>
      </c>
      <c r="E67" s="78"/>
      <c r="F67" s="143"/>
      <c r="G67" s="78"/>
      <c r="H67" s="78"/>
      <c r="I67" s="78"/>
      <c r="K67" s="359"/>
      <c r="L67" s="78"/>
      <c r="M67" s="78"/>
      <c r="N67" s="78"/>
      <c r="O67" s="78"/>
      <c r="P67" s="78"/>
      <c r="Q67" s="78"/>
      <c r="R67" s="78"/>
      <c r="S67" s="78"/>
    </row>
    <row r="68" spans="1:22">
      <c r="B68" s="3" t="s">
        <v>41</v>
      </c>
      <c r="E68" s="78"/>
      <c r="F68" s="143"/>
      <c r="G68" s="78"/>
      <c r="H68" s="78"/>
      <c r="I68" s="78"/>
      <c r="K68" s="359"/>
      <c r="L68" s="78"/>
      <c r="M68" s="78"/>
      <c r="N68" s="78"/>
      <c r="O68" s="78"/>
      <c r="P68" s="78"/>
      <c r="Q68" s="78"/>
      <c r="R68" s="78"/>
      <c r="S68" s="78"/>
    </row>
    <row r="69" spans="1:22">
      <c r="A69" s="22">
        <v>32</v>
      </c>
      <c r="B69" s="24"/>
      <c r="C69" s="24" t="s">
        <v>16</v>
      </c>
      <c r="D69" s="24"/>
      <c r="E69" s="77">
        <v>25235</v>
      </c>
      <c r="F69" s="142">
        <v>0</v>
      </c>
      <c r="G69" s="77">
        <v>0</v>
      </c>
      <c r="H69" s="77"/>
      <c r="I69" s="77">
        <f>SUM(E69:H69)</f>
        <v>25235</v>
      </c>
      <c r="J69" s="84"/>
      <c r="K69" s="510">
        <f>'Net plant'!C30</f>
        <v>0.11237223385465314</v>
      </c>
      <c r="L69" s="77">
        <f>I69*K69</f>
        <v>2835.7133213221719</v>
      </c>
      <c r="M69" s="143">
        <f>I69+L69</f>
        <v>28070.713321322171</v>
      </c>
      <c r="N69" s="77"/>
      <c r="O69" s="77"/>
      <c r="P69" s="77"/>
      <c r="Q69" s="77"/>
      <c r="R69" s="77"/>
      <c r="S69" s="77">
        <f>SUM(M69:P69)</f>
        <v>28070.713321322171</v>
      </c>
    </row>
    <row r="70" spans="1:22" ht="12.75" thickBot="1">
      <c r="A70" s="22">
        <v>33</v>
      </c>
      <c r="B70" s="24"/>
      <c r="C70" s="24" t="s">
        <v>33</v>
      </c>
      <c r="D70" s="24"/>
      <c r="E70" s="77">
        <v>337894</v>
      </c>
      <c r="F70" s="142">
        <v>0</v>
      </c>
      <c r="G70" s="77"/>
      <c r="H70" s="78"/>
      <c r="I70" s="77">
        <f>SUM(E70:H70)</f>
        <v>337894</v>
      </c>
      <c r="J70" s="84"/>
      <c r="K70" s="360">
        <f>$K$69</f>
        <v>0.11237223385465314</v>
      </c>
      <c r="L70" s="78">
        <f>I70*K70</f>
        <v>37969.903586084169</v>
      </c>
      <c r="M70" s="143">
        <f>I70+L70</f>
        <v>375863.90358608414</v>
      </c>
      <c r="N70" s="78"/>
      <c r="O70" s="78"/>
      <c r="P70" s="78"/>
      <c r="Q70" s="78"/>
      <c r="R70" s="78"/>
      <c r="S70" s="78">
        <f>SUM(M70:P70)</f>
        <v>375863.90358608414</v>
      </c>
    </row>
    <row r="71" spans="1:22" ht="12.75" thickBot="1">
      <c r="A71" s="22">
        <v>34</v>
      </c>
      <c r="B71" s="24"/>
      <c r="C71" s="24" t="s">
        <v>34</v>
      </c>
      <c r="D71" s="24"/>
      <c r="E71" s="77">
        <v>59169</v>
      </c>
      <c r="F71" s="142">
        <v>0</v>
      </c>
      <c r="G71" s="77">
        <v>0</v>
      </c>
      <c r="H71" s="79"/>
      <c r="I71" s="77">
        <f>SUM(E71:H71)</f>
        <v>59169</v>
      </c>
      <c r="J71" s="84"/>
      <c r="K71" s="360">
        <f>$K$69</f>
        <v>0.11237223385465314</v>
      </c>
      <c r="L71" s="79">
        <f>I71*K71</f>
        <v>6648.9527049459721</v>
      </c>
      <c r="M71" s="143">
        <f>I71+L71</f>
        <v>65817.952704945972</v>
      </c>
      <c r="N71" s="79"/>
      <c r="O71" s="79"/>
      <c r="P71" s="79"/>
      <c r="Q71" s="417">
        <v>13239</v>
      </c>
      <c r="R71" s="396"/>
      <c r="S71" s="78">
        <f>SUM(M71:Q71)</f>
        <v>79056.952704945972</v>
      </c>
    </row>
    <row r="72" spans="1:22">
      <c r="A72" s="22">
        <v>35</v>
      </c>
      <c r="B72" s="24" t="s">
        <v>35</v>
      </c>
      <c r="C72" s="24"/>
      <c r="E72" s="140">
        <f t="shared" ref="E72:J72" si="13">SUM(E69:E71)</f>
        <v>422298</v>
      </c>
      <c r="F72" s="331">
        <f t="shared" si="13"/>
        <v>0</v>
      </c>
      <c r="G72" s="140">
        <f t="shared" si="13"/>
        <v>0</v>
      </c>
      <c r="H72" s="140">
        <f t="shared" si="13"/>
        <v>0</v>
      </c>
      <c r="I72" s="140">
        <f t="shared" si="13"/>
        <v>422298</v>
      </c>
      <c r="J72" s="140">
        <f t="shared" si="13"/>
        <v>0</v>
      </c>
      <c r="K72" s="359"/>
      <c r="L72" s="78">
        <f>SUM(L69:L71)</f>
        <v>47454.569612352316</v>
      </c>
      <c r="M72" s="138">
        <f>SUM(M69:M71)</f>
        <v>469752.56961235229</v>
      </c>
      <c r="N72" s="78"/>
      <c r="O72" s="78"/>
      <c r="P72" s="78"/>
      <c r="Q72" s="78">
        <f>SUM(Q69:Q71)</f>
        <v>13239</v>
      </c>
      <c r="R72" s="78"/>
      <c r="S72" s="138">
        <f>SUM(S69:S71)</f>
        <v>482991.56961235229</v>
      </c>
    </row>
    <row r="73" spans="1:22">
      <c r="B73" s="24"/>
      <c r="C73" s="24"/>
      <c r="E73" s="78"/>
      <c r="F73" s="143"/>
      <c r="G73" s="78"/>
      <c r="H73" s="78"/>
      <c r="I73" s="78"/>
      <c r="K73" s="359"/>
      <c r="L73" s="78"/>
      <c r="M73" s="78"/>
      <c r="N73" s="78"/>
      <c r="O73" s="78"/>
      <c r="P73" s="78"/>
      <c r="Q73" s="78"/>
      <c r="R73" s="78"/>
      <c r="S73" s="78"/>
    </row>
    <row r="74" spans="1:22">
      <c r="B74" s="24" t="s">
        <v>535</v>
      </c>
      <c r="C74" s="24"/>
      <c r="D74" s="24"/>
      <c r="E74" s="78"/>
      <c r="F74" s="143"/>
      <c r="G74" s="78"/>
      <c r="H74" s="78"/>
      <c r="I74" s="78"/>
      <c r="K74" s="359"/>
      <c r="L74" s="78"/>
      <c r="M74" s="78"/>
      <c r="N74" s="78"/>
      <c r="O74" s="78"/>
      <c r="P74" s="78"/>
      <c r="Q74" s="78"/>
      <c r="R74" s="78"/>
      <c r="S74" s="78"/>
    </row>
    <row r="75" spans="1:22">
      <c r="A75" s="22">
        <v>36</v>
      </c>
      <c r="B75" s="24"/>
      <c r="C75" s="24" t="s">
        <v>16</v>
      </c>
      <c r="D75" s="24"/>
      <c r="E75" s="77">
        <v>-9521</v>
      </c>
      <c r="F75" s="142">
        <v>0</v>
      </c>
      <c r="G75" s="77">
        <v>0</v>
      </c>
      <c r="H75" s="78"/>
      <c r="I75" s="77">
        <f>SUM(E75:H75)</f>
        <v>-9521</v>
      </c>
      <c r="J75" s="84"/>
      <c r="K75" s="360">
        <f>$K$69</f>
        <v>0.11237223385465314</v>
      </c>
      <c r="L75" s="78">
        <f>I75*K75</f>
        <v>-1069.8960385301525</v>
      </c>
      <c r="M75" s="143">
        <f>I75+L75</f>
        <v>-10590.896038530153</v>
      </c>
      <c r="N75" s="78"/>
      <c r="O75" s="78"/>
      <c r="P75" s="78"/>
      <c r="Q75" s="78"/>
      <c r="R75" s="78"/>
      <c r="S75" s="78">
        <f>SUM(M75:P75)</f>
        <v>-10590.896038530153</v>
      </c>
    </row>
    <row r="76" spans="1:22" ht="12.75" thickBot="1">
      <c r="A76" s="22">
        <v>37</v>
      </c>
      <c r="B76" s="24"/>
      <c r="C76" s="24" t="s">
        <v>33</v>
      </c>
      <c r="D76" s="24"/>
      <c r="E76" s="77">
        <v>-114795</v>
      </c>
      <c r="F76" s="142">
        <v>0</v>
      </c>
      <c r="G76" s="77"/>
      <c r="H76" s="78"/>
      <c r="I76" s="77">
        <f>SUM(E76:H76)</f>
        <v>-114795</v>
      </c>
      <c r="J76" s="84"/>
      <c r="K76" s="360">
        <f>$K$69</f>
        <v>0.11237223385465314</v>
      </c>
      <c r="L76" s="78">
        <f>I76*K76</f>
        <v>-12899.770585344908</v>
      </c>
      <c r="M76" s="143">
        <f>I76+L76</f>
        <v>-127694.7705853449</v>
      </c>
      <c r="N76" s="78"/>
      <c r="O76" s="78"/>
      <c r="P76" s="78"/>
      <c r="Q76" s="78"/>
      <c r="R76" s="78"/>
      <c r="S76" s="78">
        <f>SUM(M76:P76)</f>
        <v>-127694.7705853449</v>
      </c>
    </row>
    <row r="77" spans="1:22" ht="12.75" thickBot="1">
      <c r="A77" s="22">
        <v>38</v>
      </c>
      <c r="B77" s="24"/>
      <c r="C77" s="24" t="s">
        <v>34</v>
      </c>
      <c r="D77" s="24"/>
      <c r="E77" s="77">
        <v>-17429</v>
      </c>
      <c r="F77" s="142">
        <v>0</v>
      </c>
      <c r="G77" s="77">
        <v>0</v>
      </c>
      <c r="H77" s="78"/>
      <c r="I77" s="77">
        <f>SUM(E77:H77)</f>
        <v>-17429</v>
      </c>
      <c r="J77" s="84"/>
      <c r="K77" s="360">
        <f>$K$69</f>
        <v>0.11237223385465314</v>
      </c>
      <c r="L77" s="78">
        <f>I77*K77</f>
        <v>-1958.5356638527496</v>
      </c>
      <c r="M77" s="143">
        <f>I77+L77</f>
        <v>-19387.535663852748</v>
      </c>
      <c r="N77" s="78"/>
      <c r="O77" s="78"/>
      <c r="P77" s="78"/>
      <c r="Q77" s="417">
        <v>-559</v>
      </c>
      <c r="R77" s="78"/>
      <c r="S77" s="78">
        <f>SUM(M77:Q77)</f>
        <v>-19946.535663852748</v>
      </c>
    </row>
    <row r="78" spans="1:22">
      <c r="A78" s="22">
        <v>39</v>
      </c>
      <c r="B78" s="24" t="s">
        <v>534</v>
      </c>
      <c r="C78" s="24"/>
      <c r="E78" s="139">
        <f>SUM(E75:E77)</f>
        <v>-141745</v>
      </c>
      <c r="F78" s="334">
        <f>SUM(F75:F77)</f>
        <v>0</v>
      </c>
      <c r="G78" s="139">
        <f>SUM(G75:G77)</f>
        <v>0</v>
      </c>
      <c r="H78" s="139">
        <f>SUM(H75:H77)</f>
        <v>0</v>
      </c>
      <c r="I78" s="139">
        <f>SUM(I75:I77)</f>
        <v>-141745</v>
      </c>
      <c r="K78" s="359"/>
      <c r="L78" s="81">
        <f>SUM(L75:L77)</f>
        <v>-15928.20228772781</v>
      </c>
      <c r="M78" s="81">
        <f>SUM(M75:M77)</f>
        <v>-157673.20228772782</v>
      </c>
      <c r="N78" s="81">
        <f>SUM(N75:N77)</f>
        <v>0</v>
      </c>
      <c r="O78" s="81"/>
      <c r="P78" s="81"/>
      <c r="Q78" s="81">
        <f>SUM(Q75:Q77)</f>
        <v>-559</v>
      </c>
      <c r="R78" s="81"/>
      <c r="S78" s="81">
        <f>SUM(S75:S77)</f>
        <v>-158232.20228772782</v>
      </c>
    </row>
    <row r="79" spans="1:22" ht="12.75" thickBot="1">
      <c r="A79" s="22">
        <v>40</v>
      </c>
      <c r="B79" s="24" t="s">
        <v>44</v>
      </c>
      <c r="C79" s="24"/>
      <c r="D79" s="24"/>
      <c r="E79" s="77">
        <f>E72+E78</f>
        <v>280553</v>
      </c>
      <c r="F79" s="142">
        <f>F72+F78</f>
        <v>0</v>
      </c>
      <c r="G79" s="77">
        <f>G72+G78</f>
        <v>0</v>
      </c>
      <c r="H79" s="77">
        <f>H72+H78</f>
        <v>0</v>
      </c>
      <c r="I79" s="77">
        <f>I72+I78</f>
        <v>280553</v>
      </c>
      <c r="K79" s="359"/>
      <c r="L79" s="77">
        <f>L72+L78</f>
        <v>31526.367324624505</v>
      </c>
      <c r="M79" s="77">
        <f>M72+M78</f>
        <v>312079.36732462444</v>
      </c>
      <c r="N79" s="82">
        <f>N72-N78</f>
        <v>0</v>
      </c>
      <c r="O79" s="82"/>
      <c r="P79" s="82"/>
      <c r="Q79" s="77">
        <f>Q72+Q78</f>
        <v>12680</v>
      </c>
      <c r="R79" s="82"/>
      <c r="S79" s="82">
        <f>S72+S78</f>
        <v>324759.36732462444</v>
      </c>
    </row>
    <row r="80" spans="1:22" s="27" customFormat="1" ht="12.75" thickBot="1">
      <c r="A80" s="25">
        <v>41</v>
      </c>
      <c r="B80" s="26" t="s">
        <v>42</v>
      </c>
      <c r="C80" s="26"/>
      <c r="D80" s="26"/>
      <c r="E80" s="77">
        <v>-54652</v>
      </c>
      <c r="F80" s="142">
        <v>0</v>
      </c>
      <c r="G80" s="77"/>
      <c r="H80" s="79"/>
      <c r="I80" s="77">
        <f>SUM(E80:H80)</f>
        <v>-54652</v>
      </c>
      <c r="J80" s="84"/>
      <c r="K80" s="360">
        <f>$K$69</f>
        <v>0.11237223385465314</v>
      </c>
      <c r="L80" s="79">
        <f>I80*K80</f>
        <v>-6141.3673246245035</v>
      </c>
      <c r="M80" s="143">
        <f>I80+L80</f>
        <v>-60793.367324624502</v>
      </c>
      <c r="N80" s="79"/>
      <c r="O80" s="79"/>
      <c r="P80" s="79"/>
      <c r="Q80" s="417">
        <v>-577</v>
      </c>
      <c r="R80" s="79"/>
      <c r="S80" s="78">
        <f>SUM(M80:Q80)</f>
        <v>-61370.367324624502</v>
      </c>
      <c r="T80" s="76"/>
      <c r="U80" s="3"/>
      <c r="V80" s="3"/>
    </row>
    <row r="81" spans="1:22" s="27" customFormat="1">
      <c r="A81" s="25">
        <v>42</v>
      </c>
      <c r="B81" s="26" t="s">
        <v>50</v>
      </c>
      <c r="C81" s="26"/>
      <c r="D81" s="26"/>
      <c r="E81" s="140">
        <f>E79+E80</f>
        <v>225901</v>
      </c>
      <c r="F81" s="331">
        <f>F79+F80</f>
        <v>0</v>
      </c>
      <c r="G81" s="140">
        <f>G79+G80</f>
        <v>0</v>
      </c>
      <c r="H81" s="140">
        <f>H79+H80</f>
        <v>0</v>
      </c>
      <c r="I81" s="140">
        <f>I79+I80</f>
        <v>225901</v>
      </c>
      <c r="K81" s="363"/>
      <c r="L81" s="82">
        <f>L79+L80</f>
        <v>25385</v>
      </c>
      <c r="M81" s="138">
        <f>M79+M80</f>
        <v>251285.99999999994</v>
      </c>
      <c r="N81" s="82"/>
      <c r="O81" s="82"/>
      <c r="P81" s="82"/>
      <c r="Q81" s="138">
        <f>Q79+Q80</f>
        <v>12103</v>
      </c>
      <c r="R81" s="82"/>
      <c r="S81" s="138">
        <f>S79+S80</f>
        <v>263388.99999999994</v>
      </c>
      <c r="T81" s="329"/>
      <c r="U81" s="328"/>
      <c r="V81" s="3"/>
    </row>
    <row r="82" spans="1:22">
      <c r="A82" s="22">
        <v>43</v>
      </c>
      <c r="B82" s="24" t="s">
        <v>36</v>
      </c>
      <c r="C82" s="24"/>
      <c r="D82" s="24"/>
      <c r="E82" s="77">
        <v>14762</v>
      </c>
      <c r="F82" s="142">
        <v>0</v>
      </c>
      <c r="G82" s="77">
        <v>0</v>
      </c>
      <c r="H82" s="78"/>
      <c r="I82" s="77">
        <f>SUM(E82:H82)</f>
        <v>14762</v>
      </c>
      <c r="J82" s="84"/>
      <c r="K82" s="360">
        <v>0</v>
      </c>
      <c r="L82" s="78">
        <f>I82*K82</f>
        <v>0</v>
      </c>
      <c r="M82" s="143">
        <f>I82+L82</f>
        <v>14762</v>
      </c>
      <c r="N82" s="78"/>
      <c r="O82" s="78"/>
      <c r="P82" s="78"/>
      <c r="Q82" s="78"/>
      <c r="R82" s="78"/>
      <c r="S82" s="78">
        <f>SUM(M82:P82)</f>
        <v>14762</v>
      </c>
      <c r="U82" s="123"/>
    </row>
    <row r="83" spans="1:22" s="27" customFormat="1">
      <c r="A83" s="25">
        <v>44</v>
      </c>
      <c r="B83" s="26" t="s">
        <v>37</v>
      </c>
      <c r="C83" s="26"/>
      <c r="D83" s="26"/>
      <c r="E83" s="77">
        <v>0</v>
      </c>
      <c r="F83" s="142">
        <v>0</v>
      </c>
      <c r="G83" s="77">
        <v>0</v>
      </c>
      <c r="H83" s="82"/>
      <c r="I83" s="77">
        <f>SUM(E83:H83)</f>
        <v>0</v>
      </c>
      <c r="J83" s="84"/>
      <c r="K83" s="84">
        <v>0</v>
      </c>
      <c r="L83" s="82">
        <f>I83*K83</f>
        <v>0</v>
      </c>
      <c r="M83" s="143">
        <f>I83+L83</f>
        <v>0</v>
      </c>
      <c r="N83" s="82"/>
      <c r="O83" s="82"/>
      <c r="P83" s="82"/>
      <c r="Q83" s="82"/>
      <c r="R83" s="82"/>
      <c r="S83" s="78">
        <f>SUM(M83:P83)</f>
        <v>0</v>
      </c>
      <c r="U83" s="37"/>
      <c r="V83" s="3"/>
    </row>
    <row r="84" spans="1:22" s="27" customFormat="1">
      <c r="A84" s="25">
        <v>45</v>
      </c>
      <c r="B84" s="26" t="s">
        <v>54</v>
      </c>
      <c r="C84" s="26"/>
      <c r="D84" s="26"/>
      <c r="E84" s="77">
        <v>-479</v>
      </c>
      <c r="F84" s="142">
        <v>0</v>
      </c>
      <c r="G84" s="77">
        <v>0</v>
      </c>
      <c r="H84" s="82"/>
      <c r="I84" s="77">
        <f>SUM(E84:H84)</f>
        <v>-479</v>
      </c>
      <c r="J84" s="84"/>
      <c r="K84" s="84">
        <v>0</v>
      </c>
      <c r="L84" s="82">
        <f>I84*K84</f>
        <v>0</v>
      </c>
      <c r="M84" s="143">
        <f>I84+L84</f>
        <v>-479</v>
      </c>
      <c r="N84" s="82"/>
      <c r="O84" s="82"/>
      <c r="P84" s="82"/>
      <c r="Q84" s="82"/>
      <c r="R84" s="82"/>
      <c r="S84" s="78">
        <f>SUM(M84:P84)</f>
        <v>-479</v>
      </c>
      <c r="T84" s="37"/>
      <c r="V84" s="3"/>
    </row>
    <row r="85" spans="1:22" ht="12.75" thickBot="1">
      <c r="A85" s="22">
        <v>46</v>
      </c>
      <c r="B85" s="24" t="s">
        <v>45</v>
      </c>
      <c r="C85" s="24"/>
      <c r="D85" s="24"/>
      <c r="E85" s="77">
        <v>10073</v>
      </c>
      <c r="F85" s="142">
        <v>0</v>
      </c>
      <c r="G85" s="77">
        <v>0</v>
      </c>
      <c r="H85" s="79"/>
      <c r="I85" s="77">
        <f>SUM(E85:H85)</f>
        <v>10073</v>
      </c>
      <c r="J85" s="84"/>
      <c r="K85" s="84">
        <v>0</v>
      </c>
      <c r="L85" s="79">
        <f>I85*K85</f>
        <v>0</v>
      </c>
      <c r="M85" s="143">
        <f>I85+L85</f>
        <v>10073</v>
      </c>
      <c r="N85" s="79"/>
      <c r="O85" s="79"/>
      <c r="P85" s="79"/>
      <c r="Q85" s="79"/>
      <c r="R85" s="79"/>
      <c r="S85" s="78">
        <f>SUM(M85:P85)</f>
        <v>10073</v>
      </c>
      <c r="T85" s="37"/>
      <c r="U85" s="37"/>
    </row>
    <row r="86" spans="1:22" s="37" customFormat="1" ht="12.75" thickBot="1">
      <c r="A86" s="5">
        <v>47</v>
      </c>
      <c r="B86" s="37" t="s">
        <v>38</v>
      </c>
      <c r="E86" s="141">
        <f>SUM(E81:E85)</f>
        <v>250257</v>
      </c>
      <c r="F86" s="335">
        <f>SUM(F81:F85)</f>
        <v>0</v>
      </c>
      <c r="G86" s="141">
        <f>SUM(G81:G85)</f>
        <v>0</v>
      </c>
      <c r="H86" s="141">
        <f>SUM(H81:H85)</f>
        <v>0</v>
      </c>
      <c r="I86" s="141">
        <f>SUM(I81:I85)</f>
        <v>250257</v>
      </c>
      <c r="L86" s="80">
        <f>SUM(L81:L85)</f>
        <v>25385</v>
      </c>
      <c r="M86" s="141">
        <f>SUM(M81:M85)</f>
        <v>275641.99999999994</v>
      </c>
      <c r="N86" s="80"/>
      <c r="O86" s="80"/>
      <c r="P86" s="80"/>
      <c r="Q86" s="141">
        <f>SUM(Q81:Q85)</f>
        <v>12103</v>
      </c>
      <c r="R86" s="80"/>
      <c r="S86" s="511">
        <f>SUM(S81:S85)</f>
        <v>287744.99999999994</v>
      </c>
      <c r="T86" s="28"/>
      <c r="U86" s="338"/>
    </row>
    <row r="87" spans="1:22" s="37" customFormat="1" ht="15" thickTop="1" thickBot="1">
      <c r="A87" s="5"/>
      <c r="D87" s="24" t="s">
        <v>571</v>
      </c>
      <c r="E87" s="146"/>
      <c r="F87" s="148"/>
      <c r="G87" s="146"/>
      <c r="H87" s="146"/>
      <c r="I87" s="146"/>
      <c r="L87" s="146"/>
      <c r="M87" s="146"/>
      <c r="N87" s="146"/>
      <c r="O87" s="146"/>
      <c r="P87" s="146"/>
      <c r="Q87" s="146"/>
      <c r="R87" s="146"/>
      <c r="S87" s="512" t="s">
        <v>590</v>
      </c>
      <c r="T87" s="3"/>
      <c r="U87" s="343"/>
      <c r="V87" s="344"/>
    </row>
    <row r="88" spans="1:22" s="37" customFormat="1" ht="12.75" thickBot="1">
      <c r="A88" s="22">
        <v>48</v>
      </c>
      <c r="B88" s="23" t="s">
        <v>166</v>
      </c>
      <c r="C88" s="23"/>
      <c r="D88" s="23"/>
      <c r="E88" s="149">
        <f>E65/E86</f>
        <v>5.7564823361584291E-2</v>
      </c>
      <c r="F88" s="148"/>
      <c r="G88" s="146"/>
      <c r="H88" s="146"/>
      <c r="L88" s="146"/>
      <c r="M88" s="146"/>
      <c r="N88" s="146"/>
      <c r="O88" s="146"/>
      <c r="P88" s="146"/>
      <c r="Q88" s="146"/>
      <c r="R88" s="146"/>
      <c r="S88" s="513" t="s">
        <v>591</v>
      </c>
      <c r="T88" s="3"/>
      <c r="U88" s="27"/>
      <c r="V88" s="344"/>
    </row>
    <row r="89" spans="1:22" s="28" customFormat="1">
      <c r="A89" s="30"/>
      <c r="D89" s="31"/>
      <c r="E89" s="83"/>
      <c r="I89" s="83"/>
      <c r="L89" s="83"/>
      <c r="M89" s="83"/>
      <c r="N89" s="83"/>
      <c r="O89" s="83"/>
      <c r="P89" s="83"/>
      <c r="Q89" s="83"/>
      <c r="R89" s="83"/>
      <c r="T89" s="3"/>
      <c r="U89" s="27"/>
      <c r="V89" s="337"/>
    </row>
    <row r="90" spans="1:22">
      <c r="B90" s="89" t="s">
        <v>124</v>
      </c>
      <c r="C90" s="90"/>
      <c r="D90" s="90"/>
      <c r="E90" s="91"/>
      <c r="F90" s="336"/>
      <c r="G90" s="90"/>
      <c r="H90" s="90"/>
      <c r="I90" s="90"/>
      <c r="J90" s="90"/>
      <c r="K90" s="90"/>
      <c r="L90" s="90"/>
      <c r="M90" s="90"/>
      <c r="N90" s="90"/>
      <c r="O90" s="90"/>
      <c r="P90" s="90"/>
      <c r="Q90" s="90"/>
      <c r="R90" s="90"/>
      <c r="S90" s="484"/>
      <c r="T90" s="218"/>
      <c r="U90" s="27"/>
      <c r="V90" s="27"/>
    </row>
    <row r="91" spans="1:22" ht="12" customHeight="1">
      <c r="A91" s="22">
        <v>49</v>
      </c>
      <c r="B91" s="92" t="s">
        <v>125</v>
      </c>
      <c r="C91" s="27"/>
      <c r="D91" s="27"/>
      <c r="E91" s="135">
        <f>ROR!F15</f>
        <v>7.2900000000000006E-2</v>
      </c>
      <c r="F91" s="546" t="s">
        <v>567</v>
      </c>
      <c r="G91" s="546"/>
      <c r="H91" s="546"/>
      <c r="I91" s="546"/>
      <c r="J91" s="546"/>
      <c r="K91" s="546"/>
      <c r="L91" s="546"/>
      <c r="M91" s="546"/>
      <c r="N91" s="546"/>
      <c r="O91" s="546"/>
      <c r="P91" s="546"/>
      <c r="Q91" s="546"/>
      <c r="R91" s="546"/>
      <c r="S91" s="485">
        <f>E91</f>
        <v>7.2900000000000006E-2</v>
      </c>
      <c r="U91" s="27"/>
      <c r="V91" s="27"/>
    </row>
    <row r="92" spans="1:22">
      <c r="A92" s="22">
        <v>50</v>
      </c>
      <c r="B92" s="92" t="s">
        <v>126</v>
      </c>
      <c r="C92" s="27"/>
      <c r="D92" s="27"/>
      <c r="E92" s="146">
        <f>E86*E91</f>
        <v>18243.7353</v>
      </c>
      <c r="F92" s="546"/>
      <c r="G92" s="546"/>
      <c r="H92" s="546"/>
      <c r="I92" s="546"/>
      <c r="J92" s="546"/>
      <c r="K92" s="546"/>
      <c r="L92" s="546"/>
      <c r="M92" s="546"/>
      <c r="N92" s="546"/>
      <c r="O92" s="546"/>
      <c r="P92" s="546"/>
      <c r="Q92" s="546"/>
      <c r="R92" s="546"/>
      <c r="S92" s="486">
        <f>S86*S91</f>
        <v>20976.610499999999</v>
      </c>
      <c r="T92" s="329"/>
      <c r="U92" s="340"/>
      <c r="V92" s="149"/>
    </row>
    <row r="93" spans="1:22">
      <c r="A93" s="22">
        <v>51</v>
      </c>
      <c r="B93" s="92" t="s">
        <v>127</v>
      </c>
      <c r="C93" s="27"/>
      <c r="D93" s="27"/>
      <c r="E93" s="147">
        <f>E65</f>
        <v>14406</v>
      </c>
      <c r="F93" s="546"/>
      <c r="G93" s="546"/>
      <c r="H93" s="546"/>
      <c r="I93" s="546"/>
      <c r="J93" s="546"/>
      <c r="K93" s="546"/>
      <c r="L93" s="546"/>
      <c r="M93" s="546"/>
      <c r="N93" s="546"/>
      <c r="O93" s="546"/>
      <c r="P93" s="546"/>
      <c r="Q93" s="546"/>
      <c r="R93" s="546"/>
      <c r="S93" s="487">
        <f>S65</f>
        <v>14593.432337817911</v>
      </c>
      <c r="U93" s="27"/>
      <c r="V93" s="27"/>
    </row>
    <row r="94" spans="1:22">
      <c r="A94" s="22">
        <v>52</v>
      </c>
      <c r="B94" s="92" t="s">
        <v>128</v>
      </c>
      <c r="C94" s="27"/>
      <c r="D94" s="27"/>
      <c r="E94" s="148">
        <f>E92-E93</f>
        <v>3837.7353000000003</v>
      </c>
      <c r="F94" s="546"/>
      <c r="G94" s="546"/>
      <c r="H94" s="546"/>
      <c r="I94" s="546"/>
      <c r="J94" s="546"/>
      <c r="K94" s="546"/>
      <c r="L94" s="546"/>
      <c r="M94" s="546"/>
      <c r="N94" s="546"/>
      <c r="O94" s="546"/>
      <c r="P94" s="546"/>
      <c r="Q94" s="546"/>
      <c r="R94" s="546"/>
      <c r="S94" s="488">
        <f>S92-S93</f>
        <v>6383.1781621820883</v>
      </c>
      <c r="U94" s="149"/>
      <c r="V94" s="27"/>
    </row>
    <row r="95" spans="1:22">
      <c r="A95" s="22">
        <v>53</v>
      </c>
      <c r="B95" s="92" t="s">
        <v>129</v>
      </c>
      <c r="C95" s="27"/>
      <c r="D95" s="27"/>
      <c r="E95" s="73">
        <f>ROR!F39</f>
        <v>0.62031999999999998</v>
      </c>
      <c r="F95" s="546"/>
      <c r="G95" s="546"/>
      <c r="H95" s="546"/>
      <c r="I95" s="546"/>
      <c r="J95" s="546"/>
      <c r="K95" s="546"/>
      <c r="L95" s="546"/>
      <c r="M95" s="546"/>
      <c r="N95" s="546"/>
      <c r="O95" s="546"/>
      <c r="P95" s="546"/>
      <c r="Q95" s="546"/>
      <c r="R95" s="546"/>
      <c r="S95" s="489">
        <f>E95</f>
        <v>0.62031999999999998</v>
      </c>
      <c r="T95" s="76"/>
      <c r="U95" s="27"/>
      <c r="V95" s="27"/>
    </row>
    <row r="96" spans="1:22">
      <c r="A96" s="22">
        <v>54</v>
      </c>
      <c r="B96" s="92" t="s">
        <v>130</v>
      </c>
      <c r="C96" s="27"/>
      <c r="D96" s="27"/>
      <c r="E96" s="148">
        <f>E94/E95</f>
        <v>6186.7025083827712</v>
      </c>
      <c r="F96" s="546"/>
      <c r="G96" s="546"/>
      <c r="H96" s="546"/>
      <c r="I96" s="546"/>
      <c r="J96" s="546"/>
      <c r="K96" s="546"/>
      <c r="L96" s="546"/>
      <c r="M96" s="546"/>
      <c r="N96" s="546"/>
      <c r="O96" s="546"/>
      <c r="P96" s="546"/>
      <c r="Q96" s="546"/>
      <c r="R96" s="546"/>
      <c r="S96" s="488">
        <f>S94/S95</f>
        <v>10290.13760991438</v>
      </c>
      <c r="U96" s="27"/>
      <c r="V96" s="27"/>
    </row>
    <row r="97" spans="1:23">
      <c r="A97" s="22">
        <v>55</v>
      </c>
      <c r="B97" s="92" t="s">
        <v>131</v>
      </c>
      <c r="C97" s="27"/>
      <c r="D97" s="27"/>
      <c r="E97" s="93"/>
      <c r="F97" s="451"/>
      <c r="G97" s="451"/>
      <c r="H97" s="451"/>
      <c r="I97" s="451"/>
      <c r="J97" s="451"/>
      <c r="K97" s="451"/>
      <c r="L97" s="451"/>
      <c r="M97" s="451"/>
      <c r="N97" s="451"/>
      <c r="O97" s="451"/>
      <c r="P97" s="451"/>
      <c r="Q97" s="451"/>
      <c r="R97" s="451"/>
      <c r="S97" s="490">
        <f>(S12+S13)/(I12+I13-H12)</f>
        <v>1.0115657561647069</v>
      </c>
      <c r="T97" s="339"/>
      <c r="U97" s="27"/>
      <c r="V97" s="27"/>
      <c r="W97" s="27"/>
    </row>
    <row r="98" spans="1:23">
      <c r="A98" s="22">
        <v>56</v>
      </c>
      <c r="B98" s="94" t="s">
        <v>132</v>
      </c>
      <c r="C98" s="73"/>
      <c r="D98" s="73"/>
      <c r="E98" s="62"/>
      <c r="F98" s="452"/>
      <c r="G98" s="452"/>
      <c r="H98" s="452"/>
      <c r="I98" s="452"/>
      <c r="J98" s="452"/>
      <c r="K98" s="452"/>
      <c r="L98" s="452"/>
      <c r="M98" s="452"/>
      <c r="N98" s="452"/>
      <c r="O98" s="452"/>
      <c r="P98" s="452"/>
      <c r="Q98" s="452"/>
      <c r="R98" s="452"/>
      <c r="S98" s="491">
        <f>S96/S97+1</f>
        <v>10173.48512734243</v>
      </c>
      <c r="T98" s="27"/>
      <c r="U98" s="27"/>
      <c r="V98" s="27"/>
      <c r="W98" s="27"/>
    </row>
    <row r="99" spans="1:23">
      <c r="T99" s="340"/>
      <c r="U99" s="340"/>
      <c r="V99" s="149"/>
      <c r="W99" s="27"/>
    </row>
    <row r="100" spans="1:23" ht="27" customHeight="1">
      <c r="A100" s="568" t="s">
        <v>536</v>
      </c>
      <c r="B100" s="568"/>
      <c r="C100" s="568"/>
      <c r="D100" s="568"/>
      <c r="E100" s="568"/>
      <c r="F100" s="568"/>
      <c r="G100" s="568"/>
      <c r="H100" s="568"/>
      <c r="I100" s="568"/>
      <c r="J100" s="568"/>
      <c r="K100" s="568"/>
      <c r="L100" s="568"/>
      <c r="M100" s="568"/>
      <c r="N100" s="568"/>
      <c r="O100" s="568"/>
      <c r="P100" s="568"/>
      <c r="Q100" s="568"/>
      <c r="R100" s="568"/>
      <c r="S100" s="568"/>
      <c r="T100" s="27"/>
      <c r="U100" s="27"/>
      <c r="V100" s="27"/>
      <c r="W100" s="27"/>
    </row>
    <row r="101" spans="1:23">
      <c r="T101" s="27"/>
      <c r="U101" s="149"/>
      <c r="V101" s="27"/>
      <c r="W101" s="27"/>
    </row>
    <row r="102" spans="1:23" ht="12.75">
      <c r="I102"/>
      <c r="J102"/>
      <c r="K102"/>
      <c r="L102"/>
      <c r="M102"/>
      <c r="T102" s="27"/>
      <c r="U102" s="27"/>
      <c r="V102" s="27"/>
      <c r="W102" s="27"/>
    </row>
    <row r="103" spans="1:23" ht="12.75">
      <c r="I103"/>
      <c r="J103"/>
      <c r="K103"/>
      <c r="L103"/>
      <c r="M103"/>
      <c r="T103" s="27"/>
      <c r="U103" s="27"/>
      <c r="V103" s="27"/>
      <c r="W103" s="27"/>
    </row>
    <row r="104" spans="1:23" ht="12.75">
      <c r="I104"/>
      <c r="J104"/>
      <c r="K104"/>
      <c r="L104"/>
      <c r="M104"/>
    </row>
    <row r="105" spans="1:23" ht="12.75">
      <c r="I105"/>
      <c r="J105"/>
      <c r="K105"/>
      <c r="L105"/>
      <c r="M105"/>
    </row>
    <row r="106" spans="1:23" ht="12.75">
      <c r="I106"/>
      <c r="J106"/>
      <c r="K106"/>
      <c r="L106"/>
      <c r="M106"/>
    </row>
    <row r="107" spans="1:23" ht="12.75">
      <c r="I107"/>
      <c r="J107"/>
      <c r="K107"/>
      <c r="L107"/>
      <c r="M107"/>
    </row>
    <row r="108" spans="1:23" ht="12.75">
      <c r="I108"/>
      <c r="J108"/>
      <c r="K108"/>
      <c r="L108"/>
      <c r="M108"/>
    </row>
    <row r="109" spans="1:23" ht="12.75">
      <c r="I109"/>
      <c r="J109"/>
      <c r="K109"/>
      <c r="L109"/>
      <c r="M109"/>
    </row>
    <row r="193" spans="7:7">
      <c r="G193" s="4"/>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sheetData>
  <mergeCells count="37">
    <mergeCell ref="A100:S100"/>
    <mergeCell ref="A50:S50"/>
    <mergeCell ref="E53:I53"/>
    <mergeCell ref="L53:M53"/>
    <mergeCell ref="P54:P57"/>
    <mergeCell ref="E54:E57"/>
    <mergeCell ref="F54:F57"/>
    <mergeCell ref="G54:G57"/>
    <mergeCell ref="H54:H57"/>
    <mergeCell ref="I54:I57"/>
    <mergeCell ref="K54:K57"/>
    <mergeCell ref="L54:L57"/>
    <mergeCell ref="M54:M57"/>
    <mergeCell ref="O54:O57"/>
    <mergeCell ref="O53:Q53"/>
    <mergeCell ref="S54:S57"/>
    <mergeCell ref="B1:S1"/>
    <mergeCell ref="A2:S2"/>
    <mergeCell ref="E6:E9"/>
    <mergeCell ref="F6:F9"/>
    <mergeCell ref="G6:G9"/>
    <mergeCell ref="H6:H9"/>
    <mergeCell ref="I6:I9"/>
    <mergeCell ref="K6:K9"/>
    <mergeCell ref="L6:L9"/>
    <mergeCell ref="M6:M9"/>
    <mergeCell ref="O6:O9"/>
    <mergeCell ref="S6:S9"/>
    <mergeCell ref="Q6:Q9"/>
    <mergeCell ref="O5:Q5"/>
    <mergeCell ref="Q54:Q57"/>
    <mergeCell ref="F91:R96"/>
    <mergeCell ref="R6:R9"/>
    <mergeCell ref="R54:R57"/>
    <mergeCell ref="E5:I5"/>
    <mergeCell ref="L5:M5"/>
    <mergeCell ref="P6:P9"/>
  </mergeCells>
  <pageMargins left="0.25" right="0.25" top="0.75" bottom="0.75" header="0.3" footer="0.3"/>
  <pageSetup scale="56" orientation="portrait" r:id="rId1"/>
  <headerFooter scaleWithDoc="0">
    <oddHeader>&amp;RExhibit No. __(CRM-9)</oddHeader>
    <oddFooter>&amp;RPage &amp;P of &amp;N</oddFooter>
  </headerFooter>
  <rowBreaks count="1" manualBreakCount="1">
    <brk id="49" max="19"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201"/>
  <sheetViews>
    <sheetView view="pageBreakPreview" topLeftCell="A103" zoomScaleNormal="100" zoomScaleSheetLayoutView="100" workbookViewId="0">
      <selection activeCell="G42" activeCellId="2" sqref="P30 E42 G42"/>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customWidth="1"/>
    <col min="8" max="8" width="10.42578125" style="4" customWidth="1"/>
    <col min="9" max="9" width="8.28515625" style="4" customWidth="1"/>
    <col min="10" max="10" width="8.5703125" style="4" customWidth="1"/>
    <col min="11" max="11" width="8.42578125" style="4" customWidth="1"/>
    <col min="12" max="13" width="8.7109375" style="4" customWidth="1"/>
    <col min="14" max="14" width="8.28515625" style="4" customWidth="1"/>
    <col min="15" max="16" width="8.7109375" style="4" customWidth="1"/>
    <col min="17" max="17" width="8.28515625" style="4" customWidth="1"/>
    <col min="18" max="18" width="8.5703125" style="3" customWidth="1"/>
    <col min="19" max="20" width="8.7109375" style="3" customWidth="1"/>
    <col min="21" max="22" width="10.7109375" style="3" customWidth="1"/>
    <col min="23" max="16384" width="10.7109375" style="3"/>
  </cols>
  <sheetData>
    <row r="1" spans="1:20" ht="21" customHeight="1">
      <c r="A1" s="555"/>
      <c r="B1" s="555"/>
      <c r="C1" s="555"/>
      <c r="D1" s="555"/>
      <c r="E1" s="555"/>
      <c r="F1" s="555"/>
      <c r="G1" s="555"/>
      <c r="H1" s="555"/>
      <c r="I1" s="555"/>
      <c r="J1" s="555"/>
      <c r="K1" s="555"/>
      <c r="L1" s="555"/>
      <c r="M1" s="555"/>
      <c r="N1" s="555"/>
      <c r="O1" s="555"/>
      <c r="P1" s="555"/>
      <c r="Q1" s="555"/>
      <c r="R1" s="555"/>
    </row>
    <row r="2" spans="1:20" ht="28.9" customHeight="1">
      <c r="A2" s="577" t="s">
        <v>520</v>
      </c>
      <c r="B2" s="577"/>
      <c r="C2" s="577"/>
      <c r="D2" s="577"/>
      <c r="E2" s="577"/>
      <c r="F2" s="577"/>
      <c r="G2" s="577"/>
      <c r="H2" s="577"/>
      <c r="I2" s="577"/>
      <c r="J2" s="577"/>
      <c r="K2" s="577"/>
      <c r="L2" s="577"/>
      <c r="M2" s="577"/>
      <c r="N2" s="577"/>
      <c r="O2" s="577"/>
      <c r="P2" s="577"/>
      <c r="Q2" s="577"/>
      <c r="R2" s="577"/>
    </row>
    <row r="3" spans="1:20" ht="37.15" customHeight="1">
      <c r="A3" s="205" t="s">
        <v>43</v>
      </c>
      <c r="F3" s="184"/>
      <c r="G3" s="184"/>
      <c r="H3" s="184"/>
      <c r="I3" s="184"/>
      <c r="J3" s="184"/>
      <c r="K3" s="184"/>
      <c r="L3" s="184"/>
      <c r="M3" s="184"/>
      <c r="N3" s="184"/>
      <c r="O3" s="184"/>
      <c r="P3" s="184"/>
      <c r="Q3" s="184"/>
      <c r="R3" s="184"/>
    </row>
    <row r="4" spans="1:20" ht="13.5" customHeight="1">
      <c r="A4" s="205" t="s">
        <v>48</v>
      </c>
      <c r="E4" s="579" t="s">
        <v>222</v>
      </c>
      <c r="F4" s="579"/>
      <c r="G4" s="579"/>
      <c r="H4" s="579"/>
      <c r="I4" s="579"/>
      <c r="J4" s="579"/>
      <c r="K4" s="579"/>
      <c r="L4" s="579"/>
      <c r="M4" s="579"/>
      <c r="N4" s="579"/>
      <c r="O4" s="579"/>
      <c r="P4" s="579"/>
      <c r="Q4" s="579"/>
      <c r="R4" s="579"/>
    </row>
    <row r="5" spans="1:20" ht="5.25" customHeight="1">
      <c r="A5" s="202"/>
    </row>
    <row r="6" spans="1:20" s="6" customFormat="1" ht="11.45" customHeight="1">
      <c r="A6" s="205" t="s">
        <v>39</v>
      </c>
      <c r="B6" s="2"/>
      <c r="C6" s="2"/>
      <c r="D6" s="2"/>
      <c r="E6" s="2"/>
      <c r="F6" s="4"/>
      <c r="G6" s="4"/>
      <c r="H6" s="4"/>
      <c r="I6" s="4"/>
      <c r="J6" s="4"/>
      <c r="K6" s="4"/>
      <c r="L6" s="4"/>
      <c r="M6" s="4"/>
      <c r="N6" s="4"/>
      <c r="O6" s="4"/>
      <c r="P6" s="4"/>
      <c r="Q6" s="4"/>
      <c r="R6" s="3"/>
      <c r="S6" s="24"/>
      <c r="T6" s="388"/>
    </row>
    <row r="7" spans="1:20" s="6" customFormat="1" ht="8.25" customHeight="1">
      <c r="A7" s="5"/>
      <c r="F7" s="7"/>
      <c r="G7" s="7"/>
      <c r="H7" s="7"/>
      <c r="I7" s="7"/>
      <c r="J7" s="7"/>
      <c r="K7" s="7"/>
      <c r="L7" s="7"/>
      <c r="M7" s="7"/>
      <c r="N7" s="7"/>
      <c r="O7" s="7"/>
      <c r="P7" s="7"/>
      <c r="Q7" s="7"/>
    </row>
    <row r="8" spans="1:20"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row>
    <row r="9" spans="1:20">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row>
    <row r="10" spans="1:20"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row>
    <row r="11" spans="1:20">
      <c r="B11" s="3" t="s">
        <v>6</v>
      </c>
      <c r="R11" s="4"/>
      <c r="S11" s="4"/>
      <c r="T11" s="4"/>
    </row>
    <row r="12" spans="1:20">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row>
    <row r="13" spans="1:20">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row>
    <row r="14" spans="1:20"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row>
    <row r="15" spans="1:20">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 si="1">SUM(T12:T14)</f>
        <v>158838</v>
      </c>
    </row>
    <row r="16" spans="1:20">
      <c r="C16" s="24"/>
      <c r="D16" s="24"/>
      <c r="E16" s="24"/>
      <c r="F16" s="32"/>
      <c r="G16" s="32"/>
      <c r="H16" s="32"/>
      <c r="I16" s="32"/>
      <c r="J16" s="32"/>
      <c r="K16" s="32"/>
      <c r="L16" s="32"/>
      <c r="M16" s="32"/>
      <c r="N16" s="32"/>
      <c r="O16" s="32"/>
      <c r="P16" s="32"/>
      <c r="Q16" s="32"/>
      <c r="R16" s="32"/>
      <c r="S16" s="32"/>
      <c r="T16" s="32"/>
    </row>
    <row r="17" spans="1:20">
      <c r="B17" s="3" t="s">
        <v>11</v>
      </c>
      <c r="C17" s="24"/>
      <c r="D17" s="24"/>
      <c r="E17" s="24"/>
      <c r="F17" s="32"/>
      <c r="G17" s="32"/>
      <c r="H17" s="32"/>
      <c r="I17" s="32"/>
      <c r="J17" s="32"/>
      <c r="K17" s="32"/>
      <c r="L17" s="32"/>
      <c r="M17" s="32"/>
      <c r="N17" s="32"/>
      <c r="O17" s="32"/>
      <c r="P17" s="32"/>
      <c r="Q17" s="32"/>
      <c r="R17" s="32"/>
      <c r="S17" s="32"/>
      <c r="T17" s="32"/>
    </row>
    <row r="18" spans="1:20">
      <c r="B18" s="24" t="s">
        <v>51</v>
      </c>
      <c r="D18" s="24"/>
      <c r="E18" s="24"/>
      <c r="F18" s="32"/>
      <c r="G18" s="32"/>
      <c r="H18" s="32"/>
      <c r="I18" s="32"/>
      <c r="J18" s="32"/>
      <c r="K18" s="32"/>
      <c r="L18" s="32"/>
      <c r="M18" s="32"/>
      <c r="N18" s="32"/>
      <c r="O18" s="32"/>
      <c r="P18" s="32"/>
      <c r="Q18" s="32"/>
      <c r="R18" s="32"/>
      <c r="S18" s="32"/>
      <c r="T18" s="32"/>
    </row>
    <row r="19" spans="1:20">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row>
    <row r="20" spans="1:20">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row>
    <row r="21" spans="1:20"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row>
    <row r="22" spans="1:20">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 si="3">SUM(T19:T21)</f>
        <v>84966</v>
      </c>
    </row>
    <row r="23" spans="1:20">
      <c r="B23" s="24"/>
      <c r="C23" s="24"/>
      <c r="F23" s="32"/>
      <c r="G23" s="32"/>
      <c r="H23" s="32"/>
      <c r="I23" s="32"/>
      <c r="J23" s="32"/>
      <c r="K23" s="32"/>
      <c r="L23" s="32"/>
      <c r="M23" s="32"/>
      <c r="N23" s="32"/>
      <c r="O23" s="32"/>
      <c r="P23" s="32"/>
      <c r="Q23" s="32"/>
      <c r="R23" s="32"/>
      <c r="S23" s="32"/>
      <c r="T23" s="32"/>
    </row>
    <row r="24" spans="1:20">
      <c r="B24" s="24" t="s">
        <v>16</v>
      </c>
      <c r="D24" s="24"/>
      <c r="E24" s="24"/>
      <c r="F24" s="32"/>
      <c r="G24" s="32"/>
      <c r="H24" s="32"/>
      <c r="I24" s="32"/>
      <c r="J24" s="32"/>
      <c r="K24" s="32"/>
      <c r="L24" s="32"/>
      <c r="M24" s="32"/>
      <c r="N24" s="32"/>
      <c r="O24" s="32"/>
      <c r="P24" s="32"/>
      <c r="Q24" s="32"/>
      <c r="R24" s="32"/>
      <c r="S24" s="32"/>
      <c r="T24" s="32"/>
    </row>
    <row r="25" spans="1:20">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row>
    <row r="26" spans="1:20">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row>
    <row r="27" spans="1:20"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row>
    <row r="28" spans="1:20">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 si="5">SUM(T25:T27)</f>
        <v>1479</v>
      </c>
    </row>
    <row r="29" spans="1:20">
      <c r="B29" s="24"/>
      <c r="C29" s="24"/>
      <c r="F29" s="32"/>
      <c r="G29" s="32"/>
      <c r="H29" s="32"/>
      <c r="I29" s="32"/>
      <c r="J29" s="32"/>
      <c r="K29" s="32"/>
      <c r="L29" s="32"/>
      <c r="M29" s="32"/>
      <c r="N29" s="32"/>
      <c r="O29" s="32"/>
      <c r="P29" s="32"/>
      <c r="Q29" s="32"/>
      <c r="R29" s="32"/>
      <c r="S29" s="32"/>
      <c r="T29" s="32"/>
    </row>
    <row r="30" spans="1:20" ht="11.25" customHeight="1">
      <c r="B30" s="24" t="s">
        <v>19</v>
      </c>
      <c r="D30" s="24"/>
      <c r="E30" s="24"/>
      <c r="F30" s="32"/>
      <c r="G30" s="32"/>
      <c r="H30" s="32"/>
      <c r="I30" s="32"/>
      <c r="J30" s="32"/>
      <c r="K30" s="32"/>
      <c r="L30" s="32"/>
      <c r="M30" s="32"/>
      <c r="N30" s="32"/>
      <c r="O30" s="32"/>
      <c r="P30" s="32"/>
      <c r="Q30" s="32"/>
      <c r="R30" s="32"/>
      <c r="S30" s="32"/>
      <c r="T30" s="32"/>
    </row>
    <row r="31" spans="1:20">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row>
    <row r="32" spans="1:20"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row>
    <row r="33" spans="1:20"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row>
    <row r="34" spans="1:20" ht="12.95" customHeight="1">
      <c r="A34" s="22">
        <v>16</v>
      </c>
      <c r="B34" s="24" t="s">
        <v>20</v>
      </c>
      <c r="C34" s="249"/>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 si="7">SUM(T31:T33)</f>
        <v>27936</v>
      </c>
    </row>
    <row r="35" spans="1:20">
      <c r="C35" s="24"/>
      <c r="D35" s="24"/>
      <c r="E35" s="24"/>
      <c r="F35" s="32"/>
      <c r="G35" s="32"/>
      <c r="H35" s="32"/>
      <c r="I35" s="32"/>
      <c r="J35" s="32"/>
      <c r="K35" s="32"/>
      <c r="L35" s="32"/>
      <c r="M35" s="32"/>
      <c r="N35" s="32"/>
      <c r="O35" s="32"/>
      <c r="P35" s="32"/>
      <c r="Q35" s="32"/>
      <c r="R35" s="32"/>
      <c r="S35" s="32"/>
      <c r="T35" s="32"/>
    </row>
    <row r="36" spans="1:20">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row>
    <row r="37" spans="1:20"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row>
    <row r="38" spans="1:20">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row>
    <row r="39" spans="1:20">
      <c r="C39" s="24"/>
      <c r="D39" s="24"/>
      <c r="E39" s="24"/>
      <c r="F39" s="32"/>
      <c r="G39" s="32"/>
      <c r="H39" s="32"/>
      <c r="I39" s="32"/>
      <c r="J39" s="32"/>
      <c r="K39" s="32"/>
      <c r="L39" s="32"/>
      <c r="M39" s="32"/>
      <c r="N39" s="32"/>
      <c r="O39" s="32"/>
      <c r="P39" s="32"/>
      <c r="Q39" s="32"/>
      <c r="R39" s="32"/>
      <c r="S39" s="32"/>
      <c r="T39" s="32"/>
    </row>
    <row r="40" spans="1:20">
      <c r="B40" s="3" t="s">
        <v>24</v>
      </c>
      <c r="C40" s="24"/>
      <c r="D40" s="24"/>
      <c r="E40" s="24"/>
      <c r="F40" s="32"/>
      <c r="G40" s="32"/>
      <c r="H40" s="32"/>
      <c r="I40" s="32"/>
      <c r="J40" s="32"/>
      <c r="K40" s="32"/>
      <c r="L40" s="32"/>
      <c r="M40" s="32"/>
      <c r="N40" s="32"/>
      <c r="O40" s="32"/>
      <c r="P40" s="32"/>
      <c r="Q40" s="32"/>
      <c r="R40" s="32"/>
      <c r="S40" s="32"/>
      <c r="T40" s="32"/>
    </row>
    <row r="41" spans="1:20">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row>
    <row r="42" spans="1:20">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row>
    <row r="43" spans="1:20">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row>
    <row r="44" spans="1:20"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row>
    <row r="45" spans="1:20"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 si="9">SUM(T41:T44)</f>
        <v>17075</v>
      </c>
    </row>
    <row r="46" spans="1:20"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 si="11">T22+T28+T34+T36+T37+T38+T45</f>
        <v>138429</v>
      </c>
    </row>
    <row r="47" spans="1:20" ht="9" customHeight="1">
      <c r="C47" s="24"/>
      <c r="D47" s="24"/>
      <c r="E47" s="24"/>
      <c r="F47" s="32"/>
      <c r="G47" s="32"/>
      <c r="H47" s="32"/>
      <c r="I47" s="32"/>
      <c r="J47" s="32"/>
      <c r="K47" s="32"/>
      <c r="L47" s="32"/>
      <c r="M47" s="32"/>
      <c r="N47" s="32"/>
      <c r="O47" s="32"/>
      <c r="P47" s="32"/>
      <c r="Q47" s="32"/>
      <c r="R47" s="32"/>
      <c r="S47" s="32"/>
      <c r="T47" s="32"/>
    </row>
    <row r="48" spans="1:20"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 si="14">T15-T46</f>
        <v>20409</v>
      </c>
    </row>
    <row r="49" spans="1:20">
      <c r="C49" s="24"/>
      <c r="D49" s="24"/>
      <c r="E49" s="24"/>
      <c r="F49" s="32"/>
      <c r="G49" s="32"/>
      <c r="H49" s="32"/>
      <c r="I49" s="32"/>
      <c r="J49" s="32"/>
      <c r="K49" s="32"/>
      <c r="L49" s="32"/>
      <c r="M49" s="32"/>
      <c r="N49" s="32"/>
      <c r="O49" s="32"/>
      <c r="P49" s="32"/>
      <c r="Q49" s="32"/>
      <c r="R49" s="32"/>
      <c r="S49" s="32"/>
      <c r="T49" s="32"/>
    </row>
    <row r="50" spans="1:20">
      <c r="B50" s="3" t="s">
        <v>28</v>
      </c>
      <c r="C50" s="24"/>
      <c r="D50" s="24"/>
      <c r="E50" s="24"/>
      <c r="F50" s="32"/>
      <c r="G50" s="32"/>
      <c r="H50" s="32"/>
      <c r="I50" s="32"/>
      <c r="J50" s="32"/>
      <c r="K50" s="32"/>
      <c r="L50" s="32"/>
      <c r="M50" s="32"/>
      <c r="N50" s="32"/>
      <c r="O50" s="32"/>
      <c r="P50" s="32"/>
      <c r="Q50" s="32"/>
      <c r="R50" s="32"/>
      <c r="S50" s="32"/>
      <c r="T50" s="32"/>
    </row>
    <row r="51" spans="1:20">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row>
    <row r="52" spans="1:20">
      <c r="A52" s="22">
        <v>28</v>
      </c>
      <c r="B52" s="24" t="s">
        <v>46</v>
      </c>
      <c r="D52" s="24"/>
      <c r="E52" s="24"/>
      <c r="F52" s="32"/>
      <c r="G52" s="32"/>
      <c r="H52" s="32"/>
      <c r="I52" s="32"/>
      <c r="J52" s="32"/>
      <c r="K52" s="32"/>
      <c r="L52" s="32"/>
      <c r="M52" s="32"/>
      <c r="N52" s="32"/>
      <c r="O52" s="32"/>
      <c r="P52" s="32"/>
      <c r="Q52" s="32">
        <v>62.982525000000003</v>
      </c>
      <c r="R52" s="32">
        <v>3</v>
      </c>
      <c r="S52" s="32">
        <v>-56</v>
      </c>
      <c r="T52" s="32">
        <v>-137</v>
      </c>
    </row>
    <row r="53" spans="1:20">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row>
    <row r="54" spans="1:20"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row>
    <row r="55" spans="1:20" ht="12.75" customHeight="1">
      <c r="F55" s="32"/>
      <c r="G55" s="32"/>
      <c r="H55" s="32"/>
      <c r="I55" s="32"/>
      <c r="J55" s="32"/>
      <c r="K55" s="32"/>
      <c r="L55" s="32"/>
      <c r="M55" s="32"/>
      <c r="N55" s="32"/>
      <c r="O55" s="32"/>
      <c r="P55" s="32"/>
      <c r="Q55" s="32"/>
      <c r="R55" s="32"/>
      <c r="S55" s="32"/>
      <c r="T55" s="32"/>
    </row>
    <row r="56" spans="1:20"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row>
    <row r="57" spans="1:20" ht="12.75" customHeight="1" thickTop="1">
      <c r="B57" s="23"/>
      <c r="C57" s="23"/>
      <c r="D57" s="23"/>
      <c r="E57" s="23"/>
      <c r="F57" s="185"/>
      <c r="G57" s="185"/>
      <c r="H57" s="185"/>
      <c r="I57" s="185"/>
      <c r="J57" s="185"/>
      <c r="K57" s="185"/>
      <c r="L57" s="185"/>
      <c r="M57" s="185"/>
      <c r="N57" s="185"/>
      <c r="O57" s="185"/>
      <c r="P57" s="185"/>
      <c r="Q57" s="185"/>
      <c r="R57" s="185"/>
    </row>
    <row r="58" spans="1:20" ht="12.6" customHeight="1">
      <c r="B58" s="23"/>
      <c r="C58" s="23"/>
      <c r="D58" s="186" t="s">
        <v>265</v>
      </c>
      <c r="E58" s="23"/>
      <c r="F58" s="185"/>
      <c r="G58" s="185"/>
      <c r="H58" s="185"/>
      <c r="I58" s="185"/>
      <c r="J58" s="185"/>
      <c r="K58" s="185"/>
      <c r="L58" s="185"/>
      <c r="M58" s="185"/>
      <c r="N58" s="185"/>
      <c r="O58" s="185"/>
      <c r="P58" s="185"/>
      <c r="Q58" s="185"/>
      <c r="R58" s="185"/>
    </row>
    <row r="59" spans="1:20" ht="28.9" customHeight="1">
      <c r="A59" s="578"/>
      <c r="B59" s="578"/>
      <c r="C59" s="578"/>
      <c r="D59" s="578"/>
      <c r="E59" s="578"/>
      <c r="F59" s="578"/>
      <c r="G59" s="578"/>
      <c r="H59" s="578"/>
      <c r="I59" s="578"/>
      <c r="J59" s="578"/>
      <c r="K59" s="578"/>
      <c r="L59" s="578"/>
      <c r="M59" s="578"/>
      <c r="N59" s="578"/>
      <c r="O59" s="578"/>
      <c r="P59" s="578"/>
      <c r="Q59" s="578"/>
      <c r="R59" s="578"/>
    </row>
    <row r="60" spans="1:20" ht="39.75" customHeight="1">
      <c r="A60" s="202" t="s">
        <v>43</v>
      </c>
      <c r="R60" s="4"/>
    </row>
    <row r="61" spans="1:20" ht="14.25" customHeight="1">
      <c r="A61" s="202" t="s">
        <v>48</v>
      </c>
      <c r="E61" s="579" t="str">
        <f>E4</f>
        <v>Commission Basis Results of Operations</v>
      </c>
      <c r="F61" s="579"/>
      <c r="G61" s="579"/>
      <c r="H61" s="579"/>
      <c r="I61" s="579"/>
      <c r="J61" s="579"/>
      <c r="K61" s="579"/>
      <c r="L61" s="579"/>
      <c r="M61" s="579"/>
      <c r="N61" s="579"/>
      <c r="O61" s="579"/>
      <c r="P61" s="579"/>
      <c r="Q61" s="579"/>
      <c r="R61" s="579"/>
    </row>
    <row r="62" spans="1:20" ht="0.75" customHeight="1">
      <c r="A62" s="202"/>
      <c r="R62" s="4"/>
    </row>
    <row r="63" spans="1:20" s="6" customFormat="1" ht="13.9" customHeight="1">
      <c r="A63" s="202" t="s">
        <v>39</v>
      </c>
      <c r="B63" s="2"/>
      <c r="C63" s="2"/>
      <c r="D63" s="2"/>
      <c r="E63" s="2"/>
      <c r="F63" s="4"/>
      <c r="G63" s="4"/>
      <c r="H63" s="4"/>
      <c r="I63" s="4"/>
      <c r="J63" s="4"/>
      <c r="K63" s="4"/>
      <c r="L63" s="4"/>
      <c r="M63" s="4"/>
      <c r="N63" s="4"/>
      <c r="O63" s="4"/>
      <c r="P63" s="4"/>
      <c r="Q63" s="4"/>
      <c r="R63" s="4"/>
      <c r="S63" s="24"/>
      <c r="T63" s="388"/>
    </row>
    <row r="64" spans="1:20" s="6" customFormat="1" ht="5.25" customHeight="1">
      <c r="A64" s="2"/>
      <c r="B64" s="3"/>
      <c r="C64" s="3"/>
      <c r="D64" s="3"/>
      <c r="E64" s="3"/>
      <c r="F64" s="4"/>
      <c r="G64" s="4"/>
      <c r="H64" s="4"/>
      <c r="I64" s="4"/>
      <c r="J64" s="4"/>
      <c r="K64" s="4"/>
      <c r="L64" s="4"/>
      <c r="M64" s="4"/>
      <c r="N64" s="4"/>
      <c r="O64" s="4"/>
      <c r="P64" s="4"/>
      <c r="Q64" s="4"/>
      <c r="R64" s="4"/>
    </row>
    <row r="65" spans="1:20" s="6" customFormat="1" ht="6.75" customHeight="1">
      <c r="A65" s="5"/>
      <c r="F65" s="7"/>
      <c r="G65" s="7"/>
      <c r="H65" s="7"/>
      <c r="I65" s="7"/>
      <c r="J65" s="7"/>
      <c r="K65" s="7"/>
      <c r="L65" s="7"/>
      <c r="M65" s="7"/>
      <c r="N65" s="7"/>
      <c r="O65" s="7"/>
      <c r="P65" s="7"/>
      <c r="Q65" s="7"/>
      <c r="R65" s="7"/>
    </row>
    <row r="66" spans="1:20"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row>
    <row r="67" spans="1:20">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row>
    <row r="68" spans="1:20">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row>
    <row r="69" spans="1:20" ht="8.25" customHeight="1">
      <c r="F69" s="32"/>
      <c r="G69" s="32"/>
      <c r="H69" s="32"/>
      <c r="I69" s="32"/>
      <c r="J69" s="32"/>
      <c r="K69" s="32"/>
      <c r="L69" s="32"/>
      <c r="M69" s="32"/>
      <c r="N69" s="32"/>
      <c r="O69" s="32"/>
      <c r="P69" s="32"/>
      <c r="Q69" s="32"/>
      <c r="R69" s="32"/>
      <c r="S69" s="32"/>
      <c r="T69" s="32"/>
    </row>
    <row r="70" spans="1:20">
      <c r="B70" s="3" t="s">
        <v>40</v>
      </c>
      <c r="F70" s="32"/>
      <c r="G70" s="32"/>
      <c r="H70" s="32"/>
      <c r="I70" s="32"/>
      <c r="J70" s="32"/>
      <c r="K70" s="32"/>
      <c r="L70" s="32"/>
      <c r="M70" s="32"/>
      <c r="N70" s="32"/>
      <c r="O70" s="32"/>
      <c r="P70" s="32"/>
      <c r="Q70" s="32"/>
      <c r="R70" s="32"/>
      <c r="S70" s="32"/>
      <c r="T70" s="32"/>
    </row>
    <row r="71" spans="1:20">
      <c r="B71" s="3" t="s">
        <v>41</v>
      </c>
      <c r="F71" s="32"/>
      <c r="G71" s="32"/>
      <c r="H71" s="32"/>
      <c r="I71" s="32"/>
      <c r="J71" s="32"/>
      <c r="K71" s="32"/>
      <c r="L71" s="32"/>
      <c r="M71" s="32"/>
      <c r="N71" s="32"/>
      <c r="O71" s="32"/>
      <c r="P71" s="32"/>
      <c r="Q71" s="32"/>
      <c r="R71" s="32"/>
      <c r="S71" s="32"/>
      <c r="T71" s="32"/>
    </row>
    <row r="72" spans="1:20">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row>
    <row r="73" spans="1:20"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42">
        <f>'Reg Amort and Other RB'!R36-'Reg Amort and Other RB'!R66</f>
        <v>313469</v>
      </c>
      <c r="T73" s="242">
        <f>'Reg Amort and Other RB'!S36-'Reg Amort and Other RB'!S66</f>
        <v>337894</v>
      </c>
    </row>
    <row r="74" spans="1:20"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row>
    <row r="75" spans="1:20">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32">
        <f t="shared" si="18"/>
        <v>264883</v>
      </c>
      <c r="N75" s="32">
        <f t="shared" si="18"/>
        <v>280294</v>
      </c>
      <c r="O75" s="32">
        <f t="shared" si="18"/>
        <v>305521</v>
      </c>
      <c r="P75" s="32">
        <f t="shared" si="18"/>
        <v>322917</v>
      </c>
      <c r="Q75" s="32">
        <f t="shared" si="18"/>
        <v>342258</v>
      </c>
      <c r="R75" s="32">
        <f t="shared" si="18"/>
        <v>365326</v>
      </c>
      <c r="S75" s="32">
        <f t="shared" si="18"/>
        <v>390403</v>
      </c>
      <c r="T75" s="32">
        <f t="shared" ref="T75" si="19">SUM(T72:T74)</f>
        <v>422298</v>
      </c>
    </row>
    <row r="76" spans="1:20">
      <c r="B76" s="24"/>
      <c r="C76" s="24"/>
      <c r="F76" s="32"/>
      <c r="G76" s="32"/>
      <c r="H76" s="32"/>
      <c r="I76" s="32"/>
      <c r="J76" s="32"/>
      <c r="K76" s="32"/>
      <c r="L76" s="32"/>
      <c r="M76" s="32"/>
      <c r="N76" s="32"/>
      <c r="O76" s="32"/>
      <c r="P76" s="32"/>
      <c r="Q76" s="32"/>
      <c r="R76" s="32"/>
      <c r="S76" s="32"/>
      <c r="T76" s="32"/>
    </row>
    <row r="77" spans="1:20">
      <c r="B77" s="24" t="s">
        <v>49</v>
      </c>
      <c r="C77" s="24"/>
      <c r="D77" s="24"/>
      <c r="E77" s="24"/>
      <c r="F77" s="32"/>
      <c r="G77" s="32"/>
      <c r="H77" s="32"/>
      <c r="I77" s="32"/>
      <c r="J77" s="32"/>
      <c r="K77" s="32"/>
      <c r="L77" s="32"/>
      <c r="M77" s="32"/>
      <c r="N77" s="32"/>
      <c r="O77" s="32"/>
      <c r="P77" s="32"/>
      <c r="Q77" s="32"/>
      <c r="R77" s="32"/>
      <c r="S77" s="32"/>
      <c r="T77" s="32"/>
    </row>
    <row r="78" spans="1:20">
      <c r="A78" s="22">
        <v>36</v>
      </c>
      <c r="B78" s="24"/>
      <c r="C78" s="24" t="s">
        <v>16</v>
      </c>
      <c r="D78" s="24"/>
      <c r="E78" s="24"/>
      <c r="F78" s="32">
        <v>6192</v>
      </c>
      <c r="G78" s="32">
        <v>6220</v>
      </c>
      <c r="H78" s="32">
        <v>6115</v>
      </c>
      <c r="I78" s="32">
        <v>6495</v>
      </c>
      <c r="J78" s="32">
        <v>6659</v>
      </c>
      <c r="K78" s="32">
        <v>6924</v>
      </c>
      <c r="L78" s="32">
        <v>7249</v>
      </c>
      <c r="M78" s="32">
        <v>7427</v>
      </c>
      <c r="N78" s="32">
        <v>7581</v>
      </c>
      <c r="O78" s="32">
        <v>7807</v>
      </c>
      <c r="P78" s="32">
        <v>7912</v>
      </c>
      <c r="Q78" s="32">
        <v>8286</v>
      </c>
      <c r="R78" s="32">
        <v>8677</v>
      </c>
      <c r="S78" s="32">
        <v>9088</v>
      </c>
      <c r="T78" s="32">
        <v>9521</v>
      </c>
    </row>
    <row r="79" spans="1:20">
      <c r="A79" s="22">
        <v>37</v>
      </c>
      <c r="B79" s="24"/>
      <c r="C79" s="24" t="s">
        <v>33</v>
      </c>
      <c r="D79" s="24"/>
      <c r="E79" s="24"/>
      <c r="F79" s="32">
        <v>47423</v>
      </c>
      <c r="G79" s="32">
        <v>51645</v>
      </c>
      <c r="H79" s="32">
        <v>55845</v>
      </c>
      <c r="I79" s="32">
        <v>60239</v>
      </c>
      <c r="J79" s="32">
        <v>64817</v>
      </c>
      <c r="K79" s="32">
        <v>69428</v>
      </c>
      <c r="L79" s="32">
        <v>74019</v>
      </c>
      <c r="M79" s="32">
        <v>77997</v>
      </c>
      <c r="N79" s="32">
        <v>81405</v>
      </c>
      <c r="O79" s="32">
        <v>84021</v>
      </c>
      <c r="P79" s="32">
        <v>89620</v>
      </c>
      <c r="Q79" s="32">
        <v>97489</v>
      </c>
      <c r="R79" s="32">
        <v>102678</v>
      </c>
      <c r="S79" s="32">
        <v>108662</v>
      </c>
      <c r="T79" s="32">
        <v>114795</v>
      </c>
    </row>
    <row r="80" spans="1:20">
      <c r="A80" s="22">
        <v>38</v>
      </c>
      <c r="B80" s="24"/>
      <c r="C80" s="24" t="s">
        <v>34</v>
      </c>
      <c r="D80" s="24"/>
      <c r="E80" s="24"/>
      <c r="F80" s="32">
        <v>5661</v>
      </c>
      <c r="G80" s="32">
        <v>5695</v>
      </c>
      <c r="H80" s="32">
        <v>6442</v>
      </c>
      <c r="I80" s="32">
        <v>7446</v>
      </c>
      <c r="J80" s="32">
        <v>6984</v>
      </c>
      <c r="K80" s="32">
        <v>7208</v>
      </c>
      <c r="L80" s="32">
        <v>7230</v>
      </c>
      <c r="M80" s="32">
        <v>7136</v>
      </c>
      <c r="N80" s="32">
        <v>8309</v>
      </c>
      <c r="O80" s="32">
        <v>8882</v>
      </c>
      <c r="P80" s="32">
        <v>10722</v>
      </c>
      <c r="Q80" s="32">
        <v>10926</v>
      </c>
      <c r="R80" s="32">
        <v>12186</v>
      </c>
      <c r="S80" s="32">
        <v>14724</v>
      </c>
      <c r="T80" s="32">
        <v>17429</v>
      </c>
    </row>
    <row r="81" spans="1:20"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
        <f t="shared" si="20"/>
        <v>92560</v>
      </c>
      <c r="N81" s="34">
        <f t="shared" si="20"/>
        <v>97295</v>
      </c>
      <c r="O81" s="34">
        <f t="shared" si="20"/>
        <v>100710</v>
      </c>
      <c r="P81" s="34">
        <f t="shared" si="20"/>
        <v>108254</v>
      </c>
      <c r="Q81" s="34">
        <f t="shared" si="20"/>
        <v>116701</v>
      </c>
      <c r="R81" s="34">
        <f t="shared" si="20"/>
        <v>123541</v>
      </c>
      <c r="S81" s="34">
        <f t="shared" si="20"/>
        <v>132474</v>
      </c>
      <c r="T81" s="34">
        <f t="shared" ref="T81" si="21">SUM(T78:T80)</f>
        <v>141745</v>
      </c>
    </row>
    <row r="82" spans="1:20"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35">
        <f t="shared" si="22"/>
        <v>172323</v>
      </c>
      <c r="N82" s="35">
        <f t="shared" si="22"/>
        <v>182999</v>
      </c>
      <c r="O82" s="35">
        <f t="shared" si="22"/>
        <v>204811</v>
      </c>
      <c r="P82" s="35">
        <f t="shared" si="22"/>
        <v>214663</v>
      </c>
      <c r="Q82" s="35">
        <f t="shared" si="22"/>
        <v>225557</v>
      </c>
      <c r="R82" s="35">
        <f t="shared" si="22"/>
        <v>241785</v>
      </c>
      <c r="S82" s="35">
        <f t="shared" si="22"/>
        <v>257929</v>
      </c>
      <c r="T82" s="35">
        <f t="shared" ref="T82" si="23">T75-T81</f>
        <v>280553</v>
      </c>
    </row>
    <row r="83" spans="1:20">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33">
        <f>'Reg Amort and Other RB'!L46-'Reg Amort and Other RB'!L67</f>
        <v>-26823</v>
      </c>
      <c r="N83" s="33">
        <f>'Reg Amort and Other RB'!M46-'Reg Amort and Other RB'!M67</f>
        <v>-28945</v>
      </c>
      <c r="O83" s="33">
        <f>'Reg Amort and Other RB'!N46-'Reg Amort and Other RB'!N67</f>
        <v>-31005</v>
      </c>
      <c r="P83" s="33">
        <f>'Reg Amort and Other RB'!O46-'Reg Amort and Other RB'!O67</f>
        <v>-36762</v>
      </c>
      <c r="Q83" s="33">
        <f>'Reg Amort and Other RB'!P46-'Reg Amort and Other RB'!P67</f>
        <v>-42004</v>
      </c>
      <c r="R83" s="33">
        <f>'Reg Amort and Other RB'!Q46-'Reg Amort and Other RB'!Q67</f>
        <v>-46498</v>
      </c>
      <c r="S83" s="244">
        <f>'Reg Amort and Other RB'!R46-'Reg Amort and Other RB'!R67</f>
        <v>-50170</v>
      </c>
      <c r="T83" s="244">
        <f>'Reg Amort and Other RB'!S46-'Reg Amort and Other RB'!S67</f>
        <v>-54652</v>
      </c>
    </row>
    <row r="84" spans="1:20"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35">
        <f t="shared" si="24"/>
        <v>145500</v>
      </c>
      <c r="N84" s="35">
        <f t="shared" si="24"/>
        <v>154054</v>
      </c>
      <c r="O84" s="35">
        <f t="shared" si="24"/>
        <v>173806</v>
      </c>
      <c r="P84" s="35">
        <f t="shared" si="24"/>
        <v>177901</v>
      </c>
      <c r="Q84" s="35">
        <f t="shared" si="24"/>
        <v>183553</v>
      </c>
      <c r="R84" s="35">
        <f t="shared" si="24"/>
        <v>195287</v>
      </c>
      <c r="S84" s="35">
        <f t="shared" si="24"/>
        <v>207759</v>
      </c>
      <c r="T84" s="35">
        <f t="shared" ref="T84" si="25">T82+T83</f>
        <v>225901</v>
      </c>
    </row>
    <row r="85" spans="1:20" s="27" customFormat="1">
      <c r="A85" s="22">
        <v>43</v>
      </c>
      <c r="B85" s="24" t="s">
        <v>36</v>
      </c>
      <c r="C85" s="24"/>
      <c r="D85" s="24"/>
      <c r="E85" s="24"/>
      <c r="F85" s="32">
        <v>2810</v>
      </c>
      <c r="G85" s="32">
        <v>3190</v>
      </c>
      <c r="H85" s="32">
        <v>4191</v>
      </c>
      <c r="I85" s="32">
        <v>4568</v>
      </c>
      <c r="J85" s="32">
        <v>4807</v>
      </c>
      <c r="K85" s="32">
        <v>6936</v>
      </c>
      <c r="L85" s="32">
        <v>7628</v>
      </c>
      <c r="M85" s="32">
        <v>5607</v>
      </c>
      <c r="N85" s="32">
        <v>15327</v>
      </c>
      <c r="O85" s="32">
        <v>8440</v>
      </c>
      <c r="P85" s="32">
        <v>10226</v>
      </c>
      <c r="Q85" s="32">
        <v>13753</v>
      </c>
      <c r="R85" s="32">
        <v>13107</v>
      </c>
      <c r="S85" s="32">
        <v>11702</v>
      </c>
      <c r="T85" s="32">
        <v>14762</v>
      </c>
    </row>
    <row r="86" spans="1:20">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row>
    <row r="87" spans="1:20"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45">
        <f>'Reg Amort and Other RB'!R64</f>
        <v>-332</v>
      </c>
      <c r="T87" s="245">
        <f>'Reg Amort and Other RB'!S64</f>
        <v>-479</v>
      </c>
    </row>
    <row r="88" spans="1:20"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row>
    <row r="89" spans="1:20" s="37" customFormat="1">
      <c r="A89" s="22"/>
      <c r="B89" s="3"/>
      <c r="C89" s="3"/>
      <c r="D89" s="3"/>
      <c r="E89" s="3"/>
      <c r="F89" s="4"/>
      <c r="G89" s="4"/>
      <c r="H89" s="4"/>
      <c r="I89" s="4"/>
      <c r="J89" s="4"/>
      <c r="K89" s="4"/>
      <c r="L89" s="4"/>
      <c r="M89" s="4"/>
      <c r="N89" s="4"/>
      <c r="O89" s="4"/>
      <c r="P89" s="4"/>
      <c r="Q89" s="4"/>
      <c r="R89" s="4"/>
      <c r="S89" s="4"/>
      <c r="T89" s="4"/>
    </row>
    <row r="90" spans="1:20" s="28" customFormat="1">
      <c r="A90" s="22"/>
      <c r="B90" s="3"/>
      <c r="C90" s="3"/>
      <c r="D90" s="3"/>
      <c r="E90" s="3"/>
      <c r="F90" s="32"/>
      <c r="G90" s="32"/>
      <c r="H90" s="32"/>
      <c r="I90" s="32"/>
      <c r="J90" s="32"/>
      <c r="K90" s="32"/>
      <c r="L90" s="32"/>
      <c r="M90" s="32"/>
      <c r="N90" s="32"/>
      <c r="O90" s="32"/>
      <c r="P90" s="32"/>
      <c r="Q90" s="32"/>
      <c r="R90" s="32"/>
      <c r="S90" s="32"/>
      <c r="T90" s="32"/>
    </row>
    <row r="91" spans="1:20"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 si="28">SUM(T84:T88)</f>
        <v>250257</v>
      </c>
    </row>
    <row r="92" spans="1:20" s="28" customFormat="1" ht="12.75" thickTop="1">
      <c r="A92" s="5"/>
      <c r="B92" s="37"/>
      <c r="C92" s="37"/>
      <c r="D92" s="37"/>
      <c r="E92" s="37"/>
      <c r="F92" s="185"/>
      <c r="G92" s="185"/>
      <c r="H92" s="185"/>
      <c r="I92" s="185"/>
      <c r="J92" s="185"/>
      <c r="K92" s="185"/>
      <c r="L92" s="185"/>
      <c r="M92" s="185"/>
      <c r="N92" s="185"/>
      <c r="O92" s="185"/>
      <c r="P92" s="185"/>
      <c r="Q92" s="185"/>
      <c r="R92" s="185"/>
    </row>
    <row r="93" spans="1:20" s="28" customFormat="1">
      <c r="A93" s="30"/>
      <c r="D93" s="186" t="s">
        <v>223</v>
      </c>
      <c r="E93" s="31"/>
      <c r="F93" s="29"/>
      <c r="G93" s="29"/>
      <c r="H93" s="29"/>
      <c r="I93" s="29"/>
      <c r="J93" s="29"/>
      <c r="K93" s="29"/>
      <c r="L93" s="29"/>
      <c r="M93" s="29"/>
      <c r="N93" s="29"/>
      <c r="O93" s="29"/>
      <c r="P93" s="29"/>
      <c r="Q93" s="29"/>
      <c r="R93" s="29"/>
    </row>
    <row r="94" spans="1:20" s="28" customFormat="1" ht="5.45" customHeight="1">
      <c r="A94" s="30"/>
      <c r="D94" s="186"/>
      <c r="E94" s="31"/>
      <c r="F94" s="29"/>
      <c r="G94" s="29"/>
      <c r="H94" s="29"/>
      <c r="I94" s="29"/>
      <c r="J94" s="29"/>
      <c r="K94" s="29"/>
      <c r="L94" s="29"/>
      <c r="M94" s="29"/>
      <c r="N94" s="29"/>
      <c r="O94" s="29"/>
      <c r="P94" s="29"/>
      <c r="Q94" s="29"/>
      <c r="R94" s="29"/>
    </row>
    <row r="95" spans="1:20" s="28" customFormat="1" ht="12.75">
      <c r="A95" s="205" t="s">
        <v>43</v>
      </c>
      <c r="D95" s="186"/>
      <c r="E95" s="31"/>
      <c r="F95" s="29"/>
      <c r="G95" s="29"/>
      <c r="H95" s="29"/>
      <c r="I95" s="29"/>
      <c r="J95" s="29"/>
      <c r="K95" s="29"/>
      <c r="L95" s="29"/>
      <c r="M95" s="29"/>
      <c r="N95" s="29"/>
      <c r="O95" s="29"/>
      <c r="P95" s="29"/>
      <c r="Q95" s="29"/>
      <c r="R95" s="29"/>
    </row>
    <row r="96" spans="1:20" s="28" customFormat="1" ht="12.75">
      <c r="A96" s="205" t="s">
        <v>48</v>
      </c>
      <c r="D96" s="186"/>
      <c r="E96" s="31"/>
      <c r="F96" s="29"/>
      <c r="G96" s="29"/>
      <c r="H96" s="29"/>
      <c r="I96" s="29"/>
      <c r="J96" s="29"/>
      <c r="K96" s="29"/>
      <c r="L96" s="29"/>
      <c r="M96" s="29"/>
      <c r="N96" s="29"/>
      <c r="O96" s="29"/>
      <c r="P96" s="29"/>
      <c r="Q96" s="29"/>
      <c r="R96" s="29"/>
    </row>
    <row r="97" spans="1:20" s="28" customFormat="1" ht="12.75">
      <c r="A97" s="205" t="s">
        <v>39</v>
      </c>
      <c r="D97" s="186"/>
      <c r="E97" s="31"/>
      <c r="F97" s="29"/>
      <c r="G97" s="29"/>
      <c r="H97" s="29"/>
      <c r="I97" s="29"/>
      <c r="J97" s="29"/>
      <c r="K97" s="29"/>
      <c r="L97" s="29"/>
      <c r="M97" s="29"/>
      <c r="N97" s="29"/>
      <c r="O97" s="29"/>
      <c r="P97" s="29"/>
      <c r="Q97" s="29"/>
      <c r="R97" s="29"/>
    </row>
    <row r="98" spans="1:20" s="28" customFormat="1" ht="15.75">
      <c r="A98" s="30"/>
      <c r="D98" s="186"/>
      <c r="E98" s="576" t="s">
        <v>241</v>
      </c>
      <c r="F98" s="576"/>
      <c r="G98" s="576"/>
      <c r="H98" s="576"/>
      <c r="I98" s="576"/>
      <c r="J98" s="576"/>
      <c r="K98" s="576"/>
      <c r="L98" s="576"/>
      <c r="M98" s="576"/>
      <c r="N98" s="576"/>
      <c r="O98" s="576"/>
      <c r="P98" s="576"/>
      <c r="Q98" s="576"/>
      <c r="R98" s="576"/>
      <c r="T98" s="388"/>
    </row>
    <row r="99" spans="1:20" s="28" customFormat="1" ht="3" customHeight="1">
      <c r="A99" s="30"/>
      <c r="D99" s="186"/>
      <c r="E99" s="31"/>
      <c r="F99" s="187"/>
      <c r="G99" s="187"/>
      <c r="H99" s="187"/>
      <c r="I99" s="187"/>
      <c r="J99" s="187"/>
      <c r="K99" s="187"/>
      <c r="L99" s="187"/>
      <c r="M99" s="187"/>
      <c r="N99" s="187"/>
      <c r="O99" s="187"/>
      <c r="P99" s="187"/>
      <c r="Q99" s="187"/>
      <c r="R99" s="187"/>
    </row>
    <row r="100" spans="1:20" s="28" customFormat="1" ht="12" customHeight="1">
      <c r="A100" s="30"/>
      <c r="D100" s="186"/>
      <c r="E100" s="31"/>
      <c r="F100" s="213">
        <f>F8</f>
        <v>2000</v>
      </c>
      <c r="G100" s="213">
        <f t="shared" ref="G100:R100" si="29">G8</f>
        <v>2001</v>
      </c>
      <c r="H100" s="213">
        <f t="shared" si="29"/>
        <v>2002</v>
      </c>
      <c r="I100" s="213">
        <f t="shared" si="29"/>
        <v>2003</v>
      </c>
      <c r="J100" s="213">
        <f t="shared" si="29"/>
        <v>2004</v>
      </c>
      <c r="K100" s="213">
        <f t="shared" si="29"/>
        <v>2005</v>
      </c>
      <c r="L100" s="213">
        <f t="shared" si="29"/>
        <v>2006</v>
      </c>
      <c r="M100" s="213">
        <f t="shared" si="29"/>
        <v>2007</v>
      </c>
      <c r="N100" s="213">
        <f t="shared" si="29"/>
        <v>2008</v>
      </c>
      <c r="O100" s="213">
        <f t="shared" si="29"/>
        <v>2009</v>
      </c>
      <c r="P100" s="213">
        <f t="shared" si="29"/>
        <v>2010</v>
      </c>
      <c r="Q100" s="213">
        <f t="shared" si="29"/>
        <v>2011</v>
      </c>
      <c r="R100" s="213">
        <f t="shared" si="29"/>
        <v>2012</v>
      </c>
      <c r="S100" s="213">
        <f>S8</f>
        <v>2013</v>
      </c>
      <c r="T100" s="213">
        <f>T8</f>
        <v>2014</v>
      </c>
    </row>
    <row r="101" spans="1:20" s="28" customFormat="1" ht="24">
      <c r="A101" s="206" t="s">
        <v>258</v>
      </c>
      <c r="D101" s="212" t="s">
        <v>273</v>
      </c>
      <c r="E101" s="31"/>
      <c r="F101" s="29"/>
      <c r="G101" s="29"/>
      <c r="H101" s="29"/>
      <c r="I101" s="29"/>
      <c r="J101" s="29"/>
      <c r="K101" s="29"/>
      <c r="L101" s="29"/>
      <c r="M101" s="29"/>
      <c r="N101" s="29"/>
      <c r="O101" s="29"/>
      <c r="P101" s="29"/>
      <c r="Q101" s="29"/>
      <c r="R101" s="29"/>
      <c r="S101" s="29"/>
      <c r="T101" s="29"/>
    </row>
    <row r="102" spans="1:20" s="28" customFormat="1">
      <c r="A102" s="30">
        <v>1</v>
      </c>
      <c r="C102" s="28" t="s">
        <v>16</v>
      </c>
      <c r="E102" s="188" t="s">
        <v>224</v>
      </c>
      <c r="F102" s="83">
        <f>F25</f>
        <v>312</v>
      </c>
      <c r="G102" s="83">
        <f t="shared" ref="G102:R102" si="30">G25</f>
        <v>322</v>
      </c>
      <c r="H102" s="83">
        <f t="shared" si="30"/>
        <v>357</v>
      </c>
      <c r="I102" s="83">
        <f t="shared" si="30"/>
        <v>342</v>
      </c>
      <c r="J102" s="83">
        <f t="shared" si="30"/>
        <v>381</v>
      </c>
      <c r="K102" s="83">
        <f t="shared" si="30"/>
        <v>450</v>
      </c>
      <c r="L102" s="83">
        <f t="shared" si="30"/>
        <v>492</v>
      </c>
      <c r="M102" s="83">
        <f t="shared" si="30"/>
        <v>451</v>
      </c>
      <c r="N102" s="83">
        <f t="shared" si="30"/>
        <v>436</v>
      </c>
      <c r="O102" s="83">
        <f t="shared" si="30"/>
        <v>403</v>
      </c>
      <c r="P102" s="83">
        <f t="shared" si="30"/>
        <v>380</v>
      </c>
      <c r="Q102" s="83">
        <f t="shared" si="30"/>
        <v>585</v>
      </c>
      <c r="R102" s="83">
        <f t="shared" si="30"/>
        <v>712</v>
      </c>
      <c r="S102" s="83">
        <f>S25</f>
        <v>820</v>
      </c>
      <c r="T102" s="83">
        <f>T25</f>
        <v>893</v>
      </c>
    </row>
    <row r="103" spans="1:20" s="28" customFormat="1">
      <c r="A103" s="30">
        <v>2</v>
      </c>
      <c r="C103" s="28" t="s">
        <v>19</v>
      </c>
      <c r="E103" s="188" t="s">
        <v>228</v>
      </c>
      <c r="F103" s="83">
        <f>F31</f>
        <v>3956</v>
      </c>
      <c r="G103" s="83">
        <f t="shared" ref="G103:R103" si="31">G31</f>
        <v>4655</v>
      </c>
      <c r="H103" s="83">
        <f t="shared" si="31"/>
        <v>5482</v>
      </c>
      <c r="I103" s="83">
        <f t="shared" si="31"/>
        <v>5762</v>
      </c>
      <c r="J103" s="83">
        <f t="shared" si="31"/>
        <v>5958</v>
      </c>
      <c r="K103" s="83">
        <f t="shared" si="31"/>
        <v>6084</v>
      </c>
      <c r="L103" s="83">
        <f t="shared" si="31"/>
        <v>6359</v>
      </c>
      <c r="M103" s="83">
        <f t="shared" si="31"/>
        <v>6467</v>
      </c>
      <c r="N103" s="83">
        <f t="shared" si="31"/>
        <v>6123</v>
      </c>
      <c r="O103" s="83">
        <f t="shared" si="31"/>
        <v>7700</v>
      </c>
      <c r="P103" s="83">
        <f t="shared" si="31"/>
        <v>7696</v>
      </c>
      <c r="Q103" s="83">
        <f t="shared" si="31"/>
        <v>8854</v>
      </c>
      <c r="R103" s="83">
        <f t="shared" si="31"/>
        <v>9511</v>
      </c>
      <c r="S103" s="83">
        <f>S31</f>
        <v>10820</v>
      </c>
      <c r="T103" s="83">
        <f>T31</f>
        <v>10704</v>
      </c>
    </row>
    <row r="104" spans="1:20" s="28" customFormat="1">
      <c r="A104" s="30">
        <v>3</v>
      </c>
      <c r="C104" s="28" t="s">
        <v>21</v>
      </c>
      <c r="E104" s="188" t="s">
        <v>229</v>
      </c>
      <c r="F104" s="83">
        <f>F36</f>
        <v>3175</v>
      </c>
      <c r="G104" s="83">
        <f t="shared" ref="G104:R104" si="32">G36</f>
        <v>3367</v>
      </c>
      <c r="H104" s="83">
        <f t="shared" si="32"/>
        <v>4108</v>
      </c>
      <c r="I104" s="83">
        <f t="shared" si="32"/>
        <v>4121</v>
      </c>
      <c r="J104" s="83">
        <f t="shared" si="32"/>
        <v>4337</v>
      </c>
      <c r="K104" s="83">
        <f t="shared" si="32"/>
        <v>4249</v>
      </c>
      <c r="L104" s="83">
        <f t="shared" si="32"/>
        <v>4225</v>
      </c>
      <c r="M104" s="83">
        <f t="shared" si="32"/>
        <v>4487</v>
      </c>
      <c r="N104" s="83">
        <f t="shared" si="32"/>
        <v>4692</v>
      </c>
      <c r="O104" s="83">
        <f t="shared" si="32"/>
        <v>5586</v>
      </c>
      <c r="P104" s="83">
        <f t="shared" si="32"/>
        <v>5234</v>
      </c>
      <c r="Q104" s="83">
        <f t="shared" si="32"/>
        <v>5739.734942</v>
      </c>
      <c r="R104" s="83">
        <f t="shared" si="32"/>
        <v>5796</v>
      </c>
      <c r="S104" s="83">
        <f t="shared" ref="S104:T106" si="33">S36</f>
        <v>6270</v>
      </c>
      <c r="T104" s="83">
        <f t="shared" si="33"/>
        <v>6108</v>
      </c>
    </row>
    <row r="105" spans="1:20" s="28" customFormat="1">
      <c r="A105" s="30">
        <v>4</v>
      </c>
      <c r="C105" s="28" t="s">
        <v>225</v>
      </c>
      <c r="E105" s="188" t="s">
        <v>230</v>
      </c>
      <c r="F105" s="83">
        <f t="shared" ref="F105:R106" si="34">F37</f>
        <v>507</v>
      </c>
      <c r="G105" s="83">
        <f t="shared" si="34"/>
        <v>1513</v>
      </c>
      <c r="H105" s="83">
        <f t="shared" si="34"/>
        <v>2252</v>
      </c>
      <c r="I105" s="83">
        <f t="shared" si="34"/>
        <v>2747</v>
      </c>
      <c r="J105" s="83">
        <f t="shared" si="34"/>
        <v>480</v>
      </c>
      <c r="K105" s="83">
        <f t="shared" si="34"/>
        <v>3523</v>
      </c>
      <c r="L105" s="83">
        <f t="shared" si="34"/>
        <v>1061</v>
      </c>
      <c r="M105" s="83">
        <f t="shared" si="34"/>
        <v>4658</v>
      </c>
      <c r="N105" s="83">
        <f t="shared" si="34"/>
        <v>5169</v>
      </c>
      <c r="O105" s="83">
        <f t="shared" si="34"/>
        <v>7609</v>
      </c>
      <c r="P105" s="83">
        <f t="shared" si="34"/>
        <v>9505</v>
      </c>
      <c r="Q105" s="83">
        <f t="shared" si="34"/>
        <v>9777</v>
      </c>
      <c r="R105" s="83">
        <f t="shared" si="34"/>
        <v>6955</v>
      </c>
      <c r="S105" s="83">
        <f t="shared" si="33"/>
        <v>983</v>
      </c>
      <c r="T105" s="83">
        <f t="shared" si="33"/>
        <v>865</v>
      </c>
    </row>
    <row r="106" spans="1:20" s="28" customFormat="1">
      <c r="A106" s="30">
        <v>5</v>
      </c>
      <c r="C106" s="28" t="s">
        <v>226</v>
      </c>
      <c r="E106" s="188" t="s">
        <v>231</v>
      </c>
      <c r="F106" s="83">
        <f t="shared" si="34"/>
        <v>703</v>
      </c>
      <c r="G106" s="83">
        <f t="shared" si="34"/>
        <v>445</v>
      </c>
      <c r="H106" s="83">
        <f t="shared" si="34"/>
        <v>375</v>
      </c>
      <c r="I106" s="83">
        <f t="shared" si="34"/>
        <v>492</v>
      </c>
      <c r="J106" s="83">
        <f t="shared" si="34"/>
        <v>427</v>
      </c>
      <c r="K106" s="83">
        <f t="shared" si="34"/>
        <v>320</v>
      </c>
      <c r="L106" s="83">
        <f t="shared" si="34"/>
        <v>496</v>
      </c>
      <c r="M106" s="83">
        <f t="shared" si="34"/>
        <v>516</v>
      </c>
      <c r="N106" s="83">
        <f t="shared" si="34"/>
        <v>442</v>
      </c>
      <c r="O106" s="83">
        <f t="shared" si="34"/>
        <v>497</v>
      </c>
      <c r="P106" s="83">
        <f t="shared" si="34"/>
        <v>105</v>
      </c>
      <c r="Q106" s="83">
        <f t="shared" si="34"/>
        <v>3</v>
      </c>
      <c r="R106" s="83">
        <f t="shared" si="34"/>
        <v>3</v>
      </c>
      <c r="S106" s="83">
        <f t="shared" si="33"/>
        <v>3</v>
      </c>
      <c r="T106" s="83">
        <f t="shared" si="33"/>
        <v>0</v>
      </c>
    </row>
    <row r="107" spans="1:20" s="28" customFormat="1">
      <c r="A107" s="30">
        <v>6</v>
      </c>
      <c r="C107" s="28" t="s">
        <v>227</v>
      </c>
      <c r="E107" s="188" t="s">
        <v>232</v>
      </c>
      <c r="F107" s="83">
        <f>F41</f>
        <v>8004</v>
      </c>
      <c r="G107" s="83">
        <f t="shared" ref="G107:R107" si="35">G41</f>
        <v>7578</v>
      </c>
      <c r="H107" s="83">
        <f t="shared" si="35"/>
        <v>9399</v>
      </c>
      <c r="I107" s="83">
        <f t="shared" si="35"/>
        <v>9827</v>
      </c>
      <c r="J107" s="83">
        <f t="shared" si="35"/>
        <v>8911</v>
      </c>
      <c r="K107" s="83">
        <f t="shared" si="35"/>
        <v>9196</v>
      </c>
      <c r="L107" s="83">
        <f t="shared" si="35"/>
        <v>8393</v>
      </c>
      <c r="M107" s="83">
        <f t="shared" si="35"/>
        <v>8901</v>
      </c>
      <c r="N107" s="83">
        <f t="shared" si="35"/>
        <v>9706</v>
      </c>
      <c r="O107" s="83">
        <f t="shared" si="35"/>
        <v>9770</v>
      </c>
      <c r="P107" s="83">
        <f t="shared" si="35"/>
        <v>11383</v>
      </c>
      <c r="Q107" s="83">
        <f t="shared" si="35"/>
        <v>11585.118</v>
      </c>
      <c r="R107" s="83">
        <f t="shared" si="35"/>
        <v>13419</v>
      </c>
      <c r="S107" s="83">
        <f>S41</f>
        <v>11862</v>
      </c>
      <c r="T107" s="83">
        <f>T41</f>
        <v>12777</v>
      </c>
    </row>
    <row r="108" spans="1:20" s="28" customFormat="1">
      <c r="A108" s="30">
        <v>7</v>
      </c>
      <c r="B108" s="28" t="s">
        <v>66</v>
      </c>
      <c r="F108" s="189">
        <f>SUM(F102:F107)</f>
        <v>16657</v>
      </c>
      <c r="G108" s="189">
        <f t="shared" ref="G108:R108" si="36">SUM(G102:G107)</f>
        <v>17880</v>
      </c>
      <c r="H108" s="189">
        <f t="shared" si="36"/>
        <v>21973</v>
      </c>
      <c r="I108" s="189">
        <f t="shared" si="36"/>
        <v>23291</v>
      </c>
      <c r="J108" s="189">
        <f t="shared" si="36"/>
        <v>20494</v>
      </c>
      <c r="K108" s="189">
        <f t="shared" si="36"/>
        <v>23822</v>
      </c>
      <c r="L108" s="189">
        <f t="shared" si="36"/>
        <v>21026</v>
      </c>
      <c r="M108" s="189">
        <f t="shared" si="36"/>
        <v>25480</v>
      </c>
      <c r="N108" s="189">
        <f t="shared" si="36"/>
        <v>26568</v>
      </c>
      <c r="O108" s="189">
        <f t="shared" si="36"/>
        <v>31565</v>
      </c>
      <c r="P108" s="189">
        <f t="shared" si="36"/>
        <v>34303</v>
      </c>
      <c r="Q108" s="189">
        <f t="shared" si="36"/>
        <v>36543.852941999998</v>
      </c>
      <c r="R108" s="189">
        <f t="shared" si="36"/>
        <v>36396</v>
      </c>
      <c r="S108" s="189">
        <f>SUM(S102:S107)</f>
        <v>30758</v>
      </c>
      <c r="T108" s="189">
        <f>SUM(T102:T107)</f>
        <v>31347</v>
      </c>
    </row>
    <row r="109" spans="1:20" s="28" customFormat="1">
      <c r="A109" s="30">
        <v>8</v>
      </c>
      <c r="C109" s="28" t="s">
        <v>161</v>
      </c>
      <c r="F109" s="83">
        <f>'Riders and Gas Cost Revenue'!H63</f>
        <v>163</v>
      </c>
      <c r="G109" s="83">
        <f>'Riders and Gas Cost Revenue'!J63</f>
        <v>232</v>
      </c>
      <c r="H109" s="83">
        <f>'Riders and Gas Cost Revenue'!L63</f>
        <v>261</v>
      </c>
      <c r="I109" s="83">
        <f>'Riders and Gas Cost Revenue'!N63</f>
        <v>285</v>
      </c>
      <c r="J109" s="83">
        <f>'Riders and Gas Cost Revenue'!P63</f>
        <v>369</v>
      </c>
      <c r="K109" s="83">
        <f>'Riders and Gas Cost Revenue'!R63</f>
        <v>651</v>
      </c>
      <c r="L109" s="83">
        <f>'Riders and Gas Cost Revenue'!T63</f>
        <v>653</v>
      </c>
      <c r="M109" s="83">
        <f>'Riders and Gas Cost Revenue'!W63</f>
        <v>792</v>
      </c>
      <c r="N109" s="83">
        <f>'Riders and Gas Cost Revenue'!Z63</f>
        <v>783</v>
      </c>
      <c r="O109" s="83">
        <f>'Riders and Gas Cost Revenue'!AC63</f>
        <v>802</v>
      </c>
      <c r="P109" s="83">
        <f>'Riders and Gas Cost Revenue'!AF63</f>
        <v>800</v>
      </c>
      <c r="Q109" s="83">
        <f>'Riders and Gas Cost Revenue'!AI63</f>
        <v>981</v>
      </c>
      <c r="R109" s="83">
        <f>'Riders and Gas Cost Revenue'!AL63</f>
        <v>928</v>
      </c>
      <c r="S109" s="83">
        <f>'Riders and Gas Cost Revenue'!AO63</f>
        <v>891</v>
      </c>
      <c r="T109" s="83">
        <f>'Riders and Gas Cost Revenue'!AR63</f>
        <v>779</v>
      </c>
    </row>
    <row r="110" spans="1:20" s="28" customFormat="1" ht="12" customHeight="1">
      <c r="A110" s="30">
        <v>9</v>
      </c>
      <c r="C110" s="28" t="s">
        <v>270</v>
      </c>
      <c r="F110" s="83">
        <f>SUM('Riders and Gas Cost Revenue'!H35:H40)</f>
        <v>-442</v>
      </c>
      <c r="G110" s="83">
        <f>SUM('Riders and Gas Cost Revenue'!J35:J40)</f>
        <v>-823</v>
      </c>
      <c r="H110" s="83">
        <f>SUM('Riders and Gas Cost Revenue'!L35:L40)</f>
        <v>-849</v>
      </c>
      <c r="I110" s="83">
        <f>SUM('Riders and Gas Cost Revenue'!N35:N40)</f>
        <v>-749</v>
      </c>
      <c r="J110" s="83">
        <f>SUM('Riders and Gas Cost Revenue'!P35:P40)</f>
        <v>-882</v>
      </c>
      <c r="K110" s="83">
        <f>SUM('Riders and Gas Cost Revenue'!R35:R40)</f>
        <v>-1006</v>
      </c>
      <c r="L110" s="83">
        <f>SUM('Riders and Gas Cost Revenue'!T35:T40)</f>
        <v>-1154</v>
      </c>
      <c r="M110" s="83">
        <f>SUM('Riders and Gas Cost Revenue'!W35:W40)</f>
        <v>-1202</v>
      </c>
      <c r="N110" s="83">
        <f>SUM('Riders and Gas Cost Revenue'!Z35:Z40)</f>
        <v>-1136</v>
      </c>
      <c r="O110" s="83">
        <f>SUM('Riders and Gas Cost Revenue'!AC35:AC40)</f>
        <v>-933</v>
      </c>
      <c r="P110" s="83">
        <f>SUM('Riders and Gas Cost Revenue'!AF35:AF40)</f>
        <v>-609</v>
      </c>
      <c r="Q110" s="83">
        <f>SUM('Riders and Gas Cost Revenue'!AI35:AI40)</f>
        <v>-647</v>
      </c>
      <c r="R110" s="83">
        <f>SUM('Riders and Gas Cost Revenue'!AL35:AL40)</f>
        <v>-577</v>
      </c>
      <c r="S110" s="83">
        <f>SUM('Riders and Gas Cost Revenue'!AO35:AO40)</f>
        <v>-592</v>
      </c>
      <c r="T110" s="83">
        <f>SUM('Riders and Gas Cost Revenue'!AR35:AR40)</f>
        <v>-648</v>
      </c>
    </row>
    <row r="111" spans="1:20" s="28" customFormat="1">
      <c r="A111" s="30">
        <v>10</v>
      </c>
      <c r="C111" s="28" t="s">
        <v>271</v>
      </c>
      <c r="F111" s="83">
        <f>'Riders and Gas Cost Revenue'!G35+'Riders and Gas Cost Revenue'!G36+'Riders and Gas Cost Revenue'!G40</f>
        <v>0</v>
      </c>
      <c r="G111" s="83">
        <f>'Riders and Gas Cost Revenue'!I35+'Riders and Gas Cost Revenue'!I36+'Riders and Gas Cost Revenue'!I40</f>
        <v>-956</v>
      </c>
      <c r="H111" s="83">
        <f>'Riders and Gas Cost Revenue'!K35+'Riders and Gas Cost Revenue'!K36+'Riders and Gas Cost Revenue'!K40</f>
        <v>-1710</v>
      </c>
      <c r="I111" s="83">
        <f>'Riders and Gas Cost Revenue'!M35+'Riders and Gas Cost Revenue'!M36+'Riders and Gas Cost Revenue'!M40</f>
        <v>-2044</v>
      </c>
      <c r="J111" s="83">
        <f>'Riders and Gas Cost Revenue'!O35+'Riders and Gas Cost Revenue'!O36+'Riders and Gas Cost Revenue'!O40</f>
        <v>0</v>
      </c>
      <c r="K111" s="83">
        <f>'Riders and Gas Cost Revenue'!Q35+'Riders and Gas Cost Revenue'!Q36+'Riders and Gas Cost Revenue'!Q40</f>
        <v>-2864</v>
      </c>
      <c r="L111" s="83">
        <f>'Riders and Gas Cost Revenue'!S35+'Riders and Gas Cost Revenue'!S36+'Riders and Gas Cost Revenue'!S40</f>
        <v>0</v>
      </c>
      <c r="M111" s="83">
        <f>'Riders and Gas Cost Revenue'!U35+'Riders and Gas Cost Revenue'!U36+'Riders and Gas Cost Revenue'!U40</f>
        <v>-3865</v>
      </c>
      <c r="N111" s="83">
        <f>'Riders and Gas Cost Revenue'!X35+'Riders and Gas Cost Revenue'!X36+'Riders and Gas Cost Revenue'!X40</f>
        <v>-4415</v>
      </c>
      <c r="O111" s="83">
        <f>'Riders and Gas Cost Revenue'!AA35+'Riders and Gas Cost Revenue'!AA36+'Riders and Gas Cost Revenue'!AA40</f>
        <v>-6829</v>
      </c>
      <c r="P111" s="83">
        <f>'Riders and Gas Cost Revenue'!AD35+'Riders and Gas Cost Revenue'!AD36+'Riders and Gas Cost Revenue'!AD40</f>
        <v>-8481</v>
      </c>
      <c r="Q111" s="83">
        <f>'Riders and Gas Cost Revenue'!AG35+'Riders and Gas Cost Revenue'!AG36+'Riders and Gas Cost Revenue'!AG40</f>
        <v>-9022</v>
      </c>
      <c r="R111" s="83">
        <f>'Riders and Gas Cost Revenue'!AJ35+'Riders and Gas Cost Revenue'!AJ36+'Riders and Gas Cost Revenue'!AJ40</f>
        <v>-5987</v>
      </c>
      <c r="S111" s="83">
        <f>'Riders and Gas Cost Revenue'!AM35+'Riders and Gas Cost Revenue'!AM36+'Riders and Gas Cost Revenue'!AM40</f>
        <v>0</v>
      </c>
      <c r="T111" s="83">
        <f>'Riders and Gas Cost Revenue'!AP35+'Riders and Gas Cost Revenue'!AP36+'Riders and Gas Cost Revenue'!AP40</f>
        <v>0</v>
      </c>
    </row>
    <row r="112" spans="1:20">
      <c r="A112" s="30">
        <v>11</v>
      </c>
      <c r="B112" s="28"/>
      <c r="C112" s="28" t="s">
        <v>272</v>
      </c>
      <c r="D112" s="28"/>
      <c r="E112" s="28"/>
      <c r="F112" s="190">
        <v>0</v>
      </c>
      <c r="G112" s="190">
        <v>0</v>
      </c>
      <c r="H112" s="190">
        <v>0</v>
      </c>
      <c r="I112" s="190">
        <v>0</v>
      </c>
      <c r="J112" s="190">
        <v>0</v>
      </c>
      <c r="K112" s="190">
        <v>0</v>
      </c>
      <c r="L112" s="190">
        <v>0</v>
      </c>
      <c r="M112" s="190">
        <f>'Riders and Gas Cost Revenue'!V35+'Riders and Gas Cost Revenue'!V40</f>
        <v>0</v>
      </c>
      <c r="N112" s="190">
        <f>'Riders and Gas Cost Revenue'!Y35+'Riders and Gas Cost Revenue'!Y40</f>
        <v>-3</v>
      </c>
      <c r="O112" s="190">
        <f>'Riders and Gas Cost Revenue'!AB35+'Riders and Gas Cost Revenue'!AB40</f>
        <v>-5</v>
      </c>
      <c r="P112" s="190">
        <f>'Riders and Gas Cost Revenue'!AE35+'Riders and Gas Cost Revenue'!AE40</f>
        <v>-4</v>
      </c>
      <c r="Q112" s="190">
        <f>'Riders and Gas Cost Revenue'!AH35+'Riders and Gas Cost Revenue'!AH40</f>
        <v>-4</v>
      </c>
      <c r="R112" s="190">
        <f>'Riders and Gas Cost Revenue'!AK35+'Riders and Gas Cost Revenue'!AK40</f>
        <v>-1</v>
      </c>
      <c r="S112" s="190">
        <f>'Riders and Gas Cost Revenue'!AN35+'Riders and Gas Cost Revenue'!AN40</f>
        <v>0</v>
      </c>
      <c r="T112" s="190">
        <f>'Riders and Gas Cost Revenue'!AQ35+'Riders and Gas Cost Revenue'!AQ40</f>
        <v>0</v>
      </c>
    </row>
    <row r="113" spans="1:20" ht="12.75" thickBot="1">
      <c r="A113" s="30">
        <v>12</v>
      </c>
      <c r="B113" s="66" t="s">
        <v>269</v>
      </c>
      <c r="C113" s="66"/>
      <c r="D113" s="66"/>
      <c r="E113" s="66"/>
      <c r="F113" s="63">
        <f>SUM(F103:F112)</f>
        <v>32723</v>
      </c>
      <c r="G113" s="63">
        <f>SUM(G108:G112)</f>
        <v>16333</v>
      </c>
      <c r="H113" s="63">
        <f t="shared" ref="H113:S113" si="37">SUM(H108:H112)</f>
        <v>19675</v>
      </c>
      <c r="I113" s="63">
        <f t="shared" si="37"/>
        <v>20783</v>
      </c>
      <c r="J113" s="63">
        <f t="shared" si="37"/>
        <v>19981</v>
      </c>
      <c r="K113" s="63">
        <f t="shared" si="37"/>
        <v>20603</v>
      </c>
      <c r="L113" s="63">
        <f t="shared" si="37"/>
        <v>20525</v>
      </c>
      <c r="M113" s="63">
        <f t="shared" si="37"/>
        <v>21205</v>
      </c>
      <c r="N113" s="63">
        <f t="shared" si="37"/>
        <v>21797</v>
      </c>
      <c r="O113" s="63">
        <f t="shared" si="37"/>
        <v>24600</v>
      </c>
      <c r="P113" s="63">
        <f t="shared" si="37"/>
        <v>26009</v>
      </c>
      <c r="Q113" s="63">
        <f t="shared" si="37"/>
        <v>27851.852941999998</v>
      </c>
      <c r="R113" s="63">
        <f t="shared" si="37"/>
        <v>30759</v>
      </c>
      <c r="S113" s="63">
        <f t="shared" si="37"/>
        <v>31057</v>
      </c>
      <c r="T113" s="63">
        <f t="shared" ref="T113" si="38">SUM(T108:T112)</f>
        <v>31478</v>
      </c>
    </row>
    <row r="114" spans="1:20" ht="12.75" thickTop="1">
      <c r="A114" s="30"/>
      <c r="D114" s="3" t="s">
        <v>260</v>
      </c>
      <c r="G114" s="123">
        <f>(G113-F113)/F113</f>
        <v>-0.50087094704030799</v>
      </c>
      <c r="H114" s="123">
        <f t="shared" ref="H114:T114" si="39">(H113-G113)/G113</f>
        <v>0.20461642074328049</v>
      </c>
      <c r="I114" s="123">
        <f t="shared" si="39"/>
        <v>5.6315120711562895E-2</v>
      </c>
      <c r="J114" s="123">
        <f t="shared" si="39"/>
        <v>-3.8589231583505752E-2</v>
      </c>
      <c r="K114" s="123">
        <f t="shared" si="39"/>
        <v>3.1129573094439717E-2</v>
      </c>
      <c r="L114" s="123">
        <f t="shared" si="39"/>
        <v>-3.7858564286754356E-3</v>
      </c>
      <c r="M114" s="123">
        <f t="shared" si="39"/>
        <v>3.3130328867235076E-2</v>
      </c>
      <c r="N114" s="123">
        <f t="shared" si="39"/>
        <v>2.7917943881160104E-2</v>
      </c>
      <c r="O114" s="123">
        <f t="shared" si="39"/>
        <v>0.12859567830435381</v>
      </c>
      <c r="P114" s="123">
        <f t="shared" si="39"/>
        <v>5.727642276422764E-2</v>
      </c>
      <c r="Q114" s="123">
        <f t="shared" si="39"/>
        <v>7.0854432773270706E-2</v>
      </c>
      <c r="R114" s="123">
        <f t="shared" si="39"/>
        <v>0.10437894613525288</v>
      </c>
      <c r="S114" s="123">
        <f t="shared" si="39"/>
        <v>9.6882213335934206E-3</v>
      </c>
      <c r="T114" s="123">
        <f t="shared" si="39"/>
        <v>1.3555720127507486E-2</v>
      </c>
    </row>
    <row r="115" spans="1:20" ht="9.75" customHeight="1">
      <c r="A115" s="30"/>
      <c r="E115" s="28"/>
      <c r="F115" s="29"/>
      <c r="G115" s="29"/>
      <c r="R115" s="4"/>
      <c r="S115" s="4"/>
      <c r="T115" s="4"/>
    </row>
    <row r="116" spans="1:20">
      <c r="A116" s="30"/>
      <c r="D116" s="211" t="s">
        <v>47</v>
      </c>
      <c r="R116" s="4"/>
      <c r="S116" s="4"/>
      <c r="T116" s="4"/>
    </row>
    <row r="117" spans="1:20">
      <c r="A117" s="30">
        <v>13</v>
      </c>
      <c r="C117" s="28" t="s">
        <v>16</v>
      </c>
      <c r="D117" s="211"/>
      <c r="E117" s="188" t="s">
        <v>261</v>
      </c>
      <c r="F117" s="210">
        <f>F26</f>
        <v>314</v>
      </c>
      <c r="G117" s="210">
        <f t="shared" ref="G117:R117" si="40">G26</f>
        <v>314</v>
      </c>
      <c r="H117" s="210">
        <f t="shared" si="40"/>
        <v>297</v>
      </c>
      <c r="I117" s="210">
        <f t="shared" si="40"/>
        <v>309</v>
      </c>
      <c r="J117" s="210">
        <f t="shared" si="40"/>
        <v>309</v>
      </c>
      <c r="K117" s="210">
        <f t="shared" si="40"/>
        <v>310</v>
      </c>
      <c r="L117" s="210">
        <f t="shared" si="40"/>
        <v>312</v>
      </c>
      <c r="M117" s="210">
        <f t="shared" si="40"/>
        <v>310</v>
      </c>
      <c r="N117" s="210">
        <f t="shared" si="40"/>
        <v>276</v>
      </c>
      <c r="O117" s="210">
        <f t="shared" si="40"/>
        <v>393</v>
      </c>
      <c r="P117" s="210">
        <f t="shared" si="40"/>
        <v>348</v>
      </c>
      <c r="Q117" s="210">
        <f t="shared" si="40"/>
        <v>395</v>
      </c>
      <c r="R117" s="210">
        <f t="shared" si="40"/>
        <v>438</v>
      </c>
      <c r="S117" s="210">
        <f>S26</f>
        <v>380</v>
      </c>
      <c r="T117" s="210">
        <f>T26</f>
        <v>402</v>
      </c>
    </row>
    <row r="118" spans="1:20">
      <c r="A118" s="30">
        <v>14</v>
      </c>
      <c r="C118" s="28" t="s">
        <v>19</v>
      </c>
      <c r="E118" s="188" t="s">
        <v>262</v>
      </c>
      <c r="F118" s="210">
        <f>F32</f>
        <v>4184</v>
      </c>
      <c r="G118" s="210">
        <f t="shared" ref="G118:R118" si="41">G32</f>
        <v>4390</v>
      </c>
      <c r="H118" s="210">
        <f t="shared" si="41"/>
        <v>4496</v>
      </c>
      <c r="I118" s="210">
        <f t="shared" si="41"/>
        <v>4707</v>
      </c>
      <c r="J118" s="210">
        <f t="shared" si="41"/>
        <v>4902</v>
      </c>
      <c r="K118" s="210">
        <f t="shared" si="41"/>
        <v>5088</v>
      </c>
      <c r="L118" s="210">
        <f t="shared" si="41"/>
        <v>5369</v>
      </c>
      <c r="M118" s="210">
        <f t="shared" si="41"/>
        <v>5605</v>
      </c>
      <c r="N118" s="210">
        <f t="shared" si="41"/>
        <v>5673</v>
      </c>
      <c r="O118" s="210">
        <f t="shared" si="41"/>
        <v>6064</v>
      </c>
      <c r="P118" s="210">
        <f t="shared" si="41"/>
        <v>6367</v>
      </c>
      <c r="Q118" s="210">
        <f t="shared" si="41"/>
        <v>6649</v>
      </c>
      <c r="R118" s="210">
        <f t="shared" si="41"/>
        <v>6978</v>
      </c>
      <c r="S118" s="210">
        <f>S32</f>
        <v>7925</v>
      </c>
      <c r="T118" s="210">
        <f>T32</f>
        <v>8513</v>
      </c>
    </row>
    <row r="119" spans="1:20">
      <c r="A119" s="30">
        <v>15</v>
      </c>
      <c r="C119" s="3" t="s">
        <v>24</v>
      </c>
      <c r="E119" s="188" t="s">
        <v>263</v>
      </c>
      <c r="F119" s="210">
        <f>F42</f>
        <v>1027</v>
      </c>
      <c r="G119" s="210">
        <f t="shared" ref="G119:R119" si="42">G42</f>
        <v>1020</v>
      </c>
      <c r="H119" s="210">
        <f t="shared" si="42"/>
        <v>1275</v>
      </c>
      <c r="I119" s="210">
        <f t="shared" si="42"/>
        <v>1363</v>
      </c>
      <c r="J119" s="210">
        <f t="shared" si="42"/>
        <v>1180</v>
      </c>
      <c r="K119" s="210">
        <f t="shared" si="42"/>
        <v>1343</v>
      </c>
      <c r="L119" s="210">
        <f t="shared" si="42"/>
        <v>1282</v>
      </c>
      <c r="M119" s="210">
        <f t="shared" si="42"/>
        <v>1498</v>
      </c>
      <c r="N119" s="210">
        <f t="shared" si="42"/>
        <v>1803</v>
      </c>
      <c r="O119" s="210">
        <f t="shared" si="42"/>
        <v>1999</v>
      </c>
      <c r="P119" s="210">
        <f t="shared" si="42"/>
        <v>2412</v>
      </c>
      <c r="Q119" s="210">
        <f t="shared" si="42"/>
        <v>2734</v>
      </c>
      <c r="R119" s="210">
        <f t="shared" si="42"/>
        <v>3276</v>
      </c>
      <c r="S119" s="210">
        <f>S42</f>
        <v>3868</v>
      </c>
      <c r="T119" s="210">
        <f>T42</f>
        <v>4389</v>
      </c>
    </row>
    <row r="120" spans="1:20" ht="12.75" thickBot="1">
      <c r="A120" s="30">
        <v>16</v>
      </c>
      <c r="B120" s="218" t="s">
        <v>259</v>
      </c>
      <c r="E120" s="188"/>
      <c r="F120" s="64">
        <f>SUM(F117:F119)</f>
        <v>5525</v>
      </c>
      <c r="G120" s="64">
        <f t="shared" ref="G120:R120" si="43">SUM(G117:G119)</f>
        <v>5724</v>
      </c>
      <c r="H120" s="64">
        <f t="shared" si="43"/>
        <v>6068</v>
      </c>
      <c r="I120" s="64">
        <f t="shared" si="43"/>
        <v>6379</v>
      </c>
      <c r="J120" s="64">
        <f t="shared" si="43"/>
        <v>6391</v>
      </c>
      <c r="K120" s="64">
        <f t="shared" si="43"/>
        <v>6741</v>
      </c>
      <c r="L120" s="64">
        <f t="shared" si="43"/>
        <v>6963</v>
      </c>
      <c r="M120" s="64">
        <f t="shared" si="43"/>
        <v>7413</v>
      </c>
      <c r="N120" s="64">
        <f t="shared" si="43"/>
        <v>7752</v>
      </c>
      <c r="O120" s="64">
        <f t="shared" si="43"/>
        <v>8456</v>
      </c>
      <c r="P120" s="64">
        <f t="shared" si="43"/>
        <v>9127</v>
      </c>
      <c r="Q120" s="64">
        <f t="shared" si="43"/>
        <v>9778</v>
      </c>
      <c r="R120" s="64">
        <f t="shared" si="43"/>
        <v>10692</v>
      </c>
      <c r="S120" s="64">
        <f>SUM(S117:S119)</f>
        <v>12173</v>
      </c>
      <c r="T120" s="64">
        <f>SUM(T117:T119)</f>
        <v>13304</v>
      </c>
    </row>
    <row r="121" spans="1:20" ht="12.75" thickTop="1">
      <c r="A121" s="30"/>
      <c r="B121" s="211"/>
      <c r="D121" s="3" t="s">
        <v>260</v>
      </c>
      <c r="E121" s="188"/>
      <c r="F121" s="93"/>
      <c r="G121" s="123">
        <f>(G120-F120)/F120</f>
        <v>3.6018099547511312E-2</v>
      </c>
      <c r="H121" s="123">
        <f t="shared" ref="H121:T121" si="44">(H120-G120)/G120</f>
        <v>6.0097833682739341E-2</v>
      </c>
      <c r="I121" s="123">
        <f t="shared" si="44"/>
        <v>5.1252471984179301E-2</v>
      </c>
      <c r="J121" s="123">
        <f t="shared" si="44"/>
        <v>1.8811725975858284E-3</v>
      </c>
      <c r="K121" s="123">
        <f t="shared" si="44"/>
        <v>5.4764512595837894E-2</v>
      </c>
      <c r="L121" s="123">
        <f t="shared" si="44"/>
        <v>3.2932799287939477E-2</v>
      </c>
      <c r="M121" s="123">
        <f t="shared" si="44"/>
        <v>6.4627315812149935E-2</v>
      </c>
      <c r="N121" s="123">
        <f t="shared" si="44"/>
        <v>4.5730473492513156E-2</v>
      </c>
      <c r="O121" s="123">
        <f t="shared" si="44"/>
        <v>9.0815273477812181E-2</v>
      </c>
      <c r="P121" s="123">
        <f t="shared" si="44"/>
        <v>7.9351939451277206E-2</v>
      </c>
      <c r="Q121" s="123">
        <f t="shared" si="44"/>
        <v>7.1326832475073959E-2</v>
      </c>
      <c r="R121" s="123">
        <f t="shared" si="44"/>
        <v>9.3475148292084267E-2</v>
      </c>
      <c r="S121" s="123">
        <f t="shared" si="44"/>
        <v>0.1385147774036663</v>
      </c>
      <c r="T121" s="123">
        <f t="shared" si="44"/>
        <v>9.2910539719050361E-2</v>
      </c>
    </row>
    <row r="122" spans="1:20">
      <c r="A122" s="30"/>
      <c r="E122" s="188"/>
      <c r="F122" s="210"/>
      <c r="R122" s="4"/>
      <c r="S122" s="4"/>
      <c r="T122" s="4"/>
    </row>
    <row r="123" spans="1:20">
      <c r="A123" s="30"/>
      <c r="D123" s="3" t="s">
        <v>267</v>
      </c>
      <c r="E123" s="188"/>
      <c r="F123" s="210"/>
      <c r="R123" s="4"/>
      <c r="S123" s="4"/>
      <c r="T123" s="4"/>
    </row>
    <row r="124" spans="1:20">
      <c r="A124" s="30">
        <v>17</v>
      </c>
      <c r="B124" s="211" t="s">
        <v>52</v>
      </c>
      <c r="D124" s="211"/>
      <c r="E124" s="188" t="s">
        <v>264</v>
      </c>
      <c r="F124" s="210">
        <f>F43</f>
        <v>0</v>
      </c>
      <c r="G124" s="210">
        <f t="shared" ref="G124:R124" si="45">G43</f>
        <v>167</v>
      </c>
      <c r="H124" s="210">
        <f t="shared" si="45"/>
        <v>185</v>
      </c>
      <c r="I124" s="210">
        <f t="shared" si="45"/>
        <v>159</v>
      </c>
      <c r="J124" s="210">
        <f t="shared" si="45"/>
        <v>169</v>
      </c>
      <c r="K124" s="210">
        <f t="shared" si="45"/>
        <v>0</v>
      </c>
      <c r="L124" s="210">
        <f t="shared" si="45"/>
        <v>0</v>
      </c>
      <c r="M124" s="210">
        <f t="shared" si="45"/>
        <v>-815</v>
      </c>
      <c r="N124" s="210">
        <f t="shared" si="45"/>
        <v>-242</v>
      </c>
      <c r="O124" s="210">
        <f t="shared" si="45"/>
        <v>440</v>
      </c>
      <c r="P124" s="210">
        <f t="shared" si="45"/>
        <v>216</v>
      </c>
      <c r="Q124" s="210">
        <f t="shared" si="45"/>
        <v>-186</v>
      </c>
      <c r="R124" s="210">
        <f t="shared" si="45"/>
        <v>171</v>
      </c>
      <c r="S124" s="83">
        <f>S43</f>
        <v>91</v>
      </c>
      <c r="T124" s="83">
        <f>T43</f>
        <v>-91</v>
      </c>
    </row>
    <row r="125" spans="1:20">
      <c r="A125" s="30">
        <v>18</v>
      </c>
      <c r="B125" s="28"/>
      <c r="C125" s="28" t="str">
        <f>C112</f>
        <v>Deduct Decoupling Surcharge/Rebate Expenses</v>
      </c>
      <c r="F125" s="210">
        <f>-'Reg Amort and Other RB'!E22</f>
        <v>0</v>
      </c>
      <c r="G125" s="210">
        <f>-'Reg Amort and Other RB'!F22</f>
        <v>0</v>
      </c>
      <c r="H125" s="210">
        <f>-'Reg Amort and Other RB'!G22</f>
        <v>0</v>
      </c>
      <c r="I125" s="210">
        <f>-'Reg Amort and Other RB'!H22</f>
        <v>0</v>
      </c>
      <c r="J125" s="210">
        <f>-'Reg Amort and Other RB'!I22</f>
        <v>0</v>
      </c>
      <c r="K125" s="210">
        <f>-'Reg Amort and Other RB'!J22</f>
        <v>0</v>
      </c>
      <c r="L125" s="210">
        <f>-'Reg Amort and Other RB'!K22</f>
        <v>0</v>
      </c>
      <c r="M125" s="210">
        <f>-'Reg Amort and Other RB'!L22</f>
        <v>-85</v>
      </c>
      <c r="N125" s="210">
        <f>-'Reg Amort and Other RB'!M22</f>
        <v>-432</v>
      </c>
      <c r="O125" s="210">
        <f>-'Reg Amort and Other RB'!N22</f>
        <v>-710</v>
      </c>
      <c r="P125" s="210">
        <f>-'Reg Amort and Other RB'!O22</f>
        <v>-494</v>
      </c>
      <c r="Q125" s="210">
        <f>-'Reg Amort and Other RB'!P22</f>
        <v>-494</v>
      </c>
      <c r="R125" s="210">
        <f>-'Reg Amort and Other RB'!Q22</f>
        <v>-184</v>
      </c>
      <c r="S125" s="83">
        <f>-'Reg Amort and Other RB'!R22</f>
        <v>0</v>
      </c>
      <c r="T125" s="83">
        <f>-'Reg Amort and Other RB'!S22</f>
        <v>0</v>
      </c>
    </row>
    <row r="126" spans="1:20" ht="12.75" thickBot="1">
      <c r="A126" s="30">
        <v>19</v>
      </c>
      <c r="B126" s="66" t="s">
        <v>268</v>
      </c>
      <c r="C126" s="66"/>
      <c r="D126" s="67"/>
      <c r="E126" s="67"/>
      <c r="F126" s="64">
        <f t="shared" ref="F126:R126" si="46">SUM(F124:F125)</f>
        <v>0</v>
      </c>
      <c r="G126" s="64">
        <f t="shared" si="46"/>
        <v>167</v>
      </c>
      <c r="H126" s="64">
        <f t="shared" si="46"/>
        <v>185</v>
      </c>
      <c r="I126" s="64">
        <f t="shared" si="46"/>
        <v>159</v>
      </c>
      <c r="J126" s="64">
        <f t="shared" si="46"/>
        <v>169</v>
      </c>
      <c r="K126" s="64">
        <f t="shared" si="46"/>
        <v>0</v>
      </c>
      <c r="L126" s="64">
        <f t="shared" si="46"/>
        <v>0</v>
      </c>
      <c r="M126" s="64">
        <f t="shared" si="46"/>
        <v>-900</v>
      </c>
      <c r="N126" s="64">
        <f t="shared" si="46"/>
        <v>-674</v>
      </c>
      <c r="O126" s="64">
        <f t="shared" si="46"/>
        <v>-270</v>
      </c>
      <c r="P126" s="64">
        <f t="shared" si="46"/>
        <v>-278</v>
      </c>
      <c r="Q126" s="64">
        <f t="shared" si="46"/>
        <v>-680</v>
      </c>
      <c r="R126" s="64">
        <f t="shared" si="46"/>
        <v>-13</v>
      </c>
      <c r="S126" s="63">
        <f>SUM(S124:S125)</f>
        <v>91</v>
      </c>
      <c r="T126" s="63">
        <f>SUM(T124:T125)</f>
        <v>-91</v>
      </c>
    </row>
    <row r="127" spans="1:20" ht="9" customHeight="1" thickTop="1">
      <c r="A127" s="30"/>
      <c r="R127" s="4"/>
      <c r="S127" s="4"/>
      <c r="T127" s="4"/>
    </row>
    <row r="128" spans="1:20">
      <c r="A128" s="30"/>
      <c r="D128" s="3" t="s">
        <v>274</v>
      </c>
      <c r="R128" s="4"/>
      <c r="S128" s="4"/>
      <c r="T128" s="4"/>
    </row>
    <row r="129" spans="1:20">
      <c r="A129" s="30">
        <v>20</v>
      </c>
      <c r="C129" s="28" t="s">
        <v>16</v>
      </c>
      <c r="D129" s="211"/>
      <c r="E129" s="188" t="s">
        <v>276</v>
      </c>
      <c r="F129" s="210">
        <f>F27</f>
        <v>111</v>
      </c>
      <c r="G129" s="210">
        <f t="shared" ref="G129:R129" si="47">G27</f>
        <v>108</v>
      </c>
      <c r="H129" s="210">
        <f t="shared" si="47"/>
        <v>120</v>
      </c>
      <c r="I129" s="210">
        <f t="shared" si="47"/>
        <v>118</v>
      </c>
      <c r="J129" s="210">
        <f t="shared" si="47"/>
        <v>120</v>
      </c>
      <c r="K129" s="210">
        <f t="shared" si="47"/>
        <v>115</v>
      </c>
      <c r="L129" s="210">
        <f t="shared" si="47"/>
        <v>122</v>
      </c>
      <c r="M129" s="210">
        <f t="shared" si="47"/>
        <v>95</v>
      </c>
      <c r="N129" s="210">
        <f t="shared" si="47"/>
        <v>113</v>
      </c>
      <c r="O129" s="210">
        <f t="shared" si="47"/>
        <v>121</v>
      </c>
      <c r="P129" s="210">
        <f t="shared" si="47"/>
        <v>116</v>
      </c>
      <c r="Q129" s="210">
        <f t="shared" si="47"/>
        <v>19</v>
      </c>
      <c r="R129" s="210">
        <f t="shared" si="47"/>
        <v>17</v>
      </c>
      <c r="S129" s="210">
        <f>S27</f>
        <v>158</v>
      </c>
      <c r="T129" s="210">
        <f>T27</f>
        <v>184</v>
      </c>
    </row>
    <row r="130" spans="1:20">
      <c r="A130" s="30">
        <v>21</v>
      </c>
      <c r="C130" s="28" t="s">
        <v>19</v>
      </c>
      <c r="E130" s="188" t="s">
        <v>277</v>
      </c>
      <c r="F130" s="210">
        <f>F33</f>
        <v>4919</v>
      </c>
      <c r="G130" s="210">
        <f t="shared" ref="G130:R130" si="48">G33</f>
        <v>7315</v>
      </c>
      <c r="H130" s="210">
        <f t="shared" si="48"/>
        <v>8070</v>
      </c>
      <c r="I130" s="210">
        <f t="shared" si="48"/>
        <v>7205</v>
      </c>
      <c r="J130" s="210">
        <f t="shared" si="48"/>
        <v>8213</v>
      </c>
      <c r="K130" s="210">
        <f t="shared" si="48"/>
        <v>8573</v>
      </c>
      <c r="L130" s="210">
        <f t="shared" si="48"/>
        <v>9457</v>
      </c>
      <c r="M130" s="210">
        <f t="shared" si="48"/>
        <v>9844</v>
      </c>
      <c r="N130" s="210">
        <f t="shared" si="48"/>
        <v>8941</v>
      </c>
      <c r="O130" s="210">
        <f t="shared" si="48"/>
        <v>8746</v>
      </c>
      <c r="P130" s="210">
        <f t="shared" si="48"/>
        <v>7223</v>
      </c>
      <c r="Q130" s="210">
        <f t="shared" si="48"/>
        <v>8050.6743270000006</v>
      </c>
      <c r="R130" s="210">
        <f t="shared" si="48"/>
        <v>7825</v>
      </c>
      <c r="S130" s="210">
        <f>S33</f>
        <v>8116</v>
      </c>
      <c r="T130" s="210">
        <f>T33</f>
        <v>8719</v>
      </c>
    </row>
    <row r="131" spans="1:20">
      <c r="A131" s="30">
        <v>22</v>
      </c>
      <c r="C131" s="3" t="s">
        <v>24</v>
      </c>
      <c r="E131" s="188" t="s">
        <v>278</v>
      </c>
      <c r="F131" s="210">
        <f>F44</f>
        <v>22</v>
      </c>
      <c r="G131" s="210">
        <f t="shared" ref="G131:R131" si="49">G44</f>
        <v>21</v>
      </c>
      <c r="H131" s="210">
        <f t="shared" si="49"/>
        <v>23</v>
      </c>
      <c r="I131" s="210">
        <f t="shared" si="49"/>
        <v>24</v>
      </c>
      <c r="J131" s="210">
        <f t="shared" si="49"/>
        <v>24</v>
      </c>
      <c r="K131" s="210">
        <f t="shared" si="49"/>
        <v>23</v>
      </c>
      <c r="L131" s="210">
        <f t="shared" si="49"/>
        <v>24</v>
      </c>
      <c r="M131" s="210">
        <f t="shared" si="49"/>
        <v>20</v>
      </c>
      <c r="N131" s="210">
        <f t="shared" si="49"/>
        <v>17</v>
      </c>
      <c r="O131" s="210">
        <f t="shared" si="49"/>
        <v>19</v>
      </c>
      <c r="P131" s="210">
        <f t="shared" si="49"/>
        <v>24</v>
      </c>
      <c r="Q131" s="210">
        <f t="shared" si="49"/>
        <v>0</v>
      </c>
      <c r="R131" s="210">
        <f t="shared" si="49"/>
        <v>-1</v>
      </c>
      <c r="S131" s="210">
        <f>S44</f>
        <v>0</v>
      </c>
      <c r="T131" s="210">
        <f>T44</f>
        <v>0</v>
      </c>
    </row>
    <row r="132" spans="1:20">
      <c r="A132" s="30">
        <v>23</v>
      </c>
      <c r="B132" s="3" t="s">
        <v>279</v>
      </c>
      <c r="F132" s="209">
        <f>F27+F33+F44</f>
        <v>5052</v>
      </c>
      <c r="G132" s="209">
        <f t="shared" ref="G132:R132" si="50">G27+G33+G44</f>
        <v>7444</v>
      </c>
      <c r="H132" s="209">
        <f t="shared" si="50"/>
        <v>8213</v>
      </c>
      <c r="I132" s="209">
        <f t="shared" si="50"/>
        <v>7347</v>
      </c>
      <c r="J132" s="209">
        <f t="shared" si="50"/>
        <v>8357</v>
      </c>
      <c r="K132" s="209">
        <f t="shared" si="50"/>
        <v>8711</v>
      </c>
      <c r="L132" s="209">
        <f t="shared" si="50"/>
        <v>9603</v>
      </c>
      <c r="M132" s="209">
        <f t="shared" si="50"/>
        <v>9959</v>
      </c>
      <c r="N132" s="209">
        <f t="shared" si="50"/>
        <v>9071</v>
      </c>
      <c r="O132" s="209">
        <f t="shared" si="50"/>
        <v>8886</v>
      </c>
      <c r="P132" s="209">
        <f t="shared" si="50"/>
        <v>7363</v>
      </c>
      <c r="Q132" s="209">
        <f t="shared" si="50"/>
        <v>8069.6743270000006</v>
      </c>
      <c r="R132" s="209">
        <f t="shared" si="50"/>
        <v>7841</v>
      </c>
      <c r="S132" s="209">
        <f>S27+S33+S44</f>
        <v>8274</v>
      </c>
      <c r="T132" s="209">
        <f>T27+T33+T44</f>
        <v>8903</v>
      </c>
    </row>
    <row r="133" spans="1:20">
      <c r="A133" s="30">
        <v>24</v>
      </c>
      <c r="B133" s="28"/>
      <c r="C133" s="28" t="s">
        <v>281</v>
      </c>
      <c r="F133" s="83">
        <f>'Riders and Gas Cost Revenue'!H32</f>
        <v>-2304</v>
      </c>
      <c r="G133" s="83">
        <f>'Riders and Gas Cost Revenue'!J32</f>
        <v>-4287</v>
      </c>
      <c r="H133" s="83">
        <f>'Riders and Gas Cost Revenue'!L32</f>
        <v>-4425</v>
      </c>
      <c r="I133" s="83">
        <f>'Riders and Gas Cost Revenue'!N32</f>
        <v>-3899</v>
      </c>
      <c r="J133" s="83">
        <f>'Riders and Gas Cost Revenue'!P32</f>
        <v>-4592</v>
      </c>
      <c r="K133" s="83">
        <f>'Riders and Gas Cost Revenue'!R32</f>
        <v>-5240</v>
      </c>
      <c r="L133" s="83">
        <f>'Riders and Gas Cost Revenue'!T32</f>
        <v>-6014</v>
      </c>
      <c r="M133" s="83">
        <f>'Riders and Gas Cost Revenue'!W32</f>
        <v>-6261</v>
      </c>
      <c r="N133" s="83">
        <f>'Riders and Gas Cost Revenue'!Z32</f>
        <v>-5917</v>
      </c>
      <c r="O133" s="83">
        <f>'Riders and Gas Cost Revenue'!AC32</f>
        <v>-4858</v>
      </c>
      <c r="P133" s="83">
        <f>'Riders and Gas Cost Revenue'!AF32</f>
        <v>-3171</v>
      </c>
      <c r="Q133" s="83">
        <f>'Riders and Gas Cost Revenue'!AI32</f>
        <v>-3374</v>
      </c>
      <c r="R133" s="83">
        <f>'Riders and Gas Cost Revenue'!AL32</f>
        <v>-3003</v>
      </c>
      <c r="S133" s="83">
        <f>'Riders and Gas Cost Revenue'!AO32</f>
        <v>-3083</v>
      </c>
      <c r="T133" s="83">
        <f>'Riders and Gas Cost Revenue'!AR32</f>
        <v>-3380</v>
      </c>
    </row>
    <row r="134" spans="1:20">
      <c r="A134" s="30">
        <v>25</v>
      </c>
      <c r="C134" s="3" t="s">
        <v>280</v>
      </c>
      <c r="F134" s="210">
        <f>'Riders and Gas Cost Revenue'!G32</f>
        <v>0</v>
      </c>
      <c r="G134" s="210">
        <f>'Riders and Gas Cost Revenue'!I32</f>
        <v>-38</v>
      </c>
      <c r="H134" s="210">
        <f>'Riders and Gas Cost Revenue'!K32</f>
        <v>-68</v>
      </c>
      <c r="I134" s="210">
        <f>'Riders and Gas Cost Revenue'!M32</f>
        <v>-81</v>
      </c>
      <c r="J134" s="210">
        <f>'Riders and Gas Cost Revenue'!O32</f>
        <v>0</v>
      </c>
      <c r="K134" s="210">
        <f>'Riders and Gas Cost Revenue'!Q32</f>
        <v>-114</v>
      </c>
      <c r="L134" s="210">
        <f>'Riders and Gas Cost Revenue'!S32</f>
        <v>0</v>
      </c>
      <c r="M134" s="210">
        <f>'Riders and Gas Cost Revenue'!U32</f>
        <v>-154</v>
      </c>
      <c r="N134" s="210">
        <f>'Riders and Gas Cost Revenue'!X32</f>
        <v>-176</v>
      </c>
      <c r="O134" s="210">
        <f>'Riders and Gas Cost Revenue'!AA32</f>
        <v>-272</v>
      </c>
      <c r="P134" s="210">
        <f>'Riders and Gas Cost Revenue'!AD32</f>
        <v>-338</v>
      </c>
      <c r="Q134" s="210">
        <f>'Riders and Gas Cost Revenue'!AG32</f>
        <v>-359</v>
      </c>
      <c r="R134" s="210">
        <f>'Riders and Gas Cost Revenue'!AJ32</f>
        <v>-239</v>
      </c>
      <c r="S134" s="210">
        <f>'Riders and Gas Cost Revenue'!AM32</f>
        <v>0</v>
      </c>
      <c r="T134" s="210">
        <f>'Riders and Gas Cost Revenue'!AP32</f>
        <v>0</v>
      </c>
    </row>
    <row r="135" spans="1:20">
      <c r="A135" s="30">
        <v>26</v>
      </c>
      <c r="C135" s="3" t="s">
        <v>282</v>
      </c>
      <c r="F135" s="208">
        <v>0</v>
      </c>
      <c r="G135" s="208">
        <v>0</v>
      </c>
      <c r="H135" s="208">
        <v>0</v>
      </c>
      <c r="I135" s="208">
        <v>0</v>
      </c>
      <c r="J135" s="208">
        <v>0</v>
      </c>
      <c r="K135" s="208">
        <v>0</v>
      </c>
      <c r="L135" s="208">
        <v>0</v>
      </c>
      <c r="M135" s="208">
        <f>'Riders and Gas Cost Revenue'!V32</f>
        <v>-3</v>
      </c>
      <c r="N135" s="208">
        <f>'Riders and Gas Cost Revenue'!Y32</f>
        <v>-17</v>
      </c>
      <c r="O135" s="208">
        <f>'Riders and Gas Cost Revenue'!AB32</f>
        <v>-28</v>
      </c>
      <c r="P135" s="208">
        <f>'Riders and Gas Cost Revenue'!AE32</f>
        <v>-20</v>
      </c>
      <c r="Q135" s="208">
        <f>'Riders and Gas Cost Revenue'!AH32</f>
        <v>-20</v>
      </c>
      <c r="R135" s="208">
        <f>'Riders and Gas Cost Revenue'!AK32</f>
        <v>-7</v>
      </c>
      <c r="S135" s="208">
        <f>'Riders and Gas Cost Revenue'!AN32</f>
        <v>0</v>
      </c>
      <c r="T135" s="208">
        <f>'Riders and Gas Cost Revenue'!AQ32</f>
        <v>0</v>
      </c>
    </row>
    <row r="136" spans="1:20" ht="12.75" thickBot="1">
      <c r="A136" s="30">
        <v>27</v>
      </c>
      <c r="B136" s="67" t="s">
        <v>275</v>
      </c>
      <c r="C136" s="67"/>
      <c r="D136" s="67"/>
      <c r="E136" s="67"/>
      <c r="F136" s="64">
        <f>SUM(F132:F135)</f>
        <v>2748</v>
      </c>
      <c r="G136" s="64">
        <f t="shared" ref="G136:L136" si="51">SUM(G132:G135)</f>
        <v>3119</v>
      </c>
      <c r="H136" s="64">
        <f t="shared" si="51"/>
        <v>3720</v>
      </c>
      <c r="I136" s="64">
        <f t="shared" si="51"/>
        <v>3367</v>
      </c>
      <c r="J136" s="64">
        <f t="shared" si="51"/>
        <v>3765</v>
      </c>
      <c r="K136" s="64">
        <f t="shared" si="51"/>
        <v>3357</v>
      </c>
      <c r="L136" s="64">
        <f t="shared" si="51"/>
        <v>3589</v>
      </c>
      <c r="M136" s="64">
        <f t="shared" ref="M136:S136" si="52">SUM(M132:M135)</f>
        <v>3541</v>
      </c>
      <c r="N136" s="64">
        <f t="shared" si="52"/>
        <v>2961</v>
      </c>
      <c r="O136" s="64">
        <f t="shared" si="52"/>
        <v>3728</v>
      </c>
      <c r="P136" s="64">
        <f t="shared" si="52"/>
        <v>3834</v>
      </c>
      <c r="Q136" s="64">
        <f t="shared" si="52"/>
        <v>4316.6743270000006</v>
      </c>
      <c r="R136" s="64">
        <f t="shared" si="52"/>
        <v>4592</v>
      </c>
      <c r="S136" s="64">
        <f t="shared" si="52"/>
        <v>5191</v>
      </c>
      <c r="T136" s="64">
        <f t="shared" ref="T136" si="53">SUM(T132:T135)</f>
        <v>5523</v>
      </c>
    </row>
    <row r="137" spans="1:20" ht="12.75" thickTop="1">
      <c r="A137" s="150"/>
      <c r="B137" s="67"/>
      <c r="C137" s="67"/>
      <c r="D137" s="3" t="s">
        <v>260</v>
      </c>
      <c r="E137" s="67"/>
      <c r="F137" s="93"/>
      <c r="G137" s="123">
        <f>(G136-F136)/F136</f>
        <v>0.13500727802037846</v>
      </c>
      <c r="H137" s="123">
        <f t="shared" ref="H137:T137" si="54">(H136-G136)/G136</f>
        <v>0.192689964732286</v>
      </c>
      <c r="I137" s="123">
        <f t="shared" si="54"/>
        <v>-9.4892473118279572E-2</v>
      </c>
      <c r="J137" s="123">
        <f t="shared" si="54"/>
        <v>0.1182061182061182</v>
      </c>
      <c r="K137" s="123">
        <f t="shared" si="54"/>
        <v>-0.10836653386454183</v>
      </c>
      <c r="L137" s="123">
        <f t="shared" si="54"/>
        <v>6.9109323801012812E-2</v>
      </c>
      <c r="M137" s="123">
        <f t="shared" si="54"/>
        <v>-1.337419894120925E-2</v>
      </c>
      <c r="N137" s="123">
        <f t="shared" si="54"/>
        <v>-0.16379553798362045</v>
      </c>
      <c r="O137" s="123">
        <f t="shared" si="54"/>
        <v>0.25903411009793986</v>
      </c>
      <c r="P137" s="123">
        <f t="shared" si="54"/>
        <v>2.8433476394849784E-2</v>
      </c>
      <c r="Q137" s="123">
        <f t="shared" si="54"/>
        <v>0.12589314736567569</v>
      </c>
      <c r="R137" s="123">
        <f t="shared" si="54"/>
        <v>6.3781896002181149E-2</v>
      </c>
      <c r="S137" s="123">
        <f t="shared" si="54"/>
        <v>0.13044425087108014</v>
      </c>
      <c r="T137" s="123">
        <f t="shared" si="54"/>
        <v>6.3956848391446733E-2</v>
      </c>
    </row>
    <row r="138" spans="1:20">
      <c r="A138" s="150"/>
      <c r="B138" s="67"/>
      <c r="C138" s="67"/>
      <c r="E138" s="67"/>
      <c r="F138" s="93"/>
      <c r="G138" s="123"/>
      <c r="H138" s="123"/>
      <c r="I138" s="123"/>
      <c r="J138" s="123"/>
      <c r="K138" s="123"/>
      <c r="L138" s="123"/>
      <c r="M138" s="123"/>
      <c r="N138" s="123"/>
      <c r="O138" s="123"/>
      <c r="P138" s="123"/>
      <c r="Q138" s="123"/>
      <c r="R138" s="123"/>
      <c r="S138" s="123"/>
      <c r="T138" s="123"/>
    </row>
    <row r="139" spans="1:20" ht="12.75" thickBot="1">
      <c r="A139" s="30">
        <v>28</v>
      </c>
      <c r="B139" s="67" t="s">
        <v>283</v>
      </c>
      <c r="C139" s="67"/>
      <c r="E139" s="188" t="s">
        <v>284</v>
      </c>
      <c r="F139" s="64">
        <f>F84</f>
        <v>124885</v>
      </c>
      <c r="G139" s="64">
        <f t="shared" ref="G139:R139" si="55">G84</f>
        <v>129500</v>
      </c>
      <c r="H139" s="64">
        <f t="shared" si="55"/>
        <v>129740</v>
      </c>
      <c r="I139" s="64">
        <f t="shared" si="55"/>
        <v>125044</v>
      </c>
      <c r="J139" s="64">
        <f t="shared" si="55"/>
        <v>124950</v>
      </c>
      <c r="K139" s="64">
        <f t="shared" si="55"/>
        <v>132617</v>
      </c>
      <c r="L139" s="64">
        <f t="shared" si="55"/>
        <v>140789</v>
      </c>
      <c r="M139" s="64">
        <f t="shared" si="55"/>
        <v>145500</v>
      </c>
      <c r="N139" s="64">
        <f t="shared" si="55"/>
        <v>154054</v>
      </c>
      <c r="O139" s="64">
        <f t="shared" si="55"/>
        <v>173806</v>
      </c>
      <c r="P139" s="64">
        <f t="shared" si="55"/>
        <v>177901</v>
      </c>
      <c r="Q139" s="64">
        <f t="shared" si="55"/>
        <v>183553</v>
      </c>
      <c r="R139" s="64">
        <f t="shared" si="55"/>
        <v>195287</v>
      </c>
      <c r="S139" s="64">
        <f>S84</f>
        <v>207759</v>
      </c>
      <c r="T139" s="64">
        <f>T84</f>
        <v>225901</v>
      </c>
    </row>
    <row r="140" spans="1:20" ht="12.75" thickTop="1">
      <c r="A140" s="150"/>
      <c r="B140" s="67"/>
      <c r="C140" s="67"/>
      <c r="D140" s="3" t="s">
        <v>260</v>
      </c>
      <c r="E140" s="67"/>
      <c r="F140" s="93"/>
      <c r="G140" s="123">
        <f>(G139-F139)/F139</f>
        <v>3.6953997677863636E-2</v>
      </c>
      <c r="H140" s="123">
        <f t="shared" ref="H140:T140" si="56">(H139-G139)/G139</f>
        <v>1.8532818532818532E-3</v>
      </c>
      <c r="I140" s="123">
        <f t="shared" si="56"/>
        <v>-3.619546785879451E-2</v>
      </c>
      <c r="J140" s="123">
        <f t="shared" si="56"/>
        <v>-7.5173538914302164E-4</v>
      </c>
      <c r="K140" s="123">
        <f t="shared" si="56"/>
        <v>6.1360544217687073E-2</v>
      </c>
      <c r="L140" s="123">
        <f t="shared" si="56"/>
        <v>6.1621059140230888E-2</v>
      </c>
      <c r="M140" s="123">
        <f t="shared" si="56"/>
        <v>3.3461420991696793E-2</v>
      </c>
      <c r="N140" s="123">
        <f t="shared" si="56"/>
        <v>5.8790378006872854E-2</v>
      </c>
      <c r="O140" s="123">
        <f t="shared" si="56"/>
        <v>0.12821478182974802</v>
      </c>
      <c r="P140" s="123">
        <f t="shared" si="56"/>
        <v>2.3560751642636043E-2</v>
      </c>
      <c r="Q140" s="123">
        <f t="shared" si="56"/>
        <v>3.177047908668304E-2</v>
      </c>
      <c r="R140" s="123">
        <f t="shared" si="56"/>
        <v>6.3927040146442723E-2</v>
      </c>
      <c r="S140" s="123">
        <f t="shared" si="56"/>
        <v>6.3864978211555304E-2</v>
      </c>
      <c r="T140" s="123">
        <f t="shared" si="56"/>
        <v>8.7322330199895076E-2</v>
      </c>
    </row>
    <row r="141" spans="1:20">
      <c r="A141" s="150"/>
      <c r="B141" s="67"/>
      <c r="C141" s="67"/>
      <c r="E141" s="67"/>
      <c r="F141" s="93"/>
      <c r="G141" s="123"/>
      <c r="H141" s="123"/>
      <c r="I141" s="123"/>
      <c r="J141" s="123"/>
      <c r="K141" s="123"/>
      <c r="L141" s="123"/>
      <c r="M141" s="123"/>
      <c r="N141" s="123"/>
      <c r="O141" s="123"/>
      <c r="P141" s="123"/>
      <c r="Q141" s="123"/>
      <c r="R141" s="123"/>
      <c r="S141" s="123"/>
      <c r="T141" s="123"/>
    </row>
    <row r="142" spans="1:20" ht="12.75" thickBot="1">
      <c r="A142" s="30">
        <v>29</v>
      </c>
      <c r="B142" s="67" t="s">
        <v>285</v>
      </c>
      <c r="C142" s="67"/>
      <c r="E142" s="188" t="s">
        <v>286</v>
      </c>
      <c r="F142" s="64">
        <f>F91</f>
        <v>130920</v>
      </c>
      <c r="G142" s="64">
        <f t="shared" ref="G142:R142" si="57">G91</f>
        <v>135524</v>
      </c>
      <c r="H142" s="64">
        <f t="shared" si="57"/>
        <v>136362</v>
      </c>
      <c r="I142" s="64">
        <f t="shared" si="57"/>
        <v>131627</v>
      </c>
      <c r="J142" s="64">
        <f t="shared" si="57"/>
        <v>130718</v>
      </c>
      <c r="K142" s="64">
        <f t="shared" si="57"/>
        <v>140796</v>
      </c>
      <c r="L142" s="64">
        <f t="shared" si="57"/>
        <v>149362</v>
      </c>
      <c r="M142" s="64">
        <f t="shared" si="57"/>
        <v>151699</v>
      </c>
      <c r="N142" s="64">
        <f t="shared" si="57"/>
        <v>169681</v>
      </c>
      <c r="O142" s="64">
        <f t="shared" si="57"/>
        <v>180778</v>
      </c>
      <c r="P142" s="64">
        <f t="shared" si="57"/>
        <v>186920</v>
      </c>
      <c r="Q142" s="64">
        <f t="shared" si="57"/>
        <v>196280</v>
      </c>
      <c r="R142" s="64">
        <f t="shared" si="57"/>
        <v>207578</v>
      </c>
      <c r="S142" s="64">
        <f>S91</f>
        <v>224824</v>
      </c>
      <c r="T142" s="64">
        <f>T91</f>
        <v>250257</v>
      </c>
    </row>
    <row r="143" spans="1:20" ht="12.75" thickTop="1">
      <c r="A143" s="150"/>
      <c r="B143" s="67"/>
      <c r="C143" s="67"/>
      <c r="E143" s="67"/>
      <c r="F143" s="93"/>
      <c r="G143" s="123">
        <f>(G142-F142)/F142</f>
        <v>3.516651390161931E-2</v>
      </c>
      <c r="H143" s="123">
        <f t="shared" ref="H143:T143" si="58">(H142-G142)/G142</f>
        <v>6.1834066290841474E-3</v>
      </c>
      <c r="I143" s="123">
        <f t="shared" si="58"/>
        <v>-3.4723750018333555E-2</v>
      </c>
      <c r="J143" s="123">
        <f t="shared" si="58"/>
        <v>-6.9058779733641275E-3</v>
      </c>
      <c r="K143" s="123">
        <f t="shared" si="58"/>
        <v>7.709726281001851E-2</v>
      </c>
      <c r="L143" s="123">
        <f t="shared" si="58"/>
        <v>6.0839796585130258E-2</v>
      </c>
      <c r="M143" s="123">
        <f t="shared" si="58"/>
        <v>1.5646549992635341E-2</v>
      </c>
      <c r="N143" s="123">
        <f t="shared" si="58"/>
        <v>0.11853736675917442</v>
      </c>
      <c r="O143" s="123">
        <f t="shared" si="58"/>
        <v>6.5399190245224864E-2</v>
      </c>
      <c r="P143" s="123">
        <f t="shared" si="58"/>
        <v>3.3975373109559795E-2</v>
      </c>
      <c r="Q143" s="123">
        <f t="shared" si="58"/>
        <v>5.0074898352236254E-2</v>
      </c>
      <c r="R143" s="123">
        <f t="shared" si="58"/>
        <v>5.7560627674750356E-2</v>
      </c>
      <c r="S143" s="123">
        <f t="shared" si="58"/>
        <v>8.3082022179614412E-2</v>
      </c>
      <c r="T143" s="123">
        <f t="shared" si="58"/>
        <v>0.11312404369640251</v>
      </c>
    </row>
    <row r="144" spans="1:20" ht="7.5" customHeight="1">
      <c r="A144" s="150"/>
      <c r="B144" s="67"/>
      <c r="C144" s="67"/>
      <c r="E144" s="67"/>
      <c r="F144" s="93"/>
      <c r="G144" s="123"/>
      <c r="H144" s="123"/>
      <c r="I144" s="123"/>
      <c r="J144" s="123"/>
      <c r="K144" s="123"/>
      <c r="L144" s="123"/>
      <c r="M144" s="123"/>
      <c r="N144" s="123"/>
      <c r="O144" s="123"/>
      <c r="P144" s="123"/>
      <c r="Q144" s="123"/>
      <c r="R144" s="123"/>
      <c r="S144" s="123"/>
      <c r="T144" s="123"/>
    </row>
    <row r="145" spans="1:20">
      <c r="A145" s="150"/>
      <c r="B145" s="67"/>
      <c r="C145" s="67"/>
      <c r="D145" s="3" t="s">
        <v>289</v>
      </c>
      <c r="E145" s="67"/>
      <c r="F145" s="93"/>
      <c r="G145" s="93"/>
      <c r="H145" s="93"/>
      <c r="I145" s="93"/>
      <c r="J145" s="93"/>
      <c r="K145" s="93"/>
      <c r="L145" s="93"/>
      <c r="M145" s="93"/>
      <c r="N145" s="93"/>
      <c r="O145" s="93"/>
      <c r="P145" s="93"/>
      <c r="Q145" s="93"/>
      <c r="R145" s="93"/>
      <c r="S145" s="93"/>
      <c r="T145" s="93"/>
    </row>
    <row r="146" spans="1:20">
      <c r="A146" s="30">
        <v>30</v>
      </c>
      <c r="B146" s="3" t="s">
        <v>291</v>
      </c>
      <c r="C146" s="67"/>
      <c r="D146" s="67"/>
      <c r="E146" s="188" t="s">
        <v>287</v>
      </c>
      <c r="F146" s="93">
        <f>F14</f>
        <v>2377</v>
      </c>
      <c r="G146" s="93">
        <f t="shared" ref="G146:R146" si="59">G14</f>
        <v>2541</v>
      </c>
      <c r="H146" s="93">
        <f t="shared" si="59"/>
        <v>2340</v>
      </c>
      <c r="I146" s="93">
        <f t="shared" si="59"/>
        <v>2183</v>
      </c>
      <c r="J146" s="93">
        <f t="shared" si="59"/>
        <v>2168</v>
      </c>
      <c r="K146" s="93">
        <f t="shared" si="59"/>
        <v>30131</v>
      </c>
      <c r="L146" s="93">
        <f t="shared" si="59"/>
        <v>2372</v>
      </c>
      <c r="M146" s="93">
        <f t="shared" si="59"/>
        <v>68416</v>
      </c>
      <c r="N146" s="93">
        <f t="shared" si="59"/>
        <v>153093</v>
      </c>
      <c r="O146" s="93">
        <f t="shared" si="59"/>
        <v>84085</v>
      </c>
      <c r="P146" s="93">
        <f t="shared" si="59"/>
        <v>115257</v>
      </c>
      <c r="Q146" s="93">
        <f t="shared" si="59"/>
        <v>98841</v>
      </c>
      <c r="R146" s="93">
        <f t="shared" si="59"/>
        <v>68107</v>
      </c>
      <c r="S146" s="93">
        <f>S14</f>
        <v>403</v>
      </c>
      <c r="T146" s="93">
        <f>T14</f>
        <v>332</v>
      </c>
    </row>
    <row r="147" spans="1:20">
      <c r="A147" s="30">
        <v>31</v>
      </c>
      <c r="B147" s="3" t="s">
        <v>288</v>
      </c>
      <c r="C147" s="67"/>
      <c r="D147" s="67"/>
      <c r="E147" s="67"/>
      <c r="F147" s="93">
        <f>'Riders and Gas Cost Revenue'!H13</f>
        <v>-242</v>
      </c>
      <c r="G147" s="93">
        <f>'Riders and Gas Cost Revenue'!J13</f>
        <v>-244</v>
      </c>
      <c r="H147" s="93">
        <f>'Riders and Gas Cost Revenue'!L13</f>
        <v>-144</v>
      </c>
      <c r="I147" s="93">
        <f>'Riders and Gas Cost Revenue'!N13</f>
        <v>0</v>
      </c>
      <c r="J147" s="93">
        <f>'Riders and Gas Cost Revenue'!P13</f>
        <v>0</v>
      </c>
      <c r="K147" s="93">
        <f>'Riders and Gas Cost Revenue'!R13</f>
        <v>-28334</v>
      </c>
      <c r="L147" s="93">
        <f>'Riders and Gas Cost Revenue'!T13</f>
        <v>0</v>
      </c>
      <c r="M147" s="93">
        <f>'Riders and Gas Cost Revenue'!W13</f>
        <v>-66686</v>
      </c>
      <c r="N147" s="93">
        <f>'Riders and Gas Cost Revenue'!Z13</f>
        <v>-153018</v>
      </c>
      <c r="O147" s="93">
        <f>'Riders and Gas Cost Revenue'!AC13</f>
        <v>-83992</v>
      </c>
      <c r="P147" s="93">
        <f>'Riders and Gas Cost Revenue'!AF13</f>
        <v>-115193</v>
      </c>
      <c r="Q147" s="93">
        <f>'Riders and Gas Cost Revenue'!AI13</f>
        <v>-98794</v>
      </c>
      <c r="R147" s="93">
        <f>'Riders and Gas Cost Revenue'!AL13</f>
        <v>-67822</v>
      </c>
      <c r="S147" s="247">
        <f>'Riders and Gas Cost Revenue'!AO13</f>
        <v>0</v>
      </c>
      <c r="T147" s="247">
        <f>'Riders and Gas Cost Revenue'!AR13</f>
        <v>0</v>
      </c>
    </row>
    <row r="148" spans="1:20">
      <c r="A148" s="30">
        <v>32</v>
      </c>
      <c r="B148" s="3" t="s">
        <v>292</v>
      </c>
      <c r="C148" s="67"/>
      <c r="D148" s="67"/>
      <c r="E148" s="67"/>
      <c r="F148" s="93">
        <v>-2130</v>
      </c>
      <c r="G148" s="93">
        <v>-2289</v>
      </c>
      <c r="H148" s="93">
        <v>-2187</v>
      </c>
      <c r="I148" s="93">
        <v>-2174</v>
      </c>
      <c r="J148" s="93">
        <v>-2156</v>
      </c>
      <c r="K148" s="93">
        <v>-1723</v>
      </c>
      <c r="L148" s="93">
        <v>-2361</v>
      </c>
      <c r="M148" s="93">
        <v>-1717</v>
      </c>
      <c r="N148" s="93">
        <v>0</v>
      </c>
      <c r="O148" s="93">
        <v>0</v>
      </c>
      <c r="P148" s="93">
        <v>0</v>
      </c>
      <c r="Q148" s="93">
        <v>0</v>
      </c>
      <c r="R148" s="93">
        <v>0</v>
      </c>
      <c r="S148" s="93">
        <v>0</v>
      </c>
      <c r="T148" s="93">
        <v>0</v>
      </c>
    </row>
    <row r="149" spans="1:20" ht="12.75" thickBot="1">
      <c r="A149" s="30">
        <v>33</v>
      </c>
      <c r="B149" s="67" t="s">
        <v>290</v>
      </c>
      <c r="C149" s="67"/>
      <c r="D149" s="67"/>
      <c r="E149" s="67"/>
      <c r="F149" s="64">
        <f>SUM(F146:F148)</f>
        <v>5</v>
      </c>
      <c r="G149" s="64">
        <f t="shared" ref="G149:R149" si="60">SUM(G146:G148)</f>
        <v>8</v>
      </c>
      <c r="H149" s="64">
        <f t="shared" si="60"/>
        <v>9</v>
      </c>
      <c r="I149" s="64">
        <f t="shared" si="60"/>
        <v>9</v>
      </c>
      <c r="J149" s="64">
        <f t="shared" si="60"/>
        <v>12</v>
      </c>
      <c r="K149" s="64">
        <f t="shared" si="60"/>
        <v>74</v>
      </c>
      <c r="L149" s="64">
        <f t="shared" si="60"/>
        <v>11</v>
      </c>
      <c r="M149" s="64">
        <f t="shared" si="60"/>
        <v>13</v>
      </c>
      <c r="N149" s="64">
        <f t="shared" si="60"/>
        <v>75</v>
      </c>
      <c r="O149" s="64">
        <f t="shared" si="60"/>
        <v>93</v>
      </c>
      <c r="P149" s="64">
        <f t="shared" si="60"/>
        <v>64</v>
      </c>
      <c r="Q149" s="64">
        <f t="shared" si="60"/>
        <v>47</v>
      </c>
      <c r="R149" s="64">
        <f t="shared" si="60"/>
        <v>285</v>
      </c>
      <c r="S149" s="64">
        <f>SUM(S146:S148)</f>
        <v>403</v>
      </c>
      <c r="T149" s="64">
        <f>SUM(T146:T148)</f>
        <v>332</v>
      </c>
    </row>
    <row r="150" spans="1:20" ht="12.75" thickTop="1">
      <c r="A150" s="30"/>
      <c r="B150" s="67"/>
      <c r="C150" s="67"/>
      <c r="D150" s="3" t="s">
        <v>260</v>
      </c>
      <c r="E150" s="67"/>
      <c r="F150" s="93"/>
      <c r="G150" s="123">
        <f>(G149-F149)/F149</f>
        <v>0.6</v>
      </c>
      <c r="H150" s="123">
        <f t="shared" ref="H150:T150" si="61">(H149-G149)/G149</f>
        <v>0.125</v>
      </c>
      <c r="I150" s="123">
        <f t="shared" si="61"/>
        <v>0</v>
      </c>
      <c r="J150" s="123">
        <f t="shared" si="61"/>
        <v>0.33333333333333331</v>
      </c>
      <c r="K150" s="123">
        <f t="shared" si="61"/>
        <v>5.166666666666667</v>
      </c>
      <c r="L150" s="123">
        <f t="shared" si="61"/>
        <v>-0.85135135135135132</v>
      </c>
      <c r="M150" s="123">
        <f t="shared" si="61"/>
        <v>0.18181818181818182</v>
      </c>
      <c r="N150" s="123">
        <f t="shared" si="61"/>
        <v>4.7692307692307692</v>
      </c>
      <c r="O150" s="123">
        <f t="shared" si="61"/>
        <v>0.24</v>
      </c>
      <c r="P150" s="123">
        <f t="shared" si="61"/>
        <v>-0.31182795698924731</v>
      </c>
      <c r="Q150" s="123">
        <f t="shared" si="61"/>
        <v>-0.265625</v>
      </c>
      <c r="R150" s="123">
        <f t="shared" si="61"/>
        <v>5.0638297872340425</v>
      </c>
      <c r="S150" s="123">
        <f t="shared" si="61"/>
        <v>0.41403508771929826</v>
      </c>
      <c r="T150" s="123">
        <f t="shared" si="61"/>
        <v>-0.17617866004962779</v>
      </c>
    </row>
    <row r="151" spans="1:20" ht="6.75" customHeight="1">
      <c r="A151" s="150"/>
      <c r="B151" s="67"/>
      <c r="C151" s="67"/>
      <c r="D151" s="67"/>
      <c r="E151" s="67"/>
      <c r="F151" s="93"/>
      <c r="G151" s="93"/>
      <c r="H151" s="93"/>
      <c r="I151" s="93"/>
      <c r="J151" s="93"/>
      <c r="K151" s="93"/>
      <c r="L151" s="93"/>
      <c r="M151" s="93"/>
      <c r="N151" s="93"/>
      <c r="O151" s="93"/>
      <c r="P151" s="93"/>
      <c r="Q151" s="93"/>
      <c r="R151" s="93"/>
    </row>
    <row r="152" spans="1:20" ht="12.75">
      <c r="A152" s="205" t="s">
        <v>43</v>
      </c>
      <c r="B152"/>
      <c r="C152"/>
      <c r="D152"/>
      <c r="E152"/>
      <c r="F152"/>
      <c r="G152"/>
      <c r="H152"/>
      <c r="I152"/>
      <c r="J152"/>
      <c r="K152"/>
      <c r="L152"/>
      <c r="M152"/>
      <c r="N152"/>
      <c r="O152"/>
      <c r="R152" s="4"/>
    </row>
    <row r="153" spans="1:20" ht="12.75">
      <c r="A153" s="205" t="s">
        <v>48</v>
      </c>
      <c r="B153"/>
      <c r="C153"/>
      <c r="D153"/>
      <c r="E153"/>
      <c r="F153"/>
      <c r="G153"/>
      <c r="H153"/>
      <c r="I153"/>
      <c r="J153"/>
      <c r="K153"/>
      <c r="L153"/>
      <c r="M153"/>
      <c r="N153"/>
      <c r="O153"/>
      <c r="R153" s="4"/>
    </row>
    <row r="154" spans="1:20" ht="12.75">
      <c r="A154" s="205" t="s">
        <v>118</v>
      </c>
      <c r="B154"/>
      <c r="C154"/>
      <c r="D154"/>
      <c r="E154"/>
      <c r="F154"/>
      <c r="G154"/>
      <c r="H154"/>
      <c r="I154"/>
      <c r="J154"/>
      <c r="K154"/>
      <c r="L154"/>
      <c r="M154"/>
      <c r="N154"/>
      <c r="O154"/>
      <c r="R154" s="4"/>
    </row>
    <row r="155" spans="1:20" ht="3.6" customHeight="1">
      <c r="A155"/>
      <c r="B155"/>
      <c r="C155"/>
      <c r="D155"/>
      <c r="E155"/>
      <c r="F155"/>
      <c r="G155"/>
      <c r="H155"/>
      <c r="I155"/>
      <c r="J155"/>
      <c r="K155"/>
      <c r="L155"/>
      <c r="M155"/>
      <c r="N155"/>
      <c r="O155"/>
      <c r="R155" s="4"/>
    </row>
    <row r="156" spans="1:20" ht="15.75">
      <c r="A156" s="30" t="s">
        <v>0</v>
      </c>
      <c r="B156"/>
      <c r="C156"/>
      <c r="D156"/>
      <c r="E156" s="576" t="s">
        <v>242</v>
      </c>
      <c r="F156" s="576"/>
      <c r="G156" s="576"/>
      <c r="H156" s="576"/>
      <c r="I156" s="576"/>
      <c r="J156" s="576"/>
      <c r="K156" s="576"/>
      <c r="L156" s="576"/>
      <c r="M156" s="576"/>
      <c r="N156" s="576"/>
      <c r="O156" s="576"/>
      <c r="P156" s="576"/>
      <c r="Q156" s="576"/>
      <c r="R156" s="576"/>
      <c r="T156" s="388"/>
    </row>
    <row r="157" spans="1:20" ht="12.75">
      <c r="A157" s="74" t="s">
        <v>2</v>
      </c>
      <c r="B157" s="72" t="s">
        <v>73</v>
      </c>
      <c r="C157" s="72"/>
      <c r="D157" s="73"/>
      <c r="E157" s="73"/>
      <c r="F157" s="62"/>
      <c r="G157" s="207"/>
      <c r="H157" s="207" t="s">
        <v>74</v>
      </c>
      <c r="I157" s="207" t="s">
        <v>75</v>
      </c>
      <c r="J157" s="207" t="s">
        <v>76</v>
      </c>
      <c r="K157" s="207" t="s">
        <v>77</v>
      </c>
      <c r="L157" s="207" t="s">
        <v>78</v>
      </c>
      <c r="M157" s="207" t="s">
        <v>79</v>
      </c>
      <c r="N157" s="207" t="s">
        <v>80</v>
      </c>
      <c r="O157" s="207" t="s">
        <v>81</v>
      </c>
      <c r="P157" s="207" t="s">
        <v>82</v>
      </c>
      <c r="Q157" s="207" t="s">
        <v>83</v>
      </c>
      <c r="R157" s="207" t="s">
        <v>133</v>
      </c>
      <c r="S157" s="207" t="s">
        <v>392</v>
      </c>
      <c r="T157" s="207" t="s">
        <v>485</v>
      </c>
    </row>
    <row r="158" spans="1:20" ht="12.75">
      <c r="B158"/>
      <c r="C158"/>
      <c r="D158"/>
      <c r="E158"/>
      <c r="F158"/>
      <c r="G158"/>
      <c r="H158"/>
      <c r="I158"/>
      <c r="J158"/>
      <c r="K158"/>
      <c r="L158"/>
      <c r="M158"/>
      <c r="N158"/>
      <c r="O158"/>
      <c r="R158" s="4"/>
      <c r="S158" s="4"/>
      <c r="T158" s="4"/>
    </row>
    <row r="159" spans="1:20" ht="12.75">
      <c r="A159" s="22">
        <v>1</v>
      </c>
      <c r="B159" s="66" t="s">
        <v>269</v>
      </c>
      <c r="C159"/>
      <c r="D159"/>
      <c r="E159"/>
      <c r="F159"/>
      <c r="G159" s="71"/>
      <c r="H159" s="71">
        <f t="shared" ref="H159:R159" si="62">(H113-G113)/G113</f>
        <v>0.20461642074328049</v>
      </c>
      <c r="I159" s="71">
        <f t="shared" si="62"/>
        <v>5.6315120711562895E-2</v>
      </c>
      <c r="J159" s="71">
        <f t="shared" si="62"/>
        <v>-3.8589231583505752E-2</v>
      </c>
      <c r="K159" s="71">
        <f t="shared" si="62"/>
        <v>3.1129573094439717E-2</v>
      </c>
      <c r="L159" s="71">
        <f t="shared" si="62"/>
        <v>-3.7858564286754356E-3</v>
      </c>
      <c r="M159" s="71">
        <f t="shared" si="62"/>
        <v>3.3130328867235076E-2</v>
      </c>
      <c r="N159" s="71">
        <f t="shared" si="62"/>
        <v>2.7917943881160104E-2</v>
      </c>
      <c r="O159" s="71">
        <f t="shared" si="62"/>
        <v>0.12859567830435381</v>
      </c>
      <c r="P159" s="71">
        <f t="shared" si="62"/>
        <v>5.727642276422764E-2</v>
      </c>
      <c r="Q159" s="71">
        <f t="shared" si="62"/>
        <v>7.0854432773270706E-2</v>
      </c>
      <c r="R159" s="71">
        <f t="shared" si="62"/>
        <v>0.10437894613525288</v>
      </c>
      <c r="S159" s="71">
        <f>(S113-R113)/R113</f>
        <v>9.6882213335934206E-3</v>
      </c>
      <c r="T159" s="71">
        <f>(T113-S113)/S113</f>
        <v>1.3555720127507486E-2</v>
      </c>
    </row>
    <row r="160" spans="1:20" ht="12.75">
      <c r="B160"/>
      <c r="C160"/>
      <c r="D160"/>
      <c r="E160"/>
      <c r="F160"/>
      <c r="G160"/>
      <c r="H160"/>
      <c r="I160"/>
      <c r="J160"/>
      <c r="K160"/>
      <c r="L160"/>
      <c r="M160"/>
      <c r="N160"/>
      <c r="O160"/>
      <c r="R160" s="4"/>
      <c r="S160" s="4"/>
      <c r="T160" s="4"/>
    </row>
    <row r="161" spans="1:25" ht="12.75">
      <c r="A161" s="22">
        <v>2</v>
      </c>
      <c r="B161" s="66" t="s">
        <v>476</v>
      </c>
      <c r="C161"/>
      <c r="D161"/>
      <c r="E161"/>
      <c r="F161"/>
      <c r="G161" s="71"/>
      <c r="H161" s="71">
        <f t="shared" ref="H161:T161" si="63">(H120-G120)/G120</f>
        <v>6.0097833682739341E-2</v>
      </c>
      <c r="I161" s="71">
        <f t="shared" si="63"/>
        <v>5.1252471984179301E-2</v>
      </c>
      <c r="J161" s="71">
        <f t="shared" si="63"/>
        <v>1.8811725975858284E-3</v>
      </c>
      <c r="K161" s="71">
        <f t="shared" si="63"/>
        <v>5.4764512595837894E-2</v>
      </c>
      <c r="L161" s="71">
        <f t="shared" si="63"/>
        <v>3.2932799287939477E-2</v>
      </c>
      <c r="M161" s="71">
        <f t="shared" si="63"/>
        <v>6.4627315812149935E-2</v>
      </c>
      <c r="N161" s="71">
        <f t="shared" si="63"/>
        <v>4.5730473492513156E-2</v>
      </c>
      <c r="O161" s="71">
        <f t="shared" si="63"/>
        <v>9.0815273477812181E-2</v>
      </c>
      <c r="P161" s="71">
        <f t="shared" si="63"/>
        <v>7.9351939451277206E-2</v>
      </c>
      <c r="Q161" s="71">
        <f t="shared" si="63"/>
        <v>7.1326832475073959E-2</v>
      </c>
      <c r="R161" s="71">
        <f t="shared" si="63"/>
        <v>9.3475148292084267E-2</v>
      </c>
      <c r="S161" s="71">
        <f t="shared" si="63"/>
        <v>0.1385147774036663</v>
      </c>
      <c r="T161" s="71">
        <f t="shared" si="63"/>
        <v>9.2910539719050361E-2</v>
      </c>
    </row>
    <row r="162" spans="1:25" ht="12.75">
      <c r="B162"/>
      <c r="C162"/>
      <c r="D162"/>
      <c r="E162"/>
      <c r="F162"/>
      <c r="G162"/>
      <c r="H162"/>
      <c r="I162"/>
      <c r="J162"/>
      <c r="K162"/>
      <c r="L162"/>
      <c r="M162"/>
      <c r="N162"/>
      <c r="O162"/>
      <c r="R162" s="4"/>
      <c r="S162" s="4"/>
      <c r="T162" s="4"/>
    </row>
    <row r="163" spans="1:25" ht="12.75">
      <c r="A163" s="22">
        <v>3</v>
      </c>
      <c r="B163" s="67" t="s">
        <v>478</v>
      </c>
      <c r="C163"/>
      <c r="D163"/>
      <c r="E163"/>
      <c r="F163"/>
      <c r="G163" s="71"/>
      <c r="H163" s="71">
        <f t="shared" ref="H163:T163" si="64">(H136-G136)/G136</f>
        <v>0.192689964732286</v>
      </c>
      <c r="I163" s="71">
        <f t="shared" si="64"/>
        <v>-9.4892473118279572E-2</v>
      </c>
      <c r="J163" s="71">
        <f t="shared" si="64"/>
        <v>0.1182061182061182</v>
      </c>
      <c r="K163" s="97">
        <f t="shared" si="64"/>
        <v>-0.10836653386454183</v>
      </c>
      <c r="L163" s="71">
        <f t="shared" si="64"/>
        <v>6.9109323801012812E-2</v>
      </c>
      <c r="M163" s="71">
        <f t="shared" si="64"/>
        <v>-1.337419894120925E-2</v>
      </c>
      <c r="N163" s="71">
        <f t="shared" si="64"/>
        <v>-0.16379553798362045</v>
      </c>
      <c r="O163" s="71">
        <f t="shared" si="64"/>
        <v>0.25903411009793986</v>
      </c>
      <c r="P163" s="71">
        <f t="shared" si="64"/>
        <v>2.8433476394849784E-2</v>
      </c>
      <c r="Q163" s="71">
        <f t="shared" si="64"/>
        <v>0.12589314736567569</v>
      </c>
      <c r="R163" s="71">
        <f t="shared" si="64"/>
        <v>6.3781896002181149E-2</v>
      </c>
      <c r="S163" s="71">
        <f t="shared" si="64"/>
        <v>0.13044425087108014</v>
      </c>
      <c r="T163" s="71">
        <f t="shared" si="64"/>
        <v>6.3956848391446733E-2</v>
      </c>
    </row>
    <row r="164" spans="1:25" ht="12.75">
      <c r="B164"/>
      <c r="C164"/>
      <c r="D164"/>
      <c r="E164"/>
      <c r="F164"/>
      <c r="G164"/>
      <c r="H164"/>
      <c r="I164"/>
      <c r="J164"/>
      <c r="K164"/>
      <c r="L164"/>
      <c r="M164"/>
      <c r="N164"/>
      <c r="O164"/>
      <c r="R164" s="4"/>
      <c r="S164" s="4"/>
      <c r="T164" s="4"/>
    </row>
    <row r="165" spans="1:25" ht="12.75">
      <c r="A165" s="22">
        <v>4</v>
      </c>
      <c r="B165" s="68" t="s">
        <v>50</v>
      </c>
      <c r="C165"/>
      <c r="D165"/>
      <c r="E165"/>
      <c r="F165"/>
      <c r="G165" s="71"/>
      <c r="H165" s="71">
        <f t="shared" ref="H165:T165" si="65">(H84-G84)/G84</f>
        <v>1.8532818532818532E-3</v>
      </c>
      <c r="I165" s="71">
        <f t="shared" si="65"/>
        <v>-3.619546785879451E-2</v>
      </c>
      <c r="J165" s="71">
        <f t="shared" si="65"/>
        <v>-7.5173538914302164E-4</v>
      </c>
      <c r="K165" s="71">
        <f t="shared" si="65"/>
        <v>6.1360544217687073E-2</v>
      </c>
      <c r="L165" s="71">
        <f t="shared" si="65"/>
        <v>6.1621059140230888E-2</v>
      </c>
      <c r="M165" s="71">
        <f t="shared" si="65"/>
        <v>3.3461420991696793E-2</v>
      </c>
      <c r="N165" s="71">
        <f t="shared" si="65"/>
        <v>5.8790378006872854E-2</v>
      </c>
      <c r="O165" s="71">
        <f t="shared" si="65"/>
        <v>0.12821478182974802</v>
      </c>
      <c r="P165" s="71">
        <f t="shared" si="65"/>
        <v>2.3560751642636043E-2</v>
      </c>
      <c r="Q165" s="71">
        <f t="shared" si="65"/>
        <v>3.177047908668304E-2</v>
      </c>
      <c r="R165" s="71">
        <f t="shared" si="65"/>
        <v>6.3927040146442723E-2</v>
      </c>
      <c r="S165" s="71">
        <f t="shared" si="65"/>
        <v>6.3864978211555304E-2</v>
      </c>
      <c r="T165" s="71">
        <f t="shared" si="65"/>
        <v>8.7322330199895076E-2</v>
      </c>
    </row>
    <row r="166" spans="1:25" ht="12.75">
      <c r="B166" s="68"/>
      <c r="C166"/>
      <c r="D166"/>
      <c r="E166"/>
      <c r="F166"/>
      <c r="G166" s="71"/>
      <c r="H166" s="71"/>
      <c r="I166" s="71"/>
      <c r="J166" s="71"/>
      <c r="K166" s="71"/>
      <c r="L166" s="71"/>
      <c r="M166" s="71"/>
      <c r="N166" s="71"/>
      <c r="O166" s="71"/>
      <c r="P166" s="71"/>
      <c r="Q166" s="71"/>
      <c r="R166" s="71"/>
      <c r="S166" s="71"/>
      <c r="T166" s="71"/>
    </row>
    <row r="167" spans="1:25" ht="12.75">
      <c r="A167" s="22">
        <v>5</v>
      </c>
      <c r="B167" s="68" t="s">
        <v>72</v>
      </c>
      <c r="C167"/>
      <c r="D167"/>
      <c r="E167"/>
      <c r="F167"/>
      <c r="G167" s="71"/>
      <c r="H167" s="71">
        <f t="shared" ref="H167:T167" si="66">(H91-G91)/G91</f>
        <v>6.1834066290841474E-3</v>
      </c>
      <c r="I167" s="71">
        <f t="shared" si="66"/>
        <v>-3.4723750018333555E-2</v>
      </c>
      <c r="J167" s="71">
        <f t="shared" si="66"/>
        <v>-6.9058779733641275E-3</v>
      </c>
      <c r="K167" s="71">
        <f t="shared" si="66"/>
        <v>7.709726281001851E-2</v>
      </c>
      <c r="L167" s="71">
        <f t="shared" si="66"/>
        <v>6.0839796585130258E-2</v>
      </c>
      <c r="M167" s="71">
        <f t="shared" si="66"/>
        <v>1.5646549992635341E-2</v>
      </c>
      <c r="N167" s="71">
        <f t="shared" si="66"/>
        <v>0.11853736675917442</v>
      </c>
      <c r="O167" s="71">
        <f t="shared" si="66"/>
        <v>6.5399190245224864E-2</v>
      </c>
      <c r="P167" s="71">
        <f t="shared" si="66"/>
        <v>3.3975373109559795E-2</v>
      </c>
      <c r="Q167" s="71">
        <f t="shared" si="66"/>
        <v>5.0074898352236254E-2</v>
      </c>
      <c r="R167" s="71">
        <f t="shared" si="66"/>
        <v>5.7560627674750356E-2</v>
      </c>
      <c r="S167" s="71">
        <f t="shared" si="66"/>
        <v>8.3082022179614412E-2</v>
      </c>
      <c r="T167" s="71">
        <f t="shared" si="66"/>
        <v>0.11312404369640251</v>
      </c>
    </row>
    <row r="168" spans="1:25" ht="12.75">
      <c r="B168" s="68"/>
      <c r="C168"/>
      <c r="D168"/>
      <c r="E168"/>
      <c r="F168"/>
      <c r="G168" s="71"/>
      <c r="H168" s="71"/>
      <c r="I168" s="71"/>
      <c r="J168" s="71"/>
      <c r="K168" s="71"/>
      <c r="L168" s="71"/>
      <c r="M168" s="71"/>
      <c r="N168" s="71"/>
      <c r="O168" s="71"/>
      <c r="P168" s="71"/>
      <c r="Q168" s="71"/>
      <c r="R168" s="71"/>
      <c r="S168" s="71"/>
      <c r="T168" s="71"/>
    </row>
    <row r="169" spans="1:25" ht="12.75">
      <c r="A169" s="22">
        <v>6</v>
      </c>
      <c r="B169" s="68" t="s">
        <v>165</v>
      </c>
      <c r="C169"/>
      <c r="D169"/>
      <c r="E169"/>
      <c r="F169"/>
      <c r="H169" s="219" t="s">
        <v>295</v>
      </c>
      <c r="I169" s="71"/>
      <c r="J169" s="71"/>
      <c r="K169" s="71"/>
      <c r="L169" s="71"/>
      <c r="M169" s="71"/>
      <c r="N169" s="71"/>
      <c r="O169" s="71"/>
      <c r="P169" s="71"/>
      <c r="Q169" s="71"/>
      <c r="R169" s="71"/>
      <c r="S169" s="71"/>
      <c r="T169" s="71"/>
      <c r="Y169" s="330"/>
    </row>
    <row r="170" spans="1:25" ht="12.75">
      <c r="B170"/>
      <c r="C170"/>
      <c r="D170"/>
      <c r="E170"/>
      <c r="F170"/>
      <c r="G170"/>
      <c r="H170"/>
      <c r="I170"/>
      <c r="J170"/>
      <c r="K170"/>
      <c r="L170"/>
      <c r="M170"/>
      <c r="N170"/>
      <c r="O170"/>
      <c r="R170" s="4"/>
      <c r="S170" s="4"/>
      <c r="T170" s="4"/>
    </row>
    <row r="171" spans="1:25" ht="12.75">
      <c r="B171" s="72" t="s">
        <v>521</v>
      </c>
      <c r="C171" s="72"/>
      <c r="D171" s="73"/>
      <c r="E171" s="73"/>
      <c r="F171" s="62"/>
      <c r="G171" s="207"/>
      <c r="H171" s="207" t="s">
        <v>486</v>
      </c>
      <c r="I171" s="207" t="s">
        <v>487</v>
      </c>
      <c r="J171" s="207" t="s">
        <v>488</v>
      </c>
      <c r="K171" s="207" t="s">
        <v>489</v>
      </c>
      <c r="L171" s="207" t="s">
        <v>490</v>
      </c>
      <c r="M171" s="207" t="s">
        <v>491</v>
      </c>
      <c r="N171" s="207" t="s">
        <v>492</v>
      </c>
      <c r="O171" s="207" t="s">
        <v>493</v>
      </c>
      <c r="P171" s="207" t="s">
        <v>494</v>
      </c>
      <c r="Q171" s="207" t="s">
        <v>495</v>
      </c>
      <c r="R171" s="207" t="s">
        <v>496</v>
      </c>
      <c r="S171" s="207" t="s">
        <v>484</v>
      </c>
      <c r="T171" s="207" t="s">
        <v>485</v>
      </c>
    </row>
    <row r="172" spans="1:25" ht="6.75" customHeight="1" thickBot="1">
      <c r="B172"/>
      <c r="C172"/>
      <c r="D172"/>
      <c r="E172"/>
      <c r="F172"/>
      <c r="G172"/>
      <c r="H172"/>
      <c r="I172"/>
      <c r="J172"/>
      <c r="K172"/>
      <c r="L172"/>
      <c r="M172"/>
      <c r="N172"/>
      <c r="O172"/>
      <c r="R172" s="4"/>
      <c r="S172" s="4"/>
      <c r="T172" s="4"/>
    </row>
    <row r="173" spans="1:25" ht="12.75">
      <c r="A173" s="22">
        <v>7</v>
      </c>
      <c r="B173" s="66" t="s">
        <v>269</v>
      </c>
      <c r="C173"/>
      <c r="D173"/>
      <c r="E173"/>
      <c r="F173"/>
      <c r="G173" s="71"/>
      <c r="H173" s="71">
        <f>RATE(13,,-G113,$T113)</f>
        <v>5.1764605082836222E-2</v>
      </c>
      <c r="I173" s="71">
        <f>RATE(12,,-H113,$T113)</f>
        <v>3.9938601684621704E-2</v>
      </c>
      <c r="J173" s="71">
        <f>RATE(11,,-I113,$T113)</f>
        <v>3.8462476521519906E-2</v>
      </c>
      <c r="K173" s="71">
        <f>RATE(10,,-J113,$T113)</f>
        <v>4.6499417944423221E-2</v>
      </c>
      <c r="L173" s="71">
        <f>RATE(9,,-K113,$T113)</f>
        <v>4.8221258456456605E-2</v>
      </c>
      <c r="M173" s="71">
        <f>RATE(8,,-L113,$T113)</f>
        <v>5.4910209918298244E-2</v>
      </c>
      <c r="N173" s="354">
        <f>RATE(7,,-M113,$T113)</f>
        <v>5.8058879663492262E-2</v>
      </c>
      <c r="O173" s="71">
        <f>RATE(6,,-N113,$T113)</f>
        <v>6.3167603545933274E-2</v>
      </c>
      <c r="P173" s="71">
        <f>RATE(5,,-O113,$T113)</f>
        <v>5.0544382393573797E-2</v>
      </c>
      <c r="Q173" s="71">
        <f>RATE(4,,-P113,$T113)</f>
        <v>4.8868080680144206E-2</v>
      </c>
      <c r="R173" s="71">
        <f>RATE(3,,-Q113,$T113)</f>
        <v>4.1640072729124365E-2</v>
      </c>
      <c r="S173" s="71">
        <f>RATE(2,,-R113,$T113)</f>
        <v>1.1620122515379841E-2</v>
      </c>
      <c r="T173" s="71">
        <f>RATE(1,,-S113,$T113)</f>
        <v>1.3555720127507465E-2</v>
      </c>
    </row>
    <row r="174" spans="1:25" ht="8.25" customHeight="1">
      <c r="B174" s="66"/>
      <c r="C174"/>
      <c r="D174"/>
      <c r="E174"/>
      <c r="F174"/>
      <c r="G174" s="71"/>
      <c r="H174" s="71"/>
      <c r="I174" s="71"/>
      <c r="J174" s="71"/>
      <c r="K174" s="71"/>
      <c r="L174" s="71"/>
      <c r="M174" s="71"/>
      <c r="N174" s="353"/>
      <c r="O174" s="71"/>
      <c r="P174" s="71"/>
      <c r="Q174" s="71"/>
      <c r="R174" s="71"/>
      <c r="S174" s="71"/>
      <c r="T174" s="71"/>
    </row>
    <row r="175" spans="1:25" ht="12.75">
      <c r="A175" s="22" t="s">
        <v>243</v>
      </c>
      <c r="B175" s="214" t="s">
        <v>518</v>
      </c>
      <c r="C175"/>
      <c r="D175"/>
      <c r="E175"/>
      <c r="F175"/>
      <c r="G175" s="71"/>
      <c r="H175" s="71"/>
      <c r="I175" s="71"/>
      <c r="J175" s="71"/>
      <c r="K175" s="71"/>
      <c r="L175" s="71"/>
      <c r="M175" s="71"/>
      <c r="N175" s="389">
        <v>0.03</v>
      </c>
      <c r="O175" s="71"/>
      <c r="P175" s="71"/>
      <c r="Q175" s="71"/>
      <c r="R175" s="71"/>
      <c r="S175" s="71"/>
      <c r="T175" s="71"/>
    </row>
    <row r="176" spans="1:25" ht="4.5" customHeight="1">
      <c r="B176" s="66"/>
      <c r="C176"/>
      <c r="D176"/>
      <c r="E176"/>
      <c r="F176"/>
      <c r="G176" s="134"/>
      <c r="H176" s="71"/>
      <c r="I176" s="71"/>
      <c r="J176" s="71"/>
      <c r="K176" s="71"/>
      <c r="L176" s="71"/>
      <c r="M176" s="71"/>
      <c r="N176" s="355"/>
      <c r="O176" s="71"/>
      <c r="P176" s="71"/>
      <c r="Q176" s="71"/>
      <c r="R176" s="71"/>
      <c r="S176" s="71"/>
      <c r="T176" s="71"/>
    </row>
    <row r="177" spans="1:25" ht="12.75">
      <c r="A177" s="22">
        <v>9</v>
      </c>
      <c r="B177" s="66" t="s">
        <v>476</v>
      </c>
      <c r="C177"/>
      <c r="D177"/>
      <c r="E177"/>
      <c r="F177"/>
      <c r="G177" s="134"/>
      <c r="H177" s="71">
        <f>RATE(13,,-G120,$T120)</f>
        <v>6.702743374683795E-2</v>
      </c>
      <c r="I177" s="71">
        <f>RATE(12,,-H120,$T120)</f>
        <v>6.7606941008443708E-2</v>
      </c>
      <c r="J177" s="71">
        <f>RATE(11,,-I120,$T120)</f>
        <v>6.9106268173088167E-2</v>
      </c>
      <c r="K177" s="71">
        <f>RATE(10,,-J120,$T120)</f>
        <v>7.6072027034380249E-2</v>
      </c>
      <c r="L177" s="71">
        <f>RATE(9,,-K120,$T120)</f>
        <v>7.8465941315540244E-2</v>
      </c>
      <c r="M177" s="71">
        <f>RATE(8,,-L120,$T120)</f>
        <v>8.4296934954186942E-2</v>
      </c>
      <c r="N177" s="356">
        <f>RATE(7,,-M120,$T120)</f>
        <v>8.7136391223947646E-2</v>
      </c>
      <c r="O177" s="71">
        <f>RATE(6,,-N120,$T120)</f>
        <v>9.4195049014548005E-2</v>
      </c>
      <c r="P177" s="71">
        <f>RATE(5,,-O120,$T120)</f>
        <v>9.4872259710231069E-2</v>
      </c>
      <c r="Q177" s="71">
        <f>RATE(4,,-P120,$T120)</f>
        <v>9.8787085714715756E-2</v>
      </c>
      <c r="R177" s="71">
        <f>RATE(3,,-Q120,$T120)</f>
        <v>0.10809603554063664</v>
      </c>
      <c r="S177" s="71">
        <f>RATE(2,,-R120,$T120)</f>
        <v>0.11547962771641652</v>
      </c>
      <c r="T177" s="71">
        <f>RATE(1,,-S120,$T120)</f>
        <v>9.2910539719050209E-2</v>
      </c>
    </row>
    <row r="178" spans="1:25" ht="5.25" customHeight="1">
      <c r="B178" s="66"/>
      <c r="C178"/>
      <c r="D178" s="70"/>
      <c r="E178" s="70"/>
      <c r="F178"/>
      <c r="G178" s="135"/>
      <c r="H178" s="84"/>
      <c r="I178" s="84"/>
      <c r="J178" s="84"/>
      <c r="K178" s="84"/>
      <c r="L178" s="84"/>
      <c r="M178" s="84"/>
      <c r="N178" s="355"/>
      <c r="O178" s="84"/>
      <c r="P178" s="84"/>
      <c r="Q178" s="84"/>
      <c r="R178" s="84"/>
      <c r="S178" s="84"/>
      <c r="T178" s="84"/>
      <c r="U178" s="28"/>
      <c r="Y178" s="337"/>
    </row>
    <row r="179" spans="1:25" ht="12.75">
      <c r="A179" s="22">
        <v>10</v>
      </c>
      <c r="B179" s="67" t="s">
        <v>478</v>
      </c>
      <c r="C179"/>
      <c r="D179"/>
      <c r="E179"/>
      <c r="F179"/>
      <c r="G179" s="134"/>
      <c r="H179" s="71">
        <f>RATE(13,,-G136,$T136)</f>
        <v>4.4934829633029992E-2</v>
      </c>
      <c r="I179" s="71">
        <f>RATE(12,,-H136,$T136)</f>
        <v>3.3481424809416356E-2</v>
      </c>
      <c r="J179" s="71">
        <f>RATE(11,,-I136,$T136)</f>
        <v>4.6018260340206694E-2</v>
      </c>
      <c r="K179" s="71">
        <f>RATE(10,,-J136,$T136)</f>
        <v>3.9060908848030214E-2</v>
      </c>
      <c r="L179" s="97">
        <f>RATE(9,,-K136,$T136)</f>
        <v>5.6877995291895043E-2</v>
      </c>
      <c r="M179" s="71">
        <f>RATE(8,,-L136,$T136)</f>
        <v>5.5358951389711968E-2</v>
      </c>
      <c r="N179" s="389">
        <f>RATE(7,,-M136,$T136)</f>
        <v>6.5561315184392552E-2</v>
      </c>
      <c r="O179" s="71">
        <f>RATE(6,,-N136,$T136)</f>
        <v>0.10948841714983193</v>
      </c>
      <c r="P179" s="71">
        <f>RATE(5,,-O136,$T136)</f>
        <v>8.178219194971563E-2</v>
      </c>
      <c r="Q179" s="71">
        <f>RATE(4,,-P136,$T136)</f>
        <v>9.5546292996307972E-2</v>
      </c>
      <c r="R179" s="71">
        <f>RATE(3,,-Q136,$T136)</f>
        <v>8.5613544114414325E-2</v>
      </c>
      <c r="S179" s="71">
        <f>RATE(2,,-R136,$T136)</f>
        <v>9.6696814274166792E-2</v>
      </c>
      <c r="T179" s="71">
        <f>RATE(1,,-S136,$T136)</f>
        <v>6.3956848391446858E-2</v>
      </c>
      <c r="U179" s="28"/>
      <c r="Y179" s="337"/>
    </row>
    <row r="180" spans="1:25" ht="9" customHeight="1">
      <c r="B180"/>
      <c r="C180"/>
      <c r="D180" s="70"/>
      <c r="E180" s="70"/>
      <c r="F180"/>
      <c r="G180" s="84"/>
      <c r="H180" s="84"/>
      <c r="I180" s="84"/>
      <c r="J180" s="84"/>
      <c r="K180" s="84"/>
      <c r="L180" s="84"/>
      <c r="M180" s="84"/>
      <c r="N180" s="355"/>
      <c r="O180" s="84"/>
      <c r="P180" s="84"/>
      <c r="Q180" s="84"/>
      <c r="R180" s="84"/>
      <c r="S180" s="84"/>
      <c r="T180" s="84"/>
      <c r="Y180" s="337"/>
    </row>
    <row r="181" spans="1:25" ht="12.75">
      <c r="A181" s="22">
        <v>11</v>
      </c>
      <c r="B181" s="68" t="s">
        <v>477</v>
      </c>
      <c r="D181" s="70"/>
      <c r="E181" s="70"/>
      <c r="G181" s="71"/>
      <c r="H181" s="71">
        <f>RATE(13,,-G84,$T84)</f>
        <v>4.3730410255582379E-2</v>
      </c>
      <c r="I181" s="71">
        <f>RATE(12,,-H84,$T84)</f>
        <v>4.7298194879917793E-2</v>
      </c>
      <c r="J181" s="71">
        <f>RATE(11,,-I84,$T84)</f>
        <v>5.5238144078790206E-2</v>
      </c>
      <c r="K181" s="71">
        <f>RATE(10,,-J84,$T84)</f>
        <v>6.10068537216331E-2</v>
      </c>
      <c r="L181" s="71">
        <f>RATE(9,,-K84,$T84)</f>
        <v>6.0967562053945878E-2</v>
      </c>
      <c r="M181" s="71">
        <f>RATE(8,,-L84,$T84)</f>
        <v>6.0885903207858326E-2</v>
      </c>
      <c r="N181" s="356">
        <f>RATE(7,,-M84,$T84)</f>
        <v>6.4862649639835332E-2</v>
      </c>
      <c r="O181" s="71">
        <f>RATE(6,,-N84,$T84)</f>
        <v>6.5878075306076089E-2</v>
      </c>
      <c r="P181" s="71">
        <f>RATE(5,,-O84,$T84)</f>
        <v>5.3830291191638957E-2</v>
      </c>
      <c r="Q181" s="71">
        <f>RATE(4,,-P84,$T84)</f>
        <v>6.1536523065830108E-2</v>
      </c>
      <c r="R181" s="71">
        <f>RATE(3,,-Q84,$T84)</f>
        <v>7.1648158788648622E-2</v>
      </c>
      <c r="S181" s="71">
        <f>RATE(2,,-R84,$T84)</f>
        <v>7.5529705367104349E-2</v>
      </c>
      <c r="T181" s="71">
        <f>RATE(1,,-S84,$T84)</f>
        <v>8.7322330199895007E-2</v>
      </c>
      <c r="Y181" s="337"/>
    </row>
    <row r="182" spans="1:25" ht="7.5" customHeight="1">
      <c r="B182" s="68"/>
      <c r="D182" s="70"/>
      <c r="E182" s="70"/>
      <c r="G182" s="71"/>
      <c r="H182" s="71"/>
      <c r="I182" s="71"/>
      <c r="J182" s="71"/>
      <c r="K182" s="71"/>
      <c r="L182" s="71"/>
      <c r="M182" s="71"/>
      <c r="N182" s="355"/>
      <c r="O182" s="71"/>
      <c r="P182" s="71"/>
      <c r="Q182" s="71"/>
      <c r="R182" s="71"/>
      <c r="S182" s="71"/>
      <c r="T182" s="71"/>
      <c r="Y182" s="337"/>
    </row>
    <row r="183" spans="1:25" ht="13.5" thickBot="1">
      <c r="A183" s="22">
        <v>12</v>
      </c>
      <c r="B183" s="68" t="s">
        <v>72</v>
      </c>
      <c r="C183"/>
      <c r="D183"/>
      <c r="E183"/>
      <c r="F183"/>
      <c r="G183" s="71"/>
      <c r="H183" s="71">
        <f>RATE(13,,-G91,$T91)</f>
        <v>4.8310659267959646E-2</v>
      </c>
      <c r="I183" s="71">
        <f>RATE(12,,-H91,$T91)</f>
        <v>5.1899880999887391E-2</v>
      </c>
      <c r="J183" s="71">
        <f>RATE(11,,-I91,$T91)</f>
        <v>6.0150167870031787E-2</v>
      </c>
      <c r="K183" s="71">
        <f>RATE(10,,-J91,$T91)</f>
        <v>6.7099911677334187E-2</v>
      </c>
      <c r="L183" s="71">
        <f>RATE(9,,-K91,$T91)</f>
        <v>6.599483866669191E-2</v>
      </c>
      <c r="M183" s="71">
        <f>RATE(8,,-L91,$T91)</f>
        <v>6.6640977792237432E-2</v>
      </c>
      <c r="N183" s="390">
        <f>RATE(7,,-M91,$T91)</f>
        <v>7.4131975528255734E-2</v>
      </c>
      <c r="O183" s="71">
        <f>RATE(6,,-N91,$T91)</f>
        <v>6.6904392588354428E-2</v>
      </c>
      <c r="P183" s="71">
        <f>RATE(5,,-O91,$T91)</f>
        <v>6.7205688147962531E-2</v>
      </c>
      <c r="Q183" s="71">
        <f>RATE(4,,-P91,$T91)</f>
        <v>7.567881488245097E-2</v>
      </c>
      <c r="R183" s="71">
        <f>RATE(3,,-Q91,$T91)</f>
        <v>8.4351442625100928E-2</v>
      </c>
      <c r="S183" s="71">
        <f>RATE(2,,-R91,$T91)</f>
        <v>9.800029152248374E-2</v>
      </c>
      <c r="T183" s="71">
        <f>RATE(1,,-S91,$T91)</f>
        <v>0.11312404369640242</v>
      </c>
      <c r="Y183" s="337"/>
    </row>
    <row r="184" spans="1:25" ht="9.75" customHeight="1">
      <c r="B184" s="68"/>
      <c r="D184" s="70"/>
      <c r="E184" s="70"/>
      <c r="G184" s="84"/>
      <c r="H184" s="84"/>
      <c r="I184" s="84"/>
      <c r="J184" s="84"/>
      <c r="K184" s="84"/>
      <c r="L184" s="84"/>
      <c r="M184" s="84"/>
      <c r="N184" s="135"/>
      <c r="O184" s="84"/>
      <c r="P184" s="84"/>
      <c r="Q184" s="84"/>
      <c r="R184" s="84"/>
      <c r="S184" s="84"/>
      <c r="T184" s="84"/>
      <c r="V184" s="337"/>
      <c r="W184" s="337"/>
      <c r="X184" s="337"/>
      <c r="Y184" s="337"/>
    </row>
    <row r="185" spans="1:25" ht="12.75">
      <c r="A185" s="22">
        <v>13</v>
      </c>
      <c r="B185" s="68" t="s">
        <v>165</v>
      </c>
      <c r="D185" s="70"/>
      <c r="E185" s="70"/>
      <c r="G185" s="71" t="str">
        <f>H169</f>
        <v>Not used due to deminimus values that resulted in extraordinary variablility</v>
      </c>
      <c r="H185" s="71"/>
      <c r="I185" s="71"/>
      <c r="J185" s="71"/>
      <c r="K185" s="71"/>
      <c r="L185" s="71"/>
      <c r="M185" s="71"/>
      <c r="N185" s="134"/>
      <c r="O185" s="71"/>
      <c r="P185" s="71"/>
      <c r="Q185" s="71"/>
      <c r="R185" s="71"/>
      <c r="S185" s="71"/>
      <c r="T185" s="71"/>
    </row>
    <row r="186" spans="1:25" ht="12.75">
      <c r="D186" s="70"/>
      <c r="E186" s="70"/>
      <c r="G186" s="84"/>
      <c r="H186" s="84"/>
      <c r="I186" s="84"/>
      <c r="J186" s="84"/>
      <c r="K186" s="84"/>
      <c r="L186" s="84"/>
      <c r="M186" s="84"/>
      <c r="N186" s="135"/>
      <c r="O186" s="84"/>
      <c r="P186" s="84"/>
      <c r="Q186" s="84"/>
      <c r="R186" s="84"/>
      <c r="S186" s="84"/>
      <c r="T186" s="84"/>
      <c r="U186" s="28"/>
    </row>
    <row r="187" spans="1:25" ht="12.75">
      <c r="B187" s="72" t="s">
        <v>519</v>
      </c>
      <c r="C187" s="72"/>
      <c r="D187" s="73"/>
      <c r="E187" s="73"/>
      <c r="F187" s="62"/>
      <c r="G187" s="207"/>
      <c r="H187" s="207" t="s">
        <v>486</v>
      </c>
      <c r="I187" s="207" t="s">
        <v>487</v>
      </c>
      <c r="J187" s="207" t="s">
        <v>488</v>
      </c>
      <c r="K187" s="207" t="s">
        <v>489</v>
      </c>
      <c r="L187" s="207" t="s">
        <v>490</v>
      </c>
      <c r="M187" s="207" t="s">
        <v>491</v>
      </c>
      <c r="N187" s="207" t="s">
        <v>492</v>
      </c>
      <c r="O187" s="207" t="s">
        <v>493</v>
      </c>
      <c r="P187" s="207" t="s">
        <v>494</v>
      </c>
      <c r="Q187" s="207" t="s">
        <v>495</v>
      </c>
      <c r="R187" s="207" t="s">
        <v>496</v>
      </c>
      <c r="S187" s="207" t="s">
        <v>484</v>
      </c>
      <c r="T187" s="207" t="s">
        <v>485</v>
      </c>
      <c r="U187" s="28"/>
    </row>
    <row r="188" spans="1:25" ht="9" customHeight="1" thickBot="1">
      <c r="F188" s="93"/>
      <c r="G188"/>
      <c r="H188"/>
      <c r="I188"/>
      <c r="J188"/>
      <c r="K188"/>
      <c r="L188"/>
      <c r="M188"/>
      <c r="N188"/>
      <c r="O188"/>
      <c r="R188" s="4"/>
      <c r="S188" s="4"/>
      <c r="T188" s="4"/>
      <c r="U188" s="28"/>
    </row>
    <row r="189" spans="1:25" ht="12.75">
      <c r="A189" s="22">
        <v>14</v>
      </c>
      <c r="B189" s="66" t="s">
        <v>269</v>
      </c>
      <c r="F189" s="93" t="s">
        <v>199</v>
      </c>
      <c r="G189" s="250" t="s">
        <v>497</v>
      </c>
      <c r="H189" s="71">
        <f>2*H173</f>
        <v>0.10352921016567244</v>
      </c>
      <c r="I189" s="71">
        <f t="shared" ref="I189:T189" si="67">2*I173</f>
        <v>7.9877203369243407E-2</v>
      </c>
      <c r="J189" s="71">
        <f t="shared" si="67"/>
        <v>7.6924953043039812E-2</v>
      </c>
      <c r="K189" s="71">
        <f t="shared" si="67"/>
        <v>9.2998835888846443E-2</v>
      </c>
      <c r="L189" s="71">
        <f t="shared" si="67"/>
        <v>9.6442516912913209E-2</v>
      </c>
      <c r="M189" s="71">
        <f t="shared" si="67"/>
        <v>0.10982041983659649</v>
      </c>
      <c r="N189" s="391">
        <f t="shared" si="67"/>
        <v>0.11611775932698452</v>
      </c>
      <c r="O189" s="71">
        <f t="shared" si="67"/>
        <v>0.12633520709186655</v>
      </c>
      <c r="P189" s="71">
        <f t="shared" si="67"/>
        <v>0.10108876478714759</v>
      </c>
      <c r="Q189" s="71">
        <f t="shared" si="67"/>
        <v>9.7736161360288412E-2</v>
      </c>
      <c r="R189" s="71">
        <f t="shared" si="67"/>
        <v>8.328014545824873E-2</v>
      </c>
      <c r="S189" s="71">
        <f t="shared" si="67"/>
        <v>2.3240245030759683E-2</v>
      </c>
      <c r="T189" s="71">
        <f t="shared" si="67"/>
        <v>2.711144025501493E-2</v>
      </c>
      <c r="U189" s="28"/>
    </row>
    <row r="190" spans="1:25" ht="12.75">
      <c r="B190" s="66"/>
      <c r="F190" s="93"/>
      <c r="G190" s="3"/>
      <c r="H190" s="71"/>
      <c r="I190" s="71"/>
      <c r="J190" s="71"/>
      <c r="K190" s="71"/>
      <c r="L190" s="71"/>
      <c r="M190" s="71"/>
      <c r="N190" s="353"/>
      <c r="O190" s="71"/>
      <c r="P190" s="71"/>
      <c r="Q190" s="71"/>
      <c r="R190" s="71"/>
      <c r="S190" s="71"/>
      <c r="T190" s="71"/>
      <c r="U190" s="28"/>
    </row>
    <row r="191" spans="1:25" ht="12.75">
      <c r="A191" s="22" t="s">
        <v>244</v>
      </c>
      <c r="B191" s="214" t="s">
        <v>479</v>
      </c>
      <c r="F191" s="93" t="s">
        <v>199</v>
      </c>
      <c r="G191" s="250" t="s">
        <v>497</v>
      </c>
      <c r="H191" s="71"/>
      <c r="I191" s="71"/>
      <c r="J191" s="71"/>
      <c r="K191" s="71"/>
      <c r="L191" s="71"/>
      <c r="M191" s="71"/>
      <c r="N191" s="356">
        <f>2*N175</f>
        <v>0.06</v>
      </c>
      <c r="O191" s="71"/>
      <c r="P191" s="71"/>
      <c r="Q191" s="71"/>
      <c r="R191" s="71"/>
      <c r="S191" s="71"/>
      <c r="T191" s="71"/>
      <c r="U191" s="28"/>
      <c r="V191" s="76"/>
    </row>
    <row r="192" spans="1:25" ht="12.75">
      <c r="B192" s="66"/>
      <c r="F192" s="93"/>
      <c r="G192" s="3"/>
      <c r="H192" s="71"/>
      <c r="I192" s="71"/>
      <c r="J192" s="71"/>
      <c r="K192" s="71"/>
      <c r="L192" s="71"/>
      <c r="M192" s="71"/>
      <c r="N192" s="353"/>
      <c r="O192" s="71"/>
      <c r="P192" s="71"/>
      <c r="Q192" s="71"/>
      <c r="R192" s="71"/>
      <c r="S192" s="71"/>
      <c r="T192" s="71"/>
    </row>
    <row r="193" spans="1:25" ht="12.75">
      <c r="A193" s="22">
        <v>16</v>
      </c>
      <c r="B193" s="66" t="s">
        <v>476</v>
      </c>
      <c r="F193" s="93" t="s">
        <v>200</v>
      </c>
      <c r="G193" s="250" t="s">
        <v>497</v>
      </c>
      <c r="H193" s="71">
        <f>2*H177</f>
        <v>0.1340548674936759</v>
      </c>
      <c r="I193" s="71">
        <f t="shared" ref="I193:T193" si="68">2*I177</f>
        <v>0.13521388201688742</v>
      </c>
      <c r="J193" s="71">
        <f t="shared" si="68"/>
        <v>0.13821253634617633</v>
      </c>
      <c r="K193" s="71">
        <f t="shared" si="68"/>
        <v>0.1521440540687605</v>
      </c>
      <c r="L193" s="71">
        <f t="shared" si="68"/>
        <v>0.15693188263108049</v>
      </c>
      <c r="M193" s="71">
        <f t="shared" si="68"/>
        <v>0.16859386990837388</v>
      </c>
      <c r="N193" s="377">
        <f t="shared" si="68"/>
        <v>0.17427278244789529</v>
      </c>
      <c r="O193" s="71">
        <f t="shared" si="68"/>
        <v>0.18839009802909601</v>
      </c>
      <c r="P193" s="71">
        <f t="shared" si="68"/>
        <v>0.18974451942046214</v>
      </c>
      <c r="Q193" s="71">
        <f t="shared" si="68"/>
        <v>0.19757417142943151</v>
      </c>
      <c r="R193" s="71">
        <f t="shared" si="68"/>
        <v>0.21619207108127328</v>
      </c>
      <c r="S193" s="71">
        <f t="shared" si="68"/>
        <v>0.23095925543283305</v>
      </c>
      <c r="T193" s="71">
        <f t="shared" si="68"/>
        <v>0.18582107943810042</v>
      </c>
      <c r="V193" s="339"/>
      <c r="W193" s="27"/>
      <c r="X193" s="27"/>
      <c r="Y193" s="27"/>
    </row>
    <row r="194" spans="1:25" ht="9.75" customHeight="1">
      <c r="B194" s="66"/>
      <c r="F194" s="93"/>
      <c r="G194" s="3"/>
      <c r="H194" s="84"/>
      <c r="I194" s="84"/>
      <c r="J194" s="84"/>
      <c r="K194" s="84"/>
      <c r="L194" s="84"/>
      <c r="M194" s="84"/>
      <c r="N194" s="353"/>
      <c r="O194" s="84"/>
      <c r="P194" s="84"/>
      <c r="Q194" s="84"/>
      <c r="R194" s="84"/>
      <c r="S194" s="84"/>
      <c r="T194" s="84"/>
      <c r="U194" s="28"/>
      <c r="V194" s="27"/>
      <c r="W194" s="27"/>
      <c r="X194" s="27"/>
      <c r="Y194" s="27"/>
    </row>
    <row r="195" spans="1:25" ht="12.75">
      <c r="A195" s="22">
        <v>17</v>
      </c>
      <c r="B195" s="67" t="s">
        <v>67</v>
      </c>
      <c r="C195" s="67"/>
      <c r="F195" s="93" t="s">
        <v>200</v>
      </c>
      <c r="G195" s="250" t="s">
        <v>497</v>
      </c>
      <c r="H195" s="71">
        <f>2*H179</f>
        <v>8.9869659266059984E-2</v>
      </c>
      <c r="I195" s="71">
        <f t="shared" ref="I195:T195" si="69">2*I179</f>
        <v>6.6962849618832712E-2</v>
      </c>
      <c r="J195" s="71">
        <f t="shared" si="69"/>
        <v>9.2036520680413389E-2</v>
      </c>
      <c r="K195" s="71">
        <f t="shared" si="69"/>
        <v>7.8121817696060428E-2</v>
      </c>
      <c r="L195" s="71">
        <f t="shared" si="69"/>
        <v>0.11375599058379009</v>
      </c>
      <c r="M195" s="71">
        <f t="shared" si="69"/>
        <v>0.11071790277942394</v>
      </c>
      <c r="N195" s="377">
        <f t="shared" si="69"/>
        <v>0.1311226303687851</v>
      </c>
      <c r="O195" s="71">
        <f t="shared" si="69"/>
        <v>0.21897683429966386</v>
      </c>
      <c r="P195" s="71">
        <f t="shared" si="69"/>
        <v>0.16356438389943126</v>
      </c>
      <c r="Q195" s="71">
        <f t="shared" si="69"/>
        <v>0.19109258599261594</v>
      </c>
      <c r="R195" s="71">
        <f t="shared" si="69"/>
        <v>0.17122708822882865</v>
      </c>
      <c r="S195" s="71">
        <f t="shared" si="69"/>
        <v>0.19339362854833358</v>
      </c>
      <c r="T195" s="71">
        <f t="shared" si="69"/>
        <v>0.12791369678289372</v>
      </c>
      <c r="U195" s="28"/>
      <c r="V195" s="340"/>
      <c r="W195" s="340"/>
      <c r="X195" s="149"/>
      <c r="Y195" s="27"/>
    </row>
    <row r="196" spans="1:25" ht="12.75">
      <c r="B196"/>
      <c r="F196" s="93"/>
      <c r="G196" s="3"/>
      <c r="H196" s="84"/>
      <c r="I196" s="84"/>
      <c r="J196" s="84"/>
      <c r="K196" s="84"/>
      <c r="L196" s="84"/>
      <c r="M196" s="84"/>
      <c r="N196" s="357"/>
      <c r="O196" s="84"/>
      <c r="P196" s="84"/>
      <c r="Q196" s="84"/>
      <c r="R196" s="84"/>
      <c r="S196" s="84"/>
      <c r="T196" s="84"/>
      <c r="U196" s="28"/>
      <c r="V196" s="27"/>
      <c r="W196" s="27"/>
      <c r="X196" s="27"/>
      <c r="Y196" s="27"/>
    </row>
    <row r="197" spans="1:25" ht="12.75">
      <c r="A197" s="22">
        <v>18</v>
      </c>
      <c r="B197" s="68" t="s">
        <v>477</v>
      </c>
      <c r="F197" s="4" t="s">
        <v>200</v>
      </c>
      <c r="G197" s="250" t="s">
        <v>497</v>
      </c>
      <c r="H197" s="71">
        <f>2*H181</f>
        <v>8.7460820511164758E-2</v>
      </c>
      <c r="I197" s="71">
        <f t="shared" ref="I197:T197" si="70">2*I181</f>
        <v>9.4596389759835586E-2</v>
      </c>
      <c r="J197" s="71">
        <f t="shared" si="70"/>
        <v>0.11047628815758041</v>
      </c>
      <c r="K197" s="71">
        <f t="shared" si="70"/>
        <v>0.1220137074432662</v>
      </c>
      <c r="L197" s="71">
        <f t="shared" si="70"/>
        <v>0.12193512410789176</v>
      </c>
      <c r="M197" s="71">
        <f t="shared" si="70"/>
        <v>0.12177180641571665</v>
      </c>
      <c r="N197" s="377">
        <f t="shared" si="70"/>
        <v>0.12972529927967066</v>
      </c>
      <c r="O197" s="71">
        <f t="shared" si="70"/>
        <v>0.13175615061215218</v>
      </c>
      <c r="P197" s="71">
        <f t="shared" si="70"/>
        <v>0.10766058238327791</v>
      </c>
      <c r="Q197" s="71">
        <f t="shared" si="70"/>
        <v>0.12307304613166022</v>
      </c>
      <c r="R197" s="71">
        <f t="shared" si="70"/>
        <v>0.14329631757729724</v>
      </c>
      <c r="S197" s="71">
        <f t="shared" si="70"/>
        <v>0.1510594107342087</v>
      </c>
      <c r="T197" s="71">
        <f t="shared" si="70"/>
        <v>0.17464466039979001</v>
      </c>
      <c r="U197" s="28"/>
      <c r="V197" s="27"/>
      <c r="W197" s="149"/>
      <c r="X197" s="27"/>
      <c r="Y197" s="27"/>
    </row>
    <row r="198" spans="1:25" ht="12.75">
      <c r="B198" s="68"/>
      <c r="G198" s="250"/>
      <c r="H198" s="71"/>
      <c r="I198" s="71"/>
      <c r="J198" s="71"/>
      <c r="K198" s="71"/>
      <c r="L198" s="71"/>
      <c r="M198" s="71"/>
      <c r="N198" s="357"/>
      <c r="O198" s="71"/>
      <c r="P198" s="71"/>
      <c r="Q198" s="71"/>
      <c r="R198" s="71"/>
      <c r="S198" s="71"/>
      <c r="T198" s="71"/>
      <c r="U198" s="28"/>
      <c r="V198" s="27"/>
      <c r="W198" s="149"/>
      <c r="X198" s="27"/>
      <c r="Y198" s="27"/>
    </row>
    <row r="199" spans="1:25" ht="13.5" thickBot="1">
      <c r="A199" s="22">
        <v>19</v>
      </c>
      <c r="B199" s="68" t="s">
        <v>72</v>
      </c>
      <c r="F199" s="93" t="s">
        <v>200</v>
      </c>
      <c r="G199" s="250" t="s">
        <v>497</v>
      </c>
      <c r="H199" s="71">
        <f>2*H183</f>
        <v>9.6621318535919293E-2</v>
      </c>
      <c r="I199" s="71">
        <f t="shared" ref="I199:T199" si="71">2*I183</f>
        <v>0.10379976199977478</v>
      </c>
      <c r="J199" s="71">
        <f t="shared" si="71"/>
        <v>0.12030033574006357</v>
      </c>
      <c r="K199" s="71">
        <f t="shared" si="71"/>
        <v>0.13419982335466837</v>
      </c>
      <c r="L199" s="71">
        <f t="shared" si="71"/>
        <v>0.13198967733338382</v>
      </c>
      <c r="M199" s="71">
        <f t="shared" si="71"/>
        <v>0.13328195558447486</v>
      </c>
      <c r="N199" s="392">
        <f t="shared" si="71"/>
        <v>0.14826395105651147</v>
      </c>
      <c r="O199" s="71">
        <f t="shared" si="71"/>
        <v>0.13380878517670886</v>
      </c>
      <c r="P199" s="71">
        <f t="shared" si="71"/>
        <v>0.13441137629592506</v>
      </c>
      <c r="Q199" s="71">
        <f t="shared" si="71"/>
        <v>0.15135762976490194</v>
      </c>
      <c r="R199" s="71">
        <f t="shared" si="71"/>
        <v>0.16870288525020186</v>
      </c>
      <c r="S199" s="71">
        <f t="shared" si="71"/>
        <v>0.19600058304496748</v>
      </c>
      <c r="T199" s="71">
        <f t="shared" si="71"/>
        <v>0.22624808739280483</v>
      </c>
      <c r="U199" s="28"/>
    </row>
    <row r="200" spans="1:25">
      <c r="B200" s="68"/>
      <c r="G200" s="84"/>
      <c r="H200" s="84"/>
      <c r="I200" s="84"/>
      <c r="J200" s="84"/>
      <c r="K200" s="84"/>
      <c r="L200" s="84"/>
      <c r="M200" s="84"/>
      <c r="N200" s="135"/>
      <c r="O200" s="84"/>
      <c r="P200" s="84"/>
      <c r="Q200" s="84"/>
      <c r="R200" s="84"/>
      <c r="U200" s="28"/>
    </row>
    <row r="201" spans="1:25" ht="12.75">
      <c r="A201" s="22">
        <v>20</v>
      </c>
      <c r="B201" s="68" t="s">
        <v>165</v>
      </c>
      <c r="F201" s="4" t="s">
        <v>199</v>
      </c>
      <c r="G201" s="71" t="str">
        <f>G185</f>
        <v>Not used due to deminimus values that resulted in extraordinary variablility</v>
      </c>
      <c r="H201" s="71"/>
      <c r="I201" s="71"/>
      <c r="J201" s="71"/>
      <c r="K201" s="71"/>
      <c r="L201" s="71"/>
      <c r="M201" s="71"/>
      <c r="N201" s="134"/>
      <c r="O201" s="71"/>
      <c r="P201" s="71"/>
      <c r="Q201" s="71"/>
      <c r="R201" s="71"/>
      <c r="U201" s="28"/>
    </row>
  </sheetData>
  <customSheetViews>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6:R156"/>
    <mergeCell ref="A1:R1"/>
    <mergeCell ref="A2:R2"/>
    <mergeCell ref="A59:R59"/>
    <mergeCell ref="E4:R4"/>
    <mergeCell ref="E61:R61"/>
  </mergeCells>
  <phoneticPr fontId="0" type="noConversion"/>
  <pageMargins left="0.75" right="0.75" top="0.65" bottom="0.6" header="0.5" footer="0.4"/>
  <pageSetup scale="37" orientation="portrait" r:id="rId3"/>
  <headerFooter scaleWithDoc="0" alignWithMargins="0">
    <oddHeader>&amp;RExhibit No. __(EMA-7)</oddHeader>
    <oddFooter xml:space="preserve">&amp;RPage &amp;P of &amp;N  </oddFooter>
  </headerFooter>
  <rowBreaks count="3" manualBreakCount="3">
    <brk id="58" max="19" man="1"/>
    <brk id="93" max="19" man="1"/>
    <brk id="150" max="19" man="1"/>
  </rowBreak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BreakPreview" zoomScale="85" zoomScaleNormal="100" zoomScaleSheetLayoutView="85" workbookViewId="0">
      <selection activeCell="D30" activeCellId="1" sqref="D29 D30"/>
    </sheetView>
  </sheetViews>
  <sheetFormatPr defaultRowHeight="12.75"/>
  <cols>
    <col min="1" max="1" width="32.5703125" customWidth="1"/>
    <col min="2" max="2" width="8.85546875" customWidth="1"/>
    <col min="3" max="3" width="10.5703125" customWidth="1"/>
    <col min="4" max="5" width="10.42578125" customWidth="1"/>
    <col min="6" max="6" width="12.28515625" customWidth="1"/>
    <col min="7" max="13" width="10.42578125" customWidth="1"/>
  </cols>
  <sheetData>
    <row r="1" spans="1:9">
      <c r="A1" s="580" t="s">
        <v>565</v>
      </c>
      <c r="B1" s="580"/>
      <c r="C1" s="580"/>
      <c r="D1" s="580"/>
      <c r="E1" s="406"/>
    </row>
    <row r="2" spans="1:9">
      <c r="B2" s="419">
        <v>2007</v>
      </c>
      <c r="C2" s="419">
        <v>2008</v>
      </c>
      <c r="D2" s="378">
        <v>2009</v>
      </c>
      <c r="E2" s="378">
        <v>2010</v>
      </c>
      <c r="F2" s="378">
        <v>2011</v>
      </c>
      <c r="G2" s="378">
        <v>2012</v>
      </c>
      <c r="H2" s="378">
        <v>2013</v>
      </c>
      <c r="I2" s="378">
        <v>2014</v>
      </c>
    </row>
    <row r="3" spans="1:9">
      <c r="A3" t="s">
        <v>531</v>
      </c>
      <c r="B3" s="420">
        <v>145500</v>
      </c>
      <c r="C3" s="420">
        <v>154054</v>
      </c>
      <c r="D3" s="398">
        <v>173806</v>
      </c>
      <c r="E3" s="398">
        <v>177901</v>
      </c>
      <c r="F3" s="398">
        <v>183553</v>
      </c>
      <c r="G3" s="398">
        <v>195287</v>
      </c>
      <c r="H3" s="398">
        <v>207759</v>
      </c>
      <c r="I3" s="398">
        <v>225901</v>
      </c>
    </row>
    <row r="4" spans="1:9">
      <c r="B4" s="106">
        <v>0</v>
      </c>
      <c r="C4" s="106">
        <v>1</v>
      </c>
      <c r="D4" s="106">
        <v>2</v>
      </c>
      <c r="E4" s="106">
        <v>3</v>
      </c>
      <c r="F4" s="106">
        <v>4</v>
      </c>
      <c r="G4" s="106">
        <v>5</v>
      </c>
      <c r="H4" s="106">
        <v>6</v>
      </c>
      <c r="I4" s="106">
        <v>7</v>
      </c>
    </row>
    <row r="5" spans="1:9">
      <c r="A5" t="s">
        <v>531</v>
      </c>
      <c r="B5" s="100">
        <f>B3</f>
        <v>145500</v>
      </c>
      <c r="C5" s="100">
        <f t="shared" ref="C5:I5" si="0">C3</f>
        <v>154054</v>
      </c>
      <c r="D5" s="100">
        <f t="shared" si="0"/>
        <v>173806</v>
      </c>
      <c r="E5" s="100">
        <f t="shared" si="0"/>
        <v>177901</v>
      </c>
      <c r="F5" s="100">
        <f t="shared" si="0"/>
        <v>183553</v>
      </c>
      <c r="G5" s="100">
        <f t="shared" si="0"/>
        <v>195287</v>
      </c>
      <c r="H5" s="100">
        <f t="shared" si="0"/>
        <v>207759</v>
      </c>
      <c r="I5" s="100">
        <f t="shared" si="0"/>
        <v>225901</v>
      </c>
    </row>
    <row r="6" spans="1:9">
      <c r="B6" s="44"/>
      <c r="C6" s="44"/>
      <c r="D6" s="44"/>
      <c r="E6" s="44"/>
      <c r="F6" s="44"/>
      <c r="G6" s="44"/>
    </row>
    <row r="25" spans="1:9">
      <c r="B25" s="87" t="s">
        <v>526</v>
      </c>
      <c r="C25" s="87" t="s">
        <v>111</v>
      </c>
    </row>
    <row r="26" spans="1:9">
      <c r="A26" s="87" t="s">
        <v>530</v>
      </c>
      <c r="B26" s="87">
        <f>2*280.18</f>
        <v>560.36</v>
      </c>
      <c r="C26" s="401">
        <v>8769.98</v>
      </c>
    </row>
    <row r="27" spans="1:9">
      <c r="A27" s="70" t="s">
        <v>558</v>
      </c>
      <c r="B27">
        <f>(7*B26)</f>
        <v>3922.52</v>
      </c>
    </row>
    <row r="28" spans="1:9" ht="13.5" thickBot="1">
      <c r="A28" t="s">
        <v>528</v>
      </c>
      <c r="B28" s="87"/>
      <c r="C28" s="87">
        <f>B27+C26</f>
        <v>12692.5</v>
      </c>
    </row>
    <row r="29" spans="1:9" ht="13.5" thickBot="1">
      <c r="A29" t="s">
        <v>525</v>
      </c>
      <c r="B29" s="71"/>
      <c r="C29" s="71">
        <f>C28/I5</f>
        <v>5.6186116927326571E-2</v>
      </c>
      <c r="D29" s="466">
        <v>0</v>
      </c>
      <c r="E29" s="70" t="s">
        <v>576</v>
      </c>
    </row>
    <row r="30" spans="1:9" ht="13.5" thickBot="1">
      <c r="A30" s="87" t="s">
        <v>527</v>
      </c>
      <c r="B30" s="379"/>
      <c r="C30" s="465">
        <f>2*C29</f>
        <v>0.11237223385465314</v>
      </c>
      <c r="D30" s="467">
        <f>2*D29</f>
        <v>0</v>
      </c>
      <c r="E30" t="s">
        <v>529</v>
      </c>
    </row>
    <row r="31" spans="1:9">
      <c r="A31" s="112"/>
      <c r="B31" s="112"/>
      <c r="C31" s="112"/>
      <c r="D31" s="112"/>
      <c r="E31" s="112"/>
      <c r="F31" s="112"/>
      <c r="G31" s="112"/>
      <c r="H31" s="112"/>
      <c r="I31" s="112"/>
    </row>
    <row r="32" spans="1:9" ht="13.5" thickBot="1">
      <c r="A32" s="408"/>
      <c r="B32" s="408"/>
      <c r="C32" s="408"/>
      <c r="D32" s="408"/>
      <c r="E32" s="408"/>
      <c r="F32" s="408"/>
      <c r="G32" s="408"/>
      <c r="H32" s="408"/>
      <c r="I32" s="408"/>
    </row>
    <row r="33" spans="1:16">
      <c r="A33" s="407" t="s">
        <v>566</v>
      </c>
      <c r="B33" s="378">
        <v>2009</v>
      </c>
      <c r="C33" s="378">
        <v>2010</v>
      </c>
      <c r="D33" s="378">
        <v>2011</v>
      </c>
      <c r="E33" s="378">
        <v>2012</v>
      </c>
      <c r="F33" s="378">
        <v>2013</v>
      </c>
      <c r="G33" s="378">
        <v>2014</v>
      </c>
    </row>
    <row r="34" spans="1:16">
      <c r="A34" t="s">
        <v>531</v>
      </c>
      <c r="B34" s="44">
        <f>'Cost Trends'!O139</f>
        <v>173806</v>
      </c>
      <c r="C34" s="44">
        <f>'Cost Trends'!P139</f>
        <v>177901</v>
      </c>
      <c r="D34" s="44">
        <f>'Cost Trends'!Q139</f>
        <v>183553</v>
      </c>
      <c r="E34" s="44">
        <f>'Cost Trends'!R139</f>
        <v>195287</v>
      </c>
      <c r="F34" s="44">
        <f>'Cost Trends'!S139</f>
        <v>207759</v>
      </c>
      <c r="G34" s="44">
        <f>'Cost Trends'!T139</f>
        <v>225901</v>
      </c>
    </row>
    <row r="35" spans="1:16">
      <c r="B35" s="378">
        <v>0</v>
      </c>
      <c r="C35" s="378">
        <v>1</v>
      </c>
      <c r="D35" s="378">
        <v>2</v>
      </c>
      <c r="E35" s="378">
        <v>3</v>
      </c>
      <c r="F35" s="378">
        <v>4</v>
      </c>
      <c r="G35" s="378">
        <v>5</v>
      </c>
    </row>
    <row r="36" spans="1:16">
      <c r="A36" t="s">
        <v>531</v>
      </c>
      <c r="B36" s="44">
        <f>'Cost Trends'!O139</f>
        <v>173806</v>
      </c>
      <c r="C36" s="44">
        <f>'Cost Trends'!P139</f>
        <v>177901</v>
      </c>
      <c r="D36" s="44">
        <f>'Cost Trends'!Q139</f>
        <v>183553</v>
      </c>
      <c r="E36" s="44">
        <f>'Cost Trends'!R139</f>
        <v>195287</v>
      </c>
      <c r="F36" s="44">
        <f>'Cost Trends'!S139</f>
        <v>207759</v>
      </c>
      <c r="G36" s="44">
        <f>'Cost Trends'!T139</f>
        <v>225901</v>
      </c>
    </row>
    <row r="37" spans="1:16">
      <c r="B37" s="44"/>
      <c r="C37" s="44"/>
      <c r="D37" s="44"/>
      <c r="E37" s="44"/>
      <c r="F37" s="44"/>
      <c r="G37" s="44"/>
    </row>
    <row r="38" spans="1:16">
      <c r="L38" s="40" t="s">
        <v>550</v>
      </c>
      <c r="M38" t="s">
        <v>551</v>
      </c>
      <c r="O38" s="40" t="s">
        <v>552</v>
      </c>
      <c r="P38" t="s">
        <v>553</v>
      </c>
    </row>
    <row r="39" spans="1:16">
      <c r="B39" s="87" t="s">
        <v>526</v>
      </c>
      <c r="C39" s="87" t="s">
        <v>111</v>
      </c>
      <c r="K39" t="s">
        <v>554</v>
      </c>
      <c r="L39" s="398">
        <f>G36</f>
        <v>225901</v>
      </c>
      <c r="M39" s="398">
        <f>L39</f>
        <v>225901</v>
      </c>
    </row>
    <row r="40" spans="1:16">
      <c r="A40" s="87" t="s">
        <v>530</v>
      </c>
      <c r="B40" s="87">
        <f>2*1741.3</f>
        <v>3482.6</v>
      </c>
      <c r="C40" s="87">
        <v>1630</v>
      </c>
      <c r="K40" t="s">
        <v>555</v>
      </c>
      <c r="L40" s="398">
        <f>1741.3*6^2+1630*6+173997</f>
        <v>246463.8</v>
      </c>
      <c r="M40" s="398">
        <f>G36+(2*1741.3*5+1630)</f>
        <v>244944</v>
      </c>
      <c r="O40" s="398">
        <f>(2*1741.3*5+1630)</f>
        <v>19043</v>
      </c>
      <c r="P40">
        <v>1</v>
      </c>
    </row>
    <row r="41" spans="1:16">
      <c r="A41" s="70" t="s">
        <v>558</v>
      </c>
      <c r="B41">
        <f>(5*B40)</f>
        <v>17413</v>
      </c>
      <c r="K41" t="s">
        <v>556</v>
      </c>
      <c r="L41" s="399">
        <f>L40/L39-1</f>
        <v>9.1025714804272573E-2</v>
      </c>
      <c r="M41" s="399">
        <f>M40/M39-1</f>
        <v>8.4297988942058755E-2</v>
      </c>
    </row>
    <row r="42" spans="1:16">
      <c r="A42" t="s">
        <v>528</v>
      </c>
      <c r="B42" s="87"/>
      <c r="C42" s="87">
        <f>B41+C40</f>
        <v>19043</v>
      </c>
      <c r="K42" t="s">
        <v>557</v>
      </c>
      <c r="L42" s="399">
        <f>L41*2</f>
        <v>0.18205142960854515</v>
      </c>
      <c r="M42" s="399">
        <f>M41*2</f>
        <v>0.16859597788411751</v>
      </c>
    </row>
    <row r="43" spans="1:16" ht="13.5" thickBot="1">
      <c r="A43" t="s">
        <v>525</v>
      </c>
      <c r="B43" s="71"/>
      <c r="C43" s="71">
        <f>C42/G36</f>
        <v>8.4297988942058685E-2</v>
      </c>
      <c r="P43" s="400">
        <f>O40*P40</f>
        <v>19043</v>
      </c>
    </row>
    <row r="44" spans="1:16" ht="13.5" thickBot="1">
      <c r="A44" s="87" t="s">
        <v>527</v>
      </c>
      <c r="B44" s="379"/>
      <c r="C44" s="405">
        <f>2*C43</f>
        <v>0.16859597788411737</v>
      </c>
      <c r="D44" t="s">
        <v>529</v>
      </c>
      <c r="L44" s="100">
        <f>L40-L39</f>
        <v>20562.799999999988</v>
      </c>
      <c r="M44" s="100">
        <f>M40-M39</f>
        <v>19043</v>
      </c>
    </row>
  </sheetData>
  <mergeCells count="1">
    <mergeCell ref="A1:D1"/>
  </mergeCells>
  <pageMargins left="0.7" right="0.7" top="0.75" bottom="0.75" header="0.3" footer="0.3"/>
  <pageSetup scale="78" orientation="portrait" r:id="rId1"/>
  <headerFooter scaleWithDoc="0">
    <oddHeader>&amp;RExhibit No. __(EMA-7)</oddHeader>
    <oddFooter xml:space="preserve">&amp;RPage &amp;P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BreakPreview" zoomScaleNormal="100" zoomScaleSheetLayoutView="100" workbookViewId="0">
      <selection activeCell="C29" sqref="C29"/>
    </sheetView>
  </sheetViews>
  <sheetFormatPr defaultRowHeight="12.75"/>
  <cols>
    <col min="1" max="1" width="30.42578125" customWidth="1"/>
    <col min="2" max="2" width="9.42578125" bestFit="1" customWidth="1"/>
    <col min="3" max="3" width="9.7109375" bestFit="1" customWidth="1"/>
    <col min="4" max="6" width="9.42578125" bestFit="1" customWidth="1"/>
    <col min="7" max="7" width="9.140625" customWidth="1"/>
    <col min="8" max="8" width="8.5703125" customWidth="1"/>
    <col min="9" max="9" width="9" customWidth="1"/>
    <col min="10" max="10" width="9.28515625" bestFit="1" customWidth="1"/>
  </cols>
  <sheetData>
    <row r="1" spans="1:9">
      <c r="A1" s="580" t="s">
        <v>565</v>
      </c>
      <c r="B1" s="580"/>
      <c r="C1" s="580"/>
      <c r="D1" s="580"/>
      <c r="E1" s="406"/>
    </row>
    <row r="2" spans="1:9">
      <c r="B2" s="419">
        <v>2007</v>
      </c>
      <c r="C2" s="419">
        <v>2008</v>
      </c>
      <c r="D2" s="378">
        <v>2009</v>
      </c>
      <c r="E2" s="378">
        <v>2010</v>
      </c>
      <c r="F2" s="378">
        <v>2011</v>
      </c>
      <c r="G2" s="378">
        <v>2012</v>
      </c>
      <c r="H2" s="378">
        <v>2013</v>
      </c>
      <c r="I2" s="378">
        <v>2014</v>
      </c>
    </row>
    <row r="3" spans="1:9">
      <c r="A3" t="s">
        <v>47</v>
      </c>
      <c r="B3" s="422">
        <v>7413</v>
      </c>
      <c r="C3" s="422">
        <v>7752</v>
      </c>
      <c r="D3" s="108">
        <v>8456</v>
      </c>
      <c r="E3" s="108">
        <v>9127</v>
      </c>
      <c r="F3" s="108">
        <v>9778</v>
      </c>
      <c r="G3" s="108">
        <v>10692</v>
      </c>
      <c r="H3" s="108">
        <v>12173</v>
      </c>
      <c r="I3" s="108">
        <v>13304</v>
      </c>
    </row>
    <row r="4" spans="1:9">
      <c r="B4" s="380">
        <v>0</v>
      </c>
      <c r="C4" s="380">
        <v>1</v>
      </c>
      <c r="D4" s="380">
        <v>2</v>
      </c>
      <c r="E4" s="380">
        <v>3</v>
      </c>
      <c r="F4" s="380">
        <v>4</v>
      </c>
      <c r="G4" s="380">
        <v>5</v>
      </c>
      <c r="H4" s="380">
        <v>6</v>
      </c>
      <c r="I4" s="380">
        <v>7</v>
      </c>
    </row>
    <row r="5" spans="1:9">
      <c r="A5" t="s">
        <v>47</v>
      </c>
      <c r="B5" s="44">
        <f>B3</f>
        <v>7413</v>
      </c>
      <c r="C5" s="44">
        <f t="shared" ref="C5:I5" si="0">C3</f>
        <v>7752</v>
      </c>
      <c r="D5" s="44">
        <f t="shared" si="0"/>
        <v>8456</v>
      </c>
      <c r="E5" s="44">
        <f t="shared" si="0"/>
        <v>9127</v>
      </c>
      <c r="F5" s="44">
        <f t="shared" si="0"/>
        <v>9778</v>
      </c>
      <c r="G5" s="44">
        <f t="shared" si="0"/>
        <v>10692</v>
      </c>
      <c r="H5" s="44">
        <f t="shared" si="0"/>
        <v>12173</v>
      </c>
      <c r="I5" s="44">
        <f t="shared" si="0"/>
        <v>13304</v>
      </c>
    </row>
    <row r="24" spans="1:10">
      <c r="B24" s="87" t="s">
        <v>526</v>
      </c>
      <c r="C24" s="87" t="s">
        <v>111</v>
      </c>
    </row>
    <row r="25" spans="1:10">
      <c r="A25" s="87" t="s">
        <v>530</v>
      </c>
      <c r="B25" s="87">
        <f>2*77.232</f>
        <v>154.464</v>
      </c>
      <c r="C25" s="87">
        <v>301.05</v>
      </c>
    </row>
    <row r="26" spans="1:10">
      <c r="A26" s="70" t="s">
        <v>558</v>
      </c>
      <c r="B26">
        <f>(7*B25)</f>
        <v>1081.248</v>
      </c>
    </row>
    <row r="27" spans="1:10">
      <c r="A27" t="s">
        <v>528</v>
      </c>
      <c r="B27" s="87"/>
      <c r="C27" s="87">
        <f>B26+C25</f>
        <v>1382.298</v>
      </c>
    </row>
    <row r="28" spans="1:10" ht="13.5" thickBot="1">
      <c r="A28" t="s">
        <v>525</v>
      </c>
      <c r="B28" s="71"/>
      <c r="C28">
        <f>C27/G5</f>
        <v>0.12928338945005613</v>
      </c>
    </row>
    <row r="29" spans="1:10" ht="13.5" thickBot="1">
      <c r="A29" s="87" t="s">
        <v>527</v>
      </c>
      <c r="B29" s="379"/>
      <c r="C29" s="421">
        <f>2*C28</f>
        <v>0.25856677890011226</v>
      </c>
      <c r="D29" t="s">
        <v>529</v>
      </c>
    </row>
    <row r="31" spans="1:10" ht="13.5" thickBot="1">
      <c r="A31" s="408"/>
      <c r="B31" s="408"/>
      <c r="C31" s="408"/>
      <c r="D31" s="408"/>
      <c r="E31" s="408"/>
      <c r="F31" s="408"/>
      <c r="G31" s="408"/>
      <c r="H31" s="408"/>
      <c r="I31" s="408"/>
      <c r="J31" s="112"/>
    </row>
    <row r="32" spans="1:10">
      <c r="A32" s="407" t="s">
        <v>566</v>
      </c>
      <c r="B32" s="378">
        <v>2009</v>
      </c>
      <c r="C32" s="378">
        <v>2010</v>
      </c>
      <c r="D32" s="378">
        <v>2011</v>
      </c>
      <c r="E32" s="378">
        <v>2012</v>
      </c>
      <c r="F32" s="378">
        <v>2013</v>
      </c>
      <c r="G32" s="378">
        <v>2014</v>
      </c>
      <c r="H32" s="112"/>
      <c r="I32" s="112"/>
      <c r="J32" s="112"/>
    </row>
    <row r="33" spans="1:12">
      <c r="A33" t="s">
        <v>47</v>
      </c>
      <c r="B33" s="393">
        <f>'Cost Trends'!O120</f>
        <v>8456</v>
      </c>
      <c r="C33" s="393">
        <f>'Cost Trends'!P120</f>
        <v>9127</v>
      </c>
      <c r="D33" s="393">
        <f>'Cost Trends'!Q120</f>
        <v>9778</v>
      </c>
      <c r="E33" s="393">
        <f>'Cost Trends'!R120</f>
        <v>10692</v>
      </c>
      <c r="F33" s="393">
        <f>'Cost Trends'!S120</f>
        <v>12173</v>
      </c>
      <c r="G33" s="393">
        <f>'Cost Trends'!T120</f>
        <v>13304</v>
      </c>
      <c r="H33" s="393"/>
      <c r="I33" s="393"/>
    </row>
    <row r="34" spans="1:12">
      <c r="B34" s="380">
        <v>0</v>
      </c>
      <c r="C34" s="380">
        <v>1</v>
      </c>
      <c r="D34" s="380">
        <v>2</v>
      </c>
      <c r="E34" s="380">
        <v>3</v>
      </c>
      <c r="F34" s="380">
        <v>4</v>
      </c>
      <c r="G34" s="380">
        <v>5</v>
      </c>
      <c r="H34" s="380"/>
      <c r="I34" s="380"/>
    </row>
    <row r="35" spans="1:12">
      <c r="A35" t="s">
        <v>47</v>
      </c>
      <c r="B35" s="44">
        <f>'Cost Trends'!O120</f>
        <v>8456</v>
      </c>
      <c r="C35" s="44">
        <f>'Cost Trends'!P120</f>
        <v>9127</v>
      </c>
      <c r="D35" s="44">
        <f>'Cost Trends'!Q120</f>
        <v>9778</v>
      </c>
      <c r="E35" s="44">
        <f>'Cost Trends'!R120</f>
        <v>10692</v>
      </c>
      <c r="F35" s="44">
        <f>'Cost Trends'!S120</f>
        <v>12173</v>
      </c>
      <c r="G35" s="44">
        <f>'Cost Trends'!T120</f>
        <v>13304</v>
      </c>
      <c r="H35" s="44"/>
      <c r="I35" s="44"/>
    </row>
    <row r="37" spans="1:12">
      <c r="F37" s="106"/>
      <c r="K37" s="40" t="s">
        <v>550</v>
      </c>
      <c r="L37" t="s">
        <v>551</v>
      </c>
    </row>
    <row r="38" spans="1:12">
      <c r="B38" s="87" t="s">
        <v>526</v>
      </c>
      <c r="C38" s="87" t="s">
        <v>111</v>
      </c>
      <c r="J38" t="s">
        <v>554</v>
      </c>
      <c r="K38" s="398">
        <f>G35</f>
        <v>13304</v>
      </c>
      <c r="L38" s="398">
        <f>K38</f>
        <v>13304</v>
      </c>
    </row>
    <row r="39" spans="1:12">
      <c r="A39" s="87" t="s">
        <v>530</v>
      </c>
      <c r="B39" s="87">
        <v>200.72</v>
      </c>
      <c r="C39" s="87">
        <v>477.99</v>
      </c>
      <c r="J39" t="s">
        <v>555</v>
      </c>
      <c r="K39" s="398">
        <f>100.36*6^2+477.99*6+8473.4</f>
        <v>14954.3</v>
      </c>
      <c r="L39" s="398">
        <f>G35+(2*100.36*5+477.99)</f>
        <v>14785.59</v>
      </c>
    </row>
    <row r="40" spans="1:12">
      <c r="A40" t="s">
        <v>524</v>
      </c>
      <c r="B40">
        <f>(5*B39)</f>
        <v>1003.6</v>
      </c>
      <c r="J40" t="s">
        <v>556</v>
      </c>
      <c r="K40" s="399">
        <f>K39/K38-1</f>
        <v>0.12404539987973529</v>
      </c>
      <c r="L40" s="399">
        <f>L39/L38-1</f>
        <v>0.11136425135297645</v>
      </c>
    </row>
    <row r="41" spans="1:12">
      <c r="A41" t="s">
        <v>528</v>
      </c>
      <c r="B41" s="87"/>
      <c r="C41" s="87">
        <f>B40+C39</f>
        <v>1481.5900000000001</v>
      </c>
      <c r="J41" t="s">
        <v>557</v>
      </c>
      <c r="K41" s="399">
        <f>K40*2</f>
        <v>0.24809079975947057</v>
      </c>
      <c r="L41" s="399">
        <f>L40*2</f>
        <v>0.2227285027059529</v>
      </c>
    </row>
    <row r="42" spans="1:12" ht="13.5" thickBot="1">
      <c r="A42" t="s">
        <v>525</v>
      </c>
      <c r="B42" s="71"/>
      <c r="C42">
        <f>C41/G35</f>
        <v>0.11136425135297656</v>
      </c>
    </row>
    <row r="43" spans="1:12" ht="13.5" thickBot="1">
      <c r="A43" s="87" t="s">
        <v>527</v>
      </c>
      <c r="B43" s="379"/>
      <c r="C43" s="405">
        <f>2*C42</f>
        <v>0.22272850270595312</v>
      </c>
      <c r="D43" t="s">
        <v>529</v>
      </c>
      <c r="K43" s="100">
        <f>K39-K38</f>
        <v>1650.2999999999993</v>
      </c>
      <c r="L43" s="100">
        <f>L39-L38</f>
        <v>1481.5900000000001</v>
      </c>
    </row>
  </sheetData>
  <mergeCells count="1">
    <mergeCell ref="A1:D1"/>
  </mergeCells>
  <pageMargins left="0.7" right="0.7" top="0.75" bottom="0.75" header="0.3" footer="0.3"/>
  <pageSetup scale="86" orientation="portrait" r:id="rId1"/>
  <headerFooter scaleWithDoc="0">
    <oddHeader>&amp;RExhibit No. __(EMA-7)</oddHeader>
    <oddFooter xml:space="preserve">&amp;RPage &amp;P of &amp;N  </oddFooter>
  </headerFooter>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view="pageBreakPreview" zoomScaleNormal="80" zoomScaleSheetLayoutView="100" workbookViewId="0">
      <selection activeCell="G42" activeCellId="2" sqref="P30 E42 G42"/>
    </sheetView>
  </sheetViews>
  <sheetFormatPr defaultRowHeight="12.75"/>
  <cols>
    <col min="1" max="1" width="30.28515625" customWidth="1"/>
    <col min="2" max="2" width="9.5703125" customWidth="1"/>
    <col min="3" max="9" width="9.28515625" bestFit="1" customWidth="1"/>
  </cols>
  <sheetData>
    <row r="1" spans="1:9">
      <c r="A1" s="580" t="s">
        <v>565</v>
      </c>
      <c r="B1" s="580"/>
      <c r="C1" s="580"/>
      <c r="D1" s="580"/>
      <c r="E1" s="406"/>
    </row>
    <row r="3" spans="1:9">
      <c r="B3" s="419">
        <v>2007</v>
      </c>
      <c r="C3" s="419">
        <v>2008</v>
      </c>
      <c r="D3" s="378">
        <v>2009</v>
      </c>
      <c r="E3" s="378">
        <v>2010</v>
      </c>
      <c r="F3" s="378">
        <v>2011</v>
      </c>
      <c r="G3" s="378">
        <v>2012</v>
      </c>
      <c r="H3" s="378">
        <v>2013</v>
      </c>
      <c r="I3" s="378">
        <v>2014</v>
      </c>
    </row>
    <row r="4" spans="1:9">
      <c r="A4" t="s">
        <v>506</v>
      </c>
      <c r="B4" s="422">
        <v>3541</v>
      </c>
      <c r="C4" s="422">
        <v>2961</v>
      </c>
      <c r="D4" s="101">
        <v>3728</v>
      </c>
      <c r="E4" s="101">
        <v>3834</v>
      </c>
      <c r="F4" s="101">
        <v>4316.6743270000006</v>
      </c>
      <c r="G4" s="101">
        <v>4592</v>
      </c>
      <c r="H4" s="101">
        <v>5191</v>
      </c>
      <c r="I4" s="101">
        <v>5523</v>
      </c>
    </row>
    <row r="5" spans="1:9">
      <c r="B5" s="394">
        <v>0</v>
      </c>
      <c r="C5" s="394">
        <v>1</v>
      </c>
      <c r="D5" s="394">
        <v>2</v>
      </c>
      <c r="E5" s="394">
        <v>3</v>
      </c>
      <c r="F5" s="394">
        <v>4</v>
      </c>
      <c r="G5" s="394">
        <v>5</v>
      </c>
      <c r="H5" s="394">
        <v>6</v>
      </c>
      <c r="I5" s="394">
        <v>7</v>
      </c>
    </row>
    <row r="6" spans="1:9">
      <c r="A6" t="s">
        <v>506</v>
      </c>
      <c r="B6" s="100">
        <f>B4</f>
        <v>3541</v>
      </c>
      <c r="C6" s="100">
        <f t="shared" ref="C6:I6" si="0">C4</f>
        <v>2961</v>
      </c>
      <c r="D6" s="100">
        <f t="shared" si="0"/>
        <v>3728</v>
      </c>
      <c r="E6" s="100">
        <f t="shared" si="0"/>
        <v>3834</v>
      </c>
      <c r="F6" s="100">
        <f t="shared" si="0"/>
        <v>4316.6743270000006</v>
      </c>
      <c r="G6" s="100">
        <f t="shared" si="0"/>
        <v>4592</v>
      </c>
      <c r="H6" s="100">
        <f t="shared" si="0"/>
        <v>5191</v>
      </c>
      <c r="I6" s="100">
        <f t="shared" si="0"/>
        <v>5523</v>
      </c>
    </row>
    <row r="7" spans="1:9">
      <c r="B7" s="44"/>
      <c r="C7" s="44"/>
      <c r="D7" s="44"/>
      <c r="E7" s="44"/>
      <c r="F7" s="44"/>
      <c r="G7" s="44"/>
    </row>
    <row r="25" spans="1:9">
      <c r="B25" s="87" t="s">
        <v>526</v>
      </c>
      <c r="C25" s="87" t="s">
        <v>111</v>
      </c>
    </row>
    <row r="26" spans="1:9">
      <c r="A26" s="87" t="s">
        <v>530</v>
      </c>
      <c r="B26" s="87">
        <f>2*35.039</f>
        <v>70.078000000000003</v>
      </c>
      <c r="C26" s="87">
        <v>89.231999999999999</v>
      </c>
    </row>
    <row r="27" spans="1:9">
      <c r="A27" s="70" t="s">
        <v>558</v>
      </c>
      <c r="B27">
        <f>(7*B26)</f>
        <v>490.54600000000005</v>
      </c>
    </row>
    <row r="28" spans="1:9">
      <c r="A28" t="s">
        <v>528</v>
      </c>
      <c r="B28" s="87"/>
      <c r="C28" s="87">
        <f>B27+C26</f>
        <v>579.77800000000002</v>
      </c>
    </row>
    <row r="29" spans="1:9" ht="13.5" thickBot="1">
      <c r="A29" t="s">
        <v>525</v>
      </c>
      <c r="B29" s="71"/>
      <c r="C29">
        <f>C28/I6</f>
        <v>0.10497519464059388</v>
      </c>
    </row>
    <row r="30" spans="1:9" ht="13.5" thickBot="1">
      <c r="A30" s="87" t="s">
        <v>527</v>
      </c>
      <c r="B30" s="379"/>
      <c r="C30" s="421">
        <f>2*C29</f>
        <v>0.20995038928118775</v>
      </c>
      <c r="D30" t="s">
        <v>529</v>
      </c>
    </row>
    <row r="32" spans="1:9" ht="13.5" thickBot="1">
      <c r="A32" s="408"/>
      <c r="B32" s="408"/>
      <c r="C32" s="408"/>
      <c r="D32" s="408"/>
      <c r="E32" s="408"/>
      <c r="F32" s="408"/>
      <c r="G32" s="408"/>
      <c r="H32" s="408"/>
      <c r="I32" s="408"/>
    </row>
    <row r="33" spans="1:14">
      <c r="A33" s="407" t="s">
        <v>566</v>
      </c>
      <c r="B33" s="378">
        <v>2009</v>
      </c>
      <c r="C33" s="378">
        <v>2010</v>
      </c>
      <c r="D33" s="378">
        <v>2011</v>
      </c>
      <c r="E33" s="378">
        <v>2012</v>
      </c>
      <c r="F33" s="378">
        <v>2013</v>
      </c>
      <c r="G33" s="378">
        <v>2014</v>
      </c>
    </row>
    <row r="34" spans="1:14">
      <c r="A34" t="s">
        <v>506</v>
      </c>
      <c r="B34" s="44">
        <f>'Cost Trends'!O136</f>
        <v>3728</v>
      </c>
      <c r="C34" s="44">
        <f>'Cost Trends'!P136</f>
        <v>3834</v>
      </c>
      <c r="D34" s="44">
        <f>'Cost Trends'!Q136</f>
        <v>4316.6743270000006</v>
      </c>
      <c r="E34" s="44">
        <f>'Cost Trends'!R136</f>
        <v>4592</v>
      </c>
      <c r="F34" s="44">
        <f>'Cost Trends'!S136</f>
        <v>5191</v>
      </c>
      <c r="G34" s="44">
        <f>'Cost Trends'!T136</f>
        <v>5523</v>
      </c>
    </row>
    <row r="35" spans="1:14">
      <c r="B35" s="394">
        <v>0</v>
      </c>
      <c r="C35" s="394">
        <v>1</v>
      </c>
      <c r="D35" s="394">
        <v>2</v>
      </c>
      <c r="E35" s="394">
        <v>3</v>
      </c>
      <c r="F35" s="394">
        <v>4</v>
      </c>
      <c r="G35" s="394">
        <v>5</v>
      </c>
    </row>
    <row r="36" spans="1:14">
      <c r="A36" t="s">
        <v>506</v>
      </c>
      <c r="B36" s="44">
        <f>'Cost Trends'!O136</f>
        <v>3728</v>
      </c>
      <c r="C36" s="44">
        <f>'Cost Trends'!P136</f>
        <v>3834</v>
      </c>
      <c r="D36" s="44">
        <f>'Cost Trends'!Q136</f>
        <v>4316.6743270000006</v>
      </c>
      <c r="E36" s="44">
        <f>'Cost Trends'!R136</f>
        <v>4592</v>
      </c>
      <c r="F36" s="44">
        <f>'Cost Trends'!S136</f>
        <v>5191</v>
      </c>
      <c r="G36" s="44">
        <f>'Cost Trends'!T136</f>
        <v>5523</v>
      </c>
    </row>
    <row r="37" spans="1:14">
      <c r="B37" s="44"/>
      <c r="C37" s="44"/>
      <c r="D37" s="44"/>
      <c r="E37" s="44"/>
      <c r="F37" s="44"/>
      <c r="G37" s="44"/>
    </row>
    <row r="38" spans="1:14">
      <c r="M38" s="40" t="s">
        <v>550</v>
      </c>
      <c r="N38" t="s">
        <v>551</v>
      </c>
    </row>
    <row r="39" spans="1:14">
      <c r="B39" s="87" t="s">
        <v>526</v>
      </c>
      <c r="C39" s="87" t="s">
        <v>111</v>
      </c>
      <c r="L39" t="s">
        <v>554</v>
      </c>
      <c r="M39" s="398">
        <f>G36</f>
        <v>5523</v>
      </c>
      <c r="N39" s="398">
        <f>M39</f>
        <v>5523</v>
      </c>
    </row>
    <row r="40" spans="1:14">
      <c r="A40" s="87" t="s">
        <v>530</v>
      </c>
      <c r="B40" s="87">
        <f>2*28.488</f>
        <v>56.975999999999999</v>
      </c>
      <c r="C40" s="87">
        <v>238.17</v>
      </c>
      <c r="L40" t="s">
        <v>555</v>
      </c>
      <c r="M40" s="398">
        <f>28.488*6^2+238.17*6+3674.2</f>
        <v>6128.7879999999996</v>
      </c>
      <c r="N40" s="398">
        <f>G36+(2*28.488*5+238.17)</f>
        <v>6046.05</v>
      </c>
    </row>
    <row r="41" spans="1:14">
      <c r="A41" t="s">
        <v>524</v>
      </c>
      <c r="B41">
        <f>(5*B40)</f>
        <v>284.88</v>
      </c>
      <c r="L41" t="s">
        <v>556</v>
      </c>
      <c r="M41" s="399">
        <f>M40/M39-1</f>
        <v>0.10968459170740541</v>
      </c>
      <c r="N41" s="399">
        <f>N40/N39-1</f>
        <v>9.470396523628466E-2</v>
      </c>
    </row>
    <row r="42" spans="1:14">
      <c r="A42" t="s">
        <v>528</v>
      </c>
      <c r="B42" s="87"/>
      <c r="C42" s="87">
        <f>B41+C40</f>
        <v>523.04999999999995</v>
      </c>
      <c r="L42" t="s">
        <v>557</v>
      </c>
      <c r="M42" s="399">
        <f>M41*2</f>
        <v>0.21936918341481082</v>
      </c>
      <c r="N42" s="399">
        <f>N41*2</f>
        <v>0.18940793047256932</v>
      </c>
    </row>
    <row r="43" spans="1:14" ht="13.5" thickBot="1">
      <c r="A43" t="s">
        <v>525</v>
      </c>
      <c r="B43" s="71"/>
      <c r="C43">
        <f>C42/G36</f>
        <v>9.4703965236284618E-2</v>
      </c>
    </row>
    <row r="44" spans="1:14" ht="13.5" thickBot="1">
      <c r="A44" s="87" t="s">
        <v>527</v>
      </c>
      <c r="B44" s="379"/>
      <c r="C44" s="405">
        <f>2*C43</f>
        <v>0.18940793047256924</v>
      </c>
      <c r="D44" t="s">
        <v>529</v>
      </c>
      <c r="M44" s="100">
        <f>M40-M39</f>
        <v>605.78799999999956</v>
      </c>
      <c r="N44" s="100">
        <f>N40-N39</f>
        <v>523.05000000000018</v>
      </c>
    </row>
  </sheetData>
  <mergeCells count="1">
    <mergeCell ref="A1:D1"/>
  </mergeCells>
  <pageMargins left="0.7" right="0.7" top="0.75" bottom="0.75" header="0.3" footer="0.3"/>
  <pageSetup scale="86" orientation="portrait" r:id="rId1"/>
  <headerFooter scaleWithDoc="0">
    <oddHeader>&amp;RExhibit No. __(EMA-7)</oddHeader>
    <oddFooter xml:space="preserve">&amp;RPage &amp;P of &amp;N  </oddFooter>
  </headerFooter>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60" zoomScaleNormal="100" workbookViewId="0">
      <selection activeCell="J18" sqref="J18"/>
    </sheetView>
  </sheetViews>
  <sheetFormatPr defaultRowHeight="12.75"/>
  <cols>
    <col min="1" max="1" width="19.7109375" customWidth="1"/>
  </cols>
  <sheetData>
    <row r="1" spans="1:7">
      <c r="B1" s="378">
        <v>2009</v>
      </c>
      <c r="C1" s="378">
        <v>2010</v>
      </c>
      <c r="D1" s="378">
        <v>2011</v>
      </c>
      <c r="E1" s="378">
        <v>2012</v>
      </c>
      <c r="F1" s="378">
        <v>2013</v>
      </c>
      <c r="G1" s="378">
        <v>2014</v>
      </c>
    </row>
    <row r="2" spans="1:7">
      <c r="A2" t="s">
        <v>514</v>
      </c>
      <c r="B2" s="44">
        <f>'Cost Trends'!O149</f>
        <v>93</v>
      </c>
      <c r="C2" s="44">
        <f>'Cost Trends'!P149</f>
        <v>64</v>
      </c>
      <c r="D2" s="44">
        <f>'Cost Trends'!Q149</f>
        <v>47</v>
      </c>
      <c r="E2" s="44">
        <f>'Cost Trends'!R149</f>
        <v>285</v>
      </c>
      <c r="F2" s="44">
        <f>'Cost Trends'!S149</f>
        <v>403</v>
      </c>
      <c r="G2" s="44">
        <f>'Cost Trends'!T149</f>
        <v>332</v>
      </c>
    </row>
    <row r="6" spans="1:7">
      <c r="A6" t="s">
        <v>515</v>
      </c>
      <c r="B6">
        <v>70</v>
      </c>
    </row>
    <row r="7" spans="1:7">
      <c r="A7" t="s">
        <v>516</v>
      </c>
      <c r="B7" s="71">
        <f>70/332</f>
        <v>0.21084337349397592</v>
      </c>
    </row>
    <row r="8" spans="1:7">
      <c r="A8" t="s">
        <v>517</v>
      </c>
      <c r="B8" s="71">
        <f>B7*2</f>
        <v>0.42168674698795183</v>
      </c>
      <c r="C8" t="s">
        <v>522</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115" zoomScaleNormal="100" zoomScaleSheetLayoutView="115" workbookViewId="0">
      <selection activeCell="C8" sqref="C8"/>
    </sheetView>
  </sheetViews>
  <sheetFormatPr defaultRowHeight="12.75"/>
  <cols>
    <col min="1" max="1" width="42.140625" customWidth="1"/>
    <col min="2" max="2" width="7.140625" customWidth="1"/>
    <col min="3" max="3" width="9.42578125" customWidth="1"/>
    <col min="4" max="4" width="10.42578125" customWidth="1"/>
    <col min="5" max="5" width="7" customWidth="1"/>
    <col min="6" max="6" width="6.85546875" customWidth="1"/>
    <col min="7" max="7" width="6.7109375" customWidth="1"/>
  </cols>
  <sheetData>
    <row r="1" spans="1:7">
      <c r="A1" s="581" t="s">
        <v>572</v>
      </c>
      <c r="B1" s="581"/>
      <c r="C1" s="581"/>
      <c r="D1" s="581"/>
      <c r="E1" s="581"/>
      <c r="F1" s="581"/>
      <c r="G1" s="581"/>
    </row>
    <row r="2" spans="1:7">
      <c r="A2" s="581"/>
      <c r="B2" s="581"/>
      <c r="C2" s="581"/>
      <c r="D2" s="581"/>
      <c r="E2" s="581"/>
      <c r="F2" s="581"/>
      <c r="G2" s="581"/>
    </row>
    <row r="3" spans="1:7" ht="56.25" customHeight="1">
      <c r="A3" s="581"/>
      <c r="B3" s="581"/>
      <c r="C3" s="581"/>
      <c r="D3" s="581"/>
      <c r="E3" s="581"/>
      <c r="F3" s="581"/>
      <c r="G3" s="581"/>
    </row>
    <row r="4" spans="1:7">
      <c r="A4" s="70" t="s">
        <v>299</v>
      </c>
      <c r="B4" s="378">
        <v>2009</v>
      </c>
      <c r="C4" s="378">
        <v>2010</v>
      </c>
      <c r="D4" s="378">
        <v>2011</v>
      </c>
      <c r="E4" s="378">
        <v>2012</v>
      </c>
      <c r="F4" s="378">
        <v>2013</v>
      </c>
      <c r="G4" s="378">
        <v>2014</v>
      </c>
    </row>
    <row r="5" spans="1:7">
      <c r="A5" t="s">
        <v>549</v>
      </c>
      <c r="B5" s="116">
        <f>'Cost Trends'!O113</f>
        <v>24600</v>
      </c>
      <c r="C5" s="116">
        <f>'Cost Trends'!P113</f>
        <v>26009</v>
      </c>
      <c r="D5" s="116">
        <f>'Cost Trends'!Q113</f>
        <v>27851.852941999998</v>
      </c>
      <c r="F5" s="116">
        <f>'Cost Trends'!S113</f>
        <v>31057</v>
      </c>
      <c r="G5" s="116">
        <f>'Cost Trends'!T113</f>
        <v>31478</v>
      </c>
    </row>
    <row r="6" spans="1:7">
      <c r="A6" t="s">
        <v>507</v>
      </c>
      <c r="B6" s="116"/>
      <c r="C6" s="116"/>
      <c r="D6" s="116"/>
      <c r="E6" s="116">
        <f>'Cost Trends'!R113</f>
        <v>30759</v>
      </c>
    </row>
    <row r="7" spans="1:7">
      <c r="A7" t="s">
        <v>508</v>
      </c>
      <c r="B7" s="380"/>
      <c r="C7" s="380"/>
      <c r="D7" s="380"/>
      <c r="E7" s="380"/>
      <c r="F7" s="44">
        <f>F5</f>
        <v>31057</v>
      </c>
      <c r="G7" s="44">
        <f>G5</f>
        <v>31478</v>
      </c>
    </row>
    <row r="8" spans="1:7">
      <c r="C8" s="44"/>
      <c r="D8" s="44"/>
      <c r="E8" s="44"/>
    </row>
    <row r="9" spans="1:7">
      <c r="B9" s="381" t="s">
        <v>509</v>
      </c>
      <c r="C9" s="378" t="s">
        <v>510</v>
      </c>
      <c r="D9" s="378" t="s">
        <v>511</v>
      </c>
    </row>
    <row r="10" spans="1:7">
      <c r="A10" t="s">
        <v>512</v>
      </c>
      <c r="B10" s="382">
        <v>421</v>
      </c>
      <c r="C10" s="460">
        <f>B10/G5</f>
        <v>1.3374420230001906E-2</v>
      </c>
      <c r="D10" s="460">
        <f>C10*2</f>
        <v>2.6748840460003812E-2</v>
      </c>
    </row>
    <row r="11" spans="1:7" ht="13.5" thickBot="1">
      <c r="A11" s="87" t="s">
        <v>523</v>
      </c>
      <c r="B11" s="383">
        <f>C11*G5</f>
        <v>944.33999999999992</v>
      </c>
      <c r="C11" s="461">
        <v>0.03</v>
      </c>
      <c r="D11" s="461">
        <f>C11*2</f>
        <v>0.06</v>
      </c>
    </row>
    <row r="12" spans="1:7" ht="13.5" thickBot="1">
      <c r="A12" s="384" t="s">
        <v>513</v>
      </c>
      <c r="C12" s="464">
        <v>2.4199999999999999E-2</v>
      </c>
      <c r="D12" s="463">
        <f>2*C12</f>
        <v>4.8399999999999999E-2</v>
      </c>
      <c r="E12" s="462" t="s">
        <v>574</v>
      </c>
    </row>
    <row r="13" spans="1:7">
      <c r="E13" s="70" t="s">
        <v>575</v>
      </c>
    </row>
    <row r="37" spans="4:7">
      <c r="D37" s="380"/>
      <c r="E37" s="380"/>
      <c r="F37" s="380"/>
      <c r="G37" s="380"/>
    </row>
    <row r="38" spans="4:7">
      <c r="D38" s="380"/>
      <c r="E38" s="112"/>
      <c r="F38" s="112"/>
      <c r="G38" s="112"/>
    </row>
    <row r="39" spans="4:7">
      <c r="D39" s="380"/>
      <c r="E39" s="112"/>
      <c r="F39" s="112"/>
      <c r="G39" s="112"/>
    </row>
    <row r="40" spans="4:7">
      <c r="D40" s="380"/>
      <c r="E40" s="112"/>
      <c r="F40" s="112"/>
      <c r="G40" s="112"/>
    </row>
    <row r="41" spans="4:7">
      <c r="D41" s="112"/>
      <c r="E41" s="112"/>
      <c r="F41" s="380"/>
      <c r="G41" s="385"/>
    </row>
  </sheetData>
  <mergeCells count="1">
    <mergeCell ref="A1:G3"/>
  </mergeCells>
  <pageMargins left="0.7" right="0.7" top="0.75" bottom="0.75" header="0.3" footer="0.3"/>
  <pageSetup orientation="portrait" r:id="rId1"/>
  <headerFooter scaleWithDoc="0">
    <oddHeader>&amp;RExhibit No. __(EMA-7)</oddHeader>
    <oddFooter xml:space="preserve">&amp;RPage &amp;P of &amp;N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SignificantOrder xmlns="dc463f71-b30c-4ab2-9473-d307f9d35888">false</SignificantOrder>
    <Date1 xmlns="dc463f71-b30c-4ab2-9473-d307f9d35888">2019-12-12T08:00:00+00:00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150204</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C8C61CF-7316-4437-A73E-E68504F63E7A}">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5669ab18-4669-4dff-bab7-7c18fb4d6e14"/>
    <ds:schemaRef ds:uri="http://www.w3.org/XML/1998/namespace"/>
    <ds:schemaRef ds:uri="http://purl.org/dc/dcmitype/"/>
  </ds:schemaRefs>
</ds:datastoreItem>
</file>

<file path=customXml/itemProps2.xml><?xml version="1.0" encoding="utf-8"?>
<ds:datastoreItem xmlns:ds="http://schemas.openxmlformats.org/officeDocument/2006/customXml" ds:itemID="{7C76032D-118D-4986-94CB-A979E36B5393}"/>
</file>

<file path=customXml/itemProps3.xml><?xml version="1.0" encoding="utf-8"?>
<ds:datastoreItem xmlns:ds="http://schemas.openxmlformats.org/officeDocument/2006/customXml" ds:itemID="{E3FDCB60-32DB-4097-8F16-5C59A1C8BA49}">
  <ds:schemaRefs>
    <ds:schemaRef ds:uri="http://schemas.microsoft.com/sharepoint/v3/contenttype/forms"/>
  </ds:schemaRefs>
</ds:datastoreItem>
</file>

<file path=customXml/itemProps4.xml><?xml version="1.0" encoding="utf-8"?>
<ds:datastoreItem xmlns:ds="http://schemas.openxmlformats.org/officeDocument/2006/customXml" ds:itemID="{A3CF6767-F4A1-4E28-85C6-33AD65748F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Summary</vt:lpstr>
      <vt:lpstr>ROR</vt:lpstr>
      <vt:lpstr>Attrition 09.2014 to 2016</vt:lpstr>
      <vt:lpstr>Cost Trends</vt:lpstr>
      <vt:lpstr>Net plant</vt:lpstr>
      <vt:lpstr>Dep Amort</vt:lpstr>
      <vt:lpstr>Taxes (other than income)</vt:lpstr>
      <vt:lpstr>Other Revenue</vt:lpstr>
      <vt:lpstr>Op Exp</vt:lpstr>
      <vt:lpstr>Weighted Revenue Growth</vt:lpstr>
      <vt:lpstr>Plant trends</vt:lpstr>
      <vt:lpstr>09.2014 Revenue Model</vt:lpstr>
      <vt:lpstr>Forecast Bill Determinants</vt:lpstr>
      <vt:lpstr>Riders and Gas Cost Revenue</vt:lpstr>
      <vt:lpstr>Reg Amort and Other RB</vt:lpstr>
      <vt:lpstr>'09.2014 Revenue Model'!Print_Area</vt:lpstr>
      <vt:lpstr>'Attrition 09.2014 to 2016'!Print_Area</vt:lpstr>
      <vt:lpstr>'Cost Trends'!Print_Area</vt:lpstr>
      <vt:lpstr>'Dep Amort'!Print_Area</vt:lpstr>
      <vt:lpstr>'Net plant'!Print_Area</vt:lpstr>
      <vt:lpstr>'Riders and Gas Cost Revenue'!Print_Area</vt:lpstr>
      <vt:lpstr>ROR!Print_Area</vt:lpstr>
      <vt:lpstr>Summary!Print_Area</vt:lpstr>
      <vt:lpstr>'Taxes (other than income)'!Print_Area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to BR-22</dc:title>
  <dc:creator>Preferred Customer</dc:creator>
  <cp:lastModifiedBy>DeMarco, Betsy (UTC)</cp:lastModifiedBy>
  <cp:lastPrinted>2019-12-11T21:58:55Z</cp:lastPrinted>
  <dcterms:created xsi:type="dcterms:W3CDTF">1997-05-15T21:41:44Z</dcterms:created>
  <dcterms:modified xsi:type="dcterms:W3CDTF">2019-12-11T21:59:02Z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y fmtid="{D5CDD505-2E9C-101B-9397-08002B2CF9AE}" pid="4" name="IsEFSEC">
    <vt:bool>false</vt:bool>
  </property>
</Properties>
</file>