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3022-64 UE-190529\dir\_exh\_xls\"/>
    </mc:Choice>
  </mc:AlternateContent>
  <xr:revisionPtr revIDLastSave="0" documentId="13_ncr:1_{0713E5CC-5002-4AC9-8E07-008B9C91C273}" xr6:coauthVersionLast="45" xr6:coauthVersionMax="45" xr10:uidLastSave="{00000000-0000-0000-0000-000000000000}"/>
  <bookViews>
    <workbookView xWindow="-120" yWindow="-120" windowWidth="29040" windowHeight="13995" xr2:uid="{668883DF-F3E5-4E60-BBB3-A0C7146E6659}"/>
  </bookViews>
  <sheets>
    <sheet name="Exh BGM-7 ARAM" sheetId="1" r:id="rId1"/>
    <sheet name="Table 9" sheetId="6" r:id="rId2"/>
    <sheet name="Table 10" sheetId="7" r:id="rId3"/>
    <sheet name="Electric 141X" sheetId="2" r:id="rId4"/>
    <sheet name="Gas 141X" sheetId="3" r:id="rId5"/>
    <sheet name="Electric 141X (p)" sheetId="4" r:id="rId6"/>
    <sheet name="Gas 141X (p)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'[18]Named Ranges'!$C$4</definedName>
    <definedName name="CASE_E">'[19]Named Ranges E'!$C$4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mp">'[18]Named Ranges'!$C$8</definedName>
    <definedName name="Comp_E">'[19]Named Ranges E'!$C$8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'[18]Named Ranges'!$C$6</definedName>
    <definedName name="DOCKETNUMBER_E">'[19]Named Ranges E'!$C$6</definedName>
    <definedName name="DP.T">[4]INTERNAL!$A$46:$IV$48</definedName>
    <definedName name="EBFIT.T">[4]INTERNAL!$A$88:$IV$90</definedName>
    <definedName name="EffTax">[28]INPUTS!$F$36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'[18]Named Ranges'!$C$3</definedName>
    <definedName name="FIT_E">'[19]Named Ranges E'!$C$3</definedName>
    <definedName name="FIT_Tax_Rate">'[12]Assumptions (Input)'!$B$5</definedName>
    <definedName name="FranchiseTax">[11]Variables!$D$26</definedName>
    <definedName name="FTAX">[28]INPUTS!$F$35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1">IF([0]!Values_Entered,Header_Row+[0]!Number_of_Payments,Header_Row)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Titles" localSheetId="0">'Exh BGM-7 ARAM'!$A:$B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[30]Inputs!$E$111</definedName>
    <definedName name="PSE">'[50]4.04'!$A$6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'[21]Transp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[28]INPUTS!$F$44</definedName>
    <definedName name="ResUnc">[28]INPUTS!$F$39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[28]INPUTS!$F$30</definedName>
    <definedName name="ROR">[28]INPUTS!$F$29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[28]INPUTS!$F$34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'[18]Named Ranges'!$C$5</definedName>
    <definedName name="TESTYEAR_E">'[19]Named Ranges E'!$C$5</definedName>
    <definedName name="TFR">[4]CLASSIFIERS!$A$11:$IV$11</definedName>
    <definedName name="ThermalBookLife">[9]Assumptions!$C$25</definedName>
    <definedName name="Title">[9]Assumptions!$A$1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C9" i="6" s="1"/>
  <c r="H8" i="6"/>
  <c r="H9" i="6" s="1"/>
  <c r="J8" i="6"/>
  <c r="H20" i="6"/>
  <c r="H21" i="6" s="1"/>
  <c r="J20" i="6"/>
  <c r="J21" i="6" s="1"/>
  <c r="N7" i="5"/>
  <c r="A8" i="5"/>
  <c r="N8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N9" i="5"/>
  <c r="N10" i="5"/>
  <c r="N11" i="5"/>
  <c r="N12" i="5"/>
  <c r="N13" i="5"/>
  <c r="N14" i="5"/>
  <c r="N15" i="5"/>
  <c r="N16" i="5"/>
  <c r="N17" i="5"/>
  <c r="N18" i="5"/>
  <c r="N19" i="5"/>
  <c r="N20" i="5"/>
  <c r="E21" i="5"/>
  <c r="F21" i="5"/>
  <c r="G21" i="5"/>
  <c r="H21" i="5"/>
  <c r="I21" i="5"/>
  <c r="J21" i="5"/>
  <c r="K21" i="5"/>
  <c r="L21" i="5"/>
  <c r="A8" i="4"/>
  <c r="M8" i="4"/>
  <c r="A9" i="4"/>
  <c r="A10" i="4" s="1"/>
  <c r="A11" i="4" s="1"/>
  <c r="M11" i="4"/>
  <c r="A12" i="4"/>
  <c r="A13" i="4" s="1"/>
  <c r="A14" i="4" s="1"/>
  <c r="A15" i="4" s="1"/>
  <c r="M12" i="4"/>
  <c r="M13" i="4"/>
  <c r="M14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M17" i="4"/>
  <c r="M18" i="4"/>
  <c r="M19" i="4"/>
  <c r="M22" i="4"/>
  <c r="M25" i="4"/>
  <c r="M26" i="4"/>
  <c r="M29" i="4"/>
  <c r="M32" i="4"/>
  <c r="M34" i="4"/>
  <c r="D36" i="4"/>
  <c r="E36" i="4"/>
  <c r="F36" i="4"/>
  <c r="G36" i="4"/>
  <c r="H36" i="4"/>
  <c r="I36" i="4"/>
  <c r="J36" i="4"/>
  <c r="K36" i="4"/>
  <c r="M7" i="3"/>
  <c r="A8" i="3"/>
  <c r="A9" i="3" s="1"/>
  <c r="M8" i="3"/>
  <c r="M9" i="3"/>
  <c r="A10" i="3"/>
  <c r="A11" i="3" s="1"/>
  <c r="M10" i="3"/>
  <c r="M11" i="3"/>
  <c r="A12" i="3"/>
  <c r="A13" i="3" s="1"/>
  <c r="M12" i="3"/>
  <c r="M13" i="3"/>
  <c r="A14" i="3"/>
  <c r="A15" i="3" s="1"/>
  <c r="A16" i="3" s="1"/>
  <c r="A17" i="3" s="1"/>
  <c r="A18" i="3" s="1"/>
  <c r="A19" i="3" s="1"/>
  <c r="M14" i="3"/>
  <c r="M15" i="3"/>
  <c r="M16" i="3"/>
  <c r="M17" i="3"/>
  <c r="M18" i="3"/>
  <c r="M19" i="3"/>
  <c r="A20" i="3"/>
  <c r="A21" i="3" s="1"/>
  <c r="M20" i="3"/>
  <c r="E21" i="3"/>
  <c r="F21" i="3"/>
  <c r="G21" i="3"/>
  <c r="H21" i="3"/>
  <c r="I21" i="3"/>
  <c r="J21" i="3"/>
  <c r="K21" i="3"/>
  <c r="A8" i="2"/>
  <c r="L8" i="2"/>
  <c r="A9" i="2"/>
  <c r="A10" i="2" s="1"/>
  <c r="A11" i="2" s="1"/>
  <c r="A12" i="2" s="1"/>
  <c r="A13" i="2" s="1"/>
  <c r="L11" i="2"/>
  <c r="L12" i="2"/>
  <c r="L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L14" i="2"/>
  <c r="L17" i="2"/>
  <c r="L18" i="2"/>
  <c r="L19" i="2"/>
  <c r="L22" i="2"/>
  <c r="L25" i="2"/>
  <c r="L26" i="2"/>
  <c r="L29" i="2"/>
  <c r="L32" i="2"/>
  <c r="L34" i="2"/>
  <c r="D36" i="2"/>
  <c r="E36" i="2"/>
  <c r="F36" i="2"/>
  <c r="G36" i="2"/>
  <c r="H36" i="2"/>
  <c r="I36" i="2"/>
  <c r="J36" i="2"/>
  <c r="D13" i="1"/>
  <c r="E13" i="1" s="1"/>
  <c r="M13" i="1" s="1"/>
  <c r="O13" i="1"/>
  <c r="P13" i="1" s="1"/>
  <c r="X13" i="1" s="1"/>
  <c r="B14" i="1"/>
  <c r="D25" i="1"/>
  <c r="O25" i="1"/>
  <c r="O26" i="1" s="1"/>
  <c r="D37" i="1"/>
  <c r="D38" i="1" s="1"/>
  <c r="D39" i="1" s="1"/>
  <c r="D40" i="1" s="1"/>
  <c r="D41" i="1" s="1"/>
  <c r="D42" i="1" s="1"/>
  <c r="O37" i="1"/>
  <c r="O38" i="1" s="1"/>
  <c r="H41" i="1"/>
  <c r="S41" i="1"/>
  <c r="H42" i="1"/>
  <c r="H43" i="1" s="1"/>
  <c r="H44" i="1" s="1"/>
  <c r="H45" i="1" s="1"/>
  <c r="H46" i="1" s="1"/>
  <c r="H47" i="1" s="1"/>
  <c r="H48" i="1" s="1"/>
  <c r="H49" i="1" s="1"/>
  <c r="S42" i="1"/>
  <c r="S43" i="1" s="1"/>
  <c r="S44" i="1" s="1"/>
  <c r="S45" i="1" s="1"/>
  <c r="S46" i="1" s="1"/>
  <c r="S47" i="1" s="1"/>
  <c r="S48" i="1" s="1"/>
  <c r="S49" i="1" s="1"/>
  <c r="D49" i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O49" i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D14" i="1"/>
  <c r="O14" i="1"/>
  <c r="O15" i="1"/>
  <c r="O27" i="1"/>
  <c r="O28" i="1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4" i="6"/>
  <c r="H26" i="6" s="1"/>
  <c r="J9" i="6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C10" i="6"/>
  <c r="D43" i="1"/>
  <c r="R27" i="1" a="1"/>
  <c r="S50" i="1"/>
  <c r="O39" i="1"/>
  <c r="L36" i="2"/>
  <c r="D26" i="1"/>
  <c r="N21" i="5"/>
  <c r="H50" i="1"/>
  <c r="M21" i="3"/>
  <c r="G34" i="1" a="1"/>
  <c r="M36" i="4"/>
  <c r="G27" i="1" a="1"/>
  <c r="R34" i="1" a="1"/>
  <c r="P14" i="1" l="1"/>
  <c r="X14" i="1" s="1"/>
  <c r="E14" i="1"/>
  <c r="M14" i="1" s="1"/>
  <c r="D15" i="1"/>
  <c r="O16" i="1"/>
  <c r="C11" i="6"/>
  <c r="C12" i="6" s="1"/>
  <c r="H29" i="6"/>
  <c r="H30" i="6" s="1"/>
  <c r="H31" i="6" s="1"/>
  <c r="H32" i="6" s="1"/>
  <c r="I41" i="1"/>
  <c r="I42" i="1"/>
  <c r="J24" i="6"/>
  <c r="J26" i="6" s="1"/>
  <c r="H51" i="1"/>
  <c r="G28" i="1"/>
  <c r="J28" i="1" s="1"/>
  <c r="G30" i="1"/>
  <c r="J30" i="1" s="1"/>
  <c r="G32" i="1"/>
  <c r="J32" i="1" s="1"/>
  <c r="G31" i="1"/>
  <c r="J31" i="1" s="1"/>
  <c r="G27" i="1"/>
  <c r="G29" i="1"/>
  <c r="J29" i="1" s="1"/>
  <c r="G33" i="1"/>
  <c r="J33" i="1" s="1"/>
  <c r="O29" i="1"/>
  <c r="D27" i="1"/>
  <c r="D44" i="1"/>
  <c r="S51" i="1"/>
  <c r="R35" i="1"/>
  <c r="U35" i="1" s="1"/>
  <c r="R34" i="1"/>
  <c r="U34" i="1" s="1"/>
  <c r="R36" i="1"/>
  <c r="U36" i="1" s="1"/>
  <c r="R38" i="1"/>
  <c r="U38" i="1" s="1"/>
  <c r="R40" i="1"/>
  <c r="U40" i="1" s="1"/>
  <c r="R41" i="1"/>
  <c r="R37" i="1"/>
  <c r="U37" i="1" s="1"/>
  <c r="R39" i="1"/>
  <c r="U39" i="1" s="1"/>
  <c r="O40" i="1"/>
  <c r="R28" i="1"/>
  <c r="U28" i="1" s="1"/>
  <c r="R30" i="1"/>
  <c r="U30" i="1" s="1"/>
  <c r="R32" i="1"/>
  <c r="U32" i="1" s="1"/>
  <c r="R29" i="1"/>
  <c r="U29" i="1" s="1"/>
  <c r="R33" i="1"/>
  <c r="U33" i="1" s="1"/>
  <c r="R31" i="1"/>
  <c r="U31" i="1" s="1"/>
  <c r="R27" i="1"/>
  <c r="G35" i="1"/>
  <c r="J35" i="1" s="1"/>
  <c r="G36" i="1"/>
  <c r="J36" i="1" s="1"/>
  <c r="G37" i="1"/>
  <c r="J37" i="1" s="1"/>
  <c r="G39" i="1"/>
  <c r="J39" i="1" s="1"/>
  <c r="G41" i="1"/>
  <c r="G34" i="1"/>
  <c r="J34" i="1" s="1"/>
  <c r="G40" i="1"/>
  <c r="J40" i="1" s="1"/>
  <c r="G38" i="1"/>
  <c r="J38" i="1" s="1"/>
  <c r="P15" i="1" l="1"/>
  <c r="X15" i="1" s="1"/>
  <c r="G7" i="1" a="1"/>
  <c r="G7" i="1" s="1"/>
  <c r="R10" i="1" a="1"/>
  <c r="R10" i="1" s="1"/>
  <c r="U27" i="1"/>
  <c r="R9" i="1" a="1"/>
  <c r="R9" i="1" s="1"/>
  <c r="R7" i="1" a="1"/>
  <c r="R7" i="1" s="1"/>
  <c r="R8" i="1" a="1"/>
  <c r="R8" i="1" s="1"/>
  <c r="J27" i="1"/>
  <c r="G8" i="1" a="1"/>
  <c r="G8" i="1" s="1"/>
  <c r="G9" i="1" a="1"/>
  <c r="G9" i="1" s="1"/>
  <c r="G10" i="1" a="1"/>
  <c r="G10" i="1" s="1"/>
  <c r="J41" i="1"/>
  <c r="E15" i="1"/>
  <c r="M15" i="1" s="1"/>
  <c r="D16" i="1"/>
  <c r="O17" i="1"/>
  <c r="T42" i="1"/>
  <c r="J29" i="6"/>
  <c r="J30" i="6" s="1"/>
  <c r="J31" i="6" s="1"/>
  <c r="J32" i="6" s="1"/>
  <c r="T41" i="1"/>
  <c r="I43" i="1"/>
  <c r="J42" i="1"/>
  <c r="C13" i="6"/>
  <c r="D28" i="1"/>
  <c r="O30" i="1"/>
  <c r="S52" i="1"/>
  <c r="D45" i="1"/>
  <c r="H52" i="1"/>
  <c r="O41" i="1"/>
  <c r="P16" i="1" l="1"/>
  <c r="X16" i="1" s="1"/>
  <c r="U41" i="1"/>
  <c r="E16" i="1"/>
  <c r="M16" i="1" s="1"/>
  <c r="D17" i="1"/>
  <c r="K27" i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V27" i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P17" i="1"/>
  <c r="X17" i="1" s="1"/>
  <c r="O18" i="1"/>
  <c r="T43" i="1"/>
  <c r="U42" i="1"/>
  <c r="I44" i="1"/>
  <c r="J43" i="1"/>
  <c r="C14" i="6"/>
  <c r="D29" i="1"/>
  <c r="D46" i="1"/>
  <c r="O42" i="1"/>
  <c r="H53" i="1"/>
  <c r="S53" i="1"/>
  <c r="O31" i="1"/>
  <c r="K43" i="1" l="1"/>
  <c r="V42" i="1"/>
  <c r="D18" i="1"/>
  <c r="E17" i="1"/>
  <c r="M17" i="1" s="1"/>
  <c r="P18" i="1"/>
  <c r="X18" i="1" s="1"/>
  <c r="O19" i="1"/>
  <c r="T44" i="1"/>
  <c r="U43" i="1"/>
  <c r="I45" i="1"/>
  <c r="J44" i="1"/>
  <c r="C15" i="6"/>
  <c r="O43" i="1"/>
  <c r="O32" i="1"/>
  <c r="H54" i="1"/>
  <c r="D47" i="1"/>
  <c r="D30" i="1"/>
  <c r="S54" i="1"/>
  <c r="V43" i="1" l="1"/>
  <c r="D19" i="1"/>
  <c r="E18" i="1"/>
  <c r="M18" i="1" s="1"/>
  <c r="K44" i="1"/>
  <c r="P19" i="1"/>
  <c r="X19" i="1" s="1"/>
  <c r="O20" i="1"/>
  <c r="T45" i="1"/>
  <c r="U44" i="1"/>
  <c r="I46" i="1"/>
  <c r="J45" i="1"/>
  <c r="C16" i="6"/>
  <c r="O33" i="1"/>
  <c r="D31" i="1"/>
  <c r="H55" i="1"/>
  <c r="S55" i="1"/>
  <c r="D48" i="1"/>
  <c r="O44" i="1"/>
  <c r="V44" i="1" l="1"/>
  <c r="D20" i="1"/>
  <c r="E19" i="1"/>
  <c r="M19" i="1" s="1"/>
  <c r="K45" i="1"/>
  <c r="P20" i="1"/>
  <c r="X20" i="1" s="1"/>
  <c r="O21" i="1"/>
  <c r="C17" i="6"/>
  <c r="I47" i="1"/>
  <c r="J46" i="1"/>
  <c r="K46" i="1" s="1"/>
  <c r="T46" i="1"/>
  <c r="U45" i="1"/>
  <c r="H56" i="1"/>
  <c r="O45" i="1"/>
  <c r="D32" i="1"/>
  <c r="S56" i="1"/>
  <c r="O34" i="1"/>
  <c r="V45" i="1" l="1"/>
  <c r="E20" i="1"/>
  <c r="M20" i="1" s="1"/>
  <c r="D21" i="1"/>
  <c r="P21" i="1"/>
  <c r="X21" i="1" s="1"/>
  <c r="O22" i="1"/>
  <c r="I48" i="1"/>
  <c r="J47" i="1"/>
  <c r="K47" i="1" s="1"/>
  <c r="T47" i="1"/>
  <c r="U46" i="1"/>
  <c r="V46" i="1" s="1"/>
  <c r="C18" i="6"/>
  <c r="D33" i="1"/>
  <c r="S57" i="1"/>
  <c r="O46" i="1"/>
  <c r="H57" i="1"/>
  <c r="O35" i="1"/>
  <c r="E21" i="1" l="1"/>
  <c r="M21" i="1" s="1"/>
  <c r="D22" i="1"/>
  <c r="P22" i="1"/>
  <c r="X22" i="1" s="1"/>
  <c r="O23" i="1"/>
  <c r="C19" i="6"/>
  <c r="C20" i="6" s="1"/>
  <c r="C21" i="6" s="1"/>
  <c r="C23" i="6" s="1"/>
  <c r="C26" i="6" s="1"/>
  <c r="C28" i="6" s="1"/>
  <c r="C29" i="6" s="1"/>
  <c r="C30" i="6" s="1"/>
  <c r="C31" i="6" s="1"/>
  <c r="C32" i="6" s="1"/>
  <c r="I49" i="1"/>
  <c r="J48" i="1"/>
  <c r="K48" i="1" s="1"/>
  <c r="T48" i="1"/>
  <c r="U47" i="1"/>
  <c r="V47" i="1" s="1"/>
  <c r="O36" i="1"/>
  <c r="D34" i="1"/>
  <c r="O47" i="1"/>
  <c r="H58" i="1"/>
  <c r="S58" i="1"/>
  <c r="D23" i="1" l="1"/>
  <c r="E22" i="1"/>
  <c r="M22" i="1" s="1"/>
  <c r="P23" i="1"/>
  <c r="X23" i="1" s="1"/>
  <c r="O24" i="1"/>
  <c r="T49" i="1"/>
  <c r="U48" i="1"/>
  <c r="V48" i="1" s="1"/>
  <c r="I50" i="1"/>
  <c r="J49" i="1"/>
  <c r="K49" i="1" s="1"/>
  <c r="S59" i="1"/>
  <c r="O48" i="1"/>
  <c r="D35" i="1"/>
  <c r="H59" i="1"/>
  <c r="O10" i="1" l="1" a="1"/>
  <c r="O10" i="1" s="1"/>
  <c r="O9" i="1" a="1"/>
  <c r="O9" i="1" s="1"/>
  <c r="O7" i="1" a="1"/>
  <c r="O7" i="1" s="1"/>
  <c r="P7" i="1" s="1"/>
  <c r="O8" i="1" a="1"/>
  <c r="O8" i="1" s="1"/>
  <c r="P8" i="1" s="1"/>
  <c r="P24" i="1"/>
  <c r="E23" i="1"/>
  <c r="M23" i="1" s="1"/>
  <c r="D24" i="1"/>
  <c r="X24" i="1"/>
  <c r="P25" i="1"/>
  <c r="T50" i="1"/>
  <c r="U49" i="1"/>
  <c r="V49" i="1" s="1"/>
  <c r="I51" i="1"/>
  <c r="J50" i="1"/>
  <c r="K50" i="1" s="1"/>
  <c r="H60" i="1"/>
  <c r="D36" i="1"/>
  <c r="D10" i="1" s="1" a="1"/>
  <c r="D10" i="1" s="1"/>
  <c r="S60" i="1"/>
  <c r="S7" i="1" l="1" a="1"/>
  <c r="S7" i="1" s="1"/>
  <c r="S9" i="1" a="1"/>
  <c r="S9" i="1" s="1"/>
  <c r="S10" i="1" a="1"/>
  <c r="S10" i="1" s="1"/>
  <c r="S8" i="1" a="1"/>
  <c r="S8" i="1" s="1"/>
  <c r="D9" i="1" a="1"/>
  <c r="D9" i="1" s="1"/>
  <c r="D7" i="1" a="1"/>
  <c r="D7" i="1" s="1"/>
  <c r="E7" i="1" s="1"/>
  <c r="D8" i="1" a="1"/>
  <c r="D8" i="1" s="1"/>
  <c r="E24" i="1"/>
  <c r="P9" i="1"/>
  <c r="P10" i="1" s="1"/>
  <c r="H7" i="1" a="1"/>
  <c r="H7" i="1" s="1"/>
  <c r="H10" i="1" a="1"/>
  <c r="H10" i="1" s="1"/>
  <c r="H9" i="1" a="1"/>
  <c r="H9" i="1" s="1"/>
  <c r="H8" i="1" a="1"/>
  <c r="H8" i="1" s="1"/>
  <c r="X25" i="1"/>
  <c r="P26" i="1"/>
  <c r="T51" i="1"/>
  <c r="U50" i="1"/>
  <c r="V50" i="1" s="1"/>
  <c r="I52" i="1"/>
  <c r="J51" i="1"/>
  <c r="K51" i="1" s="1"/>
  <c r="E8" i="1" l="1"/>
  <c r="E25" i="1"/>
  <c r="M24" i="1"/>
  <c r="G24" i="7" a="1"/>
  <c r="E9" i="1"/>
  <c r="E10" i="1" s="1"/>
  <c r="X26" i="1"/>
  <c r="P27" i="1"/>
  <c r="T52" i="1"/>
  <c r="U51" i="1"/>
  <c r="V51" i="1" s="1"/>
  <c r="I53" i="1"/>
  <c r="J52" i="1"/>
  <c r="K52" i="1" s="1"/>
  <c r="G24" i="7" l="1"/>
  <c r="H24" i="7"/>
  <c r="I24" i="7"/>
  <c r="J24" i="7"/>
  <c r="G9" i="7" a="1"/>
  <c r="E26" i="1"/>
  <c r="M25" i="1"/>
  <c r="P28" i="1"/>
  <c r="X27" i="1"/>
  <c r="I54" i="1"/>
  <c r="J53" i="1"/>
  <c r="K53" i="1" s="1"/>
  <c r="T53" i="1"/>
  <c r="U52" i="1"/>
  <c r="V52" i="1" s="1"/>
  <c r="M26" i="1" l="1"/>
  <c r="E27" i="1"/>
  <c r="G9" i="7"/>
  <c r="I9" i="7"/>
  <c r="H9" i="7"/>
  <c r="J9" i="7"/>
  <c r="X28" i="1"/>
  <c r="P29" i="1"/>
  <c r="T54" i="1"/>
  <c r="U53" i="1"/>
  <c r="V53" i="1" s="1"/>
  <c r="I55" i="1"/>
  <c r="J54" i="1"/>
  <c r="K54" i="1" s="1"/>
  <c r="E28" i="1" l="1"/>
  <c r="M27" i="1"/>
  <c r="X29" i="1"/>
  <c r="P30" i="1"/>
  <c r="I56" i="1"/>
  <c r="J55" i="1"/>
  <c r="K55" i="1" s="1"/>
  <c r="T55" i="1"/>
  <c r="U54" i="1"/>
  <c r="V54" i="1" s="1"/>
  <c r="M28" i="1" l="1"/>
  <c r="E29" i="1"/>
  <c r="X30" i="1"/>
  <c r="P31" i="1"/>
  <c r="T56" i="1"/>
  <c r="U55" i="1"/>
  <c r="V55" i="1" s="1"/>
  <c r="I57" i="1"/>
  <c r="J56" i="1"/>
  <c r="K56" i="1" s="1"/>
  <c r="E30" i="1" l="1"/>
  <c r="M29" i="1"/>
  <c r="X31" i="1"/>
  <c r="P32" i="1"/>
  <c r="I58" i="1"/>
  <c r="J57" i="1"/>
  <c r="K57" i="1" s="1"/>
  <c r="T57" i="1"/>
  <c r="U56" i="1"/>
  <c r="V56" i="1" s="1"/>
  <c r="M30" i="1" l="1"/>
  <c r="E31" i="1"/>
  <c r="X32" i="1"/>
  <c r="P33" i="1"/>
  <c r="T58" i="1"/>
  <c r="U57" i="1"/>
  <c r="V57" i="1" s="1"/>
  <c r="I59" i="1"/>
  <c r="J58" i="1"/>
  <c r="K58" i="1" s="1"/>
  <c r="M31" i="1" l="1"/>
  <c r="E32" i="1"/>
  <c r="X33" i="1"/>
  <c r="P34" i="1"/>
  <c r="I60" i="1"/>
  <c r="J59" i="1"/>
  <c r="K59" i="1" s="1"/>
  <c r="T59" i="1"/>
  <c r="U58" i="1"/>
  <c r="V58" i="1" s="1"/>
  <c r="J60" i="1" l="1"/>
  <c r="I8" i="1" a="1"/>
  <c r="I8" i="1" s="1"/>
  <c r="I7" i="1" a="1"/>
  <c r="I7" i="1" s="1"/>
  <c r="I10" i="1" a="1"/>
  <c r="I10" i="1" s="1"/>
  <c r="I9" i="1" a="1"/>
  <c r="I9" i="1" s="1"/>
  <c r="M32" i="1"/>
  <c r="E33" i="1"/>
  <c r="X34" i="1"/>
  <c r="P35" i="1"/>
  <c r="T60" i="1"/>
  <c r="U59" i="1"/>
  <c r="V59" i="1" s="1"/>
  <c r="K60" i="1"/>
  <c r="G12" i="7" l="1" a="1"/>
  <c r="G13" i="7" s="1"/>
  <c r="J12" i="7"/>
  <c r="H14" i="7"/>
  <c r="I12" i="7"/>
  <c r="G14" i="7"/>
  <c r="J13" i="7"/>
  <c r="H13" i="7"/>
  <c r="G12" i="7"/>
  <c r="I13" i="7"/>
  <c r="J14" i="7"/>
  <c r="M33" i="1"/>
  <c r="E34" i="1"/>
  <c r="U60" i="1"/>
  <c r="V60" i="1" s="1"/>
  <c r="T9" i="1" a="1"/>
  <c r="T9" i="1" s="1"/>
  <c r="T7" i="1" a="1"/>
  <c r="T7" i="1" s="1"/>
  <c r="T8" i="1" a="1"/>
  <c r="T8" i="1" s="1"/>
  <c r="T10" i="1" a="1"/>
  <c r="T10" i="1" s="1"/>
  <c r="J9" i="1" a="1"/>
  <c r="J9" i="1" s="1"/>
  <c r="J7" i="1" a="1"/>
  <c r="J7" i="1" s="1"/>
  <c r="K7" i="1" s="1"/>
  <c r="J10" i="1" a="1"/>
  <c r="J10" i="1" s="1"/>
  <c r="J8" i="1" a="1"/>
  <c r="J8" i="1" s="1"/>
  <c r="X35" i="1"/>
  <c r="P36" i="1"/>
  <c r="H12" i="7" l="1"/>
  <c r="H15" i="7" s="1"/>
  <c r="I14" i="7"/>
  <c r="I15" i="7"/>
  <c r="U7" i="1" a="1"/>
  <c r="U7" i="1" s="1"/>
  <c r="V7" i="1" s="1"/>
  <c r="X7" i="1" s="1"/>
  <c r="U9" i="1" a="1"/>
  <c r="U9" i="1" s="1"/>
  <c r="U8" i="1" a="1"/>
  <c r="U8" i="1" s="1"/>
  <c r="U10" i="1" a="1"/>
  <c r="U10" i="1" s="1"/>
  <c r="E35" i="1"/>
  <c r="M34" i="1"/>
  <c r="K8" i="1"/>
  <c r="M7" i="1"/>
  <c r="G27" i="7" a="1"/>
  <c r="G15" i="7"/>
  <c r="G17" i="7" s="1"/>
  <c r="G19" i="7" s="1"/>
  <c r="J15" i="7"/>
  <c r="X36" i="1"/>
  <c r="P37" i="1"/>
  <c r="V8" i="1" l="1"/>
  <c r="X8" i="1" s="1"/>
  <c r="H17" i="7"/>
  <c r="H19" i="7" s="1"/>
  <c r="V9" i="1"/>
  <c r="X9" i="1" s="1"/>
  <c r="G27" i="7"/>
  <c r="I28" i="7"/>
  <c r="H28" i="7"/>
  <c r="G29" i="7"/>
  <c r="I29" i="7"/>
  <c r="H29" i="7"/>
  <c r="J28" i="7"/>
  <c r="I27" i="7"/>
  <c r="H27" i="7"/>
  <c r="G28" i="7"/>
  <c r="J27" i="7"/>
  <c r="J29" i="7"/>
  <c r="M35" i="1"/>
  <c r="E36" i="1"/>
  <c r="K9" i="1"/>
  <c r="M8" i="1"/>
  <c r="V10" i="1"/>
  <c r="X10" i="1" s="1"/>
  <c r="X37" i="1"/>
  <c r="P38" i="1"/>
  <c r="I17" i="7" l="1"/>
  <c r="I19" i="7" s="1"/>
  <c r="G30" i="7"/>
  <c r="G32" i="7" s="1"/>
  <c r="G34" i="7" s="1"/>
  <c r="J30" i="7"/>
  <c r="J17" i="7"/>
  <c r="J19" i="7" s="1"/>
  <c r="E37" i="1"/>
  <c r="M36" i="1"/>
  <c r="H30" i="7"/>
  <c r="H32" i="7" s="1"/>
  <c r="K10" i="1"/>
  <c r="M10" i="1" s="1"/>
  <c r="M9" i="1"/>
  <c r="I30" i="7"/>
  <c r="X38" i="1"/>
  <c r="P39" i="1"/>
  <c r="I32" i="7" l="1"/>
  <c r="H34" i="7"/>
  <c r="E38" i="1"/>
  <c r="M37" i="1"/>
  <c r="X39" i="1"/>
  <c r="P40" i="1"/>
  <c r="M38" i="1" l="1"/>
  <c r="E39" i="1"/>
  <c r="I34" i="7"/>
  <c r="J32" i="7"/>
  <c r="J34" i="7" s="1"/>
  <c r="X40" i="1"/>
  <c r="P41" i="1"/>
  <c r="M39" i="1" l="1"/>
  <c r="E40" i="1"/>
  <c r="X41" i="1"/>
  <c r="P42" i="1"/>
  <c r="M40" i="1" l="1"/>
  <c r="E41" i="1"/>
  <c r="X42" i="1"/>
  <c r="P43" i="1"/>
  <c r="M41" i="1" l="1"/>
  <c r="E42" i="1"/>
  <c r="P44" i="1"/>
  <c r="X43" i="1"/>
  <c r="M42" i="1" l="1"/>
  <c r="E43" i="1"/>
  <c r="X44" i="1"/>
  <c r="P45" i="1"/>
  <c r="M43" i="1" l="1"/>
  <c r="E44" i="1"/>
  <c r="X45" i="1"/>
  <c r="P46" i="1"/>
  <c r="M44" i="1" l="1"/>
  <c r="E45" i="1"/>
  <c r="P47" i="1"/>
  <c r="X46" i="1"/>
  <c r="M45" i="1" l="1"/>
  <c r="E46" i="1"/>
  <c r="P48" i="1"/>
  <c r="X47" i="1"/>
  <c r="M46" i="1" l="1"/>
  <c r="E47" i="1"/>
  <c r="X48" i="1"/>
  <c r="P49" i="1"/>
  <c r="M47" i="1" l="1"/>
  <c r="E48" i="1"/>
  <c r="X49" i="1"/>
  <c r="P50" i="1"/>
  <c r="M48" i="1" l="1"/>
  <c r="E49" i="1"/>
  <c r="X50" i="1"/>
  <c r="P51" i="1"/>
  <c r="E50" i="1" l="1"/>
  <c r="M49" i="1"/>
  <c r="P52" i="1"/>
  <c r="X51" i="1"/>
  <c r="M50" i="1" l="1"/>
  <c r="E51" i="1"/>
  <c r="X52" i="1"/>
  <c r="P53" i="1"/>
  <c r="M51" i="1" l="1"/>
  <c r="E52" i="1"/>
  <c r="X53" i="1"/>
  <c r="P54" i="1"/>
  <c r="M52" i="1" l="1"/>
  <c r="E53" i="1"/>
  <c r="X54" i="1"/>
  <c r="P55" i="1"/>
  <c r="M53" i="1" l="1"/>
  <c r="E54" i="1"/>
  <c r="X55" i="1"/>
  <c r="P56" i="1"/>
  <c r="M54" i="1" l="1"/>
  <c r="E55" i="1"/>
  <c r="X56" i="1"/>
  <c r="P57" i="1"/>
  <c r="M55" i="1" l="1"/>
  <c r="E56" i="1"/>
  <c r="X57" i="1"/>
  <c r="P58" i="1"/>
  <c r="M56" i="1" l="1"/>
  <c r="E57" i="1"/>
  <c r="X58" i="1"/>
  <c r="P59" i="1"/>
  <c r="M57" i="1" l="1"/>
  <c r="E58" i="1"/>
  <c r="X59" i="1"/>
  <c r="P60" i="1"/>
  <c r="X60" i="1" s="1"/>
  <c r="M58" i="1" l="1"/>
  <c r="E59" i="1"/>
  <c r="M59" i="1" l="1"/>
  <c r="E60" i="1"/>
  <c r="M60" i="1" s="1"/>
</calcChain>
</file>

<file path=xl/sharedStrings.xml><?xml version="1.0" encoding="utf-8"?>
<sst xmlns="http://schemas.openxmlformats.org/spreadsheetml/2006/main" count="176" uniqueCount="100">
  <si>
    <t>Cumulative</t>
  </si>
  <si>
    <t>Base Rates</t>
  </si>
  <si>
    <t>Periodic</t>
  </si>
  <si>
    <t>Month</t>
  </si>
  <si>
    <t>Total Amort.</t>
  </si>
  <si>
    <t>EDFIT Amort</t>
  </si>
  <si>
    <t>ARAM Reversal</t>
  </si>
  <si>
    <t>Electric</t>
  </si>
  <si>
    <t>TOTAL Retail Sales</t>
  </si>
  <si>
    <t>Special Contract</t>
  </si>
  <si>
    <t>449-459</t>
  </si>
  <si>
    <t>Transportation:</t>
  </si>
  <si>
    <t>50-59</t>
  </si>
  <si>
    <t>Lighting:</t>
  </si>
  <si>
    <t>Total High Voltage:</t>
  </si>
  <si>
    <t>Campus Voltage:</t>
  </si>
  <si>
    <t>31 (10)</t>
  </si>
  <si>
    <t>Total Primary:</t>
  </si>
  <si>
    <t>26 (12,26P)</t>
  </si>
  <si>
    <t>25 (11, 7A)</t>
  </si>
  <si>
    <t>24 (8)</t>
  </si>
  <si>
    <t>Total Secondary:</t>
  </si>
  <si>
    <t>Residential:</t>
  </si>
  <si>
    <t>TOTAL</t>
  </si>
  <si>
    <t>Tariff</t>
  </si>
  <si>
    <t>Line No.</t>
  </si>
  <si>
    <t>By Rate Class</t>
  </si>
  <si>
    <t>Electric 141X Revenue for March 1, 2019 through September 31, 2019</t>
  </si>
  <si>
    <t>Response to AWEC Data Request No. 027 Attachment A</t>
  </si>
  <si>
    <t>Puget Sound Energy</t>
  </si>
  <si>
    <t xml:space="preserve">Total Billed and Change in unbilled </t>
  </si>
  <si>
    <t>Rentals</t>
  </si>
  <si>
    <t>Contracts</t>
  </si>
  <si>
    <t>87T</t>
  </si>
  <si>
    <t>Non-exclusive Interruptible Transportation</t>
  </si>
  <si>
    <t>86T</t>
  </si>
  <si>
    <t>Limited Interruptible Transportation</t>
  </si>
  <si>
    <t>85T</t>
  </si>
  <si>
    <t>Interruptible Transportation</t>
  </si>
  <si>
    <t>41T</t>
  </si>
  <si>
    <t>Large Volume Transportation</t>
  </si>
  <si>
    <t>31T</t>
  </si>
  <si>
    <t>Commercial &amp; Industrial Transportation</t>
  </si>
  <si>
    <t>Non-exclusive Interruptible</t>
  </si>
  <si>
    <t>Limited Interruptible</t>
  </si>
  <si>
    <t>Interruptible</t>
  </si>
  <si>
    <t>Large Volume</t>
  </si>
  <si>
    <t>Commercial &amp; Industrial</t>
  </si>
  <si>
    <t>Residential Gas Lights</t>
  </si>
  <si>
    <t>23,53</t>
  </si>
  <si>
    <t>Residential</t>
  </si>
  <si>
    <t>Rate Schedule</t>
  </si>
  <si>
    <t>Rate Class</t>
  </si>
  <si>
    <t>Gas 141X Revenue for March 1, 2019 through September 31, 2019</t>
  </si>
  <si>
    <t>Note 1: Credit throught May 20, 2020</t>
  </si>
  <si>
    <t>Note 1</t>
  </si>
  <si>
    <t>Electric 141X Forecast Revenue for October 1, 2019 through May 20, 2020</t>
  </si>
  <si>
    <t>Response to AWEC Data Request No. 029 Attachment A</t>
  </si>
  <si>
    <t xml:space="preserve">Total </t>
  </si>
  <si>
    <t>Gas 141X Forecast Revenue for October 1, 2019 through May 20, 2020</t>
  </si>
  <si>
    <t>Rate Base</t>
  </si>
  <si>
    <t>Year 4</t>
  </si>
  <si>
    <t>Year 3</t>
  </si>
  <si>
    <t>Year 2</t>
  </si>
  <si>
    <t>Year 1</t>
  </si>
  <si>
    <t>Rate Base Impacts:</t>
  </si>
  <si>
    <t>4-Year Amort</t>
  </si>
  <si>
    <t>Period Reversals</t>
  </si>
  <si>
    <t xml:space="preserve">Total Interim 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</si>
  <si>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</si>
  <si>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</si>
  <si>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</si>
  <si>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</si>
  <si>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</si>
  <si>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</si>
  <si>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</si>
  <si>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</si>
  <si>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</si>
  <si>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</si>
  <si>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</si>
  <si>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</si>
  <si>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Gas</t>
  </si>
  <si>
    <t>Electriec</t>
  </si>
  <si>
    <t>ln</t>
  </si>
  <si>
    <t>Interim period ARAM Reversals</t>
  </si>
  <si>
    <t>Cumulative ARAM</t>
  </si>
  <si>
    <t>Amortization</t>
  </si>
  <si>
    <t>Sch. 141X (Prop.)</t>
  </si>
  <si>
    <t>Sch. 141X (old)</t>
  </si>
  <si>
    <t xml:space="preserve">Cum. Amort. </t>
  </si>
  <si>
    <t>Amort. Less ARAM</t>
  </si>
  <si>
    <t>Natural Gas</t>
  </si>
  <si>
    <t>Sch. 141X (Old)</t>
  </si>
  <si>
    <t>Sch. 141X (New)</t>
  </si>
  <si>
    <t>Base Rate Amort</t>
  </si>
  <si>
    <t>Cum. Amort</t>
  </si>
  <si>
    <t xml:space="preserve"> Delta</t>
  </si>
  <si>
    <t>Year</t>
  </si>
  <si>
    <t>Electric:  ARAM Reversals vs. AWEC Proposed Amortization</t>
  </si>
  <si>
    <t>Natural Gas:  ARAM Reversals vs. AWEC Proposed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</si>
</sst>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37" fontId="0" fillId="0" borderId="0" xfId="0" applyNumberFormat="1"/>
    <xf numFmtId="41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3" fillId="0" borderId="1" xfId="1" applyNumberFormat="1" applyFont="1" applyBorder="1"/>
    <xf numFmtId="0" fontId="5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1" applyNumberFormat="1" applyFont="1"/>
    <xf numFmtId="0" fontId="6" fillId="0" borderId="0" xfId="0" applyFont="1" applyAlignment="1">
      <alignment horizontal="left" wrapText="1"/>
    </xf>
    <xf numFmtId="0" fontId="5" fillId="0" borderId="0" xfId="0" quotePrefix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6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164" fontId="5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0" fillId="0" borderId="2" xfId="0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41" fontId="9" fillId="2" borderId="0" xfId="0" applyNumberFormat="1" applyFont="1" applyFill="1"/>
    <xf numFmtId="0" fontId="9" fillId="2" borderId="0" xfId="0" applyFont="1" applyFill="1"/>
    <xf numFmtId="0" fontId="11" fillId="2" borderId="0" xfId="2" applyFont="1" applyFill="1"/>
    <xf numFmtId="0" fontId="9" fillId="2" borderId="6" xfId="0" applyFont="1" applyFill="1" applyBorder="1"/>
    <xf numFmtId="37" fontId="9" fillId="2" borderId="0" xfId="0" applyNumberFormat="1" applyFont="1" applyFill="1"/>
    <xf numFmtId="0" fontId="9" fillId="2" borderId="0" xfId="0" applyFont="1" applyFill="1" applyAlignment="1">
      <alignment horizontal="left" indent="1"/>
    </xf>
    <xf numFmtId="41" fontId="9" fillId="2" borderId="2" xfId="0" applyNumberFormat="1" applyFont="1" applyFill="1" applyBorder="1"/>
    <xf numFmtId="37" fontId="9" fillId="2" borderId="2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0" fillId="0" borderId="0" xfId="0" applyNumberFormat="1"/>
    <xf numFmtId="0" fontId="9" fillId="2" borderId="0" xfId="0" applyFont="1" applyFill="1" applyBorder="1"/>
    <xf numFmtId="0" fontId="12" fillId="2" borderId="2" xfId="0" applyFont="1" applyFill="1" applyBorder="1" applyAlignment="1">
      <alignment horizontal="center"/>
    </xf>
    <xf numFmtId="0" fontId="13" fillId="2" borderId="0" xfId="0" applyFont="1" applyFill="1" applyBorder="1"/>
    <xf numFmtId="41" fontId="9" fillId="2" borderId="0" xfId="0" applyNumberFormat="1" applyFont="1" applyFill="1" applyBorder="1"/>
    <xf numFmtId="0" fontId="0" fillId="0" borderId="2" xfId="0" applyBorder="1" applyAlignment="1">
      <alignment horizontal="centerContinuous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1" fontId="0" fillId="0" borderId="0" xfId="0" applyNumberFormat="1" applyFill="1"/>
    <xf numFmtId="41" fontId="0" fillId="0" borderId="2" xfId="0" applyNumberFormat="1" applyFill="1" applyBorder="1"/>
    <xf numFmtId="0" fontId="2" fillId="0" borderId="2" xfId="0" applyFont="1" applyBorder="1"/>
    <xf numFmtId="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3">
    <cellStyle name="Currency" xfId="1" builtinId="4"/>
    <cellStyle name="Normal" xfId="0" builtinId="0"/>
    <cellStyle name="Normal 2 2" xfId="2" xr:uid="{3FC8672F-A137-43C0-BFCF-6DC0E5EA9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No%20BGM-3%20-%20Electric%20Rev%20Req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WINNT/Temporary%20Internet%20Files/OLKC0/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Documents%20and%20Settings/zdmurra/Local%20Settings/Temporary%20Internet%20Files/OLK15/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COS/Wyoming%20FY%202005/COS/COS%20Sep%202006/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ettlement\Settlement%20Workpapers\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AppData/Local/Temp/Workshare/ibwmft3y.ao3/6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3022-64%20UE-190529/disc/awec/190529-30%20PSE%20Resp%20WUTC%20DR%20067_Attach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Exh. No. BGM-3 (1)"/>
      <sheetName val="BGM-3 (2) Detailed Summary"/>
      <sheetName val="BGM-3 (4) Electric Adj"/>
      <sheetName val="BGM-3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REPLY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rsal Summary"/>
      <sheetName val="Rpt 216 Cur Diff_2018"/>
      <sheetName val="Rpt 216_2018"/>
      <sheetName val="Rpt 257A_2018 total"/>
      <sheetName val="Rpt 216 Cur Diff_2019"/>
      <sheetName val="Rpt 216_2019"/>
      <sheetName val="Rpt_257A_2019 total"/>
      <sheetName val="Rpt 216 Cur Diff_2020"/>
      <sheetName val="Rpt 216_2020 "/>
      <sheetName val="Rpt_257A_2020 total"/>
      <sheetName val="Rpt 216 Cur Diff_2021"/>
      <sheetName val="Rpt 216_2021"/>
      <sheetName val="Rpt 257A_2021 total"/>
      <sheetName val="Rpt 216 Cur Diff_2022"/>
      <sheetName val="Rpt 216_2022"/>
      <sheetName val="Rpt 257A_2022 total"/>
    </sheetNames>
    <sheetDataSet>
      <sheetData sheetId="0">
        <row r="9">
          <cell r="J9">
            <v>-23516910.492274005</v>
          </cell>
        </row>
        <row r="10">
          <cell r="J10">
            <v>-21106142.358508002</v>
          </cell>
        </row>
        <row r="11">
          <cell r="J11">
            <v>-22396515.324907999</v>
          </cell>
        </row>
        <row r="12">
          <cell r="J12">
            <v>-22225935.97377</v>
          </cell>
        </row>
        <row r="16">
          <cell r="J16">
            <v>-6272059.4177260008</v>
          </cell>
        </row>
        <row r="17">
          <cell r="J17">
            <v>-4786137.6714920001</v>
          </cell>
        </row>
        <row r="18">
          <cell r="J18">
            <v>-5151729.8050920004</v>
          </cell>
        </row>
        <row r="19">
          <cell r="J19">
            <v>-5609382.1662300006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916A-FF75-406B-B746-95ADF160212E}">
  <dimension ref="B2:X72"/>
  <sheetViews>
    <sheetView tabSelected="1" zoomScale="70" zoomScaleNormal="70" workbookViewId="0"/>
  </sheetViews>
  <sheetFormatPr defaultRowHeight="15" x14ac:dyDescent="0.25"/>
  <cols>
    <col min="1" max="1" width="3" customWidth="1"/>
    <col min="2" max="2" width="9.7109375" bestFit="1" customWidth="1"/>
    <col min="3" max="3" width="3" customWidth="1"/>
    <col min="4" max="4" width="12.28515625" bestFit="1" customWidth="1"/>
    <col min="5" max="5" width="12.5703125" customWidth="1"/>
    <col min="6" max="6" width="3" customWidth="1"/>
    <col min="7" max="7" width="12.28515625" bestFit="1" customWidth="1"/>
    <col min="8" max="8" width="11.42578125" customWidth="1"/>
    <col min="9" max="9" width="11.28515625" bestFit="1" customWidth="1"/>
    <col min="10" max="10" width="12.28515625" bestFit="1" customWidth="1"/>
    <col min="11" max="11" width="12.7109375" bestFit="1" customWidth="1"/>
    <col min="12" max="12" width="3" customWidth="1"/>
    <col min="13" max="13" width="14.7109375" customWidth="1"/>
    <col min="14" max="14" width="3" customWidth="1"/>
    <col min="15" max="15" width="11.7109375" bestFit="1" customWidth="1"/>
    <col min="16" max="16" width="12.5703125" customWidth="1"/>
    <col min="17" max="17" width="3" customWidth="1"/>
    <col min="18" max="18" width="11.42578125" bestFit="1" customWidth="1"/>
    <col min="19" max="19" width="11.42578125" customWidth="1"/>
    <col min="20" max="20" width="13.7109375" customWidth="1"/>
    <col min="21" max="21" width="11.42578125" bestFit="1" customWidth="1"/>
    <col min="22" max="22" width="12.7109375" bestFit="1" customWidth="1"/>
    <col min="23" max="23" width="3" customWidth="1"/>
    <col min="24" max="24" width="14.7109375" customWidth="1"/>
    <col min="25" max="25" width="3" customWidth="1"/>
  </cols>
  <sheetData>
    <row r="2" spans="2:24" x14ac:dyDescent="0.25">
      <c r="D2" s="56" t="s">
        <v>98</v>
      </c>
      <c r="E2" s="56"/>
      <c r="F2" s="56"/>
      <c r="G2" s="56"/>
      <c r="H2" s="56"/>
      <c r="I2" s="56"/>
      <c r="J2" s="56"/>
      <c r="K2" s="56"/>
      <c r="L2" s="56"/>
      <c r="M2" s="56"/>
      <c r="O2" s="56" t="s">
        <v>99</v>
      </c>
      <c r="P2" s="56"/>
      <c r="Q2" s="56"/>
      <c r="R2" s="56"/>
      <c r="S2" s="56"/>
      <c r="T2" s="56"/>
      <c r="U2" s="56"/>
      <c r="V2" s="56"/>
      <c r="W2" s="56"/>
      <c r="X2" s="56"/>
    </row>
    <row r="3" spans="2:24" x14ac:dyDescent="0.25">
      <c r="T3" s="24"/>
    </row>
    <row r="4" spans="2:24" x14ac:dyDescent="0.25">
      <c r="D4" s="49" t="s">
        <v>6</v>
      </c>
      <c r="E4" s="49"/>
      <c r="F4" s="24"/>
      <c r="G4" s="49" t="s">
        <v>5</v>
      </c>
      <c r="H4" s="49"/>
      <c r="I4" s="49"/>
      <c r="J4" s="49"/>
      <c r="K4" s="49"/>
      <c r="L4" s="24"/>
      <c r="M4" s="24"/>
      <c r="N4" s="24"/>
      <c r="O4" s="49" t="s">
        <v>6</v>
      </c>
      <c r="P4" s="49"/>
      <c r="Q4" s="24"/>
      <c r="R4" s="49" t="s">
        <v>5</v>
      </c>
      <c r="S4" s="49"/>
      <c r="T4" s="49"/>
      <c r="U4" s="49"/>
      <c r="V4" s="49"/>
      <c r="W4" s="24"/>
      <c r="X4" s="24"/>
    </row>
    <row r="5" spans="2:24" s="50" customFormat="1" ht="30" x14ac:dyDescent="0.25">
      <c r="D5" s="53" t="s">
        <v>2</v>
      </c>
      <c r="E5" s="53" t="s">
        <v>0</v>
      </c>
      <c r="F5" s="51"/>
      <c r="G5" s="53" t="s">
        <v>88</v>
      </c>
      <c r="H5" s="53" t="s">
        <v>94</v>
      </c>
      <c r="I5" s="53" t="s">
        <v>93</v>
      </c>
      <c r="J5" s="53" t="s">
        <v>4</v>
      </c>
      <c r="K5" s="53" t="s">
        <v>95</v>
      </c>
      <c r="L5" s="51"/>
      <c r="M5" s="52" t="s">
        <v>96</v>
      </c>
      <c r="N5" s="51"/>
      <c r="O5" s="53" t="s">
        <v>2</v>
      </c>
      <c r="P5" s="53" t="s">
        <v>0</v>
      </c>
      <c r="Q5" s="51"/>
      <c r="R5" s="53" t="s">
        <v>88</v>
      </c>
      <c r="S5" s="53" t="s">
        <v>94</v>
      </c>
      <c r="T5" s="53" t="s">
        <v>93</v>
      </c>
      <c r="U5" s="53" t="s">
        <v>4</v>
      </c>
      <c r="V5" s="53" t="s">
        <v>95</v>
      </c>
      <c r="W5" s="51"/>
      <c r="X5" s="52" t="s">
        <v>96</v>
      </c>
    </row>
    <row r="6" spans="2:24" x14ac:dyDescent="0.25">
      <c r="B6" s="57" t="s">
        <v>97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2:24" x14ac:dyDescent="0.25">
      <c r="B7" s="44">
        <v>2018</v>
      </c>
      <c r="D7" s="54">
        <f t="array" ref="D7">+SUM(D$13:D$60*(YEAR($B$13:$B$60)=$B7))</f>
        <v>-23516910.492274005</v>
      </c>
      <c r="E7" s="54">
        <f>+D7</f>
        <v>-23516910.492274005</v>
      </c>
      <c r="F7" s="54"/>
      <c r="G7" s="54">
        <f t="array" ref="G7">+SUM(G$13:G$60*(YEAR($B$13:$B$60)=$B7))</f>
        <v>0</v>
      </c>
      <c r="H7" s="54">
        <f t="array" ref="H7">+SUM(H$13:H$60*(YEAR($B$13:$B$60)=$B7))</f>
        <v>0</v>
      </c>
      <c r="I7" s="54">
        <f t="array" ref="I7">+SUM(I$13:I$60*(YEAR($B$13:$B$60)=$B7))</f>
        <v>0</v>
      </c>
      <c r="J7" s="54">
        <f t="array" ref="J7">+SUM(J$13:J$60*(YEAR($B$13:$B$60)=$B7))</f>
        <v>0</v>
      </c>
      <c r="K7" s="54">
        <f>+J7</f>
        <v>0</v>
      </c>
      <c r="L7" s="54"/>
      <c r="M7" s="54">
        <f>+K7-E7</f>
        <v>23516910.492274005</v>
      </c>
      <c r="N7" s="54"/>
      <c r="O7" s="54">
        <f t="array" ref="O7">+SUM(O$13:O$60*(YEAR($B$13:$B$60)=$B7))</f>
        <v>-6272059.4177259998</v>
      </c>
      <c r="P7" s="54">
        <f>+O7</f>
        <v>-6272059.4177259998</v>
      </c>
      <c r="Q7" s="54"/>
      <c r="R7" s="54">
        <f t="array" ref="R7">+SUM(R$13:R$60*(YEAR($B$13:$B$60)=$B7))</f>
        <v>0</v>
      </c>
      <c r="S7" s="54">
        <f t="array" ref="S7">+SUM(S$13:S$60*(YEAR($B$13:$B$60)=$B7))</f>
        <v>0</v>
      </c>
      <c r="T7" s="54">
        <f t="array" ref="T7">+SUM(T$13:T$60*(YEAR($B$13:$B$60)=$B7))</f>
        <v>0</v>
      </c>
      <c r="U7" s="54">
        <f t="array" ref="U7">+SUM(U$13:U$60*(YEAR($B$13:$B$60)=$B7))</f>
        <v>0</v>
      </c>
      <c r="V7" s="54">
        <f>+U7</f>
        <v>0</v>
      </c>
      <c r="W7" s="54"/>
      <c r="X7" s="54">
        <f>+V7-P7</f>
        <v>6272059.4177259998</v>
      </c>
    </row>
    <row r="8" spans="2:24" x14ac:dyDescent="0.25">
      <c r="B8" s="44">
        <v>2019</v>
      </c>
      <c r="D8" s="54">
        <f t="array" ref="D8">+SUM(D$13:D$60*(YEAR($B$13:$B$60)=$B8))</f>
        <v>-21106142.358508002</v>
      </c>
      <c r="E8" s="54">
        <f>+D8+E7</f>
        <v>-44623052.850782007</v>
      </c>
      <c r="F8" s="54"/>
      <c r="G8" s="54">
        <f t="array" ref="G8">+SUM(G$13:G$60*(YEAR($B$13:$B$60)=$B8))</f>
        <v>-18107774.121897522</v>
      </c>
      <c r="H8" s="54">
        <f t="array" ref="H8">+SUM(H$13:H$60*(YEAR($B$13:$B$60)=$B8))</f>
        <v>0</v>
      </c>
      <c r="I8" s="54">
        <f t="array" ref="I8">+SUM(I$13:I$60*(YEAR($B$13:$B$60)=$B8))</f>
        <v>0</v>
      </c>
      <c r="J8" s="54">
        <f t="array" ref="J8">+SUM(J$13:J$60*(YEAR($B$13:$B$60)=$B8))</f>
        <v>-18107774.121897522</v>
      </c>
      <c r="K8" s="54">
        <f>+J8+K7</f>
        <v>-18107774.121897522</v>
      </c>
      <c r="L8" s="54"/>
      <c r="M8" s="54">
        <f>+K8-E8</f>
        <v>26515278.728884485</v>
      </c>
      <c r="N8" s="54"/>
      <c r="O8" s="54">
        <f t="array" ref="O8">+SUM(O$13:O$60*(YEAR($B$13:$B$60)=$B8))</f>
        <v>-4786137.6714920001</v>
      </c>
      <c r="P8" s="54">
        <f>+O8+P7</f>
        <v>-11058197.089218</v>
      </c>
      <c r="Q8" s="54"/>
      <c r="R8" s="54">
        <f t="array" ref="R8">+SUM(R$13:R$60*(YEAR($B$13:$B$60)=$B8))</f>
        <v>-4608928.005180357</v>
      </c>
      <c r="S8" s="54">
        <f t="array" ref="S8">+SUM(S$13:S$60*(YEAR($B$13:$B$60)=$B8))</f>
        <v>0</v>
      </c>
      <c r="T8" s="54">
        <f t="array" ref="T8">+SUM(T$13:T$60*(YEAR($B$13:$B$60)=$B8))</f>
        <v>0</v>
      </c>
      <c r="U8" s="54">
        <f t="array" ref="U8">+SUM(U$13:U$60*(YEAR($B$13:$B$60)=$B8))</f>
        <v>-4608928.005180357</v>
      </c>
      <c r="V8" s="54">
        <f>+U8+V7</f>
        <v>-4608928.005180357</v>
      </c>
      <c r="W8" s="54"/>
      <c r="X8" s="54">
        <f>+V8-P8</f>
        <v>6449269.0840376429</v>
      </c>
    </row>
    <row r="9" spans="2:24" x14ac:dyDescent="0.25">
      <c r="B9" s="44">
        <v>2020</v>
      </c>
      <c r="D9" s="54">
        <f t="array" ref="D9">+SUM(D$13:D$60*(YEAR($B$13:$B$60)=$B9))</f>
        <v>-22396515.324907999</v>
      </c>
      <c r="E9" s="54">
        <f>+D9+E8</f>
        <v>-67019568.17569001</v>
      </c>
      <c r="F9" s="54"/>
      <c r="G9" s="54">
        <f t="array" ref="G9">+SUM(G$13:G$60*(YEAR($B$13:$B$60)=$B9))</f>
        <v>-11097970.719930666</v>
      </c>
      <c r="H9" s="54">
        <f t="array" ref="H9">+SUM(H$13:H$60*(YEAR($B$13:$B$60)=$B9))</f>
        <v>-14413590.301716324</v>
      </c>
      <c r="I9" s="54">
        <f t="array" ref="I9">+SUM(I$13:I$60*(YEAR($B$13:$B$60)=$B9))</f>
        <v>-4142398.5227565705</v>
      </c>
      <c r="J9" s="54">
        <f t="array" ref="J9">+SUM(J$13:J$60*(YEAR($B$13:$B$60)=$B9))</f>
        <v>-29653959.544403564</v>
      </c>
      <c r="K9" s="54">
        <f>+J9+K8</f>
        <v>-47761733.666301087</v>
      </c>
      <c r="L9" s="54"/>
      <c r="M9" s="54">
        <f>+K9-E9</f>
        <v>19257834.509388924</v>
      </c>
      <c r="N9" s="54"/>
      <c r="O9" s="54">
        <f t="array" ref="O9">+SUM(O$13:O$60*(YEAR($B$13:$B$60)=$B9))</f>
        <v>-5151729.8050920023</v>
      </c>
      <c r="P9" s="54">
        <f>+O9+P8</f>
        <v>-16209926.894310001</v>
      </c>
      <c r="Q9" s="54"/>
      <c r="R9" s="54">
        <f t="array" ref="R9">+SUM(R$13:R$60*(YEAR($B$13:$B$60)=$B9))</f>
        <v>-2910254.32</v>
      </c>
      <c r="S9" s="54">
        <f t="array" ref="S9">+SUM(S$13:S$60*(YEAR($B$13:$B$60)=$B9))</f>
        <v>-3844165.4495740002</v>
      </c>
      <c r="T9" s="54">
        <f t="array" ref="T9">+SUM(T$13:T$60*(YEAR($B$13:$B$60)=$B9))</f>
        <v>-1083267.996477301</v>
      </c>
      <c r="U9" s="54">
        <f t="array" ref="U9">+SUM(U$13:U$60*(YEAR($B$13:$B$60)=$B9))</f>
        <v>-7837687.7660513036</v>
      </c>
      <c r="V9" s="54">
        <f>+U9+V8</f>
        <v>-12446615.771231661</v>
      </c>
      <c r="W9" s="54"/>
      <c r="X9" s="54">
        <f>+V9-P9</f>
        <v>3763311.1230783407</v>
      </c>
    </row>
    <row r="10" spans="2:24" x14ac:dyDescent="0.25">
      <c r="B10" s="44">
        <v>2021</v>
      </c>
      <c r="D10" s="54">
        <f t="array" ref="D10">+SUM(D$13:D$60*(YEAR($B$13:$B$60)=$B10))</f>
        <v>-22225935.973769996</v>
      </c>
      <c r="E10" s="54">
        <f>+D10+E9</f>
        <v>-89245504.149460003</v>
      </c>
      <c r="F10" s="54"/>
      <c r="G10" s="54">
        <f t="array" ref="G10">+SUM(G$13:G$60*(YEAR($B$13:$B$60)=$B10))</f>
        <v>0</v>
      </c>
      <c r="H10" s="54">
        <f t="array" ref="H10">+SUM(H$13:H$60*(YEAR($B$13:$B$60)=$B10))</f>
        <v>-23516910.492274005</v>
      </c>
      <c r="I10" s="54">
        <f t="array" ref="I10">+SUM(I$13:I$60*(YEAR($B$13:$B$60)=$B10))</f>
        <v>-6758650.22133967</v>
      </c>
      <c r="J10" s="54">
        <f t="array" ref="J10">+SUM(J$13:J$60*(YEAR($B$13:$B$60)=$B10))</f>
        <v>-30275560.713613674</v>
      </c>
      <c r="K10" s="54">
        <f>+J10+K9</f>
        <v>-78037294.379914761</v>
      </c>
      <c r="L10" s="54"/>
      <c r="M10" s="54">
        <f>+K10-E10</f>
        <v>11208209.769545242</v>
      </c>
      <c r="N10" s="54"/>
      <c r="O10" s="54">
        <f t="array" ref="O10">+SUM(O$13:O$60*(YEAR($B$13:$B$60)=$B10))</f>
        <v>-5609382.1662300015</v>
      </c>
      <c r="P10" s="54">
        <f>+O10+P9</f>
        <v>-21819309.060540002</v>
      </c>
      <c r="Q10" s="54"/>
      <c r="R10" s="54">
        <f t="array" ref="R10">+SUM(R$13:R$60*(YEAR($B$13:$B$60)=$B10))</f>
        <v>0</v>
      </c>
      <c r="S10" s="54">
        <f t="array" ref="S10">+SUM(S$13:S$60*(YEAR($B$13:$B$60)=$B10))</f>
        <v>-6272059.4177259998</v>
      </c>
      <c r="T10" s="54">
        <f t="array" ref="T10">+SUM(T$13:T$60*(YEAR($B$13:$B$60)=$B10))</f>
        <v>-1767437.2574103337</v>
      </c>
      <c r="U10" s="54">
        <f t="array" ref="U10">+SUM(U$13:U$60*(YEAR($B$13:$B$60)=$B10))</f>
        <v>-8039496.6751363361</v>
      </c>
      <c r="V10" s="54">
        <f>+U10+V9</f>
        <v>-20486112.446367998</v>
      </c>
      <c r="W10" s="54"/>
      <c r="X10" s="54">
        <f>+V10-P10</f>
        <v>1333196.6141720042</v>
      </c>
    </row>
    <row r="11" spans="2:24" x14ac:dyDescent="0.25">
      <c r="B11" s="4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2:24" x14ac:dyDescent="0.25">
      <c r="B12" s="57" t="s">
        <v>3</v>
      </c>
      <c r="D12" s="55"/>
      <c r="E12" s="55"/>
      <c r="F12" s="54"/>
      <c r="G12" s="55"/>
      <c r="H12" s="55"/>
      <c r="I12" s="55"/>
      <c r="J12" s="55"/>
      <c r="K12" s="55"/>
      <c r="L12" s="54"/>
      <c r="M12" s="55"/>
      <c r="N12" s="54"/>
      <c r="O12" s="55"/>
      <c r="P12" s="55"/>
      <c r="Q12" s="54"/>
      <c r="R12" s="55"/>
      <c r="S12" s="55"/>
      <c r="T12" s="55"/>
      <c r="U12" s="55"/>
      <c r="V12" s="55"/>
      <c r="W12" s="54"/>
      <c r="X12" s="55"/>
    </row>
    <row r="13" spans="2:24" x14ac:dyDescent="0.25">
      <c r="B13" s="3">
        <v>43101</v>
      </c>
      <c r="D13" s="54">
        <f>+'[61]Reversal Summary'!$J$9/12</f>
        <v>-1959742.5410228337</v>
      </c>
      <c r="E13" s="54">
        <f>+D13</f>
        <v>-1959742.5410228337</v>
      </c>
      <c r="F13" s="54"/>
      <c r="G13" s="54"/>
      <c r="H13" s="54"/>
      <c r="I13" s="54"/>
      <c r="J13" s="54"/>
      <c r="K13" s="54"/>
      <c r="L13" s="54"/>
      <c r="M13" s="54">
        <f t="shared" ref="M13:M60" si="0">+E13-K13</f>
        <v>-1959742.5410228337</v>
      </c>
      <c r="N13" s="54"/>
      <c r="O13" s="54">
        <f>+'[61]Reversal Summary'!$J$16/12</f>
        <v>-522671.61814383342</v>
      </c>
      <c r="P13" s="54">
        <f>+O13</f>
        <v>-522671.61814383342</v>
      </c>
      <c r="Q13" s="54"/>
      <c r="R13" s="54"/>
      <c r="S13" s="54"/>
      <c r="T13" s="54"/>
      <c r="U13" s="54"/>
      <c r="V13" s="54"/>
      <c r="W13" s="54"/>
      <c r="X13" s="54">
        <f t="shared" ref="X13:X60" si="1">+P13-V13</f>
        <v>-522671.61814383342</v>
      </c>
    </row>
    <row r="14" spans="2:24" x14ac:dyDescent="0.25">
      <c r="B14" s="3">
        <f t="shared" ref="B14:B60" si="2">+EDATE(B13,1)</f>
        <v>43132</v>
      </c>
      <c r="D14" s="54">
        <f t="shared" ref="D14:D24" si="3">+D13</f>
        <v>-1959742.5410228337</v>
      </c>
      <c r="E14" s="54">
        <f t="shared" ref="E14:E60" si="4">+D14+E13</f>
        <v>-3919485.0820456673</v>
      </c>
      <c r="F14" s="54"/>
      <c r="G14" s="54"/>
      <c r="H14" s="54"/>
      <c r="I14" s="54"/>
      <c r="J14" s="54"/>
      <c r="K14" s="54"/>
      <c r="L14" s="54"/>
      <c r="M14" s="54">
        <f t="shared" si="0"/>
        <v>-3919485.0820456673</v>
      </c>
      <c r="N14" s="54"/>
      <c r="O14" s="54">
        <f t="shared" ref="O14:O24" si="5">+O13</f>
        <v>-522671.61814383342</v>
      </c>
      <c r="P14" s="54">
        <f t="shared" ref="P14:P60" si="6">+O14+P13</f>
        <v>-1045343.2362876668</v>
      </c>
      <c r="Q14" s="54"/>
      <c r="R14" s="54"/>
      <c r="S14" s="54"/>
      <c r="T14" s="54"/>
      <c r="U14" s="54"/>
      <c r="V14" s="54"/>
      <c r="W14" s="54"/>
      <c r="X14" s="54">
        <f t="shared" si="1"/>
        <v>-1045343.2362876668</v>
      </c>
    </row>
    <row r="15" spans="2:24" x14ac:dyDescent="0.25">
      <c r="B15" s="3">
        <f t="shared" si="2"/>
        <v>43160</v>
      </c>
      <c r="D15" s="54">
        <f t="shared" si="3"/>
        <v>-1959742.5410228337</v>
      </c>
      <c r="E15" s="54">
        <f t="shared" si="4"/>
        <v>-5879227.6230685012</v>
      </c>
      <c r="F15" s="54"/>
      <c r="G15" s="54"/>
      <c r="H15" s="54"/>
      <c r="I15" s="54"/>
      <c r="J15" s="54"/>
      <c r="K15" s="54"/>
      <c r="L15" s="54"/>
      <c r="M15" s="54">
        <f t="shared" si="0"/>
        <v>-5879227.6230685012</v>
      </c>
      <c r="N15" s="54"/>
      <c r="O15" s="54">
        <f t="shared" si="5"/>
        <v>-522671.61814383342</v>
      </c>
      <c r="P15" s="54">
        <f t="shared" si="6"/>
        <v>-1568014.8544315002</v>
      </c>
      <c r="Q15" s="54"/>
      <c r="R15" s="54"/>
      <c r="S15" s="54"/>
      <c r="T15" s="54"/>
      <c r="U15" s="54"/>
      <c r="V15" s="54"/>
      <c r="W15" s="54"/>
      <c r="X15" s="54">
        <f t="shared" si="1"/>
        <v>-1568014.8544315002</v>
      </c>
    </row>
    <row r="16" spans="2:24" x14ac:dyDescent="0.25">
      <c r="B16" s="3">
        <f t="shared" si="2"/>
        <v>43191</v>
      </c>
      <c r="D16" s="54">
        <f t="shared" si="3"/>
        <v>-1959742.5410228337</v>
      </c>
      <c r="E16" s="54">
        <f t="shared" si="4"/>
        <v>-7838970.1640913347</v>
      </c>
      <c r="F16" s="54"/>
      <c r="G16" s="54"/>
      <c r="H16" s="54"/>
      <c r="I16" s="54"/>
      <c r="J16" s="54"/>
      <c r="K16" s="54"/>
      <c r="L16" s="54"/>
      <c r="M16" s="54">
        <f t="shared" si="0"/>
        <v>-7838970.1640913347</v>
      </c>
      <c r="N16" s="54"/>
      <c r="O16" s="54">
        <f t="shared" si="5"/>
        <v>-522671.61814383342</v>
      </c>
      <c r="P16" s="54">
        <f t="shared" si="6"/>
        <v>-2090686.4725753337</v>
      </c>
      <c r="Q16" s="54"/>
      <c r="R16" s="54"/>
      <c r="S16" s="54"/>
      <c r="T16" s="54"/>
      <c r="U16" s="54"/>
      <c r="V16" s="54"/>
      <c r="W16" s="54"/>
      <c r="X16" s="54">
        <f t="shared" si="1"/>
        <v>-2090686.4725753337</v>
      </c>
    </row>
    <row r="17" spans="2:24" x14ac:dyDescent="0.25">
      <c r="B17" s="3">
        <f t="shared" si="2"/>
        <v>43221</v>
      </c>
      <c r="D17" s="54">
        <f t="shared" si="3"/>
        <v>-1959742.5410228337</v>
      </c>
      <c r="E17" s="54">
        <f t="shared" si="4"/>
        <v>-9798712.705114169</v>
      </c>
      <c r="F17" s="54"/>
      <c r="G17" s="54"/>
      <c r="H17" s="54"/>
      <c r="I17" s="54"/>
      <c r="J17" s="54"/>
      <c r="K17" s="54"/>
      <c r="L17" s="54"/>
      <c r="M17" s="54">
        <f t="shared" si="0"/>
        <v>-9798712.705114169</v>
      </c>
      <c r="N17" s="54"/>
      <c r="O17" s="54">
        <f t="shared" si="5"/>
        <v>-522671.61814383342</v>
      </c>
      <c r="P17" s="54">
        <f t="shared" si="6"/>
        <v>-2613358.0907191671</v>
      </c>
      <c r="Q17" s="54"/>
      <c r="R17" s="54"/>
      <c r="S17" s="54"/>
      <c r="T17" s="54"/>
      <c r="U17" s="54"/>
      <c r="V17" s="54"/>
      <c r="W17" s="54"/>
      <c r="X17" s="54">
        <f t="shared" si="1"/>
        <v>-2613358.0907191671</v>
      </c>
    </row>
    <row r="18" spans="2:24" x14ac:dyDescent="0.25">
      <c r="B18" s="3">
        <f t="shared" si="2"/>
        <v>43252</v>
      </c>
      <c r="D18" s="54">
        <f t="shared" si="3"/>
        <v>-1959742.5410228337</v>
      </c>
      <c r="E18" s="54">
        <f t="shared" si="4"/>
        <v>-11758455.246137002</v>
      </c>
      <c r="F18" s="54"/>
      <c r="G18" s="54"/>
      <c r="H18" s="54"/>
      <c r="I18" s="54"/>
      <c r="J18" s="54"/>
      <c r="K18" s="54"/>
      <c r="L18" s="54"/>
      <c r="M18" s="54">
        <f t="shared" si="0"/>
        <v>-11758455.246137002</v>
      </c>
      <c r="N18" s="54"/>
      <c r="O18" s="54">
        <f t="shared" si="5"/>
        <v>-522671.61814383342</v>
      </c>
      <c r="P18" s="54">
        <f t="shared" si="6"/>
        <v>-3136029.7088630004</v>
      </c>
      <c r="Q18" s="54"/>
      <c r="R18" s="54"/>
      <c r="S18" s="54"/>
      <c r="T18" s="54"/>
      <c r="U18" s="54"/>
      <c r="V18" s="54"/>
      <c r="W18" s="54"/>
      <c r="X18" s="54">
        <f t="shared" si="1"/>
        <v>-3136029.7088630004</v>
      </c>
    </row>
    <row r="19" spans="2:24" x14ac:dyDescent="0.25">
      <c r="B19" s="3">
        <f t="shared" si="2"/>
        <v>43282</v>
      </c>
      <c r="D19" s="54">
        <f t="shared" si="3"/>
        <v>-1959742.5410228337</v>
      </c>
      <c r="E19" s="54">
        <f t="shared" si="4"/>
        <v>-13718197.787159836</v>
      </c>
      <c r="F19" s="54"/>
      <c r="G19" s="54"/>
      <c r="H19" s="54"/>
      <c r="I19" s="54"/>
      <c r="J19" s="54"/>
      <c r="K19" s="54"/>
      <c r="L19" s="54"/>
      <c r="M19" s="54">
        <f t="shared" si="0"/>
        <v>-13718197.787159836</v>
      </c>
      <c r="N19" s="54"/>
      <c r="O19" s="54">
        <f t="shared" si="5"/>
        <v>-522671.61814383342</v>
      </c>
      <c r="P19" s="54">
        <f t="shared" si="6"/>
        <v>-3658701.3270068336</v>
      </c>
      <c r="Q19" s="54"/>
      <c r="R19" s="54"/>
      <c r="S19" s="54"/>
      <c r="T19" s="54"/>
      <c r="U19" s="54"/>
      <c r="V19" s="54"/>
      <c r="W19" s="54"/>
      <c r="X19" s="54">
        <f t="shared" si="1"/>
        <v>-3658701.3270068336</v>
      </c>
    </row>
    <row r="20" spans="2:24" x14ac:dyDescent="0.25">
      <c r="B20" s="3">
        <f t="shared" si="2"/>
        <v>43313</v>
      </c>
      <c r="D20" s="54">
        <f t="shared" si="3"/>
        <v>-1959742.5410228337</v>
      </c>
      <c r="E20" s="54">
        <f t="shared" si="4"/>
        <v>-15677940.328182669</v>
      </c>
      <c r="F20" s="54"/>
      <c r="G20" s="54"/>
      <c r="H20" s="54"/>
      <c r="I20" s="54"/>
      <c r="J20" s="54"/>
      <c r="K20" s="54"/>
      <c r="L20" s="54"/>
      <c r="M20" s="54">
        <f t="shared" si="0"/>
        <v>-15677940.328182669</v>
      </c>
      <c r="N20" s="54"/>
      <c r="O20" s="54">
        <f t="shared" si="5"/>
        <v>-522671.61814383342</v>
      </c>
      <c r="P20" s="54">
        <f t="shared" si="6"/>
        <v>-4181372.9451506669</v>
      </c>
      <c r="Q20" s="54"/>
      <c r="R20" s="54"/>
      <c r="S20" s="54"/>
      <c r="T20" s="54"/>
      <c r="U20" s="54"/>
      <c r="V20" s="54"/>
      <c r="W20" s="54"/>
      <c r="X20" s="54">
        <f t="shared" si="1"/>
        <v>-4181372.9451506669</v>
      </c>
    </row>
    <row r="21" spans="2:24" x14ac:dyDescent="0.25">
      <c r="B21" s="3">
        <f t="shared" si="2"/>
        <v>43344</v>
      </c>
      <c r="D21" s="54">
        <f t="shared" si="3"/>
        <v>-1959742.5410228337</v>
      </c>
      <c r="E21" s="54">
        <f t="shared" si="4"/>
        <v>-17637682.869205505</v>
      </c>
      <c r="F21" s="54"/>
      <c r="G21" s="54"/>
      <c r="H21" s="54"/>
      <c r="I21" s="54"/>
      <c r="J21" s="54"/>
      <c r="K21" s="54"/>
      <c r="L21" s="54"/>
      <c r="M21" s="54">
        <f t="shared" si="0"/>
        <v>-17637682.869205505</v>
      </c>
      <c r="N21" s="54"/>
      <c r="O21" s="54">
        <f t="shared" si="5"/>
        <v>-522671.61814383342</v>
      </c>
      <c r="P21" s="54">
        <f t="shared" si="6"/>
        <v>-4704044.5632945001</v>
      </c>
      <c r="Q21" s="54"/>
      <c r="R21" s="54"/>
      <c r="S21" s="54"/>
      <c r="T21" s="54"/>
      <c r="U21" s="54"/>
      <c r="V21" s="54"/>
      <c r="W21" s="54"/>
      <c r="X21" s="54">
        <f t="shared" si="1"/>
        <v>-4704044.5632945001</v>
      </c>
    </row>
    <row r="22" spans="2:24" x14ac:dyDescent="0.25">
      <c r="B22" s="3">
        <f t="shared" si="2"/>
        <v>43374</v>
      </c>
      <c r="D22" s="54">
        <f t="shared" si="3"/>
        <v>-1959742.5410228337</v>
      </c>
      <c r="E22" s="54">
        <f t="shared" si="4"/>
        <v>-19597425.410228338</v>
      </c>
      <c r="F22" s="54"/>
      <c r="G22" s="54"/>
      <c r="H22" s="54"/>
      <c r="I22" s="54"/>
      <c r="J22" s="54"/>
      <c r="K22" s="54"/>
      <c r="L22" s="54"/>
      <c r="M22" s="54">
        <f t="shared" si="0"/>
        <v>-19597425.410228338</v>
      </c>
      <c r="N22" s="54"/>
      <c r="O22" s="54">
        <f t="shared" si="5"/>
        <v>-522671.61814383342</v>
      </c>
      <c r="P22" s="54">
        <f t="shared" si="6"/>
        <v>-5226716.1814383334</v>
      </c>
      <c r="Q22" s="54"/>
      <c r="R22" s="54"/>
      <c r="S22" s="54"/>
      <c r="T22" s="54"/>
      <c r="U22" s="54"/>
      <c r="V22" s="54"/>
      <c r="W22" s="54"/>
      <c r="X22" s="54">
        <f t="shared" si="1"/>
        <v>-5226716.1814383334</v>
      </c>
    </row>
    <row r="23" spans="2:24" x14ac:dyDescent="0.25">
      <c r="B23" s="3">
        <f t="shared" si="2"/>
        <v>43405</v>
      </c>
      <c r="D23" s="54">
        <f t="shared" si="3"/>
        <v>-1959742.5410228337</v>
      </c>
      <c r="E23" s="54">
        <f t="shared" si="4"/>
        <v>-21557167.951251172</v>
      </c>
      <c r="F23" s="54"/>
      <c r="G23" s="54"/>
      <c r="H23" s="54"/>
      <c r="I23" s="54"/>
      <c r="J23" s="54"/>
      <c r="K23" s="54"/>
      <c r="L23" s="54"/>
      <c r="M23" s="54">
        <f t="shared" si="0"/>
        <v>-21557167.951251172</v>
      </c>
      <c r="N23" s="54"/>
      <c r="O23" s="54">
        <f t="shared" si="5"/>
        <v>-522671.61814383342</v>
      </c>
      <c r="P23" s="54">
        <f t="shared" si="6"/>
        <v>-5749387.7995821666</v>
      </c>
      <c r="Q23" s="54"/>
      <c r="R23" s="54"/>
      <c r="S23" s="54"/>
      <c r="T23" s="54"/>
      <c r="U23" s="54"/>
      <c r="V23" s="54"/>
      <c r="W23" s="54"/>
      <c r="X23" s="54">
        <f t="shared" si="1"/>
        <v>-5749387.7995821666</v>
      </c>
    </row>
    <row r="24" spans="2:24" x14ac:dyDescent="0.25">
      <c r="B24" s="3">
        <f t="shared" si="2"/>
        <v>43435</v>
      </c>
      <c r="D24" s="54">
        <f t="shared" si="3"/>
        <v>-1959742.5410228337</v>
      </c>
      <c r="E24" s="54">
        <f t="shared" si="4"/>
        <v>-23516910.492274005</v>
      </c>
      <c r="F24" s="54"/>
      <c r="G24" s="54"/>
      <c r="H24" s="54"/>
      <c r="I24" s="54"/>
      <c r="J24" s="54"/>
      <c r="K24" s="54"/>
      <c r="L24" s="54"/>
      <c r="M24" s="54">
        <f t="shared" si="0"/>
        <v>-23516910.492274005</v>
      </c>
      <c r="N24" s="54"/>
      <c r="O24" s="54">
        <f t="shared" si="5"/>
        <v>-522671.61814383342</v>
      </c>
      <c r="P24" s="54">
        <f t="shared" si="6"/>
        <v>-6272059.4177259998</v>
      </c>
      <c r="Q24" s="54"/>
      <c r="R24" s="54"/>
      <c r="S24" s="54"/>
      <c r="T24" s="54"/>
      <c r="U24" s="54"/>
      <c r="V24" s="54"/>
      <c r="W24" s="54"/>
      <c r="X24" s="54">
        <f t="shared" si="1"/>
        <v>-6272059.4177259998</v>
      </c>
    </row>
    <row r="25" spans="2:24" x14ac:dyDescent="0.25">
      <c r="B25" s="3">
        <f t="shared" si="2"/>
        <v>43466</v>
      </c>
      <c r="D25" s="54">
        <f>+'[61]Reversal Summary'!$J$10/12</f>
        <v>-1758845.1965423336</v>
      </c>
      <c r="E25" s="54">
        <f t="shared" si="4"/>
        <v>-25275755.688816339</v>
      </c>
      <c r="F25" s="54"/>
      <c r="G25" s="54"/>
      <c r="H25" s="54"/>
      <c r="I25" s="54"/>
      <c r="J25" s="54"/>
      <c r="K25" s="54"/>
      <c r="L25" s="54"/>
      <c r="M25" s="54">
        <f t="shared" si="0"/>
        <v>-25275755.688816339</v>
      </c>
      <c r="N25" s="54"/>
      <c r="O25" s="54">
        <f>+'[61]Reversal Summary'!$J$17/12</f>
        <v>-398844.80595766666</v>
      </c>
      <c r="P25" s="54">
        <f t="shared" si="6"/>
        <v>-6670904.2236836664</v>
      </c>
      <c r="Q25" s="54"/>
      <c r="R25" s="54"/>
      <c r="S25" s="54"/>
      <c r="T25" s="54"/>
      <c r="U25" s="54"/>
      <c r="V25" s="54"/>
      <c r="W25" s="54"/>
      <c r="X25" s="54">
        <f t="shared" si="1"/>
        <v>-6670904.2236836664</v>
      </c>
    </row>
    <row r="26" spans="2:24" x14ac:dyDescent="0.25">
      <c r="B26" s="3">
        <f t="shared" si="2"/>
        <v>43497</v>
      </c>
      <c r="D26" s="54">
        <f t="shared" ref="D26:D36" si="7">+D25</f>
        <v>-1758845.1965423336</v>
      </c>
      <c r="E26" s="54">
        <f t="shared" si="4"/>
        <v>-27034600.885358673</v>
      </c>
      <c r="F26" s="54"/>
      <c r="G26" s="54"/>
      <c r="H26" s="54"/>
      <c r="I26" s="54"/>
      <c r="J26" s="54"/>
      <c r="K26" s="54"/>
      <c r="L26" s="54"/>
      <c r="M26" s="54">
        <f t="shared" si="0"/>
        <v>-27034600.885358673</v>
      </c>
      <c r="N26" s="54"/>
      <c r="O26" s="54">
        <f t="shared" ref="O26:O36" si="8">+O25</f>
        <v>-398844.80595766666</v>
      </c>
      <c r="P26" s="54">
        <f t="shared" si="6"/>
        <v>-7069749.029641333</v>
      </c>
      <c r="Q26" s="54"/>
      <c r="R26" s="54"/>
      <c r="S26" s="54"/>
      <c r="T26" s="54"/>
      <c r="U26" s="54"/>
      <c r="V26" s="54"/>
      <c r="W26" s="54"/>
      <c r="X26" s="54">
        <f t="shared" si="1"/>
        <v>-7069749.029641333</v>
      </c>
    </row>
    <row r="27" spans="2:24" x14ac:dyDescent="0.25">
      <c r="B27" s="3">
        <f t="shared" si="2"/>
        <v>43525</v>
      </c>
      <c r="D27" s="54">
        <f t="shared" si="7"/>
        <v>-1758845.1965423336</v>
      </c>
      <c r="E27" s="54">
        <f t="shared" si="4"/>
        <v>-28793446.081901006</v>
      </c>
      <c r="F27" s="54"/>
      <c r="G27" s="54">
        <f t="array" ref="G27:G33">+TRANSPOSE('Electric 141X'!D36:J36)</f>
        <v>-1238372.6199999999</v>
      </c>
      <c r="H27" s="54"/>
      <c r="I27" s="54"/>
      <c r="J27" s="54">
        <f t="shared" ref="J27:J40" si="9">+SUM(G27:H27)</f>
        <v>-1238372.6199999999</v>
      </c>
      <c r="K27" s="54">
        <f t="shared" ref="K27:K60" si="10">+J27+K26</f>
        <v>-1238372.6199999999</v>
      </c>
      <c r="L27" s="54"/>
      <c r="M27" s="54">
        <f t="shared" si="0"/>
        <v>-27555073.461901005</v>
      </c>
      <c r="N27" s="54"/>
      <c r="O27" s="54">
        <f t="shared" si="8"/>
        <v>-398844.80595766666</v>
      </c>
      <c r="P27" s="54">
        <f t="shared" si="6"/>
        <v>-7468593.8355989996</v>
      </c>
      <c r="Q27" s="54"/>
      <c r="R27" s="54">
        <f t="array" ref="R27:R33">+TRANSPOSE('Gas 141X'!E21:K21)</f>
        <v>-652805.28662884026</v>
      </c>
      <c r="S27" s="54"/>
      <c r="T27" s="54"/>
      <c r="U27" s="54">
        <f t="shared" ref="U27:U40" si="11">+SUM(R27:S27)</f>
        <v>-652805.28662884026</v>
      </c>
      <c r="V27" s="54">
        <f t="shared" ref="V27:V60" si="12">+U27+V26</f>
        <v>-652805.28662884026</v>
      </c>
      <c r="W27" s="54"/>
      <c r="X27" s="54">
        <f t="shared" si="1"/>
        <v>-6815788.5489701591</v>
      </c>
    </row>
    <row r="28" spans="2:24" x14ac:dyDescent="0.25">
      <c r="B28" s="3">
        <f t="shared" si="2"/>
        <v>43556</v>
      </c>
      <c r="D28" s="54">
        <f t="shared" si="7"/>
        <v>-1758845.1965423336</v>
      </c>
      <c r="E28" s="54">
        <f t="shared" si="4"/>
        <v>-30552291.27844334</v>
      </c>
      <c r="F28" s="54"/>
      <c r="G28" s="54">
        <v>-912374.59000000008</v>
      </c>
      <c r="H28" s="54"/>
      <c r="I28" s="54"/>
      <c r="J28" s="54">
        <f t="shared" si="9"/>
        <v>-912374.59000000008</v>
      </c>
      <c r="K28" s="54">
        <f t="shared" si="10"/>
        <v>-2150747.21</v>
      </c>
      <c r="L28" s="54"/>
      <c r="M28" s="54">
        <f t="shared" si="0"/>
        <v>-28401544.068443339</v>
      </c>
      <c r="N28" s="54"/>
      <c r="O28" s="54">
        <f t="shared" si="8"/>
        <v>-398844.80595766666</v>
      </c>
      <c r="P28" s="54">
        <f t="shared" si="6"/>
        <v>-7867438.6415566662</v>
      </c>
      <c r="Q28" s="54"/>
      <c r="R28" s="54">
        <v>-456797.98744729091</v>
      </c>
      <c r="S28" s="54"/>
      <c r="T28" s="54"/>
      <c r="U28" s="54">
        <f t="shared" si="11"/>
        <v>-456797.98744729091</v>
      </c>
      <c r="V28" s="54">
        <f t="shared" si="12"/>
        <v>-1109603.2740761312</v>
      </c>
      <c r="W28" s="54"/>
      <c r="X28" s="54">
        <f t="shared" si="1"/>
        <v>-6757835.3674805351</v>
      </c>
    </row>
    <row r="29" spans="2:24" x14ac:dyDescent="0.25">
      <c r="B29" s="3">
        <f t="shared" si="2"/>
        <v>43586</v>
      </c>
      <c r="D29" s="54">
        <f t="shared" si="7"/>
        <v>-1758845.1965423336</v>
      </c>
      <c r="E29" s="54">
        <f t="shared" si="4"/>
        <v>-32311136.474985674</v>
      </c>
      <c r="F29" s="54"/>
      <c r="G29" s="54">
        <v>-1559877.7899999998</v>
      </c>
      <c r="H29" s="54"/>
      <c r="I29" s="54"/>
      <c r="J29" s="54">
        <f t="shared" si="9"/>
        <v>-1559877.7899999998</v>
      </c>
      <c r="K29" s="54">
        <f t="shared" si="10"/>
        <v>-3710625</v>
      </c>
      <c r="L29" s="54"/>
      <c r="M29" s="54">
        <f t="shared" si="0"/>
        <v>-28600511.474985674</v>
      </c>
      <c r="N29" s="54"/>
      <c r="O29" s="54">
        <f t="shared" si="8"/>
        <v>-398844.80595766666</v>
      </c>
      <c r="P29" s="54">
        <f t="shared" si="6"/>
        <v>-8266283.4475143328</v>
      </c>
      <c r="Q29" s="54"/>
      <c r="R29" s="54">
        <v>-329482.77705868497</v>
      </c>
      <c r="S29" s="54"/>
      <c r="T29" s="54"/>
      <c r="U29" s="54">
        <f t="shared" si="11"/>
        <v>-329482.77705868497</v>
      </c>
      <c r="V29" s="54">
        <f t="shared" si="12"/>
        <v>-1439086.0511348161</v>
      </c>
      <c r="W29" s="54"/>
      <c r="X29" s="54">
        <f t="shared" si="1"/>
        <v>-6827197.3963795165</v>
      </c>
    </row>
    <row r="30" spans="2:24" x14ac:dyDescent="0.25">
      <c r="B30" s="3">
        <f t="shared" si="2"/>
        <v>43617</v>
      </c>
      <c r="D30" s="54">
        <f t="shared" si="7"/>
        <v>-1758845.1965423336</v>
      </c>
      <c r="E30" s="54">
        <f t="shared" si="4"/>
        <v>-34069981.671528004</v>
      </c>
      <c r="F30" s="54"/>
      <c r="G30" s="54">
        <v>-1672520.09</v>
      </c>
      <c r="H30" s="54"/>
      <c r="I30" s="54"/>
      <c r="J30" s="54">
        <f t="shared" si="9"/>
        <v>-1672520.09</v>
      </c>
      <c r="K30" s="54">
        <f t="shared" si="10"/>
        <v>-5383145.0899999999</v>
      </c>
      <c r="L30" s="54"/>
      <c r="M30" s="54">
        <f t="shared" si="0"/>
        <v>-28686836.581528004</v>
      </c>
      <c r="N30" s="54"/>
      <c r="O30" s="54">
        <f t="shared" si="8"/>
        <v>-398844.80595766666</v>
      </c>
      <c r="P30" s="54">
        <f t="shared" si="6"/>
        <v>-8665128.2534720004</v>
      </c>
      <c r="Q30" s="54"/>
      <c r="R30" s="54">
        <v>-296926.11155725451</v>
      </c>
      <c r="S30" s="54"/>
      <c r="T30" s="54"/>
      <c r="U30" s="54">
        <f t="shared" si="11"/>
        <v>-296926.11155725451</v>
      </c>
      <c r="V30" s="54">
        <f t="shared" si="12"/>
        <v>-1736012.1626920707</v>
      </c>
      <c r="W30" s="54"/>
      <c r="X30" s="54">
        <f t="shared" si="1"/>
        <v>-6929116.0907799294</v>
      </c>
    </row>
    <row r="31" spans="2:24" x14ac:dyDescent="0.25">
      <c r="B31" s="3">
        <f t="shared" si="2"/>
        <v>43647</v>
      </c>
      <c r="D31" s="54">
        <f t="shared" si="7"/>
        <v>-1758845.1965423336</v>
      </c>
      <c r="E31" s="54">
        <f t="shared" si="4"/>
        <v>-35828826.868070334</v>
      </c>
      <c r="F31" s="54"/>
      <c r="G31" s="54">
        <v>-1652278.4600000002</v>
      </c>
      <c r="H31" s="54"/>
      <c r="I31" s="54"/>
      <c r="J31" s="54">
        <f t="shared" si="9"/>
        <v>-1652278.4600000002</v>
      </c>
      <c r="K31" s="54">
        <f t="shared" si="10"/>
        <v>-7035423.5499999998</v>
      </c>
      <c r="L31" s="54"/>
      <c r="M31" s="54">
        <f t="shared" si="0"/>
        <v>-28793403.318070333</v>
      </c>
      <c r="N31" s="54"/>
      <c r="O31" s="54">
        <f t="shared" si="8"/>
        <v>-398844.80595766666</v>
      </c>
      <c r="P31" s="54">
        <f t="shared" si="6"/>
        <v>-9063973.0594296679</v>
      </c>
      <c r="Q31" s="54"/>
      <c r="R31" s="54">
        <v>-280923.68986072484</v>
      </c>
      <c r="S31" s="54"/>
      <c r="T31" s="54"/>
      <c r="U31" s="54">
        <f t="shared" si="11"/>
        <v>-280923.68986072484</v>
      </c>
      <c r="V31" s="54">
        <f t="shared" si="12"/>
        <v>-2016935.8525527955</v>
      </c>
      <c r="W31" s="54"/>
      <c r="X31" s="54">
        <f t="shared" si="1"/>
        <v>-7047037.2068768721</v>
      </c>
    </row>
    <row r="32" spans="2:24" x14ac:dyDescent="0.25">
      <c r="B32" s="3">
        <f t="shared" si="2"/>
        <v>43678</v>
      </c>
      <c r="D32" s="54">
        <f t="shared" si="7"/>
        <v>-1758845.1965423336</v>
      </c>
      <c r="E32" s="54">
        <f t="shared" si="4"/>
        <v>-37587672.064612664</v>
      </c>
      <c r="F32" s="54"/>
      <c r="G32" s="54">
        <v>-1694507.56</v>
      </c>
      <c r="H32" s="54"/>
      <c r="I32" s="54"/>
      <c r="J32" s="54">
        <f t="shared" si="9"/>
        <v>-1694507.56</v>
      </c>
      <c r="K32" s="54">
        <f t="shared" si="10"/>
        <v>-8729931.1099999994</v>
      </c>
      <c r="L32" s="54"/>
      <c r="M32" s="54">
        <f t="shared" si="0"/>
        <v>-28857740.954612665</v>
      </c>
      <c r="N32" s="54"/>
      <c r="O32" s="54">
        <f t="shared" si="8"/>
        <v>-398844.80595766666</v>
      </c>
      <c r="P32" s="54">
        <f t="shared" si="6"/>
        <v>-9462817.8653873354</v>
      </c>
      <c r="Q32" s="54"/>
      <c r="R32" s="54">
        <v>-282223.55100975768</v>
      </c>
      <c r="S32" s="54"/>
      <c r="T32" s="54"/>
      <c r="U32" s="54">
        <f t="shared" si="11"/>
        <v>-282223.55100975768</v>
      </c>
      <c r="V32" s="54">
        <f t="shared" si="12"/>
        <v>-2299159.4035625532</v>
      </c>
      <c r="W32" s="54"/>
      <c r="X32" s="54">
        <f t="shared" si="1"/>
        <v>-7163658.4618247822</v>
      </c>
    </row>
    <row r="33" spans="2:24" x14ac:dyDescent="0.25">
      <c r="B33" s="3">
        <f t="shared" si="2"/>
        <v>43709</v>
      </c>
      <c r="D33" s="54">
        <f t="shared" si="7"/>
        <v>-1758845.1965423336</v>
      </c>
      <c r="E33" s="54">
        <f t="shared" si="4"/>
        <v>-39346517.261154994</v>
      </c>
      <c r="F33" s="54"/>
      <c r="G33" s="54">
        <v>-1629109.59</v>
      </c>
      <c r="H33" s="54"/>
      <c r="I33" s="54"/>
      <c r="J33" s="54">
        <f t="shared" si="9"/>
        <v>-1629109.59</v>
      </c>
      <c r="K33" s="54">
        <f t="shared" si="10"/>
        <v>-10359040.699999999</v>
      </c>
      <c r="L33" s="54"/>
      <c r="M33" s="54">
        <f t="shared" si="0"/>
        <v>-28987476.561154995</v>
      </c>
      <c r="N33" s="54"/>
      <c r="O33" s="54">
        <f t="shared" si="8"/>
        <v>-398844.80595766666</v>
      </c>
      <c r="P33" s="54">
        <f t="shared" si="6"/>
        <v>-9861662.6713450029</v>
      </c>
      <c r="Q33" s="54"/>
      <c r="R33" s="54">
        <v>-335203.13161780423</v>
      </c>
      <c r="S33" s="54"/>
      <c r="T33" s="54"/>
      <c r="U33" s="54">
        <f t="shared" si="11"/>
        <v>-335203.13161780423</v>
      </c>
      <c r="V33" s="54">
        <f t="shared" si="12"/>
        <v>-2634362.5351803573</v>
      </c>
      <c r="W33" s="54"/>
      <c r="X33" s="54">
        <f t="shared" si="1"/>
        <v>-7227300.1361646457</v>
      </c>
    </row>
    <row r="34" spans="2:24" x14ac:dyDescent="0.25">
      <c r="B34" s="3">
        <f t="shared" si="2"/>
        <v>43739</v>
      </c>
      <c r="D34" s="54">
        <f t="shared" si="7"/>
        <v>-1758845.1965423336</v>
      </c>
      <c r="E34" s="54">
        <f t="shared" si="4"/>
        <v>-41105362.457697324</v>
      </c>
      <c r="F34" s="54"/>
      <c r="G34" s="54">
        <f t="array" ref="G34:G41">+TRANSPOSE('Electric 141X (p)'!D36:K36)</f>
        <v>-2421212.2438565516</v>
      </c>
      <c r="H34" s="54"/>
      <c r="I34" s="54"/>
      <c r="J34" s="54">
        <f t="shared" si="9"/>
        <v>-2421212.2438565516</v>
      </c>
      <c r="K34" s="54">
        <f t="shared" si="10"/>
        <v>-12780252.94385655</v>
      </c>
      <c r="L34" s="54"/>
      <c r="M34" s="54">
        <f t="shared" si="0"/>
        <v>-28325109.513840772</v>
      </c>
      <c r="N34" s="54"/>
      <c r="O34" s="54">
        <f t="shared" si="8"/>
        <v>-398844.80595766666</v>
      </c>
      <c r="P34" s="54">
        <f t="shared" si="6"/>
        <v>-10260507.47730267</v>
      </c>
      <c r="Q34" s="54"/>
      <c r="R34" s="54">
        <f t="array" ref="R34:R41">+TRANSPOSE('Gas 141X (p)'!E21:L21)</f>
        <v>-469838.79000000004</v>
      </c>
      <c r="S34" s="54"/>
      <c r="T34" s="54"/>
      <c r="U34" s="54">
        <f t="shared" si="11"/>
        <v>-469838.79000000004</v>
      </c>
      <c r="V34" s="54">
        <f t="shared" si="12"/>
        <v>-3104201.3251803573</v>
      </c>
      <c r="W34" s="54"/>
      <c r="X34" s="54">
        <f t="shared" si="1"/>
        <v>-7156306.1521223132</v>
      </c>
    </row>
    <row r="35" spans="2:24" x14ac:dyDescent="0.25">
      <c r="B35" s="3">
        <f t="shared" si="2"/>
        <v>43770</v>
      </c>
      <c r="D35" s="54">
        <f t="shared" si="7"/>
        <v>-1758845.1965423336</v>
      </c>
      <c r="E35" s="54">
        <f t="shared" si="4"/>
        <v>-42864207.654239655</v>
      </c>
      <c r="F35" s="54"/>
      <c r="G35" s="54">
        <v>-2421212.2438565516</v>
      </c>
      <c r="H35" s="54"/>
      <c r="I35" s="54"/>
      <c r="J35" s="54">
        <f t="shared" si="9"/>
        <v>-2421212.2438565516</v>
      </c>
      <c r="K35" s="54">
        <f t="shared" si="10"/>
        <v>-15201465.187713102</v>
      </c>
      <c r="L35" s="54"/>
      <c r="M35" s="54">
        <f t="shared" si="0"/>
        <v>-27662742.466526553</v>
      </c>
      <c r="N35" s="54"/>
      <c r="O35" s="54">
        <f t="shared" si="8"/>
        <v>-398844.80595766666</v>
      </c>
      <c r="P35" s="54">
        <f t="shared" si="6"/>
        <v>-10659352.283260338</v>
      </c>
      <c r="Q35" s="54"/>
      <c r="R35" s="54">
        <v>-679384.49999999988</v>
      </c>
      <c r="S35" s="54"/>
      <c r="T35" s="54"/>
      <c r="U35" s="54">
        <f t="shared" si="11"/>
        <v>-679384.49999999988</v>
      </c>
      <c r="V35" s="54">
        <f t="shared" si="12"/>
        <v>-3783585.8251803573</v>
      </c>
      <c r="W35" s="54"/>
      <c r="X35" s="54">
        <f t="shared" si="1"/>
        <v>-6875766.4580799807</v>
      </c>
    </row>
    <row r="36" spans="2:24" x14ac:dyDescent="0.25">
      <c r="B36" s="3">
        <f t="shared" si="2"/>
        <v>43800</v>
      </c>
      <c r="D36" s="54">
        <f t="shared" si="7"/>
        <v>-1758845.1965423336</v>
      </c>
      <c r="E36" s="54">
        <f t="shared" si="4"/>
        <v>-44623052.850781985</v>
      </c>
      <c r="F36" s="54"/>
      <c r="G36" s="54">
        <v>-2906308.9341844199</v>
      </c>
      <c r="H36" s="54"/>
      <c r="I36" s="54"/>
      <c r="J36" s="54">
        <f t="shared" si="9"/>
        <v>-2906308.9341844199</v>
      </c>
      <c r="K36" s="54">
        <f t="shared" si="10"/>
        <v>-18107774.121897522</v>
      </c>
      <c r="L36" s="54"/>
      <c r="M36" s="54">
        <f t="shared" si="0"/>
        <v>-26515278.728884462</v>
      </c>
      <c r="N36" s="54"/>
      <c r="O36" s="54">
        <f t="shared" si="8"/>
        <v>-398844.80595766666</v>
      </c>
      <c r="P36" s="54">
        <f t="shared" si="6"/>
        <v>-11058197.089218006</v>
      </c>
      <c r="Q36" s="54"/>
      <c r="R36" s="54">
        <v>-825342.17999999993</v>
      </c>
      <c r="S36" s="54"/>
      <c r="T36" s="54"/>
      <c r="U36" s="54">
        <f t="shared" si="11"/>
        <v>-825342.17999999993</v>
      </c>
      <c r="V36" s="54">
        <f t="shared" si="12"/>
        <v>-4608928.005180357</v>
      </c>
      <c r="W36" s="54"/>
      <c r="X36" s="54">
        <f t="shared" si="1"/>
        <v>-6449269.0840376485</v>
      </c>
    </row>
    <row r="37" spans="2:24" x14ac:dyDescent="0.25">
      <c r="B37" s="3">
        <f t="shared" si="2"/>
        <v>43831</v>
      </c>
      <c r="D37" s="54">
        <f>+'[61]Reversal Summary'!$J$11/12</f>
        <v>-1866376.2770756667</v>
      </c>
      <c r="E37" s="54">
        <f t="shared" si="4"/>
        <v>-46489429.127857648</v>
      </c>
      <c r="F37" s="54"/>
      <c r="G37" s="54">
        <v>-2816993.2491516345</v>
      </c>
      <c r="H37" s="54"/>
      <c r="I37" s="54"/>
      <c r="J37" s="54">
        <f t="shared" si="9"/>
        <v>-2816993.2491516345</v>
      </c>
      <c r="K37" s="54">
        <f t="shared" si="10"/>
        <v>-20924767.371049158</v>
      </c>
      <c r="L37" s="54"/>
      <c r="M37" s="54">
        <f t="shared" si="0"/>
        <v>-25564661.75680849</v>
      </c>
      <c r="N37" s="54"/>
      <c r="O37" s="54">
        <f>+'[61]Reversal Summary'!$J$18/12</f>
        <v>-429310.81709100003</v>
      </c>
      <c r="P37" s="54">
        <f t="shared" si="6"/>
        <v>-11487507.906309005</v>
      </c>
      <c r="Q37" s="54"/>
      <c r="R37" s="54">
        <v>-782474.04999999981</v>
      </c>
      <c r="S37" s="54"/>
      <c r="T37" s="54"/>
      <c r="U37" s="54">
        <f t="shared" si="11"/>
        <v>-782474.04999999981</v>
      </c>
      <c r="V37" s="54">
        <f t="shared" si="12"/>
        <v>-5391402.0551803568</v>
      </c>
      <c r="W37" s="54"/>
      <c r="X37" s="54">
        <f t="shared" si="1"/>
        <v>-6096105.851128648</v>
      </c>
    </row>
    <row r="38" spans="2:24" x14ac:dyDescent="0.25">
      <c r="B38" s="3">
        <f t="shared" si="2"/>
        <v>43862</v>
      </c>
      <c r="D38" s="54">
        <f t="shared" ref="D38:D48" si="13">+D37</f>
        <v>-1866376.2770756667</v>
      </c>
      <c r="E38" s="54">
        <f t="shared" si="4"/>
        <v>-48355805.404933311</v>
      </c>
      <c r="F38" s="54"/>
      <c r="G38" s="54">
        <v>-2499350.1982462392</v>
      </c>
      <c r="H38" s="54"/>
      <c r="I38" s="54"/>
      <c r="J38" s="54">
        <f t="shared" si="9"/>
        <v>-2499350.1982462392</v>
      </c>
      <c r="K38" s="54">
        <f t="shared" si="10"/>
        <v>-23424117.569295399</v>
      </c>
      <c r="L38" s="54"/>
      <c r="M38" s="54">
        <f t="shared" si="0"/>
        <v>-24931687.835637912</v>
      </c>
      <c r="N38" s="54"/>
      <c r="O38" s="54">
        <f t="shared" ref="O38:O48" si="14">+O37</f>
        <v>-429310.81709100003</v>
      </c>
      <c r="P38" s="54">
        <f t="shared" si="6"/>
        <v>-11916818.723400004</v>
      </c>
      <c r="Q38" s="54"/>
      <c r="R38" s="54">
        <v>-711789.71000000008</v>
      </c>
      <c r="S38" s="54"/>
      <c r="T38" s="54"/>
      <c r="U38" s="54">
        <f t="shared" si="11"/>
        <v>-711789.71000000008</v>
      </c>
      <c r="V38" s="54">
        <f t="shared" si="12"/>
        <v>-6103191.7651803568</v>
      </c>
      <c r="W38" s="54"/>
      <c r="X38" s="54">
        <f t="shared" si="1"/>
        <v>-5813626.9582196474</v>
      </c>
    </row>
    <row r="39" spans="2:24" x14ac:dyDescent="0.25">
      <c r="B39" s="3">
        <f t="shared" si="2"/>
        <v>43891</v>
      </c>
      <c r="D39" s="54">
        <f t="shared" si="13"/>
        <v>-1866376.2770756667</v>
      </c>
      <c r="E39" s="54">
        <f t="shared" si="4"/>
        <v>-50222181.682008974</v>
      </c>
      <c r="F39" s="54"/>
      <c r="G39" s="54">
        <v>-2457381.2203841987</v>
      </c>
      <c r="H39" s="54"/>
      <c r="I39" s="54"/>
      <c r="J39" s="54">
        <f t="shared" si="9"/>
        <v>-2457381.2203841987</v>
      </c>
      <c r="K39" s="54">
        <f t="shared" si="10"/>
        <v>-25881498.789679598</v>
      </c>
      <c r="L39" s="54"/>
      <c r="M39" s="54">
        <f t="shared" si="0"/>
        <v>-24340682.892329376</v>
      </c>
      <c r="N39" s="54"/>
      <c r="O39" s="54">
        <f t="shared" si="14"/>
        <v>-429310.81709100003</v>
      </c>
      <c r="P39" s="54">
        <f t="shared" si="6"/>
        <v>-12346129.540491004</v>
      </c>
      <c r="Q39" s="54"/>
      <c r="R39" s="54">
        <v>-643859.68000000005</v>
      </c>
      <c r="S39" s="54"/>
      <c r="T39" s="54"/>
      <c r="U39" s="54">
        <f t="shared" si="11"/>
        <v>-643859.68000000005</v>
      </c>
      <c r="V39" s="54">
        <f t="shared" si="12"/>
        <v>-6747051.4451803565</v>
      </c>
      <c r="W39" s="54"/>
      <c r="X39" s="54">
        <f t="shared" si="1"/>
        <v>-5599078.095310647</v>
      </c>
    </row>
    <row r="40" spans="2:24" x14ac:dyDescent="0.25">
      <c r="B40" s="3">
        <f t="shared" si="2"/>
        <v>43922</v>
      </c>
      <c r="D40" s="54">
        <f t="shared" si="13"/>
        <v>-1866376.2770756667</v>
      </c>
      <c r="E40" s="54">
        <f t="shared" si="4"/>
        <v>-52088557.959084637</v>
      </c>
      <c r="F40" s="54"/>
      <c r="G40" s="54">
        <v>-2101379.3963709185</v>
      </c>
      <c r="H40" s="54"/>
      <c r="I40" s="54"/>
      <c r="J40" s="54">
        <f t="shared" si="9"/>
        <v>-2101379.3963709185</v>
      </c>
      <c r="K40" s="54">
        <f t="shared" si="10"/>
        <v>-27982878.186050516</v>
      </c>
      <c r="L40" s="54"/>
      <c r="M40" s="54">
        <f t="shared" si="0"/>
        <v>-24105679.773034122</v>
      </c>
      <c r="N40" s="54"/>
      <c r="O40" s="54">
        <f t="shared" si="14"/>
        <v>-429310.81709100003</v>
      </c>
      <c r="P40" s="54">
        <f t="shared" si="6"/>
        <v>-12775440.357582003</v>
      </c>
      <c r="Q40" s="54"/>
      <c r="R40" s="54">
        <v>-519185.47999999986</v>
      </c>
      <c r="S40" s="54"/>
      <c r="T40" s="54"/>
      <c r="U40" s="54">
        <f t="shared" si="11"/>
        <v>-519185.47999999986</v>
      </c>
      <c r="V40" s="54">
        <f t="shared" si="12"/>
        <v>-7266236.925180356</v>
      </c>
      <c r="W40" s="54"/>
      <c r="X40" s="54">
        <f t="shared" si="1"/>
        <v>-5509203.4324016469</v>
      </c>
    </row>
    <row r="41" spans="2:24" x14ac:dyDescent="0.25">
      <c r="B41" s="3">
        <f t="shared" si="2"/>
        <v>43952</v>
      </c>
      <c r="D41" s="54">
        <f t="shared" si="13"/>
        <v>-1866376.2770756667</v>
      </c>
      <c r="E41" s="54">
        <f t="shared" si="4"/>
        <v>-53954934.236160301</v>
      </c>
      <c r="F41" s="54"/>
      <c r="G41" s="54">
        <v>-1222866.6557776758</v>
      </c>
      <c r="H41" s="54">
        <f>'[61]Reversal Summary'!$J$9/12*11/31</f>
        <v>-695392.51455648942</v>
      </c>
      <c r="I41" s="54">
        <f>+'Table 9'!H26/12*11/31</f>
        <v>-199852.56030843107</v>
      </c>
      <c r="J41" s="54">
        <f t="shared" ref="J41:J60" si="15">+SUM(G41:I41)</f>
        <v>-2118111.7306425963</v>
      </c>
      <c r="K41" s="54">
        <f t="shared" si="10"/>
        <v>-30100989.916693114</v>
      </c>
      <c r="L41" s="54"/>
      <c r="M41" s="54">
        <f t="shared" si="0"/>
        <v>-23853944.319467187</v>
      </c>
      <c r="N41" s="54"/>
      <c r="O41" s="54">
        <f t="shared" si="14"/>
        <v>-429310.81709100003</v>
      </c>
      <c r="P41" s="54">
        <f t="shared" si="6"/>
        <v>-13204751.174673002</v>
      </c>
      <c r="Q41" s="54"/>
      <c r="R41" s="54">
        <v>-252945.39999999994</v>
      </c>
      <c r="S41" s="54">
        <f>+'[61]Reversal Summary'!$J$16/12*(11)/31</f>
        <v>-185464.12256716669</v>
      </c>
      <c r="T41" s="54">
        <f>+'Table 9'!$J$26/12*(11)/31</f>
        <v>-52262.929654606633</v>
      </c>
      <c r="U41" s="54">
        <f t="shared" ref="U41:U60" si="16">+SUM(R41:T41)</f>
        <v>-490672.45222177322</v>
      </c>
      <c r="V41" s="54">
        <f t="shared" si="12"/>
        <v>-7756909.3774021296</v>
      </c>
      <c r="W41" s="54"/>
      <c r="X41" s="54">
        <f t="shared" si="1"/>
        <v>-5447841.7972708726</v>
      </c>
    </row>
    <row r="42" spans="2:24" x14ac:dyDescent="0.25">
      <c r="B42" s="3">
        <f t="shared" si="2"/>
        <v>43983</v>
      </c>
      <c r="D42" s="54">
        <f t="shared" si="13"/>
        <v>-1866376.2770756667</v>
      </c>
      <c r="E42" s="54">
        <f t="shared" si="4"/>
        <v>-55821310.513235964</v>
      </c>
      <c r="F42" s="54"/>
      <c r="G42" s="54"/>
      <c r="H42" s="54">
        <f>'[61]Reversal Summary'!$J$9/12</f>
        <v>-1959742.5410228337</v>
      </c>
      <c r="I42" s="54">
        <f>+'Table 9'!H26/12</f>
        <v>-563220.85177830572</v>
      </c>
      <c r="J42" s="54">
        <f t="shared" si="15"/>
        <v>-2522963.3928011395</v>
      </c>
      <c r="K42" s="54">
        <f t="shared" si="10"/>
        <v>-32623953.309494253</v>
      </c>
      <c r="L42" s="54"/>
      <c r="M42" s="54">
        <f t="shared" si="0"/>
        <v>-23197357.203741711</v>
      </c>
      <c r="N42" s="54"/>
      <c r="O42" s="54">
        <f t="shared" si="14"/>
        <v>-429310.81709100003</v>
      </c>
      <c r="P42" s="54">
        <f t="shared" si="6"/>
        <v>-13634061.991764002</v>
      </c>
      <c r="Q42" s="54"/>
      <c r="R42" s="54"/>
      <c r="S42" s="54">
        <f>+'[61]Reversal Summary'!$J$16/12</f>
        <v>-522671.61814383342</v>
      </c>
      <c r="T42" s="54">
        <f>+'Table 9'!$J$26/12</f>
        <v>-147286.43811752778</v>
      </c>
      <c r="U42" s="54">
        <f t="shared" si="16"/>
        <v>-669958.05626136123</v>
      </c>
      <c r="V42" s="54">
        <f t="shared" si="12"/>
        <v>-8426867.4336634912</v>
      </c>
      <c r="W42" s="54"/>
      <c r="X42" s="54">
        <f t="shared" si="1"/>
        <v>-5207194.5581005104</v>
      </c>
    </row>
    <row r="43" spans="2:24" x14ac:dyDescent="0.25">
      <c r="B43" s="3">
        <f t="shared" si="2"/>
        <v>44013</v>
      </c>
      <c r="D43" s="54">
        <f t="shared" si="13"/>
        <v>-1866376.2770756667</v>
      </c>
      <c r="E43" s="54">
        <f t="shared" si="4"/>
        <v>-57687686.790311627</v>
      </c>
      <c r="F43" s="54"/>
      <c r="G43" s="54"/>
      <c r="H43" s="54">
        <f t="shared" ref="H43:H60" si="17">+H42</f>
        <v>-1959742.5410228337</v>
      </c>
      <c r="I43" s="54">
        <f t="shared" ref="I43:I60" si="18">+I42</f>
        <v>-563220.85177830572</v>
      </c>
      <c r="J43" s="54">
        <f t="shared" si="15"/>
        <v>-2522963.3928011395</v>
      </c>
      <c r="K43" s="54">
        <f t="shared" si="10"/>
        <v>-35146916.702295393</v>
      </c>
      <c r="L43" s="54"/>
      <c r="M43" s="54">
        <f t="shared" si="0"/>
        <v>-22540770.088016234</v>
      </c>
      <c r="N43" s="54"/>
      <c r="O43" s="54">
        <f t="shared" si="14"/>
        <v>-429310.81709100003</v>
      </c>
      <c r="P43" s="54">
        <f t="shared" si="6"/>
        <v>-14063372.808855001</v>
      </c>
      <c r="Q43" s="54"/>
      <c r="R43" s="54"/>
      <c r="S43" s="54">
        <f t="shared" ref="S43:S60" si="19">+S42</f>
        <v>-522671.61814383342</v>
      </c>
      <c r="T43" s="54">
        <f t="shared" ref="T43:T60" si="20">+T42</f>
        <v>-147286.43811752778</v>
      </c>
      <c r="U43" s="54">
        <f t="shared" si="16"/>
        <v>-669958.05626136123</v>
      </c>
      <c r="V43" s="54">
        <f t="shared" si="12"/>
        <v>-9096825.4899248518</v>
      </c>
      <c r="W43" s="54"/>
      <c r="X43" s="54">
        <f t="shared" si="1"/>
        <v>-4966547.3189301491</v>
      </c>
    </row>
    <row r="44" spans="2:24" x14ac:dyDescent="0.25">
      <c r="B44" s="3">
        <f t="shared" si="2"/>
        <v>44044</v>
      </c>
      <c r="D44" s="54">
        <f t="shared" si="13"/>
        <v>-1866376.2770756667</v>
      </c>
      <c r="E44" s="54">
        <f t="shared" si="4"/>
        <v>-59554063.06738729</v>
      </c>
      <c r="F44" s="54"/>
      <c r="G44" s="54"/>
      <c r="H44" s="54">
        <f t="shared" si="17"/>
        <v>-1959742.5410228337</v>
      </c>
      <c r="I44" s="54">
        <f t="shared" si="18"/>
        <v>-563220.85177830572</v>
      </c>
      <c r="J44" s="54">
        <f t="shared" si="15"/>
        <v>-2522963.3928011395</v>
      </c>
      <c r="K44" s="54">
        <f t="shared" si="10"/>
        <v>-37669880.095096529</v>
      </c>
      <c r="L44" s="54"/>
      <c r="M44" s="54">
        <f t="shared" si="0"/>
        <v>-21884182.972290762</v>
      </c>
      <c r="N44" s="54"/>
      <c r="O44" s="54">
        <f t="shared" si="14"/>
        <v>-429310.81709100003</v>
      </c>
      <c r="P44" s="54">
        <f t="shared" si="6"/>
        <v>-14492683.625946</v>
      </c>
      <c r="Q44" s="54"/>
      <c r="R44" s="54"/>
      <c r="S44" s="54">
        <f t="shared" si="19"/>
        <v>-522671.61814383342</v>
      </c>
      <c r="T44" s="54">
        <f t="shared" si="20"/>
        <v>-147286.43811752778</v>
      </c>
      <c r="U44" s="54">
        <f t="shared" si="16"/>
        <v>-669958.05626136123</v>
      </c>
      <c r="V44" s="54">
        <f t="shared" si="12"/>
        <v>-9766783.5461862125</v>
      </c>
      <c r="W44" s="54"/>
      <c r="X44" s="54">
        <f t="shared" si="1"/>
        <v>-4725900.0797597878</v>
      </c>
    </row>
    <row r="45" spans="2:24" x14ac:dyDescent="0.25">
      <c r="B45" s="3">
        <f t="shared" si="2"/>
        <v>44075</v>
      </c>
      <c r="D45" s="54">
        <f t="shared" si="13"/>
        <v>-1866376.2770756667</v>
      </c>
      <c r="E45" s="54">
        <f t="shared" si="4"/>
        <v>-61420439.344462954</v>
      </c>
      <c r="F45" s="54"/>
      <c r="G45" s="54"/>
      <c r="H45" s="54">
        <f t="shared" si="17"/>
        <v>-1959742.5410228337</v>
      </c>
      <c r="I45" s="54">
        <f t="shared" si="18"/>
        <v>-563220.85177830572</v>
      </c>
      <c r="J45" s="54">
        <f t="shared" si="15"/>
        <v>-2522963.3928011395</v>
      </c>
      <c r="K45" s="54">
        <f t="shared" si="10"/>
        <v>-40192843.487897664</v>
      </c>
      <c r="L45" s="54"/>
      <c r="M45" s="54">
        <f t="shared" si="0"/>
        <v>-21227595.856565289</v>
      </c>
      <c r="N45" s="54"/>
      <c r="O45" s="54">
        <f t="shared" si="14"/>
        <v>-429310.81709100003</v>
      </c>
      <c r="P45" s="54">
        <f t="shared" si="6"/>
        <v>-14921994.443037</v>
      </c>
      <c r="Q45" s="54"/>
      <c r="R45" s="54"/>
      <c r="S45" s="54">
        <f t="shared" si="19"/>
        <v>-522671.61814383342</v>
      </c>
      <c r="T45" s="54">
        <f t="shared" si="20"/>
        <v>-147286.43811752778</v>
      </c>
      <c r="U45" s="54">
        <f t="shared" si="16"/>
        <v>-669958.05626136123</v>
      </c>
      <c r="V45" s="54">
        <f t="shared" si="12"/>
        <v>-10436741.602447573</v>
      </c>
      <c r="W45" s="54"/>
      <c r="X45" s="54">
        <f t="shared" si="1"/>
        <v>-4485252.8405894265</v>
      </c>
    </row>
    <row r="46" spans="2:24" x14ac:dyDescent="0.25">
      <c r="B46" s="3">
        <f t="shared" si="2"/>
        <v>44105</v>
      </c>
      <c r="D46" s="54">
        <f t="shared" si="13"/>
        <v>-1866376.2770756667</v>
      </c>
      <c r="E46" s="54">
        <f t="shared" si="4"/>
        <v>-63286815.621538617</v>
      </c>
      <c r="F46" s="54"/>
      <c r="G46" s="54"/>
      <c r="H46" s="54">
        <f t="shared" si="17"/>
        <v>-1959742.5410228337</v>
      </c>
      <c r="I46" s="54">
        <f t="shared" si="18"/>
        <v>-563220.85177830572</v>
      </c>
      <c r="J46" s="54">
        <f t="shared" si="15"/>
        <v>-2522963.3928011395</v>
      </c>
      <c r="K46" s="54">
        <f t="shared" si="10"/>
        <v>-42715806.8806988</v>
      </c>
      <c r="L46" s="54"/>
      <c r="M46" s="54">
        <f t="shared" si="0"/>
        <v>-20571008.740839817</v>
      </c>
      <c r="N46" s="54"/>
      <c r="O46" s="54">
        <f t="shared" si="14"/>
        <v>-429310.81709100003</v>
      </c>
      <c r="P46" s="54">
        <f t="shared" si="6"/>
        <v>-15351305.260127999</v>
      </c>
      <c r="Q46" s="54"/>
      <c r="R46" s="54"/>
      <c r="S46" s="54">
        <f t="shared" si="19"/>
        <v>-522671.61814383342</v>
      </c>
      <c r="T46" s="54">
        <f t="shared" si="20"/>
        <v>-147286.43811752778</v>
      </c>
      <c r="U46" s="54">
        <f t="shared" si="16"/>
        <v>-669958.05626136123</v>
      </c>
      <c r="V46" s="54">
        <f t="shared" si="12"/>
        <v>-11106699.658708934</v>
      </c>
      <c r="W46" s="54"/>
      <c r="X46" s="54">
        <f t="shared" si="1"/>
        <v>-4244605.6014190651</v>
      </c>
    </row>
    <row r="47" spans="2:24" x14ac:dyDescent="0.25">
      <c r="B47" s="3">
        <f t="shared" si="2"/>
        <v>44136</v>
      </c>
      <c r="D47" s="54">
        <f t="shared" si="13"/>
        <v>-1866376.2770756667</v>
      </c>
      <c r="E47" s="54">
        <f t="shared" si="4"/>
        <v>-65153191.89861428</v>
      </c>
      <c r="F47" s="54"/>
      <c r="G47" s="54"/>
      <c r="H47" s="54">
        <f t="shared" si="17"/>
        <v>-1959742.5410228337</v>
      </c>
      <c r="I47" s="54">
        <f t="shared" si="18"/>
        <v>-563220.85177830572</v>
      </c>
      <c r="J47" s="54">
        <f t="shared" si="15"/>
        <v>-2522963.3928011395</v>
      </c>
      <c r="K47" s="54">
        <f t="shared" si="10"/>
        <v>-45238770.273499936</v>
      </c>
      <c r="L47" s="54"/>
      <c r="M47" s="54">
        <f t="shared" si="0"/>
        <v>-19914421.625114344</v>
      </c>
      <c r="N47" s="54"/>
      <c r="O47" s="54">
        <f t="shared" si="14"/>
        <v>-429310.81709100003</v>
      </c>
      <c r="P47" s="54">
        <f t="shared" si="6"/>
        <v>-15780616.077218998</v>
      </c>
      <c r="Q47" s="54"/>
      <c r="R47" s="54"/>
      <c r="S47" s="54">
        <f t="shared" si="19"/>
        <v>-522671.61814383342</v>
      </c>
      <c r="T47" s="54">
        <f t="shared" si="20"/>
        <v>-147286.43811752778</v>
      </c>
      <c r="U47" s="54">
        <f t="shared" si="16"/>
        <v>-669958.05626136123</v>
      </c>
      <c r="V47" s="54">
        <f t="shared" si="12"/>
        <v>-11776657.714970294</v>
      </c>
      <c r="W47" s="54"/>
      <c r="X47" s="54">
        <f t="shared" si="1"/>
        <v>-4003958.3622487038</v>
      </c>
    </row>
    <row r="48" spans="2:24" x14ac:dyDescent="0.25">
      <c r="B48" s="3">
        <f t="shared" si="2"/>
        <v>44166</v>
      </c>
      <c r="D48" s="54">
        <f t="shared" si="13"/>
        <v>-1866376.2770756667</v>
      </c>
      <c r="E48" s="54">
        <f t="shared" si="4"/>
        <v>-67019568.175689943</v>
      </c>
      <c r="F48" s="54"/>
      <c r="G48" s="54"/>
      <c r="H48" s="54">
        <f t="shared" si="17"/>
        <v>-1959742.5410228337</v>
      </c>
      <c r="I48" s="54">
        <f t="shared" si="18"/>
        <v>-563220.85177830572</v>
      </c>
      <c r="J48" s="54">
        <f t="shared" si="15"/>
        <v>-2522963.3928011395</v>
      </c>
      <c r="K48" s="54">
        <f t="shared" si="10"/>
        <v>-47761733.666301072</v>
      </c>
      <c r="L48" s="54"/>
      <c r="M48" s="54">
        <f t="shared" si="0"/>
        <v>-19257834.509388871</v>
      </c>
      <c r="N48" s="54"/>
      <c r="O48" s="54">
        <f t="shared" si="14"/>
        <v>-429310.81709100003</v>
      </c>
      <c r="P48" s="54">
        <f t="shared" si="6"/>
        <v>-16209926.894309998</v>
      </c>
      <c r="Q48" s="54"/>
      <c r="R48" s="54"/>
      <c r="S48" s="54">
        <f t="shared" si="19"/>
        <v>-522671.61814383342</v>
      </c>
      <c r="T48" s="54">
        <f t="shared" si="20"/>
        <v>-147286.43811752778</v>
      </c>
      <c r="U48" s="54">
        <f t="shared" si="16"/>
        <v>-669958.05626136123</v>
      </c>
      <c r="V48" s="54">
        <f t="shared" si="12"/>
        <v>-12446615.771231655</v>
      </c>
      <c r="W48" s="54"/>
      <c r="X48" s="54">
        <f t="shared" si="1"/>
        <v>-3763311.1230783425</v>
      </c>
    </row>
    <row r="49" spans="2:24" x14ac:dyDescent="0.25">
      <c r="B49" s="3">
        <f t="shared" si="2"/>
        <v>44197</v>
      </c>
      <c r="D49" s="54">
        <f>+'[61]Reversal Summary'!$J$12/12</f>
        <v>-1852161.3311475001</v>
      </c>
      <c r="E49" s="54">
        <f t="shared" si="4"/>
        <v>-68871729.506837443</v>
      </c>
      <c r="F49" s="54"/>
      <c r="G49" s="54"/>
      <c r="H49" s="54">
        <f t="shared" si="17"/>
        <v>-1959742.5410228337</v>
      </c>
      <c r="I49" s="54">
        <f t="shared" si="18"/>
        <v>-563220.85177830572</v>
      </c>
      <c r="J49" s="54">
        <f t="shared" si="15"/>
        <v>-2522963.3928011395</v>
      </c>
      <c r="K49" s="54">
        <f t="shared" si="10"/>
        <v>-50284697.059102207</v>
      </c>
      <c r="L49" s="54"/>
      <c r="M49" s="54">
        <f t="shared" si="0"/>
        <v>-18587032.447735235</v>
      </c>
      <c r="N49" s="54"/>
      <c r="O49" s="54">
        <f>+'[61]Reversal Summary'!$J$19/12</f>
        <v>-467448.51385250007</v>
      </c>
      <c r="P49" s="54">
        <f t="shared" si="6"/>
        <v>-16677375.408162497</v>
      </c>
      <c r="Q49" s="54"/>
      <c r="R49" s="54"/>
      <c r="S49" s="54">
        <f t="shared" si="19"/>
        <v>-522671.61814383342</v>
      </c>
      <c r="T49" s="54">
        <f t="shared" si="20"/>
        <v>-147286.43811752778</v>
      </c>
      <c r="U49" s="54">
        <f t="shared" si="16"/>
        <v>-669958.05626136123</v>
      </c>
      <c r="V49" s="54">
        <f t="shared" si="12"/>
        <v>-13116573.827493016</v>
      </c>
      <c r="W49" s="54"/>
      <c r="X49" s="54">
        <f t="shared" si="1"/>
        <v>-3560801.5806694813</v>
      </c>
    </row>
    <row r="50" spans="2:24" x14ac:dyDescent="0.25">
      <c r="B50" s="3">
        <f t="shared" si="2"/>
        <v>44228</v>
      </c>
      <c r="D50" s="54">
        <f t="shared" ref="D50:D60" si="21">+D49</f>
        <v>-1852161.3311475001</v>
      </c>
      <c r="E50" s="54">
        <f t="shared" si="4"/>
        <v>-70723890.837984949</v>
      </c>
      <c r="F50" s="54"/>
      <c r="G50" s="54"/>
      <c r="H50" s="54">
        <f t="shared" si="17"/>
        <v>-1959742.5410228337</v>
      </c>
      <c r="I50" s="54">
        <f t="shared" si="18"/>
        <v>-563220.85177830572</v>
      </c>
      <c r="J50" s="54">
        <f t="shared" si="15"/>
        <v>-2522963.3928011395</v>
      </c>
      <c r="K50" s="54">
        <f t="shared" si="10"/>
        <v>-52807660.451903343</v>
      </c>
      <c r="L50" s="54"/>
      <c r="M50" s="54">
        <f t="shared" si="0"/>
        <v>-17916230.386081606</v>
      </c>
      <c r="N50" s="54"/>
      <c r="O50" s="54">
        <f t="shared" ref="O50:O60" si="22">+O49</f>
        <v>-467448.51385250007</v>
      </c>
      <c r="P50" s="54">
        <f t="shared" si="6"/>
        <v>-17144823.922014996</v>
      </c>
      <c r="Q50" s="54"/>
      <c r="R50" s="54"/>
      <c r="S50" s="54">
        <f t="shared" si="19"/>
        <v>-522671.61814383342</v>
      </c>
      <c r="T50" s="54">
        <f t="shared" si="20"/>
        <v>-147286.43811752778</v>
      </c>
      <c r="U50" s="54">
        <f t="shared" si="16"/>
        <v>-669958.05626136123</v>
      </c>
      <c r="V50" s="54">
        <f t="shared" si="12"/>
        <v>-13786531.883754376</v>
      </c>
      <c r="W50" s="54"/>
      <c r="X50" s="54">
        <f t="shared" si="1"/>
        <v>-3358292.0382606201</v>
      </c>
    </row>
    <row r="51" spans="2:24" x14ac:dyDescent="0.25">
      <c r="B51" s="3">
        <f t="shared" si="2"/>
        <v>44256</v>
      </c>
      <c r="D51" s="54">
        <f t="shared" si="21"/>
        <v>-1852161.3311475001</v>
      </c>
      <c r="E51" s="54">
        <f t="shared" si="4"/>
        <v>-72576052.169132456</v>
      </c>
      <c r="F51" s="54"/>
      <c r="G51" s="54"/>
      <c r="H51" s="54">
        <f t="shared" si="17"/>
        <v>-1959742.5410228337</v>
      </c>
      <c r="I51" s="54">
        <f t="shared" si="18"/>
        <v>-563220.85177830572</v>
      </c>
      <c r="J51" s="54">
        <f t="shared" si="15"/>
        <v>-2522963.3928011395</v>
      </c>
      <c r="K51" s="54">
        <f t="shared" si="10"/>
        <v>-55330623.844704479</v>
      </c>
      <c r="L51" s="54"/>
      <c r="M51" s="54">
        <f t="shared" si="0"/>
        <v>-17245428.324427977</v>
      </c>
      <c r="N51" s="54"/>
      <c r="O51" s="54">
        <f t="shared" si="22"/>
        <v>-467448.51385250007</v>
      </c>
      <c r="P51" s="54">
        <f t="shared" si="6"/>
        <v>-17612272.435867496</v>
      </c>
      <c r="Q51" s="54"/>
      <c r="R51" s="54"/>
      <c r="S51" s="54">
        <f t="shared" si="19"/>
        <v>-522671.61814383342</v>
      </c>
      <c r="T51" s="54">
        <f t="shared" si="20"/>
        <v>-147286.43811752778</v>
      </c>
      <c r="U51" s="54">
        <f t="shared" si="16"/>
        <v>-669958.05626136123</v>
      </c>
      <c r="V51" s="54">
        <f t="shared" si="12"/>
        <v>-14456489.940015737</v>
      </c>
      <c r="W51" s="54"/>
      <c r="X51" s="54">
        <f t="shared" si="1"/>
        <v>-3155782.4958517589</v>
      </c>
    </row>
    <row r="52" spans="2:24" x14ac:dyDescent="0.25">
      <c r="B52" s="3">
        <f t="shared" si="2"/>
        <v>44287</v>
      </c>
      <c r="D52" s="54">
        <f t="shared" si="21"/>
        <v>-1852161.3311475001</v>
      </c>
      <c r="E52" s="54">
        <f t="shared" si="4"/>
        <v>-74428213.500279963</v>
      </c>
      <c r="F52" s="54"/>
      <c r="G52" s="54"/>
      <c r="H52" s="54">
        <f t="shared" si="17"/>
        <v>-1959742.5410228337</v>
      </c>
      <c r="I52" s="54">
        <f t="shared" si="18"/>
        <v>-563220.85177830572</v>
      </c>
      <c r="J52" s="54">
        <f t="shared" si="15"/>
        <v>-2522963.3928011395</v>
      </c>
      <c r="K52" s="54">
        <f t="shared" si="10"/>
        <v>-57853587.237505615</v>
      </c>
      <c r="L52" s="54"/>
      <c r="M52" s="54">
        <f t="shared" si="0"/>
        <v>-16574626.262774348</v>
      </c>
      <c r="N52" s="54"/>
      <c r="O52" s="54">
        <f t="shared" si="22"/>
        <v>-467448.51385250007</v>
      </c>
      <c r="P52" s="54">
        <f t="shared" si="6"/>
        <v>-18079720.949719995</v>
      </c>
      <c r="Q52" s="54"/>
      <c r="R52" s="54"/>
      <c r="S52" s="54">
        <f t="shared" si="19"/>
        <v>-522671.61814383342</v>
      </c>
      <c r="T52" s="54">
        <f t="shared" si="20"/>
        <v>-147286.43811752778</v>
      </c>
      <c r="U52" s="54">
        <f t="shared" si="16"/>
        <v>-669958.05626136123</v>
      </c>
      <c r="V52" s="54">
        <f t="shared" si="12"/>
        <v>-15126447.996277098</v>
      </c>
      <c r="W52" s="54"/>
      <c r="X52" s="54">
        <f t="shared" si="1"/>
        <v>-2953272.9534428976</v>
      </c>
    </row>
    <row r="53" spans="2:24" x14ac:dyDescent="0.25">
      <c r="B53" s="3">
        <f t="shared" si="2"/>
        <v>44317</v>
      </c>
      <c r="D53" s="54">
        <f t="shared" si="21"/>
        <v>-1852161.3311475001</v>
      </c>
      <c r="E53" s="54">
        <f t="shared" si="4"/>
        <v>-76280374.83142747</v>
      </c>
      <c r="F53" s="54"/>
      <c r="G53" s="54"/>
      <c r="H53" s="54">
        <f t="shared" si="17"/>
        <v>-1959742.5410228337</v>
      </c>
      <c r="I53" s="54">
        <f t="shared" si="18"/>
        <v>-563220.85177830572</v>
      </c>
      <c r="J53" s="54">
        <f t="shared" si="15"/>
        <v>-2522963.3928011395</v>
      </c>
      <c r="K53" s="54">
        <f t="shared" si="10"/>
        <v>-60376550.630306751</v>
      </c>
      <c r="L53" s="54"/>
      <c r="M53" s="54">
        <f t="shared" si="0"/>
        <v>-15903824.201120719</v>
      </c>
      <c r="N53" s="54"/>
      <c r="O53" s="54">
        <f t="shared" si="22"/>
        <v>-467448.51385250007</v>
      </c>
      <c r="P53" s="54">
        <f t="shared" si="6"/>
        <v>-18547169.463572495</v>
      </c>
      <c r="Q53" s="54"/>
      <c r="R53" s="54"/>
      <c r="S53" s="54">
        <f t="shared" si="19"/>
        <v>-522671.61814383342</v>
      </c>
      <c r="T53" s="54">
        <f t="shared" si="20"/>
        <v>-147286.43811752778</v>
      </c>
      <c r="U53" s="54">
        <f t="shared" si="16"/>
        <v>-669958.05626136123</v>
      </c>
      <c r="V53" s="54">
        <f t="shared" si="12"/>
        <v>-15796406.052538458</v>
      </c>
      <c r="W53" s="54"/>
      <c r="X53" s="54">
        <f t="shared" si="1"/>
        <v>-2750763.4110340364</v>
      </c>
    </row>
    <row r="54" spans="2:24" x14ac:dyDescent="0.25">
      <c r="B54" s="3">
        <f t="shared" si="2"/>
        <v>44348</v>
      </c>
      <c r="D54" s="54">
        <f t="shared" si="21"/>
        <v>-1852161.3311475001</v>
      </c>
      <c r="E54" s="54">
        <f t="shared" si="4"/>
        <v>-78132536.162574977</v>
      </c>
      <c r="F54" s="54"/>
      <c r="G54" s="54"/>
      <c r="H54" s="54">
        <f t="shared" si="17"/>
        <v>-1959742.5410228337</v>
      </c>
      <c r="I54" s="54">
        <f t="shared" si="18"/>
        <v>-563220.85177830572</v>
      </c>
      <c r="J54" s="54">
        <f t="shared" si="15"/>
        <v>-2522963.3928011395</v>
      </c>
      <c r="K54" s="54">
        <f t="shared" si="10"/>
        <v>-62899514.023107886</v>
      </c>
      <c r="L54" s="54"/>
      <c r="M54" s="54">
        <f t="shared" si="0"/>
        <v>-15233022.13946709</v>
      </c>
      <c r="N54" s="54"/>
      <c r="O54" s="54">
        <f t="shared" si="22"/>
        <v>-467448.51385250007</v>
      </c>
      <c r="P54" s="54">
        <f t="shared" si="6"/>
        <v>-19014617.977424994</v>
      </c>
      <c r="Q54" s="54"/>
      <c r="R54" s="54"/>
      <c r="S54" s="54">
        <f t="shared" si="19"/>
        <v>-522671.61814383342</v>
      </c>
      <c r="T54" s="54">
        <f t="shared" si="20"/>
        <v>-147286.43811752778</v>
      </c>
      <c r="U54" s="54">
        <f t="shared" si="16"/>
        <v>-669958.05626136123</v>
      </c>
      <c r="V54" s="54">
        <f t="shared" si="12"/>
        <v>-16466364.108799819</v>
      </c>
      <c r="W54" s="54"/>
      <c r="X54" s="54">
        <f t="shared" si="1"/>
        <v>-2548253.8686251752</v>
      </c>
    </row>
    <row r="55" spans="2:24" x14ac:dyDescent="0.25">
      <c r="B55" s="3">
        <f t="shared" si="2"/>
        <v>44378</v>
      </c>
      <c r="D55" s="54">
        <f t="shared" si="21"/>
        <v>-1852161.3311475001</v>
      </c>
      <c r="E55" s="54">
        <f t="shared" si="4"/>
        <v>-79984697.493722484</v>
      </c>
      <c r="F55" s="54"/>
      <c r="G55" s="54"/>
      <c r="H55" s="54">
        <f t="shared" si="17"/>
        <v>-1959742.5410228337</v>
      </c>
      <c r="I55" s="54">
        <f t="shared" si="18"/>
        <v>-563220.85177830572</v>
      </c>
      <c r="J55" s="54">
        <f t="shared" si="15"/>
        <v>-2522963.3928011395</v>
      </c>
      <c r="K55" s="54">
        <f t="shared" si="10"/>
        <v>-65422477.415909022</v>
      </c>
      <c r="L55" s="54"/>
      <c r="M55" s="54">
        <f t="shared" si="0"/>
        <v>-14562220.077813461</v>
      </c>
      <c r="N55" s="54"/>
      <c r="O55" s="54">
        <f t="shared" si="22"/>
        <v>-467448.51385250007</v>
      </c>
      <c r="P55" s="54">
        <f t="shared" si="6"/>
        <v>-19482066.491277494</v>
      </c>
      <c r="Q55" s="54"/>
      <c r="R55" s="54"/>
      <c r="S55" s="54">
        <f t="shared" si="19"/>
        <v>-522671.61814383342</v>
      </c>
      <c r="T55" s="54">
        <f t="shared" si="20"/>
        <v>-147286.43811752778</v>
      </c>
      <c r="U55" s="54">
        <f t="shared" si="16"/>
        <v>-669958.05626136123</v>
      </c>
      <c r="V55" s="54">
        <f t="shared" si="12"/>
        <v>-17136322.16506118</v>
      </c>
      <c r="W55" s="54"/>
      <c r="X55" s="54">
        <f t="shared" si="1"/>
        <v>-2345744.326216314</v>
      </c>
    </row>
    <row r="56" spans="2:24" x14ac:dyDescent="0.25">
      <c r="B56" s="3">
        <f t="shared" si="2"/>
        <v>44409</v>
      </c>
      <c r="D56" s="54">
        <f t="shared" si="21"/>
        <v>-1852161.3311475001</v>
      </c>
      <c r="E56" s="54">
        <f t="shared" si="4"/>
        <v>-81836858.82486999</v>
      </c>
      <c r="F56" s="54"/>
      <c r="G56" s="54"/>
      <c r="H56" s="54">
        <f t="shared" si="17"/>
        <v>-1959742.5410228337</v>
      </c>
      <c r="I56" s="54">
        <f t="shared" si="18"/>
        <v>-563220.85177830572</v>
      </c>
      <c r="J56" s="54">
        <f t="shared" si="15"/>
        <v>-2522963.3928011395</v>
      </c>
      <c r="K56" s="54">
        <f t="shared" si="10"/>
        <v>-67945440.808710158</v>
      </c>
      <c r="L56" s="54"/>
      <c r="M56" s="54">
        <f t="shared" si="0"/>
        <v>-13891418.016159832</v>
      </c>
      <c r="N56" s="54"/>
      <c r="O56" s="54">
        <f t="shared" si="22"/>
        <v>-467448.51385250007</v>
      </c>
      <c r="P56" s="54">
        <f t="shared" si="6"/>
        <v>-19949515.005129993</v>
      </c>
      <c r="Q56" s="54"/>
      <c r="R56" s="54"/>
      <c r="S56" s="54">
        <f t="shared" si="19"/>
        <v>-522671.61814383342</v>
      </c>
      <c r="T56" s="54">
        <f t="shared" si="20"/>
        <v>-147286.43811752778</v>
      </c>
      <c r="U56" s="54">
        <f t="shared" si="16"/>
        <v>-669958.05626136123</v>
      </c>
      <c r="V56" s="54">
        <f t="shared" si="12"/>
        <v>-17806280.22132254</v>
      </c>
      <c r="W56" s="54"/>
      <c r="X56" s="54">
        <f t="shared" si="1"/>
        <v>-2143234.7838074528</v>
      </c>
    </row>
    <row r="57" spans="2:24" x14ac:dyDescent="0.25">
      <c r="B57" s="3">
        <f t="shared" si="2"/>
        <v>44440</v>
      </c>
      <c r="D57" s="54">
        <f t="shared" si="21"/>
        <v>-1852161.3311475001</v>
      </c>
      <c r="E57" s="54">
        <f t="shared" si="4"/>
        <v>-83689020.156017497</v>
      </c>
      <c r="F57" s="54"/>
      <c r="G57" s="54"/>
      <c r="H57" s="54">
        <f t="shared" si="17"/>
        <v>-1959742.5410228337</v>
      </c>
      <c r="I57" s="54">
        <f t="shared" si="18"/>
        <v>-563220.85177830572</v>
      </c>
      <c r="J57" s="54">
        <f t="shared" si="15"/>
        <v>-2522963.3928011395</v>
      </c>
      <c r="K57" s="54">
        <f t="shared" si="10"/>
        <v>-70468404.201511294</v>
      </c>
      <c r="L57" s="54"/>
      <c r="M57" s="54">
        <f t="shared" si="0"/>
        <v>-13220615.954506204</v>
      </c>
      <c r="N57" s="54"/>
      <c r="O57" s="54">
        <f t="shared" si="22"/>
        <v>-467448.51385250007</v>
      </c>
      <c r="P57" s="54">
        <f t="shared" si="6"/>
        <v>-20416963.518982492</v>
      </c>
      <c r="Q57" s="54"/>
      <c r="R57" s="54"/>
      <c r="S57" s="54">
        <f t="shared" si="19"/>
        <v>-522671.61814383342</v>
      </c>
      <c r="T57" s="54">
        <f t="shared" si="20"/>
        <v>-147286.43811752778</v>
      </c>
      <c r="U57" s="54">
        <f t="shared" si="16"/>
        <v>-669958.05626136123</v>
      </c>
      <c r="V57" s="54">
        <f t="shared" si="12"/>
        <v>-18476238.277583901</v>
      </c>
      <c r="W57" s="54"/>
      <c r="X57" s="54">
        <f t="shared" si="1"/>
        <v>-1940725.2413985915</v>
      </c>
    </row>
    <row r="58" spans="2:24" x14ac:dyDescent="0.25">
      <c r="B58" s="3">
        <f t="shared" si="2"/>
        <v>44470</v>
      </c>
      <c r="D58" s="54">
        <f t="shared" si="21"/>
        <v>-1852161.3311475001</v>
      </c>
      <c r="E58" s="54">
        <f t="shared" si="4"/>
        <v>-85541181.487165004</v>
      </c>
      <c r="F58" s="54"/>
      <c r="G58" s="54"/>
      <c r="H58" s="54">
        <f t="shared" si="17"/>
        <v>-1959742.5410228337</v>
      </c>
      <c r="I58" s="54">
        <f t="shared" si="18"/>
        <v>-563220.85177830572</v>
      </c>
      <c r="J58" s="54">
        <f t="shared" si="15"/>
        <v>-2522963.3928011395</v>
      </c>
      <c r="K58" s="54">
        <f t="shared" si="10"/>
        <v>-72991367.594312429</v>
      </c>
      <c r="L58" s="54"/>
      <c r="M58" s="54">
        <f t="shared" si="0"/>
        <v>-12549813.892852575</v>
      </c>
      <c r="N58" s="54"/>
      <c r="O58" s="54">
        <f t="shared" si="22"/>
        <v>-467448.51385250007</v>
      </c>
      <c r="P58" s="54">
        <f t="shared" si="6"/>
        <v>-20884412.032834992</v>
      </c>
      <c r="Q58" s="54"/>
      <c r="R58" s="54"/>
      <c r="S58" s="54">
        <f t="shared" si="19"/>
        <v>-522671.61814383342</v>
      </c>
      <c r="T58" s="54">
        <f t="shared" si="20"/>
        <v>-147286.43811752778</v>
      </c>
      <c r="U58" s="54">
        <f t="shared" si="16"/>
        <v>-669958.05626136123</v>
      </c>
      <c r="V58" s="54">
        <f t="shared" si="12"/>
        <v>-19146196.333845261</v>
      </c>
      <c r="W58" s="54"/>
      <c r="X58" s="54">
        <f t="shared" si="1"/>
        <v>-1738215.6989897303</v>
      </c>
    </row>
    <row r="59" spans="2:24" x14ac:dyDescent="0.25">
      <c r="B59" s="3">
        <f t="shared" si="2"/>
        <v>44501</v>
      </c>
      <c r="D59" s="54">
        <f t="shared" si="21"/>
        <v>-1852161.3311475001</v>
      </c>
      <c r="E59" s="54">
        <f t="shared" si="4"/>
        <v>-87393342.818312511</v>
      </c>
      <c r="F59" s="54"/>
      <c r="G59" s="54"/>
      <c r="H59" s="54">
        <f t="shared" si="17"/>
        <v>-1959742.5410228337</v>
      </c>
      <c r="I59" s="54">
        <f t="shared" si="18"/>
        <v>-563220.85177830572</v>
      </c>
      <c r="J59" s="54">
        <f t="shared" si="15"/>
        <v>-2522963.3928011395</v>
      </c>
      <c r="K59" s="54">
        <f t="shared" si="10"/>
        <v>-75514330.987113565</v>
      </c>
      <c r="L59" s="54"/>
      <c r="M59" s="54">
        <f t="shared" si="0"/>
        <v>-11879011.831198946</v>
      </c>
      <c r="N59" s="54"/>
      <c r="O59" s="54">
        <f t="shared" si="22"/>
        <v>-467448.51385250007</v>
      </c>
      <c r="P59" s="54">
        <f t="shared" si="6"/>
        <v>-21351860.546687491</v>
      </c>
      <c r="Q59" s="54"/>
      <c r="R59" s="54"/>
      <c r="S59" s="54">
        <f t="shared" si="19"/>
        <v>-522671.61814383342</v>
      </c>
      <c r="T59" s="54">
        <f t="shared" si="20"/>
        <v>-147286.43811752778</v>
      </c>
      <c r="U59" s="54">
        <f t="shared" si="16"/>
        <v>-669958.05626136123</v>
      </c>
      <c r="V59" s="54">
        <f t="shared" si="12"/>
        <v>-19816154.390106622</v>
      </c>
      <c r="W59" s="54"/>
      <c r="X59" s="54">
        <f t="shared" si="1"/>
        <v>-1535706.1565808691</v>
      </c>
    </row>
    <row r="60" spans="2:24" x14ac:dyDescent="0.25">
      <c r="B60" s="3">
        <f t="shared" si="2"/>
        <v>44531</v>
      </c>
      <c r="D60" s="54">
        <f t="shared" si="21"/>
        <v>-1852161.3311475001</v>
      </c>
      <c r="E60" s="54">
        <f t="shared" si="4"/>
        <v>-89245504.149460018</v>
      </c>
      <c r="F60" s="54"/>
      <c r="G60" s="54"/>
      <c r="H60" s="54">
        <f t="shared" si="17"/>
        <v>-1959742.5410228337</v>
      </c>
      <c r="I60" s="54">
        <f t="shared" si="18"/>
        <v>-563220.85177830572</v>
      </c>
      <c r="J60" s="54">
        <f t="shared" si="15"/>
        <v>-2522963.3928011395</v>
      </c>
      <c r="K60" s="54">
        <f t="shared" si="10"/>
        <v>-78037294.379914701</v>
      </c>
      <c r="L60" s="54"/>
      <c r="M60" s="54">
        <f t="shared" si="0"/>
        <v>-11208209.769545317</v>
      </c>
      <c r="N60" s="54"/>
      <c r="O60" s="54">
        <f t="shared" si="22"/>
        <v>-467448.51385250007</v>
      </c>
      <c r="P60" s="54">
        <f t="shared" si="6"/>
        <v>-21819309.060539991</v>
      </c>
      <c r="Q60" s="54"/>
      <c r="R60" s="54"/>
      <c r="S60" s="54">
        <f t="shared" si="19"/>
        <v>-522671.61814383342</v>
      </c>
      <c r="T60" s="54">
        <f t="shared" si="20"/>
        <v>-147286.43811752778</v>
      </c>
      <c r="U60" s="54">
        <f t="shared" si="16"/>
        <v>-669958.05626136123</v>
      </c>
      <c r="V60" s="54">
        <f t="shared" si="12"/>
        <v>-20486112.446367983</v>
      </c>
      <c r="W60" s="54"/>
      <c r="X60" s="54">
        <f t="shared" si="1"/>
        <v>-1333196.6141720079</v>
      </c>
    </row>
    <row r="61" spans="2:24" x14ac:dyDescent="0.25">
      <c r="B61" s="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2:24" x14ac:dyDescent="0.25">
      <c r="B62" s="3"/>
      <c r="D62" s="1"/>
      <c r="E62" s="1"/>
      <c r="H62" s="2"/>
      <c r="I62" s="2"/>
      <c r="J62" s="2"/>
      <c r="K62" s="1"/>
      <c r="M62" s="1"/>
      <c r="O62" s="1"/>
      <c r="P62" s="1"/>
      <c r="S62" s="2"/>
      <c r="T62" s="2"/>
      <c r="U62" s="2"/>
      <c r="V62" s="1"/>
      <c r="X62" s="1"/>
    </row>
    <row r="63" spans="2:24" x14ac:dyDescent="0.25">
      <c r="B63" s="3"/>
      <c r="D63" s="1"/>
      <c r="E63" s="1"/>
      <c r="H63" s="2"/>
      <c r="I63" s="2"/>
      <c r="J63" s="2"/>
      <c r="K63" s="1"/>
      <c r="M63" s="1"/>
      <c r="O63" s="1"/>
      <c r="P63" s="1"/>
      <c r="S63" s="2"/>
      <c r="T63" s="2"/>
      <c r="U63" s="2"/>
      <c r="V63" s="1"/>
      <c r="X63" s="1"/>
    </row>
    <row r="64" spans="2:24" x14ac:dyDescent="0.25">
      <c r="B64" s="3"/>
      <c r="D64" s="1"/>
      <c r="E64" s="1"/>
      <c r="H64" s="2"/>
      <c r="I64" s="2"/>
      <c r="J64" s="2"/>
      <c r="K64" s="1"/>
      <c r="M64" s="1"/>
      <c r="O64" s="1"/>
      <c r="P64" s="1"/>
      <c r="S64" s="2"/>
      <c r="T64" s="2"/>
      <c r="U64" s="2"/>
      <c r="V64" s="1"/>
      <c r="X64" s="1"/>
    </row>
    <row r="65" spans="2:24" x14ac:dyDescent="0.25">
      <c r="B65" s="3"/>
      <c r="D65" s="1"/>
      <c r="E65" s="1"/>
      <c r="H65" s="2"/>
      <c r="I65" s="2"/>
      <c r="J65" s="2"/>
      <c r="K65" s="1"/>
      <c r="M65" s="1"/>
      <c r="O65" s="1"/>
      <c r="P65" s="1"/>
      <c r="S65" s="2"/>
      <c r="T65" s="2"/>
      <c r="U65" s="2"/>
      <c r="V65" s="1"/>
      <c r="X65" s="1"/>
    </row>
    <row r="66" spans="2:24" x14ac:dyDescent="0.25">
      <c r="B66" s="3"/>
      <c r="D66" s="1"/>
      <c r="E66" s="1"/>
      <c r="H66" s="2"/>
      <c r="I66" s="2"/>
      <c r="J66" s="2"/>
      <c r="K66" s="1"/>
      <c r="M66" s="1"/>
      <c r="O66" s="1"/>
      <c r="P66" s="1"/>
      <c r="S66" s="2"/>
      <c r="T66" s="2"/>
      <c r="U66" s="2"/>
      <c r="V66" s="1"/>
      <c r="X66" s="1"/>
    </row>
    <row r="67" spans="2:24" x14ac:dyDescent="0.25">
      <c r="B67" s="3"/>
      <c r="D67" s="1"/>
      <c r="E67" s="1"/>
      <c r="H67" s="2"/>
      <c r="I67" s="2"/>
      <c r="J67" s="2"/>
      <c r="K67" s="1"/>
      <c r="M67" s="1"/>
      <c r="O67" s="1"/>
      <c r="P67" s="1"/>
      <c r="S67" s="2"/>
      <c r="T67" s="2"/>
      <c r="U67" s="2"/>
      <c r="V67" s="1"/>
      <c r="X67" s="1"/>
    </row>
    <row r="68" spans="2:24" x14ac:dyDescent="0.25">
      <c r="B68" s="3"/>
      <c r="D68" s="1"/>
      <c r="E68" s="1"/>
      <c r="H68" s="2"/>
      <c r="I68" s="2"/>
      <c r="J68" s="2"/>
      <c r="K68" s="1"/>
      <c r="M68" s="1"/>
      <c r="O68" s="1"/>
      <c r="P68" s="1"/>
      <c r="S68" s="2"/>
      <c r="T68" s="2"/>
      <c r="U68" s="2"/>
      <c r="V68" s="1"/>
      <c r="X68" s="1"/>
    </row>
    <row r="69" spans="2:24" x14ac:dyDescent="0.25">
      <c r="B69" s="3"/>
      <c r="D69" s="1"/>
      <c r="E69" s="1"/>
      <c r="H69" s="2"/>
      <c r="I69" s="2"/>
      <c r="J69" s="2"/>
      <c r="K69" s="1"/>
      <c r="M69" s="1"/>
      <c r="O69" s="1"/>
      <c r="P69" s="1"/>
      <c r="S69" s="2"/>
      <c r="T69" s="2"/>
      <c r="U69" s="2"/>
      <c r="V69" s="1"/>
      <c r="X69" s="1"/>
    </row>
    <row r="70" spans="2:24" x14ac:dyDescent="0.25">
      <c r="B70" s="3"/>
      <c r="D70" s="1"/>
      <c r="E70" s="1"/>
      <c r="H70" s="2"/>
      <c r="I70" s="2"/>
      <c r="J70" s="2"/>
      <c r="K70" s="1"/>
      <c r="M70" s="1"/>
      <c r="O70" s="1"/>
      <c r="P70" s="1"/>
      <c r="S70" s="2"/>
      <c r="T70" s="2"/>
      <c r="U70" s="2"/>
      <c r="V70" s="1"/>
      <c r="X70" s="1"/>
    </row>
    <row r="71" spans="2:24" x14ac:dyDescent="0.25">
      <c r="B71" s="3"/>
      <c r="D71" s="1"/>
      <c r="E71" s="1"/>
      <c r="H71" s="2"/>
      <c r="I71" s="2"/>
      <c r="J71" s="2"/>
      <c r="K71" s="1"/>
      <c r="M71" s="1"/>
      <c r="O71" s="1"/>
      <c r="P71" s="1"/>
      <c r="S71" s="2"/>
      <c r="T71" s="2"/>
      <c r="U71" s="2"/>
      <c r="V71" s="1"/>
      <c r="X71" s="1"/>
    </row>
    <row r="72" spans="2:24" x14ac:dyDescent="0.25">
      <c r="B72" s="3"/>
      <c r="D72" s="1"/>
      <c r="E72" s="1"/>
      <c r="H72" s="2"/>
      <c r="I72" s="2"/>
      <c r="J72" s="2"/>
      <c r="K72" s="1"/>
      <c r="M72" s="1"/>
      <c r="O72" s="1"/>
      <c r="P72" s="1"/>
      <c r="S72" s="2"/>
      <c r="T72" s="2"/>
      <c r="U72" s="2"/>
      <c r="V72" s="1"/>
      <c r="X72" s="1"/>
    </row>
  </sheetData>
  <pageMargins left="0.7" right="0.7" top="0.75" bottom="0.75" header="0.3" footer="0.3"/>
  <pageSetup scale="70" orientation="portrait" horizontalDpi="0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BB83-4D2D-47DC-AD21-341B0B637516}">
  <dimension ref="B3:K37"/>
  <sheetViews>
    <sheetView topLeftCell="A7" workbookViewId="0">
      <selection activeCell="H26" sqref="H26"/>
    </sheetView>
  </sheetViews>
  <sheetFormatPr defaultRowHeight="15" x14ac:dyDescent="0.25"/>
  <cols>
    <col min="1" max="1" width="9.140625" style="27"/>
    <col min="2" max="2" width="3" style="27" customWidth="1"/>
    <col min="3" max="3" width="3.5703125" style="27" customWidth="1"/>
    <col min="4" max="4" width="3" style="27" customWidth="1"/>
    <col min="5" max="5" width="6.140625" style="27" customWidth="1"/>
    <col min="6" max="6" width="9.42578125" style="27" customWidth="1"/>
    <col min="7" max="7" width="3" style="27" customWidth="1"/>
    <col min="8" max="8" width="11.5703125" style="27" bestFit="1" customWidth="1"/>
    <col min="9" max="9" width="3" style="27" customWidth="1"/>
    <col min="10" max="10" width="11.85546875" style="27" customWidth="1"/>
    <col min="11" max="11" width="3" style="27" customWidth="1"/>
    <col min="12" max="16384" width="9.140625" style="27"/>
  </cols>
  <sheetData>
    <row r="3" spans="2:11" x14ac:dyDescent="0.25">
      <c r="C3" s="27" t="s">
        <v>84</v>
      </c>
    </row>
    <row r="5" spans="2:11" ht="9.75" customHeight="1" x14ac:dyDescent="0.25">
      <c r="B5" s="43"/>
      <c r="C5" s="42"/>
      <c r="D5" s="42"/>
      <c r="E5" s="42"/>
      <c r="F5" s="42"/>
      <c r="G5" s="42"/>
      <c r="H5" s="42"/>
      <c r="I5" s="42"/>
      <c r="J5" s="42"/>
      <c r="K5" s="41"/>
    </row>
    <row r="6" spans="2:11" x14ac:dyDescent="0.25">
      <c r="B6" s="36"/>
      <c r="C6" s="30" t="s">
        <v>83</v>
      </c>
      <c r="D6" s="34"/>
      <c r="E6" s="30" t="s">
        <v>3</v>
      </c>
      <c r="F6" s="30"/>
      <c r="G6" s="34"/>
      <c r="H6" s="30" t="s">
        <v>82</v>
      </c>
      <c r="I6" s="34"/>
      <c r="J6" s="30" t="s">
        <v>81</v>
      </c>
      <c r="K6" s="32"/>
    </row>
    <row r="7" spans="2:11" ht="9.75" customHeight="1" x14ac:dyDescent="0.25">
      <c r="B7" s="36"/>
      <c r="C7" s="34"/>
      <c r="D7" s="34"/>
      <c r="E7" s="34"/>
      <c r="F7" s="34"/>
      <c r="G7" s="34"/>
      <c r="H7" s="34"/>
      <c r="I7" s="34"/>
      <c r="J7" s="34"/>
      <c r="K7" s="32"/>
    </row>
    <row r="8" spans="2:11" x14ac:dyDescent="0.25">
      <c r="B8" s="36"/>
      <c r="C8" s="35">
        <f t="shared" ref="C8:C21" ca="1" si="0">+MAX(OFFSET($C$7,0,0,ROW($C8)-ROW($C$7),1))+1</f>
        <v>1</v>
      </c>
      <c r="D8" s="34"/>
      <c r="E8" s="34">
        <v>2018</v>
      </c>
      <c r="F8" s="34" t="s">
        <v>70</v>
      </c>
      <c r="G8" s="34"/>
      <c r="H8" s="37">
        <f>+'[61]Reversal Summary'!$J$9/12</f>
        <v>-1959742.5410228337</v>
      </c>
      <c r="I8" s="34"/>
      <c r="J8" s="33">
        <f>+'[61]Reversal Summary'!$J$16/12</f>
        <v>-522671.61814383342</v>
      </c>
      <c r="K8" s="32"/>
    </row>
    <row r="9" spans="2:11" x14ac:dyDescent="0.25">
      <c r="B9" s="36"/>
      <c r="C9" s="35">
        <f t="shared" ca="1" si="0"/>
        <v>2</v>
      </c>
      <c r="D9" s="34"/>
      <c r="E9" s="34"/>
      <c r="F9" s="34" t="s">
        <v>69</v>
      </c>
      <c r="G9" s="34"/>
      <c r="H9" s="37">
        <f t="shared" ref="H9:H19" si="1">+H8</f>
        <v>-1959742.5410228337</v>
      </c>
      <c r="I9" s="34"/>
      <c r="J9" s="33">
        <f t="shared" ref="J9:J19" si="2">+J8</f>
        <v>-522671.61814383342</v>
      </c>
      <c r="K9" s="32"/>
    </row>
    <row r="10" spans="2:11" x14ac:dyDescent="0.25">
      <c r="B10" s="36"/>
      <c r="C10" s="35">
        <f t="shared" ca="1" si="0"/>
        <v>3</v>
      </c>
      <c r="D10" s="34"/>
      <c r="E10" s="34"/>
      <c r="F10" s="34" t="s">
        <v>80</v>
      </c>
      <c r="G10" s="34"/>
      <c r="H10" s="37">
        <f t="shared" si="1"/>
        <v>-1959742.5410228337</v>
      </c>
      <c r="I10" s="34"/>
      <c r="J10" s="33">
        <f t="shared" si="2"/>
        <v>-522671.61814383342</v>
      </c>
      <c r="K10" s="32"/>
    </row>
    <row r="11" spans="2:11" x14ac:dyDescent="0.25">
      <c r="B11" s="36"/>
      <c r="C11" s="35">
        <f t="shared" ca="1" si="0"/>
        <v>4</v>
      </c>
      <c r="D11" s="34"/>
      <c r="E11" s="34"/>
      <c r="F11" s="34" t="s">
        <v>79</v>
      </c>
      <c r="G11" s="34"/>
      <c r="H11" s="37">
        <f t="shared" si="1"/>
        <v>-1959742.5410228337</v>
      </c>
      <c r="I11" s="34"/>
      <c r="J11" s="33">
        <f t="shared" si="2"/>
        <v>-522671.61814383342</v>
      </c>
      <c r="K11" s="32"/>
    </row>
    <row r="12" spans="2:11" x14ac:dyDescent="0.25">
      <c r="B12" s="36"/>
      <c r="C12" s="35">
        <f t="shared" ca="1" si="0"/>
        <v>5</v>
      </c>
      <c r="D12" s="34"/>
      <c r="E12" s="34"/>
      <c r="F12" s="34" t="s">
        <v>78</v>
      </c>
      <c r="G12" s="34"/>
      <c r="H12" s="37">
        <f t="shared" si="1"/>
        <v>-1959742.5410228337</v>
      </c>
      <c r="I12" s="34"/>
      <c r="J12" s="33">
        <f t="shared" si="2"/>
        <v>-522671.61814383342</v>
      </c>
      <c r="K12" s="32"/>
    </row>
    <row r="13" spans="2:11" x14ac:dyDescent="0.25">
      <c r="B13" s="36"/>
      <c r="C13" s="35">
        <f t="shared" ca="1" si="0"/>
        <v>6</v>
      </c>
      <c r="D13" s="34"/>
      <c r="E13" s="34"/>
      <c r="F13" s="34" t="s">
        <v>77</v>
      </c>
      <c r="G13" s="34"/>
      <c r="H13" s="37">
        <f t="shared" si="1"/>
        <v>-1959742.5410228337</v>
      </c>
      <c r="I13" s="34"/>
      <c r="J13" s="33">
        <f t="shared" si="2"/>
        <v>-522671.61814383342</v>
      </c>
      <c r="K13" s="32"/>
    </row>
    <row r="14" spans="2:11" x14ac:dyDescent="0.25">
      <c r="B14" s="36"/>
      <c r="C14" s="35">
        <f t="shared" ca="1" si="0"/>
        <v>7</v>
      </c>
      <c r="D14" s="34"/>
      <c r="E14" s="34"/>
      <c r="F14" s="34" t="s">
        <v>76</v>
      </c>
      <c r="G14" s="34"/>
      <c r="H14" s="37">
        <f t="shared" si="1"/>
        <v>-1959742.5410228337</v>
      </c>
      <c r="I14" s="34"/>
      <c r="J14" s="33">
        <f t="shared" si="2"/>
        <v>-522671.61814383342</v>
      </c>
      <c r="K14" s="32"/>
    </row>
    <row r="15" spans="2:11" x14ac:dyDescent="0.25">
      <c r="B15" s="36"/>
      <c r="C15" s="35">
        <f t="shared" ca="1" si="0"/>
        <v>8</v>
      </c>
      <c r="D15" s="34"/>
      <c r="E15" s="34"/>
      <c r="F15" s="34" t="s">
        <v>75</v>
      </c>
      <c r="G15" s="34"/>
      <c r="H15" s="37">
        <f t="shared" si="1"/>
        <v>-1959742.5410228337</v>
      </c>
      <c r="I15" s="34"/>
      <c r="J15" s="33">
        <f t="shared" si="2"/>
        <v>-522671.61814383342</v>
      </c>
      <c r="K15" s="32"/>
    </row>
    <row r="16" spans="2:11" x14ac:dyDescent="0.25">
      <c r="B16" s="36"/>
      <c r="C16" s="35">
        <f t="shared" ca="1" si="0"/>
        <v>9</v>
      </c>
      <c r="D16" s="34"/>
      <c r="E16" s="34"/>
      <c r="F16" s="34" t="s">
        <v>74</v>
      </c>
      <c r="G16" s="34"/>
      <c r="H16" s="37">
        <f t="shared" si="1"/>
        <v>-1959742.5410228337</v>
      </c>
      <c r="I16" s="34"/>
      <c r="J16" s="33">
        <f t="shared" si="2"/>
        <v>-522671.61814383342</v>
      </c>
      <c r="K16" s="32"/>
    </row>
    <row r="17" spans="2:11" x14ac:dyDescent="0.25">
      <c r="B17" s="36"/>
      <c r="C17" s="35">
        <f t="shared" ca="1" si="0"/>
        <v>10</v>
      </c>
      <c r="D17" s="34"/>
      <c r="E17" s="34"/>
      <c r="F17" s="34" t="s">
        <v>73</v>
      </c>
      <c r="G17" s="34"/>
      <c r="H17" s="37">
        <f t="shared" si="1"/>
        <v>-1959742.5410228337</v>
      </c>
      <c r="I17" s="34"/>
      <c r="J17" s="33">
        <f t="shared" si="2"/>
        <v>-522671.61814383342</v>
      </c>
      <c r="K17" s="32"/>
    </row>
    <row r="18" spans="2:11" x14ac:dyDescent="0.25">
      <c r="B18" s="36"/>
      <c r="C18" s="35">
        <f t="shared" ca="1" si="0"/>
        <v>11</v>
      </c>
      <c r="D18" s="34"/>
      <c r="E18" s="34"/>
      <c r="F18" s="34" t="s">
        <v>72</v>
      </c>
      <c r="G18" s="34"/>
      <c r="H18" s="37">
        <f t="shared" si="1"/>
        <v>-1959742.5410228337</v>
      </c>
      <c r="I18" s="34"/>
      <c r="J18" s="33">
        <f t="shared" si="2"/>
        <v>-522671.61814383342</v>
      </c>
      <c r="K18" s="32"/>
    </row>
    <row r="19" spans="2:11" x14ac:dyDescent="0.25">
      <c r="B19" s="36"/>
      <c r="C19" s="35">
        <f t="shared" ca="1" si="0"/>
        <v>12</v>
      </c>
      <c r="D19" s="34"/>
      <c r="E19" s="34"/>
      <c r="F19" s="34" t="s">
        <v>71</v>
      </c>
      <c r="G19" s="34"/>
      <c r="H19" s="37">
        <f t="shared" si="1"/>
        <v>-1959742.5410228337</v>
      </c>
      <c r="I19" s="34"/>
      <c r="J19" s="33">
        <f t="shared" si="2"/>
        <v>-522671.61814383342</v>
      </c>
      <c r="K19" s="32"/>
    </row>
    <row r="20" spans="2:11" x14ac:dyDescent="0.25">
      <c r="B20" s="36"/>
      <c r="C20" s="35">
        <f t="shared" ca="1" si="0"/>
        <v>13</v>
      </c>
      <c r="D20" s="34"/>
      <c r="E20" s="34">
        <v>2019</v>
      </c>
      <c r="F20" s="34" t="s">
        <v>70</v>
      </c>
      <c r="G20" s="34"/>
      <c r="H20" s="37">
        <f>+'[61]Reversal Summary'!$J$10/12</f>
        <v>-1758845.1965423336</v>
      </c>
      <c r="I20" s="34"/>
      <c r="J20" s="33">
        <f>+'[61]Reversal Summary'!$J$17/12</f>
        <v>-398844.80595766666</v>
      </c>
      <c r="K20" s="32"/>
    </row>
    <row r="21" spans="2:11" x14ac:dyDescent="0.25">
      <c r="B21" s="36"/>
      <c r="C21" s="35">
        <f t="shared" ca="1" si="0"/>
        <v>14</v>
      </c>
      <c r="D21" s="34"/>
      <c r="E21" s="34"/>
      <c r="F21" s="34" t="s">
        <v>69</v>
      </c>
      <c r="G21" s="34"/>
      <c r="H21" s="40">
        <f>+H20</f>
        <v>-1758845.1965423336</v>
      </c>
      <c r="I21" s="34"/>
      <c r="J21" s="39">
        <f>+J20</f>
        <v>-398844.80595766666</v>
      </c>
      <c r="K21" s="32"/>
    </row>
    <row r="22" spans="2:11" ht="9.75" customHeight="1" x14ac:dyDescent="0.25">
      <c r="B22" s="36"/>
      <c r="C22" s="34"/>
      <c r="D22" s="34"/>
      <c r="E22" s="34"/>
      <c r="F22" s="34"/>
      <c r="G22" s="34"/>
      <c r="H22" s="34"/>
      <c r="I22" s="34"/>
      <c r="J22" s="34"/>
      <c r="K22" s="32"/>
    </row>
    <row r="23" spans="2:11" x14ac:dyDescent="0.25">
      <c r="B23" s="36"/>
      <c r="C23" s="35">
        <f ca="1">+MAX(OFFSET($C$7,0,0,ROW($C23)-ROW($C$7),1))+1</f>
        <v>15</v>
      </c>
      <c r="D23" s="34"/>
      <c r="E23" s="34" t="s">
        <v>68</v>
      </c>
      <c r="F23" s="34"/>
      <c r="G23" s="34"/>
      <c r="H23" s="34"/>
      <c r="I23" s="34"/>
      <c r="J23" s="34"/>
      <c r="K23" s="32"/>
    </row>
    <row r="24" spans="2:11" x14ac:dyDescent="0.25">
      <c r="B24" s="36"/>
      <c r="C24" s="34"/>
      <c r="D24" s="34"/>
      <c r="E24" s="38" t="s">
        <v>67</v>
      </c>
      <c r="F24" s="34"/>
      <c r="G24" s="34"/>
      <c r="H24" s="37">
        <f>+SUM(H8:H21)</f>
        <v>-27034600.885358673</v>
      </c>
      <c r="I24" s="34"/>
      <c r="J24" s="37">
        <f>+SUM(J8:J21)</f>
        <v>-7069749.029641333</v>
      </c>
      <c r="K24" s="32"/>
    </row>
    <row r="25" spans="2:11" ht="9.75" customHeight="1" x14ac:dyDescent="0.25">
      <c r="B25" s="36"/>
      <c r="C25" s="34"/>
      <c r="D25" s="34"/>
      <c r="E25" s="34"/>
      <c r="F25" s="34"/>
      <c r="G25" s="34"/>
      <c r="H25" s="34"/>
      <c r="I25" s="34"/>
      <c r="J25" s="34"/>
      <c r="K25" s="32"/>
    </row>
    <row r="26" spans="2:11" x14ac:dyDescent="0.25">
      <c r="B26" s="36"/>
      <c r="C26" s="35">
        <f ca="1">+MAX(OFFSET($C$7,0,0,ROW($C26)-ROW($C$7),1))+1</f>
        <v>16</v>
      </c>
      <c r="D26" s="34"/>
      <c r="E26" s="34" t="s">
        <v>66</v>
      </c>
      <c r="F26" s="34"/>
      <c r="G26" s="34"/>
      <c r="H26" s="33">
        <f>+H24/4</f>
        <v>-6758650.2213396681</v>
      </c>
      <c r="I26" s="34"/>
      <c r="J26" s="33">
        <f>+J24/4</f>
        <v>-1767437.2574103333</v>
      </c>
      <c r="K26" s="32"/>
    </row>
    <row r="27" spans="2:11" ht="9.75" customHeight="1" x14ac:dyDescent="0.25">
      <c r="B27" s="36"/>
      <c r="C27" s="34"/>
      <c r="D27" s="34"/>
      <c r="E27" s="34"/>
      <c r="F27" s="34"/>
      <c r="G27" s="34"/>
      <c r="H27" s="34"/>
      <c r="I27" s="34"/>
      <c r="J27" s="34"/>
      <c r="K27" s="32"/>
    </row>
    <row r="28" spans="2:11" x14ac:dyDescent="0.25">
      <c r="B28" s="36"/>
      <c r="C28" s="35">
        <f ca="1">+MAX(OFFSET($C$7,0,0,ROW($C28)-ROW($C$7),1))+1</f>
        <v>17</v>
      </c>
      <c r="D28" s="34"/>
      <c r="E28" s="34" t="s">
        <v>65</v>
      </c>
      <c r="F28" s="34"/>
      <c r="G28" s="34"/>
      <c r="H28" s="34"/>
      <c r="I28" s="34"/>
      <c r="J28" s="34"/>
      <c r="K28" s="32"/>
    </row>
    <row r="29" spans="2:11" x14ac:dyDescent="0.25">
      <c r="B29" s="36"/>
      <c r="C29" s="35">
        <f ca="1">+MAX(OFFSET($C$7,0,0,ROW($C29)-ROW($C$7),1))+1</f>
        <v>18</v>
      </c>
      <c r="D29" s="34"/>
      <c r="E29" s="34"/>
      <c r="F29" s="34" t="s">
        <v>64</v>
      </c>
      <c r="G29" s="34"/>
      <c r="H29" s="33">
        <f>-H26/2</f>
        <v>3379325.1106698341</v>
      </c>
      <c r="I29" s="34"/>
      <c r="J29" s="33">
        <f>-J26/2</f>
        <v>883718.62870516663</v>
      </c>
      <c r="K29" s="32"/>
    </row>
    <row r="30" spans="2:11" x14ac:dyDescent="0.25">
      <c r="B30" s="36"/>
      <c r="C30" s="35">
        <f ca="1">+MAX(OFFSET($C$7,0,0,ROW($C30)-ROW($C$7),1))+1</f>
        <v>19</v>
      </c>
      <c r="D30" s="34"/>
      <c r="E30" s="34"/>
      <c r="F30" s="34" t="s">
        <v>63</v>
      </c>
      <c r="G30" s="34"/>
      <c r="H30" s="33">
        <f>+H29-H$26</f>
        <v>10137975.332009502</v>
      </c>
      <c r="I30" s="34"/>
      <c r="J30" s="33">
        <f>+J29-J$26</f>
        <v>2651155.8861154998</v>
      </c>
      <c r="K30" s="32"/>
    </row>
    <row r="31" spans="2:11" x14ac:dyDescent="0.25">
      <c r="B31" s="36"/>
      <c r="C31" s="35">
        <f ca="1">+MAX(OFFSET($C$7,0,0,ROW($C31)-ROW($C$7),1))+1</f>
        <v>20</v>
      </c>
      <c r="D31" s="34"/>
      <c r="E31" s="34"/>
      <c r="F31" s="34" t="s">
        <v>62</v>
      </c>
      <c r="G31" s="34"/>
      <c r="H31" s="33">
        <f>+H30-H$26</f>
        <v>16896625.553349171</v>
      </c>
      <c r="I31" s="34"/>
      <c r="J31" s="33">
        <f>+J30-J$26</f>
        <v>4418593.1435258333</v>
      </c>
      <c r="K31" s="32"/>
    </row>
    <row r="32" spans="2:11" x14ac:dyDescent="0.25">
      <c r="B32" s="36"/>
      <c r="C32" s="35">
        <f ca="1">+MAX(OFFSET($C$7,0,0,ROW($C32)-ROW($C$7),1))+1</f>
        <v>21</v>
      </c>
      <c r="D32" s="34"/>
      <c r="E32" s="34"/>
      <c r="F32" s="34" t="s">
        <v>61</v>
      </c>
      <c r="G32" s="34"/>
      <c r="H32" s="33">
        <f>+H31-H$26</f>
        <v>23655275.77468884</v>
      </c>
      <c r="I32" s="34"/>
      <c r="J32" s="33">
        <f>+J31-J$26</f>
        <v>6186030.4009361668</v>
      </c>
      <c r="K32" s="32"/>
    </row>
    <row r="33" spans="2:11" ht="9.75" customHeight="1" x14ac:dyDescent="0.25">
      <c r="B33" s="31"/>
      <c r="C33" s="30"/>
      <c r="D33" s="30"/>
      <c r="E33" s="30"/>
      <c r="F33" s="30"/>
      <c r="G33" s="30"/>
      <c r="H33" s="30"/>
      <c r="I33" s="30"/>
      <c r="J33" s="30"/>
      <c r="K33" s="29"/>
    </row>
    <row r="37" spans="2:11" ht="15.75" x14ac:dyDescent="0.25">
      <c r="E37" s="27" t="s">
        <v>60</v>
      </c>
      <c r="H37" s="28">
        <v>23516910</v>
      </c>
      <c r="J37" s="28">
        <v>6272059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3E2B-79F9-4924-BD1A-7DF161DE5F19}">
  <dimension ref="B5:K35"/>
  <sheetViews>
    <sheetView workbookViewId="0"/>
  </sheetViews>
  <sheetFormatPr defaultRowHeight="15" x14ac:dyDescent="0.25"/>
  <cols>
    <col min="2" max="4" width="2.28515625" customWidth="1"/>
    <col min="5" max="5" width="17.28515625" customWidth="1"/>
    <col min="6" max="6" width="2.28515625" customWidth="1"/>
    <col min="7" max="7" width="12.5703125" bestFit="1" customWidth="1"/>
    <col min="8" max="10" width="12.28515625" bestFit="1" customWidth="1"/>
    <col min="11" max="11" width="2.28515625" customWidth="1"/>
  </cols>
  <sheetData>
    <row r="5" spans="2:11" ht="9.75" customHeight="1" x14ac:dyDescent="0.25">
      <c r="B5" s="43"/>
      <c r="C5" s="42"/>
      <c r="D5" s="42"/>
      <c r="E5" s="42"/>
      <c r="F5" s="42"/>
      <c r="G5" s="42"/>
      <c r="H5" s="42"/>
      <c r="I5" s="42"/>
      <c r="J5" s="42"/>
      <c r="K5" s="41"/>
    </row>
    <row r="6" spans="2:11" x14ac:dyDescent="0.25">
      <c r="B6" s="36"/>
      <c r="C6" s="45"/>
      <c r="D6" s="45"/>
      <c r="E6" s="45"/>
      <c r="F6" s="45"/>
      <c r="G6" s="46">
        <v>2018</v>
      </c>
      <c r="H6" s="46">
        <v>2019</v>
      </c>
      <c r="I6" s="46">
        <v>2020</v>
      </c>
      <c r="J6" s="46">
        <v>2021</v>
      </c>
      <c r="K6" s="32"/>
    </row>
    <row r="7" spans="2:11" x14ac:dyDescent="0.25">
      <c r="B7" s="36"/>
      <c r="C7" s="47" t="s">
        <v>7</v>
      </c>
      <c r="D7" s="45"/>
      <c r="E7" s="45"/>
      <c r="F7" s="45"/>
      <c r="G7" s="45"/>
      <c r="H7" s="45"/>
      <c r="I7" s="45"/>
      <c r="J7" s="45"/>
      <c r="K7" s="32"/>
    </row>
    <row r="8" spans="2:11" ht="9.75" customHeight="1" x14ac:dyDescent="0.25">
      <c r="B8" s="36"/>
      <c r="C8" s="45"/>
      <c r="D8" s="45"/>
      <c r="E8" s="45"/>
      <c r="F8" s="45"/>
      <c r="G8" s="48"/>
      <c r="H8" s="48"/>
      <c r="I8" s="48"/>
      <c r="J8" s="48"/>
      <c r="K8" s="32"/>
    </row>
    <row r="9" spans="2:11" x14ac:dyDescent="0.25">
      <c r="B9" s="36"/>
      <c r="C9" s="45"/>
      <c r="D9" s="45" t="s">
        <v>85</v>
      </c>
      <c r="E9" s="45"/>
      <c r="F9" s="45"/>
      <c r="G9" s="48">
        <f t="array" ref="G9:J9">+TRANSPOSE('Exh BGM-7 ARAM'!E7:E10)</f>
        <v>-23516910.492274005</v>
      </c>
      <c r="H9" s="48">
        <v>-44623052.850782007</v>
      </c>
      <c r="I9" s="48">
        <v>-67019568.17569001</v>
      </c>
      <c r="J9" s="48">
        <v>-89245504.149460003</v>
      </c>
      <c r="K9" s="32"/>
    </row>
    <row r="10" spans="2:11" ht="9.75" customHeight="1" x14ac:dyDescent="0.25">
      <c r="B10" s="36"/>
      <c r="C10" s="45"/>
      <c r="D10" s="45"/>
      <c r="E10" s="45"/>
      <c r="F10" s="45"/>
      <c r="G10" s="45"/>
      <c r="H10" s="45"/>
      <c r="I10" s="45"/>
      <c r="J10" s="45"/>
      <c r="K10" s="32"/>
    </row>
    <row r="11" spans="2:11" x14ac:dyDescent="0.25">
      <c r="B11" s="36"/>
      <c r="C11" s="45"/>
      <c r="D11" s="45" t="s">
        <v>86</v>
      </c>
      <c r="E11" s="45"/>
      <c r="F11" s="45"/>
      <c r="G11" s="45"/>
      <c r="H11" s="45"/>
      <c r="I11" s="45"/>
      <c r="J11" s="45"/>
      <c r="K11" s="32"/>
    </row>
    <row r="12" spans="2:11" x14ac:dyDescent="0.25">
      <c r="B12" s="36"/>
      <c r="C12" s="45"/>
      <c r="D12" s="45"/>
      <c r="E12" s="45" t="s">
        <v>92</v>
      </c>
      <c r="F12" s="45"/>
      <c r="G12" s="48">
        <f t="array" ref="G12:J14">+TRANSPOSE('Exh BGM-7 ARAM'!G7:I10)</f>
        <v>0</v>
      </c>
      <c r="H12" s="48">
        <v>-18107774.121897522</v>
      </c>
      <c r="I12" s="48">
        <v>-11097970.719930666</v>
      </c>
      <c r="J12" s="48">
        <v>0</v>
      </c>
      <c r="K12" s="32"/>
    </row>
    <row r="13" spans="2:11" x14ac:dyDescent="0.25">
      <c r="B13" s="36"/>
      <c r="C13" s="45"/>
      <c r="D13" s="45"/>
      <c r="E13" s="45" t="s">
        <v>1</v>
      </c>
      <c r="F13" s="45"/>
      <c r="G13" s="48">
        <v>0</v>
      </c>
      <c r="H13" s="48">
        <v>0</v>
      </c>
      <c r="I13" s="48">
        <v>-14413590.301716324</v>
      </c>
      <c r="J13" s="48">
        <v>-23516910.492274005</v>
      </c>
      <c r="K13" s="32"/>
    </row>
    <row r="14" spans="2:11" x14ac:dyDescent="0.25">
      <c r="B14" s="36"/>
      <c r="C14" s="45"/>
      <c r="D14" s="45"/>
      <c r="E14" s="45" t="s">
        <v>87</v>
      </c>
      <c r="F14" s="45"/>
      <c r="G14" s="39">
        <v>0</v>
      </c>
      <c r="H14" s="39">
        <v>0</v>
      </c>
      <c r="I14" s="39">
        <v>-4142398.5227565705</v>
      </c>
      <c r="J14" s="39">
        <v>-6758650.22133967</v>
      </c>
      <c r="K14" s="32"/>
    </row>
    <row r="15" spans="2:11" x14ac:dyDescent="0.25">
      <c r="B15" s="36"/>
      <c r="C15" s="45"/>
      <c r="D15" s="45"/>
      <c r="E15" s="45" t="s">
        <v>4</v>
      </c>
      <c r="F15" s="45"/>
      <c r="G15" s="48">
        <f>+SUM(G12:G14)</f>
        <v>0</v>
      </c>
      <c r="H15" s="48">
        <f>+SUM(H12:H14)</f>
        <v>-18107774.121897522</v>
      </c>
      <c r="I15" s="48">
        <f>+SUM(I12:I14)</f>
        <v>-29653959.54440356</v>
      </c>
      <c r="J15" s="48">
        <f>+SUM(J12:J14)</f>
        <v>-30275560.713613674</v>
      </c>
      <c r="K15" s="32"/>
    </row>
    <row r="16" spans="2:11" ht="9.75" customHeight="1" x14ac:dyDescent="0.25">
      <c r="B16" s="36"/>
      <c r="C16" s="45"/>
      <c r="D16" s="45"/>
      <c r="E16" s="45"/>
      <c r="F16" s="45"/>
      <c r="G16" s="48"/>
      <c r="H16" s="48"/>
      <c r="I16" s="45"/>
      <c r="J16" s="45"/>
      <c r="K16" s="32"/>
    </row>
    <row r="17" spans="2:11" x14ac:dyDescent="0.25">
      <c r="B17" s="36"/>
      <c r="C17" s="45"/>
      <c r="D17" s="45"/>
      <c r="E17" s="45" t="s">
        <v>89</v>
      </c>
      <c r="F17" s="45"/>
      <c r="G17" s="48">
        <f>+G15</f>
        <v>0</v>
      </c>
      <c r="H17" s="48">
        <f>+H15+G17</f>
        <v>-18107774.121897522</v>
      </c>
      <c r="I17" s="48">
        <f t="shared" ref="I17:J17" si="0">+I15+H17</f>
        <v>-47761733.666301087</v>
      </c>
      <c r="J17" s="48">
        <f t="shared" si="0"/>
        <v>-78037294.379914761</v>
      </c>
      <c r="K17" s="32"/>
    </row>
    <row r="18" spans="2:11" ht="9.75" customHeight="1" x14ac:dyDescent="0.25">
      <c r="B18" s="36"/>
      <c r="C18" s="45"/>
      <c r="D18" s="45"/>
      <c r="E18" s="45"/>
      <c r="F18" s="45"/>
      <c r="G18" s="45"/>
      <c r="H18" s="45"/>
      <c r="I18" s="45"/>
      <c r="J18" s="45"/>
      <c r="K18" s="32"/>
    </row>
    <row r="19" spans="2:11" x14ac:dyDescent="0.25">
      <c r="B19" s="36"/>
      <c r="C19" s="45"/>
      <c r="D19" s="45" t="s">
        <v>90</v>
      </c>
      <c r="E19" s="45"/>
      <c r="F19" s="45"/>
      <c r="G19" s="48">
        <f>+G17-G9</f>
        <v>23516910.492274005</v>
      </c>
      <c r="H19" s="48">
        <f>+H17-H9</f>
        <v>26515278.728884485</v>
      </c>
      <c r="I19" s="48">
        <f>+I17-I9</f>
        <v>19257834.509388924</v>
      </c>
      <c r="J19" s="48">
        <f>+J17-J9</f>
        <v>11208209.769545242</v>
      </c>
      <c r="K19" s="32"/>
    </row>
    <row r="20" spans="2:11" ht="9.75" customHeight="1" x14ac:dyDescent="0.25">
      <c r="B20" s="36"/>
      <c r="C20" s="45"/>
      <c r="D20" s="45"/>
      <c r="E20" s="45"/>
      <c r="F20" s="45"/>
      <c r="G20" s="45"/>
      <c r="H20" s="45"/>
      <c r="I20" s="45"/>
      <c r="J20" s="45"/>
      <c r="K20" s="32"/>
    </row>
    <row r="21" spans="2:11" x14ac:dyDescent="0.25">
      <c r="B21" s="36"/>
      <c r="C21" s="45"/>
      <c r="D21" s="45"/>
      <c r="E21" s="45"/>
      <c r="F21" s="45"/>
      <c r="G21" s="45"/>
      <c r="H21" s="45"/>
      <c r="I21" s="45"/>
      <c r="J21" s="45"/>
      <c r="K21" s="32"/>
    </row>
    <row r="22" spans="2:11" x14ac:dyDescent="0.25">
      <c r="B22" s="36"/>
      <c r="C22" s="47" t="s">
        <v>91</v>
      </c>
      <c r="D22" s="45"/>
      <c r="E22" s="45"/>
      <c r="F22" s="45"/>
      <c r="G22" s="45"/>
      <c r="H22" s="45"/>
      <c r="I22" s="45"/>
      <c r="J22" s="45"/>
      <c r="K22" s="32"/>
    </row>
    <row r="23" spans="2:11" ht="9.75" customHeight="1" x14ac:dyDescent="0.25">
      <c r="B23" s="36"/>
      <c r="C23" s="45"/>
      <c r="D23" s="45"/>
      <c r="E23" s="45"/>
      <c r="F23" s="45"/>
      <c r="G23" s="45"/>
      <c r="H23" s="45"/>
      <c r="I23" s="45"/>
      <c r="J23" s="45"/>
      <c r="K23" s="32"/>
    </row>
    <row r="24" spans="2:11" x14ac:dyDescent="0.25">
      <c r="B24" s="36"/>
      <c r="C24" s="45"/>
      <c r="D24" s="45" t="s">
        <v>85</v>
      </c>
      <c r="E24" s="45"/>
      <c r="F24" s="45"/>
      <c r="G24" s="48">
        <f t="array" ref="G24:J24">+TRANSPOSE('Exh BGM-7 ARAM'!P7:P10)</f>
        <v>-6272059.4177259998</v>
      </c>
      <c r="H24" s="48">
        <v>-11058197.089218</v>
      </c>
      <c r="I24" s="48">
        <v>-16209926.894310001</v>
      </c>
      <c r="J24" s="48">
        <v>-21819309.060540002</v>
      </c>
      <c r="K24" s="32"/>
    </row>
    <row r="25" spans="2:11" ht="9.75" customHeight="1" x14ac:dyDescent="0.25">
      <c r="B25" s="36"/>
      <c r="C25" s="45"/>
      <c r="D25" s="45"/>
      <c r="E25" s="45"/>
      <c r="F25" s="45"/>
      <c r="G25" s="45"/>
      <c r="H25" s="45"/>
      <c r="I25" s="45"/>
      <c r="J25" s="45"/>
      <c r="K25" s="32"/>
    </row>
    <row r="26" spans="2:11" x14ac:dyDescent="0.25">
      <c r="B26" s="36"/>
      <c r="C26" s="45"/>
      <c r="D26" s="45" t="s">
        <v>86</v>
      </c>
      <c r="E26" s="45"/>
      <c r="F26" s="45"/>
      <c r="G26" s="45"/>
      <c r="H26" s="45"/>
      <c r="I26" s="45"/>
      <c r="J26" s="45"/>
      <c r="K26" s="32"/>
    </row>
    <row r="27" spans="2:11" x14ac:dyDescent="0.25">
      <c r="B27" s="36"/>
      <c r="C27" s="45"/>
      <c r="D27" s="45"/>
      <c r="E27" s="45" t="s">
        <v>92</v>
      </c>
      <c r="F27" s="45"/>
      <c r="G27" s="48">
        <f t="array" ref="G27:J29">+TRANSPOSE('Exh BGM-7 ARAM'!R7:T10)</f>
        <v>0</v>
      </c>
      <c r="H27" s="48">
        <v>-4608928.005180357</v>
      </c>
      <c r="I27" s="48">
        <v>-2910254.32</v>
      </c>
      <c r="J27" s="48">
        <v>0</v>
      </c>
      <c r="K27" s="32"/>
    </row>
    <row r="28" spans="2:11" x14ac:dyDescent="0.25">
      <c r="B28" s="36"/>
      <c r="C28" s="45"/>
      <c r="D28" s="45"/>
      <c r="E28" s="45" t="s">
        <v>1</v>
      </c>
      <c r="F28" s="45"/>
      <c r="G28" s="48">
        <v>0</v>
      </c>
      <c r="H28" s="48">
        <v>0</v>
      </c>
      <c r="I28" s="48">
        <v>-3844165.4495740002</v>
      </c>
      <c r="J28" s="48">
        <v>-6272059.4177259998</v>
      </c>
      <c r="K28" s="32"/>
    </row>
    <row r="29" spans="2:11" x14ac:dyDescent="0.25">
      <c r="B29" s="36"/>
      <c r="C29" s="45"/>
      <c r="D29" s="45"/>
      <c r="E29" s="45" t="s">
        <v>87</v>
      </c>
      <c r="F29" s="45"/>
      <c r="G29" s="39">
        <v>0</v>
      </c>
      <c r="H29" s="39">
        <v>0</v>
      </c>
      <c r="I29" s="39">
        <v>-1083267.996477301</v>
      </c>
      <c r="J29" s="39">
        <v>-1767437.2574103337</v>
      </c>
      <c r="K29" s="32"/>
    </row>
    <row r="30" spans="2:11" x14ac:dyDescent="0.25">
      <c r="B30" s="36"/>
      <c r="C30" s="45"/>
      <c r="D30" s="45"/>
      <c r="E30" s="45" t="s">
        <v>4</v>
      </c>
      <c r="F30" s="45"/>
      <c r="G30" s="48">
        <f>+SUM(G27:G29)</f>
        <v>0</v>
      </c>
      <c r="H30" s="48">
        <f>+SUM(H27:H29)</f>
        <v>-4608928.005180357</v>
      </c>
      <c r="I30" s="48">
        <f>+SUM(I27:I29)</f>
        <v>-7837687.7660513008</v>
      </c>
      <c r="J30" s="48">
        <f>+SUM(J27:J29)</f>
        <v>-8039496.6751363333</v>
      </c>
      <c r="K30" s="32"/>
    </row>
    <row r="31" spans="2:11" ht="9.75" customHeight="1" x14ac:dyDescent="0.25">
      <c r="B31" s="36"/>
      <c r="C31" s="45"/>
      <c r="D31" s="45"/>
      <c r="E31" s="45"/>
      <c r="F31" s="45"/>
      <c r="G31" s="48"/>
      <c r="H31" s="48"/>
      <c r="I31" s="45"/>
      <c r="J31" s="45"/>
      <c r="K31" s="32"/>
    </row>
    <row r="32" spans="2:11" x14ac:dyDescent="0.25">
      <c r="B32" s="36"/>
      <c r="C32" s="45"/>
      <c r="D32" s="45"/>
      <c r="E32" s="45" t="s">
        <v>89</v>
      </c>
      <c r="F32" s="45"/>
      <c r="G32" s="48">
        <f>+G30</f>
        <v>0</v>
      </c>
      <c r="H32" s="48">
        <f>+H30+G32</f>
        <v>-4608928.005180357</v>
      </c>
      <c r="I32" s="48">
        <f t="shared" ref="I32:J32" si="1">+I30+H32</f>
        <v>-12446615.771231659</v>
      </c>
      <c r="J32" s="48">
        <f t="shared" si="1"/>
        <v>-20486112.446367994</v>
      </c>
      <c r="K32" s="32"/>
    </row>
    <row r="33" spans="2:11" ht="9.75" customHeight="1" x14ac:dyDescent="0.25">
      <c r="B33" s="36"/>
      <c r="C33" s="45"/>
      <c r="D33" s="45"/>
      <c r="E33" s="45"/>
      <c r="F33" s="45"/>
      <c r="G33" s="45"/>
      <c r="H33" s="45"/>
      <c r="I33" s="45"/>
      <c r="J33" s="45"/>
      <c r="K33" s="32"/>
    </row>
    <row r="34" spans="2:11" x14ac:dyDescent="0.25">
      <c r="B34" s="36"/>
      <c r="C34" s="45"/>
      <c r="D34" s="45" t="s">
        <v>90</v>
      </c>
      <c r="E34" s="45"/>
      <c r="F34" s="45"/>
      <c r="G34" s="48">
        <f>+G32-G24</f>
        <v>6272059.4177259998</v>
      </c>
      <c r="H34" s="48">
        <f>+H32-H24</f>
        <v>6449269.0840376429</v>
      </c>
      <c r="I34" s="48">
        <f>+I32-I24</f>
        <v>3763311.1230783425</v>
      </c>
      <c r="J34" s="48">
        <f>+J32-J24</f>
        <v>1333196.6141720079</v>
      </c>
      <c r="K34" s="32"/>
    </row>
    <row r="35" spans="2:11" ht="9.75" customHeight="1" x14ac:dyDescent="0.25">
      <c r="B35" s="31"/>
      <c r="C35" s="30"/>
      <c r="D35" s="30"/>
      <c r="E35" s="30"/>
      <c r="F35" s="30"/>
      <c r="G35" s="30"/>
      <c r="H35" s="30"/>
      <c r="I35" s="30"/>
      <c r="J35" s="30"/>
      <c r="K35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01D5-1357-40F4-BD67-AC604D296463}">
  <sheetPr>
    <pageSetUpPr fitToPage="1"/>
  </sheetPr>
  <dimension ref="A1:L37"/>
  <sheetViews>
    <sheetView workbookViewId="0">
      <pane ySplit="6" topLeftCell="A7" activePane="bottomLeft" state="frozen"/>
      <selection activeCell="S31" sqref="S31"/>
      <selection pane="bottomLeft" activeCell="A7" sqref="A7"/>
    </sheetView>
  </sheetViews>
  <sheetFormatPr defaultColWidth="9.140625" defaultRowHeight="12.75" x14ac:dyDescent="0.2"/>
  <cols>
    <col min="1" max="1" width="6.5703125" style="4" bestFit="1" customWidth="1"/>
    <col min="2" max="2" width="20.140625" style="4" bestFit="1" customWidth="1"/>
    <col min="3" max="3" width="0.85546875" style="4" customWidth="1"/>
    <col min="4" max="4" width="13.5703125" style="4" bestFit="1" customWidth="1"/>
    <col min="5" max="5" width="14" style="4" bestFit="1" customWidth="1"/>
    <col min="6" max="6" width="14.7109375" style="4" bestFit="1" customWidth="1"/>
    <col min="7" max="7" width="12.28515625" style="4" bestFit="1" customWidth="1"/>
    <col min="8" max="9" width="13.5703125" style="4" bestFit="1" customWidth="1"/>
    <col min="10" max="10" width="11.85546875" style="4" bestFit="1" customWidth="1"/>
    <col min="11" max="11" width="1" style="4" customWidth="1"/>
    <col min="12" max="12" width="12.85546875" style="4" bestFit="1" customWidth="1"/>
    <col min="13" max="16384" width="9.140625" style="4"/>
  </cols>
  <sheetData>
    <row r="1" spans="1:12" ht="15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5" x14ac:dyDescent="0.25">
      <c r="A2" s="59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x14ac:dyDescent="0.25">
      <c r="A3" s="59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x14ac:dyDescent="0.25">
      <c r="A4" s="59" t="s">
        <v>26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x14ac:dyDescent="0.2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14" customFormat="1" ht="25.5" x14ac:dyDescent="0.2">
      <c r="A6" s="19" t="s">
        <v>25</v>
      </c>
      <c r="B6" s="19" t="s">
        <v>24</v>
      </c>
      <c r="C6" s="19"/>
      <c r="D6" s="18">
        <v>43554</v>
      </c>
      <c r="E6" s="18">
        <v>43585</v>
      </c>
      <c r="F6" s="18">
        <v>43616</v>
      </c>
      <c r="G6" s="18">
        <v>43646</v>
      </c>
      <c r="H6" s="18">
        <v>43677</v>
      </c>
      <c r="I6" s="18">
        <v>43708</v>
      </c>
      <c r="J6" s="18">
        <v>43738</v>
      </c>
      <c r="K6" s="18"/>
      <c r="L6" s="17" t="s">
        <v>23</v>
      </c>
    </row>
    <row r="7" spans="1:12" s="14" customFormat="1" x14ac:dyDescent="0.2">
      <c r="A7" s="9">
        <v>1</v>
      </c>
      <c r="B7" s="12" t="s">
        <v>22</v>
      </c>
      <c r="C7" s="12"/>
      <c r="D7" s="16"/>
      <c r="E7" s="16"/>
      <c r="F7" s="16"/>
      <c r="G7" s="16"/>
      <c r="H7" s="16"/>
      <c r="I7" s="16"/>
      <c r="J7" s="16"/>
      <c r="K7" s="16"/>
      <c r="L7" s="15"/>
    </row>
    <row r="8" spans="1:12" x14ac:dyDescent="0.2">
      <c r="A8" s="9">
        <f t="shared" ref="A8:A36" si="0">+A7+1</f>
        <v>2</v>
      </c>
      <c r="B8" s="9">
        <v>7</v>
      </c>
      <c r="C8" s="9"/>
      <c r="D8" s="11">
        <v>-781245.78</v>
      </c>
      <c r="E8" s="11">
        <v>-649470.99</v>
      </c>
      <c r="F8" s="11">
        <v>-1157588.07</v>
      </c>
      <c r="G8" s="11">
        <v>-998988.39</v>
      </c>
      <c r="H8" s="11">
        <v>-985741.5</v>
      </c>
      <c r="I8" s="11">
        <v>-1024013.37</v>
      </c>
      <c r="J8" s="11">
        <v>-1031473.56</v>
      </c>
      <c r="K8" s="11"/>
      <c r="L8" s="10">
        <f>SUM(D8:J8)</f>
        <v>-6628521.6600000001</v>
      </c>
    </row>
    <row r="9" spans="1:12" x14ac:dyDescent="0.2">
      <c r="A9" s="9">
        <f t="shared" si="0"/>
        <v>3</v>
      </c>
      <c r="B9" s="9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9">
        <f t="shared" si="0"/>
        <v>4</v>
      </c>
      <c r="B10" s="12" t="s">
        <v>21</v>
      </c>
      <c r="C10" s="12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">
      <c r="A11" s="9">
        <f t="shared" si="0"/>
        <v>5</v>
      </c>
      <c r="B11" s="13" t="s">
        <v>20</v>
      </c>
      <c r="C11" s="13"/>
      <c r="D11" s="11">
        <v>-293681.44999999995</v>
      </c>
      <c r="E11" s="11">
        <v>-132344.40999999997</v>
      </c>
      <c r="F11" s="11">
        <v>-135903.32</v>
      </c>
      <c r="G11" s="11">
        <v>-231445.91</v>
      </c>
      <c r="H11" s="11">
        <v>-238643.77000000002</v>
      </c>
      <c r="I11" s="11">
        <v>-243479.48</v>
      </c>
      <c r="J11" s="11">
        <v>-248718.42999999996</v>
      </c>
      <c r="K11" s="11"/>
      <c r="L11" s="10">
        <f>SUM(D11:J11)</f>
        <v>-1524216.77</v>
      </c>
    </row>
    <row r="12" spans="1:12" x14ac:dyDescent="0.2">
      <c r="A12" s="9">
        <f t="shared" si="0"/>
        <v>6</v>
      </c>
      <c r="B12" s="13" t="s">
        <v>19</v>
      </c>
      <c r="C12" s="13"/>
      <c r="D12" s="11">
        <v>-10280.15</v>
      </c>
      <c r="E12" s="11">
        <v>-42903.75</v>
      </c>
      <c r="F12" s="11">
        <v>-59815.58</v>
      </c>
      <c r="G12" s="11">
        <v>-170002.63000000003</v>
      </c>
      <c r="H12" s="11">
        <v>-172673.19999999998</v>
      </c>
      <c r="I12" s="11">
        <v>-167930.62000000002</v>
      </c>
      <c r="J12" s="11">
        <v>-90289.26999999999</v>
      </c>
      <c r="K12" s="11"/>
      <c r="L12" s="10">
        <f>SUM(D12:J12)</f>
        <v>-713895.20000000007</v>
      </c>
    </row>
    <row r="13" spans="1:12" x14ac:dyDescent="0.2">
      <c r="A13" s="9">
        <f t="shared" si="0"/>
        <v>7</v>
      </c>
      <c r="B13" s="13" t="s">
        <v>18</v>
      </c>
      <c r="C13" s="13"/>
      <c r="D13" s="11">
        <v>-79611.689999999973</v>
      </c>
      <c r="E13" s="11">
        <v>-12281.140000000001</v>
      </c>
      <c r="F13" s="11">
        <v>-105800.63</v>
      </c>
      <c r="G13" s="11">
        <v>-117730.63</v>
      </c>
      <c r="H13" s="11">
        <v>-110708.86000000002</v>
      </c>
      <c r="I13" s="11">
        <v>-112515.61</v>
      </c>
      <c r="J13" s="11">
        <v>-112437.1</v>
      </c>
      <c r="K13" s="11"/>
      <c r="L13" s="10">
        <f>SUM(D13:J13)</f>
        <v>-651085.65999999992</v>
      </c>
    </row>
    <row r="14" spans="1:12" x14ac:dyDescent="0.2">
      <c r="A14" s="9">
        <f t="shared" si="0"/>
        <v>8</v>
      </c>
      <c r="B14" s="9">
        <v>29</v>
      </c>
      <c r="C14" s="9"/>
      <c r="D14" s="11">
        <v>-130.47999999999999</v>
      </c>
      <c r="E14" s="11">
        <v>-118.81</v>
      </c>
      <c r="F14" s="11">
        <v>-340.63</v>
      </c>
      <c r="G14" s="11">
        <v>-1140.83</v>
      </c>
      <c r="H14" s="11">
        <v>-2054.4699999999998</v>
      </c>
      <c r="I14" s="11">
        <v>-2344.7799999999997</v>
      </c>
      <c r="J14" s="11">
        <v>-1979.18</v>
      </c>
      <c r="K14" s="11"/>
      <c r="L14" s="10">
        <f>SUM(D14:J14)</f>
        <v>-8109.18</v>
      </c>
    </row>
    <row r="15" spans="1:12" x14ac:dyDescent="0.2">
      <c r="A15" s="9">
        <f t="shared" si="0"/>
        <v>9</v>
      </c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">
      <c r="A16" s="9">
        <f t="shared" si="0"/>
        <v>10</v>
      </c>
      <c r="B16" s="12" t="s">
        <v>17</v>
      </c>
      <c r="C16" s="12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">
      <c r="A17" s="9">
        <f t="shared" si="0"/>
        <v>11</v>
      </c>
      <c r="B17" s="9" t="s">
        <v>16</v>
      </c>
      <c r="C17" s="9"/>
      <c r="D17" s="11">
        <v>-56604.609999999993</v>
      </c>
      <c r="E17" s="11">
        <v>-27974.01</v>
      </c>
      <c r="F17" s="11">
        <v>-42118.139999999992</v>
      </c>
      <c r="G17" s="11">
        <v>-81497.78</v>
      </c>
      <c r="H17" s="11">
        <v>-74478.38</v>
      </c>
      <c r="I17" s="11">
        <v>-77457.649999999994</v>
      </c>
      <c r="J17" s="11">
        <v>-80161.73</v>
      </c>
      <c r="K17" s="11"/>
      <c r="L17" s="10">
        <f>SUM(D17:J17)</f>
        <v>-440292.29999999993</v>
      </c>
    </row>
    <row r="18" spans="1:12" x14ac:dyDescent="0.2">
      <c r="A18" s="9">
        <f t="shared" si="0"/>
        <v>12</v>
      </c>
      <c r="B18" s="9">
        <v>35</v>
      </c>
      <c r="C18" s="9"/>
      <c r="D18" s="11">
        <v>-4.59</v>
      </c>
      <c r="E18" s="11">
        <v>0</v>
      </c>
      <c r="F18" s="11">
        <v>-0.16</v>
      </c>
      <c r="G18" s="11">
        <v>-1008.46</v>
      </c>
      <c r="H18" s="11">
        <v>-931.84</v>
      </c>
      <c r="I18" s="11">
        <v>-1083.17</v>
      </c>
      <c r="J18" s="11">
        <v>-0.83</v>
      </c>
      <c r="K18" s="11"/>
      <c r="L18" s="10">
        <f>SUM(D18:J18)</f>
        <v>-3029.05</v>
      </c>
    </row>
    <row r="19" spans="1:12" x14ac:dyDescent="0.2">
      <c r="A19" s="9">
        <f t="shared" si="0"/>
        <v>13</v>
      </c>
      <c r="B19" s="9">
        <v>43</v>
      </c>
      <c r="C19" s="9"/>
      <c r="D19" s="11">
        <v>-121.08</v>
      </c>
      <c r="E19" s="11">
        <v>-130.81</v>
      </c>
      <c r="F19" s="11">
        <v>-14570.93</v>
      </c>
      <c r="G19" s="11">
        <v>-10095.15</v>
      </c>
      <c r="H19" s="11">
        <v>-6707.14</v>
      </c>
      <c r="I19" s="11">
        <v>-6347.07</v>
      </c>
      <c r="J19" s="11">
        <v>-6213.88</v>
      </c>
      <c r="K19" s="11"/>
      <c r="L19" s="10">
        <f>SUM(D19:J19)</f>
        <v>-44186.06</v>
      </c>
    </row>
    <row r="20" spans="1:12" x14ac:dyDescent="0.2">
      <c r="A20" s="9">
        <f t="shared" si="0"/>
        <v>14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">
      <c r="A21" s="9">
        <f t="shared" si="0"/>
        <v>15</v>
      </c>
      <c r="B21" s="12" t="s">
        <v>15</v>
      </c>
      <c r="C21" s="13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9">
        <f t="shared" si="0"/>
        <v>16</v>
      </c>
      <c r="B22" s="9">
        <v>40</v>
      </c>
      <c r="C22" s="13"/>
      <c r="D22" s="11">
        <v>-61.39</v>
      </c>
      <c r="E22" s="11">
        <v>-2619.25</v>
      </c>
      <c r="F22" s="11">
        <v>-6317.08</v>
      </c>
      <c r="G22" s="11">
        <v>-6657.4</v>
      </c>
      <c r="H22" s="11">
        <v>-6017.1</v>
      </c>
      <c r="I22" s="11">
        <v>-8438.7099999999991</v>
      </c>
      <c r="J22" s="11">
        <v>-8540.4000000000015</v>
      </c>
      <c r="K22" s="11"/>
      <c r="L22" s="10">
        <f>SUM(D22:J22)</f>
        <v>-38651.33</v>
      </c>
    </row>
    <row r="23" spans="1:12" x14ac:dyDescent="0.2">
      <c r="A23" s="9">
        <f t="shared" si="0"/>
        <v>17</v>
      </c>
      <c r="B23" s="9"/>
      <c r="C23" s="13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">
      <c r="A24" s="9">
        <f t="shared" si="0"/>
        <v>18</v>
      </c>
      <c r="B24" s="12" t="s">
        <v>14</v>
      </c>
      <c r="C24" s="12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">
      <c r="A25" s="9">
        <f t="shared" si="0"/>
        <v>19</v>
      </c>
      <c r="B25" s="9">
        <v>46</v>
      </c>
      <c r="C25" s="9"/>
      <c r="D25" s="11">
        <v>-2951.98</v>
      </c>
      <c r="E25" s="11">
        <v>-4566.76</v>
      </c>
      <c r="F25" s="11">
        <v>0</v>
      </c>
      <c r="G25" s="11">
        <v>-3829.3199999999997</v>
      </c>
      <c r="H25" s="11">
        <v>-4958</v>
      </c>
      <c r="I25" s="11">
        <v>-4224.9699999999993</v>
      </c>
      <c r="J25" s="11">
        <v>-4758.8599999999997</v>
      </c>
      <c r="K25" s="11"/>
      <c r="L25" s="10">
        <f>SUM(D25:J25)</f>
        <v>-25289.89</v>
      </c>
    </row>
    <row r="26" spans="1:12" x14ac:dyDescent="0.2">
      <c r="A26" s="9">
        <f t="shared" si="0"/>
        <v>20</v>
      </c>
      <c r="B26" s="9">
        <v>49</v>
      </c>
      <c r="C26" s="9"/>
      <c r="D26" s="11">
        <v>-5340.65</v>
      </c>
      <c r="E26" s="11">
        <v>-28267.78</v>
      </c>
      <c r="F26" s="11">
        <v>-26308.66</v>
      </c>
      <c r="G26" s="11">
        <v>-29075.52</v>
      </c>
      <c r="H26" s="11">
        <v>-28457.39</v>
      </c>
      <c r="I26" s="11">
        <v>-23367.19</v>
      </c>
      <c r="J26" s="11">
        <v>-23824.04</v>
      </c>
      <c r="K26" s="11"/>
      <c r="L26" s="10">
        <f>SUM(D26:J26)</f>
        <v>-164641.23000000001</v>
      </c>
    </row>
    <row r="27" spans="1:12" x14ac:dyDescent="0.2">
      <c r="A27" s="9">
        <f t="shared" si="0"/>
        <v>21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">
      <c r="A28" s="9">
        <f t="shared" si="0"/>
        <v>22</v>
      </c>
      <c r="B28" s="12" t="s">
        <v>13</v>
      </c>
      <c r="C28" s="12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">
      <c r="A29" s="9">
        <f t="shared" si="0"/>
        <v>23</v>
      </c>
      <c r="B29" s="9" t="s">
        <v>12</v>
      </c>
      <c r="C29" s="9"/>
      <c r="D29" s="11">
        <v>-8338.77</v>
      </c>
      <c r="E29" s="11">
        <v>-11426.880000000001</v>
      </c>
      <c r="F29" s="11">
        <v>-8576.59</v>
      </c>
      <c r="G29" s="11">
        <v>-18213.07</v>
      </c>
      <c r="H29" s="11">
        <v>-18098.809999999998</v>
      </c>
      <c r="I29" s="11">
        <v>-20496.939999999999</v>
      </c>
      <c r="J29" s="11">
        <v>-17850.310000000001</v>
      </c>
      <c r="K29" s="11"/>
      <c r="L29" s="10">
        <f>SUM(D29:J29)</f>
        <v>-103001.37</v>
      </c>
    </row>
    <row r="30" spans="1:12" x14ac:dyDescent="0.2">
      <c r="A30" s="9">
        <f t="shared" si="0"/>
        <v>24</v>
      </c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">
      <c r="A31" s="9">
        <f t="shared" si="0"/>
        <v>25</v>
      </c>
      <c r="B31" s="12" t="s">
        <v>11</v>
      </c>
      <c r="C31" s="12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">
      <c r="A32" s="9">
        <f t="shared" si="0"/>
        <v>26</v>
      </c>
      <c r="B32" s="9" t="s">
        <v>10</v>
      </c>
      <c r="C32" s="9"/>
      <c r="D32" s="11">
        <v>0</v>
      </c>
      <c r="E32" s="11">
        <v>-270</v>
      </c>
      <c r="F32" s="11">
        <v>-54</v>
      </c>
      <c r="G32" s="11">
        <v>-297</v>
      </c>
      <c r="H32" s="11">
        <v>-297</v>
      </c>
      <c r="I32" s="11">
        <v>-297</v>
      </c>
      <c r="J32" s="11">
        <v>-351</v>
      </c>
      <c r="K32" s="11"/>
      <c r="L32" s="10">
        <f>SUM(D32:J32)</f>
        <v>-1566</v>
      </c>
    </row>
    <row r="33" spans="1:12" x14ac:dyDescent="0.2">
      <c r="A33" s="9">
        <f t="shared" si="0"/>
        <v>27</v>
      </c>
      <c r="B33" s="9"/>
      <c r="C33" s="9"/>
      <c r="D33" s="11"/>
      <c r="E33" s="11"/>
      <c r="F33" s="11"/>
      <c r="G33" s="11"/>
      <c r="H33" s="11"/>
      <c r="I33" s="11"/>
      <c r="J33" s="11"/>
      <c r="K33" s="11"/>
      <c r="L33" s="10"/>
    </row>
    <row r="34" spans="1:12" x14ac:dyDescent="0.2">
      <c r="A34" s="9">
        <f t="shared" si="0"/>
        <v>28</v>
      </c>
      <c r="B34" s="12" t="s">
        <v>9</v>
      </c>
      <c r="C34" s="12"/>
      <c r="D34" s="11">
        <v>0</v>
      </c>
      <c r="E34" s="11">
        <v>0</v>
      </c>
      <c r="F34" s="11">
        <v>-2484</v>
      </c>
      <c r="G34" s="11">
        <v>-2538</v>
      </c>
      <c r="H34" s="11">
        <v>-2511</v>
      </c>
      <c r="I34" s="11">
        <v>-2511</v>
      </c>
      <c r="J34" s="11">
        <v>-2511</v>
      </c>
      <c r="K34" s="11"/>
      <c r="L34" s="10">
        <f>SUM(D34:J34)</f>
        <v>-12555</v>
      </c>
    </row>
    <row r="35" spans="1:12" x14ac:dyDescent="0.2">
      <c r="A35" s="9">
        <f t="shared" si="0"/>
        <v>29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3.5" thickBot="1" x14ac:dyDescent="0.25">
      <c r="A36" s="9">
        <f t="shared" si="0"/>
        <v>30</v>
      </c>
      <c r="B36" s="9" t="s">
        <v>8</v>
      </c>
      <c r="C36" s="9"/>
      <c r="D36" s="8">
        <f t="shared" ref="D36:J36" si="1">SUM(D7:D35)</f>
        <v>-1238372.6199999999</v>
      </c>
      <c r="E36" s="8">
        <f t="shared" si="1"/>
        <v>-912374.59000000008</v>
      </c>
      <c r="F36" s="8">
        <f t="shared" si="1"/>
        <v>-1559877.7899999998</v>
      </c>
      <c r="G36" s="8">
        <f t="shared" si="1"/>
        <v>-1672520.09</v>
      </c>
      <c r="H36" s="8">
        <f t="shared" si="1"/>
        <v>-1652278.4600000002</v>
      </c>
      <c r="I36" s="8">
        <f t="shared" si="1"/>
        <v>-1694507.56</v>
      </c>
      <c r="J36" s="8">
        <f t="shared" si="1"/>
        <v>-1629109.59</v>
      </c>
      <c r="K36" s="8"/>
      <c r="L36" s="8">
        <f>SUM(L7:L35)</f>
        <v>-10359040.700000001</v>
      </c>
    </row>
    <row r="37" spans="1:12" s="5" customFormat="1" ht="13.5" thickTop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91" orientation="landscape" horizontalDpi="90" verticalDpi="90" r:id="rId1"/>
  <headerFooter>
    <oddFooter>&amp;CPage &amp;P of &amp;N&amp;R&amp;F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EBA-DC9A-466C-B076-023FDB3AF6B5}">
  <sheetPr>
    <pageSetUpPr fitToPage="1"/>
  </sheetPr>
  <dimension ref="A1:M25"/>
  <sheetViews>
    <sheetView workbookViewId="0">
      <pane ySplit="6" topLeftCell="A7" activePane="bottomLeft" state="frozen"/>
      <selection activeCell="S31" sqref="S31"/>
      <selection pane="bottomLeft" activeCell="A7" sqref="A7"/>
    </sheetView>
  </sheetViews>
  <sheetFormatPr defaultColWidth="9.140625" defaultRowHeight="12.75" x14ac:dyDescent="0.2"/>
  <cols>
    <col min="1" max="1" width="6.5703125" style="4" bestFit="1" customWidth="1"/>
    <col min="2" max="2" width="40" style="4" bestFit="1" customWidth="1"/>
    <col min="3" max="3" width="17.5703125" style="4" bestFit="1" customWidth="1"/>
    <col min="4" max="4" width="0.85546875" style="4" customWidth="1"/>
    <col min="5" max="5" width="13.7109375" style="4" bestFit="1" customWidth="1"/>
    <col min="6" max="6" width="14.140625" style="4" bestFit="1" customWidth="1"/>
    <col min="7" max="7" width="14.85546875" style="4" bestFit="1" customWidth="1"/>
    <col min="8" max="8" width="13" style="4" bestFit="1" customWidth="1"/>
    <col min="9" max="10" width="13.7109375" style="4" bestFit="1" customWidth="1"/>
    <col min="11" max="11" width="13" style="4" bestFit="1" customWidth="1"/>
    <col min="12" max="12" width="1" style="4" customWidth="1"/>
    <col min="13" max="13" width="13.5703125" style="4" bestFit="1" customWidth="1"/>
    <col min="14" max="16384" width="9.140625" style="4"/>
  </cols>
  <sheetData>
    <row r="1" spans="1:13" ht="15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" x14ac:dyDescent="0.25">
      <c r="A2" s="59" t="s">
        <v>28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x14ac:dyDescent="0.25">
      <c r="A3" s="59" t="s">
        <v>53</v>
      </c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x14ac:dyDescent="0.25">
      <c r="A4" s="59" t="s">
        <v>26</v>
      </c>
      <c r="B4" s="59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5">
      <c r="A5" s="21"/>
      <c r="B5" s="24"/>
      <c r="C5" s="24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4" customFormat="1" ht="26.25" x14ac:dyDescent="0.25">
      <c r="A6" s="19" t="s">
        <v>25</v>
      </c>
      <c r="B6" s="26" t="s">
        <v>52</v>
      </c>
      <c r="C6" s="26" t="s">
        <v>51</v>
      </c>
      <c r="D6" s="19"/>
      <c r="E6" s="18">
        <v>43554</v>
      </c>
      <c r="F6" s="18">
        <v>43585</v>
      </c>
      <c r="G6" s="18">
        <v>43616</v>
      </c>
      <c r="H6" s="18">
        <v>43646</v>
      </c>
      <c r="I6" s="18">
        <v>43677</v>
      </c>
      <c r="J6" s="18">
        <v>43708</v>
      </c>
      <c r="K6" s="18">
        <v>43738</v>
      </c>
      <c r="L6" s="18"/>
      <c r="M6" s="17" t="s">
        <v>23</v>
      </c>
    </row>
    <row r="7" spans="1:13" ht="15" x14ac:dyDescent="0.25">
      <c r="A7" s="9">
        <v>1</v>
      </c>
      <c r="B7" t="s">
        <v>50</v>
      </c>
      <c r="C7" s="24" t="s">
        <v>49</v>
      </c>
      <c r="D7" s="12"/>
      <c r="E7" s="23">
        <v>-467422.52499358996</v>
      </c>
      <c r="F7" s="23">
        <v>-320673.32283093221</v>
      </c>
      <c r="G7" s="23">
        <v>-212640.2003346227</v>
      </c>
      <c r="H7" s="23">
        <v>-196674.09787938048</v>
      </c>
      <c r="I7" s="23">
        <v>-180856.51237014151</v>
      </c>
      <c r="J7" s="23">
        <v>-180218.19975820696</v>
      </c>
      <c r="K7" s="23">
        <v>-215592.41214793874</v>
      </c>
      <c r="L7" s="25"/>
      <c r="M7" s="10">
        <f t="shared" ref="M7:M20" si="0">SUM(E7:K7)</f>
        <v>-1774077.2703148124</v>
      </c>
    </row>
    <row r="8" spans="1:13" ht="15" x14ac:dyDescent="0.25">
      <c r="A8" s="9">
        <f t="shared" ref="A8:A21" si="1">+A7+1</f>
        <v>2</v>
      </c>
      <c r="B8" t="s">
        <v>48</v>
      </c>
      <c r="C8" s="24">
        <v>16</v>
      </c>
      <c r="D8" s="9"/>
      <c r="E8" s="23">
        <v>-8.6479999999999997</v>
      </c>
      <c r="F8" s="23">
        <v>-5.1870000000000003</v>
      </c>
      <c r="G8" s="23">
        <v>-4.63</v>
      </c>
      <c r="H8" s="23">
        <v>-2.9250000000000003</v>
      </c>
      <c r="I8" s="23">
        <v>-5.1349999999999998</v>
      </c>
      <c r="J8" s="23">
        <v>-5.33</v>
      </c>
      <c r="K8" s="23">
        <v>-5.1349999999999998</v>
      </c>
      <c r="L8" s="11"/>
      <c r="M8" s="10">
        <f t="shared" si="0"/>
        <v>-36.989999999999995</v>
      </c>
    </row>
    <row r="9" spans="1:13" ht="15" x14ac:dyDescent="0.25">
      <c r="A9" s="9">
        <f t="shared" si="1"/>
        <v>3</v>
      </c>
      <c r="B9" t="s">
        <v>47</v>
      </c>
      <c r="C9" s="24">
        <v>31</v>
      </c>
      <c r="D9" s="9"/>
      <c r="E9" s="23">
        <v>-143052.43935047003</v>
      </c>
      <c r="F9" s="23">
        <v>-95126.468390623835</v>
      </c>
      <c r="G9" s="23">
        <v>-74174.993556247267</v>
      </c>
      <c r="H9" s="23">
        <v>-63184.584767183005</v>
      </c>
      <c r="I9" s="23">
        <v>-59716.555329552801</v>
      </c>
      <c r="J9" s="23">
        <v>-62270.905068812979</v>
      </c>
      <c r="K9" s="23">
        <v>-76642.566981490221</v>
      </c>
      <c r="L9" s="10"/>
      <c r="M9" s="10">
        <f t="shared" si="0"/>
        <v>-574168.51344438014</v>
      </c>
    </row>
    <row r="10" spans="1:13" ht="15" x14ac:dyDescent="0.25">
      <c r="A10" s="9">
        <f t="shared" si="1"/>
        <v>4</v>
      </c>
      <c r="B10" t="s">
        <v>46</v>
      </c>
      <c r="C10" s="24">
        <v>41</v>
      </c>
      <c r="D10" s="12"/>
      <c r="E10" s="23">
        <v>-16513.76801702271</v>
      </c>
      <c r="F10" s="23">
        <v>-15063.671263562295</v>
      </c>
      <c r="G10" s="23">
        <v>-16122.331080432494</v>
      </c>
      <c r="H10" s="23">
        <v>-11658.18659093844</v>
      </c>
      <c r="I10" s="23">
        <v>-15359.073279924656</v>
      </c>
      <c r="J10" s="23">
        <v>-13945.256087389951</v>
      </c>
      <c r="K10" s="23">
        <v>-15320.181024556754</v>
      </c>
      <c r="L10" s="10"/>
      <c r="M10" s="10">
        <f t="shared" si="0"/>
        <v>-103982.4673438273</v>
      </c>
    </row>
    <row r="11" spans="1:13" ht="15" x14ac:dyDescent="0.25">
      <c r="A11" s="9">
        <f t="shared" si="1"/>
        <v>5</v>
      </c>
      <c r="B11" t="s">
        <v>45</v>
      </c>
      <c r="C11" s="24">
        <v>85</v>
      </c>
      <c r="D11" s="13"/>
      <c r="E11" s="23">
        <v>-1797.48920834</v>
      </c>
      <c r="F11" s="23">
        <v>-808.08193291000021</v>
      </c>
      <c r="G11" s="23">
        <v>-1810.158495231133</v>
      </c>
      <c r="H11" s="23">
        <v>-1332.2328013738779</v>
      </c>
      <c r="I11" s="23">
        <v>-1179.3688358309171</v>
      </c>
      <c r="J11" s="23">
        <v>-1486.5503133440723</v>
      </c>
      <c r="K11" s="23">
        <v>-997.08931034150805</v>
      </c>
      <c r="L11" s="11"/>
      <c r="M11" s="10">
        <f t="shared" si="0"/>
        <v>-9410.9708973715078</v>
      </c>
    </row>
    <row r="12" spans="1:13" ht="15" x14ac:dyDescent="0.25">
      <c r="A12" s="9">
        <f t="shared" si="1"/>
        <v>6</v>
      </c>
      <c r="B12" t="s">
        <v>44</v>
      </c>
      <c r="C12" s="24">
        <v>86</v>
      </c>
      <c r="D12" s="13"/>
      <c r="E12" s="23">
        <v>-2804.4082098925942</v>
      </c>
      <c r="F12" s="23">
        <v>-1678.7557443876226</v>
      </c>
      <c r="G12" s="23">
        <v>-1496.308747463871</v>
      </c>
      <c r="H12" s="23">
        <v>-1879.5833660162639</v>
      </c>
      <c r="I12" s="23">
        <v>-1367.1418941736442</v>
      </c>
      <c r="J12" s="23">
        <v>12.989319494877464</v>
      </c>
      <c r="K12" s="23">
        <v>-1897.0235167269987</v>
      </c>
      <c r="L12" s="11"/>
      <c r="M12" s="10">
        <f t="shared" si="0"/>
        <v>-11110.232159166117</v>
      </c>
    </row>
    <row r="13" spans="1:13" ht="15" x14ac:dyDescent="0.25">
      <c r="A13" s="9">
        <f t="shared" si="1"/>
        <v>7</v>
      </c>
      <c r="B13" t="s">
        <v>43</v>
      </c>
      <c r="C13" s="24">
        <v>87</v>
      </c>
      <c r="D13" s="13"/>
      <c r="E13" s="23">
        <v>202.12553767499998</v>
      </c>
      <c r="F13" s="23">
        <v>-1119.1696571750001</v>
      </c>
      <c r="G13" s="23">
        <v>-1417.8380022875001</v>
      </c>
      <c r="H13" s="23">
        <v>-1179.7540172624997</v>
      </c>
      <c r="I13" s="23">
        <v>-771.89622230139992</v>
      </c>
      <c r="J13" s="23">
        <v>-1171.8419671985998</v>
      </c>
      <c r="K13" s="23">
        <v>-763.47716915000001</v>
      </c>
      <c r="L13" s="11"/>
      <c r="M13" s="10">
        <f t="shared" si="0"/>
        <v>-6221.8514976999986</v>
      </c>
    </row>
    <row r="14" spans="1:13" ht="15" x14ac:dyDescent="0.25">
      <c r="A14" s="9">
        <f t="shared" si="1"/>
        <v>8</v>
      </c>
      <c r="B14" t="s">
        <v>42</v>
      </c>
      <c r="C14" s="24" t="s">
        <v>41</v>
      </c>
      <c r="D14" s="9"/>
      <c r="E14" s="23">
        <v>68.073690100000007</v>
      </c>
      <c r="F14" s="23">
        <v>5.4809141999999973</v>
      </c>
      <c r="G14" s="23">
        <v>-24.699480900000005</v>
      </c>
      <c r="H14" s="23">
        <v>-74.525291499999994</v>
      </c>
      <c r="I14" s="23">
        <v>-14.09</v>
      </c>
      <c r="J14" s="23">
        <v>1050.5025455</v>
      </c>
      <c r="K14" s="23">
        <v>-1065.1640623999999</v>
      </c>
      <c r="L14" s="11"/>
      <c r="M14" s="10">
        <f t="shared" si="0"/>
        <v>-54.421684999999911</v>
      </c>
    </row>
    <row r="15" spans="1:13" ht="15" x14ac:dyDescent="0.25">
      <c r="A15" s="9">
        <f t="shared" si="1"/>
        <v>9</v>
      </c>
      <c r="B15" t="s">
        <v>40</v>
      </c>
      <c r="C15" s="24" t="s">
        <v>39</v>
      </c>
      <c r="D15" s="13"/>
      <c r="E15" s="23">
        <v>-4879.2063892000006</v>
      </c>
      <c r="F15" s="23">
        <v>-4636.2169067999994</v>
      </c>
      <c r="G15" s="23">
        <v>-3824.6137473999988</v>
      </c>
      <c r="H15" s="23">
        <v>-4611.1588569999994</v>
      </c>
      <c r="I15" s="23">
        <v>-3549.6165149999997</v>
      </c>
      <c r="J15" s="23">
        <v>-6096.0043540000015</v>
      </c>
      <c r="K15" s="23">
        <v>-4850.2307829999991</v>
      </c>
      <c r="L15" s="10"/>
      <c r="M15" s="10">
        <f t="shared" si="0"/>
        <v>-32447.047552399996</v>
      </c>
    </row>
    <row r="16" spans="1:13" ht="15" x14ac:dyDescent="0.25">
      <c r="A16" s="9">
        <f t="shared" si="1"/>
        <v>10</v>
      </c>
      <c r="B16" t="s">
        <v>38</v>
      </c>
      <c r="C16" s="24" t="s">
        <v>37</v>
      </c>
      <c r="D16" s="12"/>
      <c r="E16" s="23">
        <v>-8245.7035668000008</v>
      </c>
      <c r="F16" s="23">
        <v>-8069.3222818000013</v>
      </c>
      <c r="G16" s="23">
        <v>-7573.6625435999995</v>
      </c>
      <c r="H16" s="23">
        <v>-6537.0247306000001</v>
      </c>
      <c r="I16" s="23">
        <v>-7500.2104137999995</v>
      </c>
      <c r="J16" s="23">
        <v>-7527.1933529999988</v>
      </c>
      <c r="K16" s="23">
        <v>-7497.9167757999994</v>
      </c>
      <c r="L16" s="10"/>
      <c r="M16" s="10">
        <f t="shared" si="0"/>
        <v>-52951.033665399998</v>
      </c>
    </row>
    <row r="17" spans="1:13" ht="15" x14ac:dyDescent="0.25">
      <c r="A17" s="9">
        <f t="shared" si="1"/>
        <v>11</v>
      </c>
      <c r="B17" t="s">
        <v>36</v>
      </c>
      <c r="C17" s="24" t="s">
        <v>35</v>
      </c>
      <c r="D17" s="9"/>
      <c r="E17" s="23">
        <v>-149.27527109999997</v>
      </c>
      <c r="F17" s="23">
        <v>-68.777784100000034</v>
      </c>
      <c r="G17" s="23">
        <v>-64.71670899999998</v>
      </c>
      <c r="H17" s="23">
        <v>-57.608371800000015</v>
      </c>
      <c r="I17" s="23">
        <v>-63.629999999999995</v>
      </c>
      <c r="J17" s="23">
        <v>-77.133572900000004</v>
      </c>
      <c r="K17" s="23">
        <v>-103.77000000000001</v>
      </c>
      <c r="L17" s="11"/>
      <c r="M17" s="10">
        <f t="shared" si="0"/>
        <v>-584.91170890000001</v>
      </c>
    </row>
    <row r="18" spans="1:13" ht="15" x14ac:dyDescent="0.25">
      <c r="A18" s="9">
        <f t="shared" si="1"/>
        <v>12</v>
      </c>
      <c r="B18" t="s">
        <v>34</v>
      </c>
      <c r="C18" s="24" t="s">
        <v>33</v>
      </c>
      <c r="D18" s="9"/>
      <c r="E18" s="23">
        <v>-3748.3948022999998</v>
      </c>
      <c r="F18" s="23">
        <v>-3318.6437298000005</v>
      </c>
      <c r="G18" s="23">
        <v>-3827.8366802999994</v>
      </c>
      <c r="H18" s="23">
        <v>-3709.2001662000002</v>
      </c>
      <c r="I18" s="23">
        <v>-3548.69</v>
      </c>
      <c r="J18" s="23">
        <v>-4081.7869513000001</v>
      </c>
      <c r="K18" s="23">
        <v>-3978.0048464000006</v>
      </c>
      <c r="L18" s="11"/>
      <c r="M18" s="10">
        <f t="shared" si="0"/>
        <v>-26212.557176300001</v>
      </c>
    </row>
    <row r="19" spans="1:13" ht="15" x14ac:dyDescent="0.25">
      <c r="A19" s="9">
        <f t="shared" si="1"/>
        <v>13</v>
      </c>
      <c r="B19" t="s">
        <v>32</v>
      </c>
      <c r="C19" s="24"/>
      <c r="D19" s="9"/>
      <c r="E19" s="23">
        <v>-1144.6880479000001</v>
      </c>
      <c r="F19" s="23">
        <v>-467.3808393999999</v>
      </c>
      <c r="G19" s="23">
        <v>-719.67768119999994</v>
      </c>
      <c r="H19" s="23">
        <v>-288.53971799999994</v>
      </c>
      <c r="I19" s="23">
        <v>-1249.6600000000001</v>
      </c>
      <c r="J19" s="23">
        <v>-713.65144859999998</v>
      </c>
      <c r="K19" s="23">
        <v>-799.66</v>
      </c>
      <c r="L19" s="11"/>
      <c r="M19" s="10">
        <f t="shared" si="0"/>
        <v>-5383.2577350999991</v>
      </c>
    </row>
    <row r="20" spans="1:13" ht="15" x14ac:dyDescent="0.25">
      <c r="A20" s="9">
        <f t="shared" si="1"/>
        <v>14</v>
      </c>
      <c r="B20" s="22" t="s">
        <v>31</v>
      </c>
      <c r="C20" s="24"/>
      <c r="D20" s="9"/>
      <c r="E20" s="23">
        <v>-3308.94</v>
      </c>
      <c r="F20" s="23">
        <v>-5768.4699999999993</v>
      </c>
      <c r="G20" s="23">
        <v>-5781.11</v>
      </c>
      <c r="H20" s="23">
        <v>-5736.69</v>
      </c>
      <c r="I20" s="23">
        <v>-5742.11</v>
      </c>
      <c r="J20" s="23">
        <v>-5693.19</v>
      </c>
      <c r="K20" s="23">
        <v>-5690.5</v>
      </c>
      <c r="L20" s="11"/>
      <c r="M20" s="10">
        <f t="shared" si="0"/>
        <v>-37721.009999999995</v>
      </c>
    </row>
    <row r="21" spans="1:13" ht="15.75" thickBot="1" x14ac:dyDescent="0.3">
      <c r="A21" s="9">
        <f t="shared" si="1"/>
        <v>15</v>
      </c>
      <c r="B21" s="22" t="s">
        <v>30</v>
      </c>
      <c r="C21" s="9"/>
      <c r="D21" s="9"/>
      <c r="E21" s="8">
        <f t="shared" ref="E21:K21" si="2">SUM(E7:E20)</f>
        <v>-652805.28662884026</v>
      </c>
      <c r="F21" s="8">
        <f t="shared" si="2"/>
        <v>-456797.98744729091</v>
      </c>
      <c r="G21" s="8">
        <f t="shared" si="2"/>
        <v>-329482.77705868497</v>
      </c>
      <c r="H21" s="8">
        <f t="shared" si="2"/>
        <v>-296926.11155725451</v>
      </c>
      <c r="I21" s="8">
        <f t="shared" si="2"/>
        <v>-280923.68986072484</v>
      </c>
      <c r="J21" s="8">
        <f t="shared" si="2"/>
        <v>-282223.55100975768</v>
      </c>
      <c r="K21" s="8">
        <f t="shared" si="2"/>
        <v>-335203.13161780423</v>
      </c>
      <c r="L21" s="8"/>
      <c r="M21" s="8">
        <f>SUM(M7:M20)</f>
        <v>-2634362.5351803568</v>
      </c>
    </row>
    <row r="22" spans="1:13" s="5" customFormat="1" ht="15.75" thickTop="1" x14ac:dyDescent="0.25">
      <c r="A22" s="7"/>
      <c r="B22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</row>
    <row r="25" spans="1:13" x14ac:dyDescent="0.2">
      <c r="E25" s="10"/>
      <c r="G25" s="10"/>
      <c r="I25" s="10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69" orientation="landscape" horizontalDpi="90" verticalDpi="90" r:id="rId1"/>
  <headerFooter>
    <oddFooter>&amp;CPage &amp;P of &amp;N&amp;R&amp;F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8E31-119B-4517-B53B-2793415E803E}">
  <sheetPr>
    <pageSetUpPr fitToPage="1"/>
  </sheetPr>
  <dimension ref="A1:M40"/>
  <sheetViews>
    <sheetView workbookViewId="0">
      <selection sqref="A1:M1"/>
    </sheetView>
  </sheetViews>
  <sheetFormatPr defaultColWidth="9.140625" defaultRowHeight="12.75" x14ac:dyDescent="0.2"/>
  <cols>
    <col min="1" max="1" width="6.5703125" style="4" bestFit="1" customWidth="1"/>
    <col min="2" max="2" width="20.140625" style="4" bestFit="1" customWidth="1"/>
    <col min="3" max="3" width="0.85546875" style="4" customWidth="1"/>
    <col min="4" max="4" width="13.5703125" style="4" bestFit="1" customWidth="1"/>
    <col min="5" max="5" width="14" style="4" bestFit="1" customWidth="1"/>
    <col min="6" max="6" width="14.7109375" style="4" bestFit="1" customWidth="1"/>
    <col min="7" max="7" width="12.28515625" style="4" bestFit="1" customWidth="1"/>
    <col min="8" max="9" width="13.5703125" style="4" bestFit="1" customWidth="1"/>
    <col min="10" max="10" width="11.85546875" style="4" bestFit="1" customWidth="1"/>
    <col min="11" max="11" width="11.85546875" style="4" customWidth="1"/>
    <col min="12" max="12" width="1" style="4" customWidth="1"/>
    <col min="13" max="13" width="12.85546875" style="4" bestFit="1" customWidth="1"/>
    <col min="14" max="16384" width="9.140625" style="4"/>
  </cols>
  <sheetData>
    <row r="1" spans="1:13" ht="15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" x14ac:dyDescent="0.25">
      <c r="A2" s="59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x14ac:dyDescent="0.25">
      <c r="A3" s="59" t="s">
        <v>56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5" x14ac:dyDescent="0.25">
      <c r="A4" s="59" t="s">
        <v>26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x14ac:dyDescent="0.25">
      <c r="A5" s="21"/>
      <c r="B5" s="20"/>
      <c r="C5" s="20"/>
      <c r="D5" s="20"/>
      <c r="E5" s="20"/>
      <c r="F5" s="20"/>
      <c r="G5" s="20"/>
      <c r="H5" s="20"/>
      <c r="I5" s="20"/>
      <c r="J5" s="20"/>
      <c r="K5" s="20" t="s">
        <v>55</v>
      </c>
      <c r="L5" s="20"/>
      <c r="M5" s="20"/>
    </row>
    <row r="6" spans="1:13" s="14" customFormat="1" ht="25.5" x14ac:dyDescent="0.2">
      <c r="A6" s="19" t="s">
        <v>25</v>
      </c>
      <c r="B6" s="19" t="s">
        <v>24</v>
      </c>
      <c r="C6" s="19"/>
      <c r="D6" s="18">
        <v>43768</v>
      </c>
      <c r="E6" s="18">
        <v>43799</v>
      </c>
      <c r="F6" s="18">
        <v>43830</v>
      </c>
      <c r="G6" s="18">
        <v>43861</v>
      </c>
      <c r="H6" s="18">
        <v>43889</v>
      </c>
      <c r="I6" s="18">
        <v>43921</v>
      </c>
      <c r="J6" s="18">
        <v>43951</v>
      </c>
      <c r="K6" s="18">
        <v>43971</v>
      </c>
      <c r="L6" s="18"/>
      <c r="M6" s="17" t="s">
        <v>23</v>
      </c>
    </row>
    <row r="7" spans="1:13" s="14" customFormat="1" x14ac:dyDescent="0.2">
      <c r="A7" s="9">
        <v>1</v>
      </c>
      <c r="B7" s="12" t="s">
        <v>22</v>
      </c>
      <c r="C7" s="12"/>
      <c r="D7" s="16"/>
      <c r="E7" s="16"/>
      <c r="F7" s="16"/>
      <c r="G7" s="16"/>
      <c r="H7" s="16"/>
      <c r="I7" s="16"/>
      <c r="J7" s="16"/>
      <c r="K7" s="16"/>
      <c r="L7" s="16"/>
      <c r="M7" s="15"/>
    </row>
    <row r="8" spans="1:13" x14ac:dyDescent="0.2">
      <c r="A8" s="9">
        <f t="shared" ref="A8:A36" si="0">+A7+1</f>
        <v>2</v>
      </c>
      <c r="B8" s="9">
        <v>7</v>
      </c>
      <c r="C8" s="9"/>
      <c r="D8" s="11">
        <v>-1609424.6002560002</v>
      </c>
      <c r="E8" s="11">
        <v>-1609424.6002560002</v>
      </c>
      <c r="F8" s="11">
        <v>-2028672.4466960002</v>
      </c>
      <c r="G8" s="11">
        <v>-1948200.2454280001</v>
      </c>
      <c r="H8" s="11">
        <v>-1693153.1765400001</v>
      </c>
      <c r="I8" s="11">
        <v>-1632169.539176</v>
      </c>
      <c r="J8" s="11">
        <v>-1345067.7421880001</v>
      </c>
      <c r="K8" s="11">
        <v>-740643.15647483873</v>
      </c>
      <c r="L8" s="11"/>
      <c r="M8" s="10">
        <f>SUM(D8:K8)</f>
        <v>-12606755.507014839</v>
      </c>
    </row>
    <row r="9" spans="1:13" x14ac:dyDescent="0.2">
      <c r="A9" s="9">
        <f t="shared" si="0"/>
        <v>3</v>
      </c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">
      <c r="A10" s="9">
        <f t="shared" si="0"/>
        <v>4</v>
      </c>
      <c r="B10" s="12" t="s">
        <v>21</v>
      </c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A11" s="9">
        <f t="shared" si="0"/>
        <v>5</v>
      </c>
      <c r="B11" s="13" t="s">
        <v>20</v>
      </c>
      <c r="C11" s="13"/>
      <c r="D11" s="11">
        <v>-269037.33681900002</v>
      </c>
      <c r="E11" s="11">
        <v>-269037.33681900002</v>
      </c>
      <c r="F11" s="11">
        <v>-301898.29718599998</v>
      </c>
      <c r="G11" s="11">
        <v>-307960.89690599998</v>
      </c>
      <c r="H11" s="11">
        <v>-276428.556339</v>
      </c>
      <c r="I11" s="11">
        <v>-285388.87824299996</v>
      </c>
      <c r="J11" s="11">
        <v>-253337.82390799999</v>
      </c>
      <c r="K11" s="11">
        <v>-155060.12482322581</v>
      </c>
      <c r="L11" s="11"/>
      <c r="M11" s="10">
        <f>SUM(D11:K11)</f>
        <v>-2118149.2510432256</v>
      </c>
    </row>
    <row r="12" spans="1:13" x14ac:dyDescent="0.2">
      <c r="A12" s="9">
        <f t="shared" si="0"/>
        <v>6</v>
      </c>
      <c r="B12" s="13" t="s">
        <v>19</v>
      </c>
      <c r="C12" s="13"/>
      <c r="D12" s="11">
        <v>-228011.272096</v>
      </c>
      <c r="E12" s="11">
        <v>-228011.272096</v>
      </c>
      <c r="F12" s="11">
        <v>-246230.73047699998</v>
      </c>
      <c r="G12" s="11">
        <v>-241352.14172199997</v>
      </c>
      <c r="H12" s="11">
        <v>-227838.42504299997</v>
      </c>
      <c r="I12" s="11">
        <v>-224452.13334899998</v>
      </c>
      <c r="J12" s="11">
        <v>-211380.727235</v>
      </c>
      <c r="K12" s="11">
        <v>-134801.48032903223</v>
      </c>
      <c r="L12" s="11"/>
      <c r="M12" s="10">
        <f>SUM(D12:K12)</f>
        <v>-1742078.182347032</v>
      </c>
    </row>
    <row r="13" spans="1:13" x14ac:dyDescent="0.2">
      <c r="A13" s="9">
        <f t="shared" si="0"/>
        <v>7</v>
      </c>
      <c r="B13" s="13" t="s">
        <v>18</v>
      </c>
      <c r="C13" s="13"/>
      <c r="D13" s="11">
        <v>-124509.17289999999</v>
      </c>
      <c r="E13" s="11">
        <v>-124509.17289999999</v>
      </c>
      <c r="F13" s="11">
        <v>-130200.54222000002</v>
      </c>
      <c r="G13" s="11">
        <v>-123972.73297500002</v>
      </c>
      <c r="H13" s="11">
        <v>-117032.72574000001</v>
      </c>
      <c r="I13" s="11">
        <v>-119789.86523000001</v>
      </c>
      <c r="J13" s="11">
        <v>-111510.36456</v>
      </c>
      <c r="K13" s="11">
        <v>-74679.989706451612</v>
      </c>
      <c r="L13" s="11"/>
      <c r="M13" s="10">
        <f>SUM(D13:K13)</f>
        <v>-926204.5662314517</v>
      </c>
    </row>
    <row r="14" spans="1:13" x14ac:dyDescent="0.2">
      <c r="A14" s="9">
        <f t="shared" si="0"/>
        <v>8</v>
      </c>
      <c r="B14" s="9">
        <v>29</v>
      </c>
      <c r="C14" s="9"/>
      <c r="D14" s="11">
        <v>-313.28145999999998</v>
      </c>
      <c r="E14" s="11">
        <v>-313.28145999999998</v>
      </c>
      <c r="F14" s="11">
        <v>-243.76054400000001</v>
      </c>
      <c r="G14" s="11">
        <v>-242.95766399999999</v>
      </c>
      <c r="H14" s="11">
        <v>-219.55757199999999</v>
      </c>
      <c r="I14" s="11">
        <v>-246.38920400000001</v>
      </c>
      <c r="J14" s="11">
        <v>-254.57703599999999</v>
      </c>
      <c r="K14" s="11">
        <v>-403.22904774193552</v>
      </c>
      <c r="L14" s="11"/>
      <c r="M14" s="10">
        <f>SUM(D14:K14)</f>
        <v>-2237.0339877419351</v>
      </c>
    </row>
    <row r="15" spans="1:13" x14ac:dyDescent="0.2">
      <c r="A15" s="9">
        <f t="shared" si="0"/>
        <v>9</v>
      </c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9">
        <f t="shared" si="0"/>
        <v>10</v>
      </c>
      <c r="B16" s="12" t="s">
        <v>17</v>
      </c>
      <c r="C16" s="12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">
      <c r="A17" s="9">
        <f t="shared" si="0"/>
        <v>11</v>
      </c>
      <c r="B17" s="9" t="s">
        <v>16</v>
      </c>
      <c r="C17" s="9"/>
      <c r="D17" s="11">
        <v>-88002.591807999997</v>
      </c>
      <c r="E17" s="11">
        <v>-88002.591807999997</v>
      </c>
      <c r="F17" s="11">
        <v>-92934.059712000002</v>
      </c>
      <c r="G17" s="11">
        <v>-92874.823388000004</v>
      </c>
      <c r="H17" s="11">
        <v>-86359.459724</v>
      </c>
      <c r="I17" s="11">
        <v>-88599.775244000004</v>
      </c>
      <c r="J17" s="11">
        <v>-83129.789715999985</v>
      </c>
      <c r="K17" s="11">
        <v>-55565.450402580638</v>
      </c>
      <c r="L17" s="11"/>
      <c r="M17" s="10">
        <f>SUM(D17:K17)</f>
        <v>-675468.5418025807</v>
      </c>
    </row>
    <row r="18" spans="1:13" x14ac:dyDescent="0.2">
      <c r="A18" s="9">
        <f t="shared" si="0"/>
        <v>12</v>
      </c>
      <c r="B18" s="9">
        <v>35</v>
      </c>
      <c r="C18" s="9"/>
      <c r="D18" s="11">
        <v>-327.39655800000003</v>
      </c>
      <c r="E18" s="11">
        <v>-327.39655800000003</v>
      </c>
      <c r="F18" s="11">
        <v>-4.24146</v>
      </c>
      <c r="G18" s="11">
        <v>-3.9377339999999998</v>
      </c>
      <c r="H18" s="11">
        <v>-3.8119619999999999</v>
      </c>
      <c r="I18" s="11">
        <v>-4.0046340000000002</v>
      </c>
      <c r="J18" s="11">
        <v>-3.8895659999999999</v>
      </c>
      <c r="K18" s="11">
        <v>-278.0346735483871</v>
      </c>
      <c r="L18" s="11"/>
      <c r="M18" s="10">
        <f>SUM(D18:K18)</f>
        <v>-952.71314554838705</v>
      </c>
    </row>
    <row r="19" spans="1:13" x14ac:dyDescent="0.2">
      <c r="A19" s="9">
        <f t="shared" si="0"/>
        <v>13</v>
      </c>
      <c r="B19" s="9">
        <v>43</v>
      </c>
      <c r="C19" s="9"/>
      <c r="D19" s="11">
        <v>-13640.856127999999</v>
      </c>
      <c r="E19" s="11">
        <v>-13640.856127999999</v>
      </c>
      <c r="F19" s="11">
        <v>-18823.923935999999</v>
      </c>
      <c r="G19" s="11">
        <v>-19649.953888</v>
      </c>
      <c r="H19" s="11">
        <v>-18314.984703999999</v>
      </c>
      <c r="I19" s="11">
        <v>-17128.960320000002</v>
      </c>
      <c r="J19" s="11">
        <v>-13473.287488</v>
      </c>
      <c r="K19" s="11">
        <v>-7496.8365625806455</v>
      </c>
      <c r="L19" s="11"/>
      <c r="M19" s="10">
        <f>SUM(D19:K19)</f>
        <v>-122169.65915458064</v>
      </c>
    </row>
    <row r="20" spans="1:13" x14ac:dyDescent="0.2">
      <c r="A20" s="9">
        <f t="shared" si="0"/>
        <v>14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9">
        <f t="shared" si="0"/>
        <v>15</v>
      </c>
      <c r="B21" s="12" t="s">
        <v>15</v>
      </c>
      <c r="C21" s="13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">
      <c r="A22" s="9">
        <f t="shared" si="0"/>
        <v>16</v>
      </c>
      <c r="B22" s="9">
        <v>40</v>
      </c>
      <c r="C22" s="13"/>
      <c r="D22" s="11">
        <v>-6838.3554899999999</v>
      </c>
      <c r="E22" s="11">
        <v>-6838.3554899999999</v>
      </c>
      <c r="F22" s="11">
        <v>-5750.8551600000001</v>
      </c>
      <c r="G22" s="11">
        <v>-4934.3816639999995</v>
      </c>
      <c r="H22" s="11">
        <v>-5699.1633599999996</v>
      </c>
      <c r="I22" s="11">
        <v>-7453.2976259999996</v>
      </c>
      <c r="J22" s="11">
        <v>-7080.9233519999998</v>
      </c>
      <c r="K22" s="11">
        <v>-5045.9027883870967</v>
      </c>
      <c r="L22" s="11"/>
      <c r="M22" s="10">
        <f>SUM(D22:K22)</f>
        <v>-49641.234930387094</v>
      </c>
    </row>
    <row r="23" spans="1:13" x14ac:dyDescent="0.2">
      <c r="A23" s="9">
        <f t="shared" si="0"/>
        <v>17</v>
      </c>
      <c r="B23" s="13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">
      <c r="A24" s="9">
        <f t="shared" si="0"/>
        <v>18</v>
      </c>
      <c r="B24" s="12" t="s">
        <v>14</v>
      </c>
      <c r="C24" s="12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">
      <c r="A25" s="9">
        <f t="shared" si="0"/>
        <v>19</v>
      </c>
      <c r="B25" s="9">
        <v>46</v>
      </c>
      <c r="C25" s="9"/>
      <c r="D25" s="11">
        <v>-3412.37754</v>
      </c>
      <c r="E25" s="11">
        <v>-3412.37754</v>
      </c>
      <c r="F25" s="11">
        <v>-3695.8475399999998</v>
      </c>
      <c r="G25" s="11">
        <v>-3932.8363800000002</v>
      </c>
      <c r="H25" s="11">
        <v>-4335.4772999999996</v>
      </c>
      <c r="I25" s="11">
        <v>-4938.9278400000003</v>
      </c>
      <c r="J25" s="11">
        <v>-3708.9835199999998</v>
      </c>
      <c r="K25" s="11">
        <v>-2361.1551096774192</v>
      </c>
      <c r="L25" s="11"/>
      <c r="M25" s="10">
        <f>SUM(D25:K25)</f>
        <v>-29797.982769677423</v>
      </c>
    </row>
    <row r="26" spans="1:13" x14ac:dyDescent="0.2">
      <c r="A26" s="9">
        <f t="shared" si="0"/>
        <v>20</v>
      </c>
      <c r="B26" s="9">
        <v>49</v>
      </c>
      <c r="C26" s="9"/>
      <c r="D26" s="11">
        <v>-31122.886196000003</v>
      </c>
      <c r="E26" s="11">
        <v>-31122.886196000003</v>
      </c>
      <c r="F26" s="11">
        <v>-32645.075260000001</v>
      </c>
      <c r="G26" s="11">
        <v>-29406.051931000002</v>
      </c>
      <c r="H26" s="11">
        <v>-25498.066380000004</v>
      </c>
      <c r="I26" s="11">
        <v>-29729.293670000003</v>
      </c>
      <c r="J26" s="11">
        <v>-27971.515708000003</v>
      </c>
      <c r="K26" s="11">
        <v>-18193.710932903228</v>
      </c>
      <c r="L26" s="11"/>
      <c r="M26" s="10">
        <f>SUM(D26:K26)</f>
        <v>-225689.48627390325</v>
      </c>
    </row>
    <row r="27" spans="1:13" x14ac:dyDescent="0.2">
      <c r="A27" s="9">
        <f t="shared" si="0"/>
        <v>21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">
      <c r="A28" s="9">
        <f t="shared" si="0"/>
        <v>22</v>
      </c>
      <c r="B28" s="12" t="s">
        <v>13</v>
      </c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">
      <c r="A29" s="9">
        <f t="shared" si="0"/>
        <v>23</v>
      </c>
      <c r="B29" s="9" t="s">
        <v>12</v>
      </c>
      <c r="C29" s="9"/>
      <c r="D29" s="11">
        <v>-20722.228339551246</v>
      </c>
      <c r="E29" s="11">
        <v>-20722.228339551246</v>
      </c>
      <c r="F29" s="11">
        <v>-20688.111333419107</v>
      </c>
      <c r="G29" s="11">
        <v>-19623.406973634344</v>
      </c>
      <c r="H29" s="11">
        <v>-18813.627220238122</v>
      </c>
      <c r="I29" s="11">
        <v>-20730.230274198439</v>
      </c>
      <c r="J29" s="11">
        <v>-19061.149805918532</v>
      </c>
      <c r="K29" s="11">
        <v>-12961.697217030618</v>
      </c>
      <c r="L29" s="11"/>
      <c r="M29" s="10">
        <f>SUM(D29:K29)</f>
        <v>-153322.67950354167</v>
      </c>
    </row>
    <row r="30" spans="1:13" x14ac:dyDescent="0.2">
      <c r="A30" s="9">
        <f t="shared" si="0"/>
        <v>24</v>
      </c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">
      <c r="A31" s="9">
        <f t="shared" si="0"/>
        <v>25</v>
      </c>
      <c r="B31" s="12" t="s">
        <v>11</v>
      </c>
      <c r="C31" s="12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9">
        <f t="shared" si="0"/>
        <v>26</v>
      </c>
      <c r="B32" s="9" t="s">
        <v>10</v>
      </c>
      <c r="C32" s="9"/>
      <c r="D32" s="11">
        <v>-680.52</v>
      </c>
      <c r="E32" s="11">
        <v>-680.52</v>
      </c>
      <c r="F32" s="11">
        <v>-668.81599999999992</v>
      </c>
      <c r="G32" s="11">
        <v>-690.5200000000001</v>
      </c>
      <c r="H32" s="11">
        <v>-669.58799999999997</v>
      </c>
      <c r="I32" s="11">
        <v>-680.99999999999989</v>
      </c>
      <c r="J32" s="11">
        <v>-648.22</v>
      </c>
      <c r="K32" s="11">
        <v>-412.83870967741933</v>
      </c>
      <c r="L32" s="11"/>
      <c r="M32" s="10">
        <f>SUM(D32:K32)</f>
        <v>-5132.0227096774197</v>
      </c>
    </row>
    <row r="33" spans="1:13" x14ac:dyDescent="0.2">
      <c r="A33" s="9">
        <f t="shared" si="0"/>
        <v>27</v>
      </c>
      <c r="B33" s="9"/>
      <c r="C33" s="9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 x14ac:dyDescent="0.2">
      <c r="A34" s="9">
        <f t="shared" si="0"/>
        <v>28</v>
      </c>
      <c r="B34" s="12" t="s">
        <v>9</v>
      </c>
      <c r="C34" s="12"/>
      <c r="D34" s="11">
        <v>-25169.368265999998</v>
      </c>
      <c r="E34" s="11">
        <v>-25169.368265999998</v>
      </c>
      <c r="F34" s="11">
        <v>-23852.22666</v>
      </c>
      <c r="G34" s="11">
        <v>-24148.362497999999</v>
      </c>
      <c r="H34" s="11">
        <v>-24983.578362</v>
      </c>
      <c r="I34" s="11">
        <v>-26068.925574000001</v>
      </c>
      <c r="J34" s="11">
        <v>-24750.402288000001</v>
      </c>
      <c r="K34" s="11">
        <v>-14963.049000000001</v>
      </c>
      <c r="L34" s="11"/>
      <c r="M34" s="10">
        <f>SUM(D34:K34)</f>
        <v>-189105.280914</v>
      </c>
    </row>
    <row r="35" spans="1:13" x14ac:dyDescent="0.2">
      <c r="A35" s="9">
        <f t="shared" si="0"/>
        <v>29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3.5" thickBot="1" x14ac:dyDescent="0.25">
      <c r="A36" s="9">
        <f t="shared" si="0"/>
        <v>30</v>
      </c>
      <c r="B36" s="9" t="s">
        <v>23</v>
      </c>
      <c r="C36" s="9"/>
      <c r="D36" s="8">
        <f t="shared" ref="D36:K36" si="1">SUM(D7:D35)</f>
        <v>-2421212.2438565516</v>
      </c>
      <c r="E36" s="8">
        <f t="shared" si="1"/>
        <v>-2421212.2438565516</v>
      </c>
      <c r="F36" s="8">
        <f t="shared" si="1"/>
        <v>-2906308.9341844199</v>
      </c>
      <c r="G36" s="8">
        <f t="shared" si="1"/>
        <v>-2816993.2491516345</v>
      </c>
      <c r="H36" s="8">
        <f t="shared" si="1"/>
        <v>-2499350.1982462392</v>
      </c>
      <c r="I36" s="8">
        <f t="shared" si="1"/>
        <v>-2457381.2203841987</v>
      </c>
      <c r="J36" s="8">
        <f t="shared" si="1"/>
        <v>-2101379.3963709185</v>
      </c>
      <c r="K36" s="8">
        <f t="shared" si="1"/>
        <v>-1222866.6557776758</v>
      </c>
      <c r="L36" s="8"/>
      <c r="M36" s="8">
        <f>SUM(M7:M35)</f>
        <v>-18846704.141828187</v>
      </c>
    </row>
    <row r="37" spans="1:13" s="5" customFormat="1" ht="13.5" thickTop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</row>
    <row r="40" spans="1:13" x14ac:dyDescent="0.2">
      <c r="B40" s="4" t="s">
        <v>54</v>
      </c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83" orientation="landscape" r:id="rId1"/>
  <headerFooter>
    <oddFooter>&amp;CPage #&amp;P of &amp;P&amp;R&amp;F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2F52-5D38-41C9-8F95-23966B4F38F7}">
  <sheetPr>
    <pageSetUpPr fitToPage="1"/>
  </sheetPr>
  <dimension ref="A1:N25"/>
  <sheetViews>
    <sheetView workbookViewId="0">
      <selection sqref="A1:N1"/>
    </sheetView>
  </sheetViews>
  <sheetFormatPr defaultColWidth="9.140625" defaultRowHeight="12.75" x14ac:dyDescent="0.2"/>
  <cols>
    <col min="1" max="1" width="6.5703125" style="4" bestFit="1" customWidth="1"/>
    <col min="2" max="2" width="40" style="4" bestFit="1" customWidth="1"/>
    <col min="3" max="3" width="17.5703125" style="4" bestFit="1" customWidth="1"/>
    <col min="4" max="4" width="0.85546875" style="4" customWidth="1"/>
    <col min="5" max="5" width="13.7109375" style="4" bestFit="1" customWidth="1"/>
    <col min="6" max="6" width="14.140625" style="4" bestFit="1" customWidth="1"/>
    <col min="7" max="7" width="14.85546875" style="4" bestFit="1" customWidth="1"/>
    <col min="8" max="8" width="13" style="4" bestFit="1" customWidth="1"/>
    <col min="9" max="10" width="13.7109375" style="4" bestFit="1" customWidth="1"/>
    <col min="11" max="11" width="13" style="4" bestFit="1" customWidth="1"/>
    <col min="12" max="12" width="13" style="4" customWidth="1"/>
    <col min="13" max="13" width="1" style="4" customWidth="1"/>
    <col min="14" max="14" width="13.5703125" style="4" bestFit="1" customWidth="1"/>
    <col min="15" max="16384" width="9.140625" style="4"/>
  </cols>
  <sheetData>
    <row r="1" spans="1:14" ht="15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" x14ac:dyDescent="0.25">
      <c r="A2" s="59" t="s">
        <v>57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 x14ac:dyDescent="0.25">
      <c r="A3" s="59" t="s">
        <v>59</v>
      </c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" x14ac:dyDescent="0.25">
      <c r="A4" s="59" t="s">
        <v>26</v>
      </c>
      <c r="B4" s="59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" x14ac:dyDescent="0.25">
      <c r="A5" s="21"/>
      <c r="B5" s="24"/>
      <c r="C5" s="24"/>
      <c r="D5" s="20"/>
      <c r="E5" s="20"/>
      <c r="F5" s="20"/>
      <c r="G5" s="20"/>
      <c r="H5" s="20"/>
      <c r="I5" s="20"/>
      <c r="J5" s="20"/>
      <c r="K5" s="20"/>
      <c r="L5" s="20" t="s">
        <v>55</v>
      </c>
      <c r="M5" s="20"/>
      <c r="N5" s="20"/>
    </row>
    <row r="6" spans="1:14" s="14" customFormat="1" ht="26.25" x14ac:dyDescent="0.25">
      <c r="A6" s="19" t="s">
        <v>25</v>
      </c>
      <c r="B6" s="26" t="s">
        <v>52</v>
      </c>
      <c r="C6" s="26" t="s">
        <v>51</v>
      </c>
      <c r="D6" s="19"/>
      <c r="E6" s="18">
        <v>43768</v>
      </c>
      <c r="F6" s="18">
        <v>43799</v>
      </c>
      <c r="G6" s="18">
        <v>43830</v>
      </c>
      <c r="H6" s="18">
        <v>43861</v>
      </c>
      <c r="I6" s="18">
        <v>43889</v>
      </c>
      <c r="J6" s="18">
        <v>43921</v>
      </c>
      <c r="K6" s="18">
        <v>43951</v>
      </c>
      <c r="L6" s="18">
        <v>43971</v>
      </c>
      <c r="M6" s="18"/>
      <c r="N6" s="17" t="s">
        <v>23</v>
      </c>
    </row>
    <row r="7" spans="1:14" ht="15" x14ac:dyDescent="0.25">
      <c r="A7" s="9">
        <v>1</v>
      </c>
      <c r="B7" t="s">
        <v>50</v>
      </c>
      <c r="C7" s="24" t="s">
        <v>49</v>
      </c>
      <c r="D7" s="12"/>
      <c r="E7" s="23">
        <v>-323497.14</v>
      </c>
      <c r="F7" s="23">
        <v>-488490.23999999999</v>
      </c>
      <c r="G7" s="23">
        <v>-600384.04</v>
      </c>
      <c r="H7" s="23">
        <v>-565333.38</v>
      </c>
      <c r="I7" s="23">
        <v>-511464.28</v>
      </c>
      <c r="J7" s="23">
        <v>-457671.98000000004</v>
      </c>
      <c r="K7" s="23">
        <v>-362462.58999999997</v>
      </c>
      <c r="L7" s="23">
        <v>-169923.71612903225</v>
      </c>
      <c r="M7" s="23"/>
      <c r="N7" s="10">
        <f t="shared" ref="N7:N20" si="0">SUM(E7:L7)</f>
        <v>-3479227.3661290323</v>
      </c>
    </row>
    <row r="8" spans="1:14" ht="15" x14ac:dyDescent="0.25">
      <c r="A8" s="9">
        <f t="shared" ref="A8:A21" si="1">+A7+1</f>
        <v>2</v>
      </c>
      <c r="B8" t="s">
        <v>48</v>
      </c>
      <c r="C8" s="24">
        <v>16</v>
      </c>
      <c r="D8" s="9"/>
      <c r="E8" s="23">
        <v>-130.78</v>
      </c>
      <c r="F8" s="23">
        <v>-110.37</v>
      </c>
      <c r="G8" s="23">
        <v>-116.22</v>
      </c>
      <c r="H8" s="23">
        <v>-103.35</v>
      </c>
      <c r="I8" s="23">
        <v>-76.7</v>
      </c>
      <c r="J8" s="23">
        <v>-89.83</v>
      </c>
      <c r="K8" s="23">
        <v>-82.42</v>
      </c>
      <c r="L8" s="23">
        <v>-45.877419354838707</v>
      </c>
      <c r="M8" s="23"/>
      <c r="N8" s="10">
        <f t="shared" si="0"/>
        <v>-755.54741935483878</v>
      </c>
    </row>
    <row r="9" spans="1:14" ht="15" x14ac:dyDescent="0.25">
      <c r="A9" s="9">
        <f t="shared" si="1"/>
        <v>3</v>
      </c>
      <c r="B9" t="s">
        <v>47</v>
      </c>
      <c r="C9" s="24">
        <v>31</v>
      </c>
      <c r="D9" s="9"/>
      <c r="E9" s="23">
        <v>-98165.680000000008</v>
      </c>
      <c r="F9" s="23">
        <v>-139611.60999999999</v>
      </c>
      <c r="G9" s="23">
        <v>-171913.60000000001</v>
      </c>
      <c r="H9" s="23">
        <v>-164509.18</v>
      </c>
      <c r="I9" s="23">
        <v>-148832</v>
      </c>
      <c r="J9" s="23">
        <v>-135081.15</v>
      </c>
      <c r="K9" s="23">
        <v>-107810.73</v>
      </c>
      <c r="L9" s="23">
        <v>-52754.322580645159</v>
      </c>
      <c r="M9" s="23"/>
      <c r="N9" s="10">
        <f t="shared" si="0"/>
        <v>-1018678.2725806453</v>
      </c>
    </row>
    <row r="10" spans="1:14" ht="15" x14ac:dyDescent="0.25">
      <c r="A10" s="9">
        <f t="shared" si="1"/>
        <v>4</v>
      </c>
      <c r="B10" t="s">
        <v>46</v>
      </c>
      <c r="C10" s="24">
        <v>41</v>
      </c>
      <c r="D10" s="12"/>
      <c r="E10" s="23">
        <v>-17366.899999999998</v>
      </c>
      <c r="F10" s="23">
        <v>-19535.89</v>
      </c>
      <c r="G10" s="23">
        <v>-20725.11</v>
      </c>
      <c r="H10" s="23">
        <v>-19989.350000000002</v>
      </c>
      <c r="I10" s="23">
        <v>-19320.93</v>
      </c>
      <c r="J10" s="23">
        <v>-18614.57</v>
      </c>
      <c r="K10" s="23">
        <v>-17289.79</v>
      </c>
      <c r="L10" s="23">
        <v>-10074.574193548387</v>
      </c>
      <c r="M10" s="23"/>
      <c r="N10" s="10">
        <f t="shared" si="0"/>
        <v>-142917.11419354839</v>
      </c>
    </row>
    <row r="11" spans="1:14" ht="15" x14ac:dyDescent="0.25">
      <c r="A11" s="9">
        <f t="shared" si="1"/>
        <v>5</v>
      </c>
      <c r="B11" t="s">
        <v>45</v>
      </c>
      <c r="C11" s="24">
        <v>85</v>
      </c>
      <c r="D11" s="13"/>
      <c r="E11" s="23">
        <v>-1522.57</v>
      </c>
      <c r="F11" s="23">
        <v>-1838.29</v>
      </c>
      <c r="G11" s="23">
        <v>-2066.71</v>
      </c>
      <c r="H11" s="23">
        <v>-2173.08</v>
      </c>
      <c r="I11" s="23">
        <v>-2108.3199999999997</v>
      </c>
      <c r="J11" s="23">
        <v>-1936.38</v>
      </c>
      <c r="K11" s="23">
        <v>-1777.31</v>
      </c>
      <c r="L11" s="23">
        <v>-902.94193548387102</v>
      </c>
      <c r="M11" s="23"/>
      <c r="N11" s="10">
        <f t="shared" si="0"/>
        <v>-14325.601935483868</v>
      </c>
    </row>
    <row r="12" spans="1:14" ht="15" x14ac:dyDescent="0.25">
      <c r="A12" s="9">
        <f t="shared" si="1"/>
        <v>6</v>
      </c>
      <c r="B12" t="s">
        <v>44</v>
      </c>
      <c r="C12" s="24">
        <v>86</v>
      </c>
      <c r="D12" s="13"/>
      <c r="E12" s="23">
        <v>-1714.6599999999999</v>
      </c>
      <c r="F12" s="23">
        <v>-2154.0700000000002</v>
      </c>
      <c r="G12" s="23">
        <v>-2777.79</v>
      </c>
      <c r="H12" s="23">
        <v>-2628.61</v>
      </c>
      <c r="I12" s="23">
        <v>-2596.6400000000003</v>
      </c>
      <c r="J12" s="23">
        <v>-2463.92</v>
      </c>
      <c r="K12" s="23">
        <v>-2277.1800000000003</v>
      </c>
      <c r="L12" s="23">
        <v>-1141.0838709677419</v>
      </c>
      <c r="M12" s="23"/>
      <c r="N12" s="10">
        <f t="shared" si="0"/>
        <v>-17753.953870967744</v>
      </c>
    </row>
    <row r="13" spans="1:14" ht="15" x14ac:dyDescent="0.25">
      <c r="A13" s="9">
        <f t="shared" si="1"/>
        <v>7</v>
      </c>
      <c r="B13" t="s">
        <v>43</v>
      </c>
      <c r="C13" s="24">
        <v>87</v>
      </c>
      <c r="D13" s="13"/>
      <c r="E13" s="23">
        <v>-1258.95</v>
      </c>
      <c r="F13" s="23">
        <v>-1317.4499999999998</v>
      </c>
      <c r="G13" s="23">
        <v>-1467.0800000000002</v>
      </c>
      <c r="H13" s="23">
        <v>-1377.4900000000002</v>
      </c>
      <c r="I13" s="23">
        <v>-1217.1099999999999</v>
      </c>
      <c r="J13" s="23">
        <v>-1138.1999999999998</v>
      </c>
      <c r="K13" s="23">
        <v>-895.08</v>
      </c>
      <c r="L13" s="23">
        <v>-523.12258064516129</v>
      </c>
      <c r="M13" s="23"/>
      <c r="N13" s="10">
        <f t="shared" si="0"/>
        <v>-9194.4825806451609</v>
      </c>
    </row>
    <row r="14" spans="1:14" ht="15" x14ac:dyDescent="0.25">
      <c r="A14" s="9">
        <f t="shared" si="1"/>
        <v>8</v>
      </c>
      <c r="B14" t="s">
        <v>42</v>
      </c>
      <c r="C14" s="24" t="s">
        <v>41</v>
      </c>
      <c r="D14" s="9"/>
      <c r="E14" s="23">
        <v>-17.759999999999998</v>
      </c>
      <c r="F14" s="23">
        <v>-20.67</v>
      </c>
      <c r="G14" s="23">
        <v>-25.53</v>
      </c>
      <c r="H14" s="23">
        <v>-21.23</v>
      </c>
      <c r="I14" s="23">
        <v>-19.670000000000002</v>
      </c>
      <c r="J14" s="23">
        <v>-18.64</v>
      </c>
      <c r="K14" s="23">
        <v>-16.52</v>
      </c>
      <c r="L14" s="23">
        <v>-9.7290322580645157</v>
      </c>
      <c r="M14" s="23"/>
      <c r="N14" s="10">
        <f t="shared" si="0"/>
        <v>-149.74903225806452</v>
      </c>
    </row>
    <row r="15" spans="1:14" ht="15" x14ac:dyDescent="0.25">
      <c r="A15" s="9">
        <f t="shared" si="1"/>
        <v>9</v>
      </c>
      <c r="B15" t="s">
        <v>40</v>
      </c>
      <c r="C15" s="24" t="s">
        <v>39</v>
      </c>
      <c r="D15" s="13"/>
      <c r="E15" s="23">
        <v>-5285.67</v>
      </c>
      <c r="F15" s="23">
        <v>-5578.4</v>
      </c>
      <c r="G15" s="23">
        <v>-5837.27</v>
      </c>
      <c r="H15" s="23">
        <v>-5740.59</v>
      </c>
      <c r="I15" s="23">
        <v>-5666.6500000000005</v>
      </c>
      <c r="J15" s="23">
        <v>-5746.44</v>
      </c>
      <c r="K15" s="23">
        <v>-5469.3</v>
      </c>
      <c r="L15" s="23">
        <v>-3472.7677419354832</v>
      </c>
      <c r="M15" s="23"/>
      <c r="N15" s="10">
        <f t="shared" si="0"/>
        <v>-42797.087741935487</v>
      </c>
    </row>
    <row r="16" spans="1:14" ht="15" x14ac:dyDescent="0.25">
      <c r="A16" s="9">
        <f t="shared" si="1"/>
        <v>10</v>
      </c>
      <c r="B16" t="s">
        <v>38</v>
      </c>
      <c r="C16" s="24" t="s">
        <v>37</v>
      </c>
      <c r="D16" s="12"/>
      <c r="E16" s="23">
        <v>-8696.14</v>
      </c>
      <c r="F16" s="23">
        <v>-9049.8700000000008</v>
      </c>
      <c r="G16" s="23">
        <v>-8204.58</v>
      </c>
      <c r="H16" s="23">
        <v>-8469.52</v>
      </c>
      <c r="I16" s="23">
        <v>-8541.4399999999987</v>
      </c>
      <c r="J16" s="23">
        <v>-8718.26</v>
      </c>
      <c r="K16" s="23">
        <v>-9219.1</v>
      </c>
      <c r="L16" s="23">
        <v>-5930.4838709677415</v>
      </c>
      <c r="M16" s="23"/>
      <c r="N16" s="10">
        <f t="shared" si="0"/>
        <v>-66829.393870967746</v>
      </c>
    </row>
    <row r="17" spans="1:14" ht="15" x14ac:dyDescent="0.25">
      <c r="A17" s="9">
        <f t="shared" si="1"/>
        <v>11</v>
      </c>
      <c r="B17" t="s">
        <v>36</v>
      </c>
      <c r="C17" s="24" t="s">
        <v>35</v>
      </c>
      <c r="D17" s="9"/>
      <c r="E17" s="23">
        <v>-54.41</v>
      </c>
      <c r="F17" s="23">
        <v>-86.09</v>
      </c>
      <c r="G17" s="23">
        <v>-86.65</v>
      </c>
      <c r="H17" s="23">
        <v>-87.24</v>
      </c>
      <c r="I17" s="23">
        <v>-86.56</v>
      </c>
      <c r="J17" s="23">
        <v>-85.15</v>
      </c>
      <c r="K17" s="23">
        <v>-72.709999999999994</v>
      </c>
      <c r="L17" s="23">
        <v>-42.167741935483875</v>
      </c>
      <c r="M17" s="23"/>
      <c r="N17" s="10">
        <f t="shared" si="0"/>
        <v>-600.97774193548389</v>
      </c>
    </row>
    <row r="18" spans="1:14" ht="15" x14ac:dyDescent="0.25">
      <c r="A18" s="9">
        <f t="shared" si="1"/>
        <v>12</v>
      </c>
      <c r="B18" t="s">
        <v>34</v>
      </c>
      <c r="C18" s="24" t="s">
        <v>33</v>
      </c>
      <c r="D18" s="9"/>
      <c r="E18" s="23">
        <v>-5180.01</v>
      </c>
      <c r="F18" s="23">
        <v>-4691.6899999999996</v>
      </c>
      <c r="G18" s="23">
        <v>-4868.82</v>
      </c>
      <c r="H18" s="23">
        <v>-4879.1099999999997</v>
      </c>
      <c r="I18" s="23">
        <v>-4725.59</v>
      </c>
      <c r="J18" s="23">
        <v>-5177.0300000000007</v>
      </c>
      <c r="K18" s="23">
        <v>-4719.74</v>
      </c>
      <c r="L18" s="23">
        <v>-3557.6258064516128</v>
      </c>
      <c r="M18" s="23"/>
      <c r="N18" s="10">
        <f t="shared" si="0"/>
        <v>-37799.615806451613</v>
      </c>
    </row>
    <row r="19" spans="1:14" ht="15" x14ac:dyDescent="0.25">
      <c r="A19" s="9">
        <f t="shared" si="1"/>
        <v>13</v>
      </c>
      <c r="B19" t="s">
        <v>32</v>
      </c>
      <c r="C19" s="24"/>
      <c r="D19" s="9"/>
      <c r="E19" s="23">
        <v>-921.16</v>
      </c>
      <c r="F19" s="23">
        <v>-921.16</v>
      </c>
      <c r="G19" s="23">
        <v>-921.16</v>
      </c>
      <c r="H19" s="23">
        <v>-921.16</v>
      </c>
      <c r="I19" s="23">
        <v>-921.16</v>
      </c>
      <c r="J19" s="23">
        <v>-921.16</v>
      </c>
      <c r="K19" s="23">
        <v>-921.16</v>
      </c>
      <c r="L19" s="23">
        <v>-594.29677419354834</v>
      </c>
      <c r="M19" s="23"/>
      <c r="N19" s="10">
        <f t="shared" si="0"/>
        <v>-7042.416774193548</v>
      </c>
    </row>
    <row r="20" spans="1:14" ht="15" x14ac:dyDescent="0.25">
      <c r="A20" s="9">
        <f t="shared" si="1"/>
        <v>14</v>
      </c>
      <c r="B20" s="22" t="s">
        <v>31</v>
      </c>
      <c r="C20" s="24"/>
      <c r="D20" s="9"/>
      <c r="E20" s="23">
        <v>-6026.96</v>
      </c>
      <c r="F20" s="23">
        <v>-5978.7</v>
      </c>
      <c r="G20" s="23">
        <v>-5947.62</v>
      </c>
      <c r="H20" s="23">
        <v>-6240.7600000000011</v>
      </c>
      <c r="I20" s="23">
        <v>-6212.66</v>
      </c>
      <c r="J20" s="23">
        <v>-6196.9699999999993</v>
      </c>
      <c r="K20" s="23">
        <v>-6171.8499999999985</v>
      </c>
      <c r="L20" s="23">
        <v>-3972.6903225806445</v>
      </c>
      <c r="M20" s="23"/>
      <c r="N20" s="10">
        <f t="shared" si="0"/>
        <v>-46748.210322580642</v>
      </c>
    </row>
    <row r="21" spans="1:14" ht="15.75" thickBot="1" x14ac:dyDescent="0.3">
      <c r="A21" s="9">
        <f t="shared" si="1"/>
        <v>15</v>
      </c>
      <c r="B21" s="22" t="s">
        <v>58</v>
      </c>
      <c r="C21" s="9"/>
      <c r="D21" s="9"/>
      <c r="E21" s="8">
        <f t="shared" ref="E21:L21" si="2">SUM(E7:E20)</f>
        <v>-469838.79000000004</v>
      </c>
      <c r="F21" s="8">
        <f t="shared" si="2"/>
        <v>-679384.49999999988</v>
      </c>
      <c r="G21" s="8">
        <f t="shared" si="2"/>
        <v>-825342.17999999993</v>
      </c>
      <c r="H21" s="8">
        <f t="shared" si="2"/>
        <v>-782474.04999999981</v>
      </c>
      <c r="I21" s="8">
        <f t="shared" si="2"/>
        <v>-711789.71000000008</v>
      </c>
      <c r="J21" s="8">
        <f t="shared" si="2"/>
        <v>-643859.68000000005</v>
      </c>
      <c r="K21" s="8">
        <f t="shared" si="2"/>
        <v>-519185.47999999986</v>
      </c>
      <c r="L21" s="8">
        <f t="shared" si="2"/>
        <v>-252945.39999999994</v>
      </c>
      <c r="M21" s="8"/>
      <c r="N21" s="8">
        <f>SUM(N7:N20)</f>
        <v>-4884819.79</v>
      </c>
    </row>
    <row r="22" spans="1:14" s="5" customFormat="1" ht="15.75" thickTop="1" x14ac:dyDescent="0.25">
      <c r="A22" s="7"/>
      <c r="B22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</row>
    <row r="25" spans="1:14" x14ac:dyDescent="0.2">
      <c r="B25" s="4" t="s">
        <v>54</v>
      </c>
      <c r="E25" s="10"/>
      <c r="G25" s="10"/>
      <c r="I25" s="10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70" orientation="landscape" horizontalDpi="90" verticalDpi="90" r:id="rId1"/>
  <headerFooter>
    <oddFooter>&amp;CPage #&amp;P of &amp;P&amp;R&amp;F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A6D86C-4F49-42C3-BEE5-3F6C3BC52AD0}"/>
</file>

<file path=customXml/itemProps2.xml><?xml version="1.0" encoding="utf-8"?>
<ds:datastoreItem xmlns:ds="http://schemas.openxmlformats.org/officeDocument/2006/customXml" ds:itemID="{E2F418F7-D65B-466E-9FD0-99487259CB8B}"/>
</file>

<file path=customXml/itemProps3.xml><?xml version="1.0" encoding="utf-8"?>
<ds:datastoreItem xmlns:ds="http://schemas.openxmlformats.org/officeDocument/2006/customXml" ds:itemID="{1F8CCB69-FD66-4FE9-B250-1FF4F80ED3D1}"/>
</file>

<file path=customXml/itemProps4.xml><?xml version="1.0" encoding="utf-8"?>
<ds:datastoreItem xmlns:ds="http://schemas.openxmlformats.org/officeDocument/2006/customXml" ds:itemID="{2A6F9917-728D-4012-AF22-FC903321E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Exh BGM-7 ARAM</vt:lpstr>
      <vt:lpstr>Table 9</vt:lpstr>
      <vt:lpstr>Table 10</vt:lpstr>
      <vt:lpstr>Electric 141X</vt:lpstr>
      <vt:lpstr>Gas 141X</vt:lpstr>
      <vt:lpstr>Electric 141X (p)</vt:lpstr>
      <vt:lpstr>Gas 141X (p)</vt:lpstr>
      <vt:lpstr>'Exh BGM-7 ARAM'!Print_Titles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2019-11-20T14:00:01Z</dcterms:created>
  <dcterms:modified xsi:type="dcterms:W3CDTF">2019-11-22T19:06:48Z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