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260" windowHeight="10365" activeTab="0"/>
  </bookViews>
  <sheets>
    <sheet name="12.01" sheetId="1" r:id="rId1"/>
    <sheet name="Water Heaters Schedule" sheetId="2" r:id="rId2"/>
    <sheet name="Comparison Schedule new" sheetId="3" r:id="rId3"/>
    <sheet name="Depr Exp" sheetId="4" r:id="rId4"/>
    <sheet name="12ME_12_2010" sheetId="5" state="hidden" r:id="rId5"/>
    <sheet name="Compar. Sched. Original" sheetId="6" r:id="rId6"/>
    <sheet name="Depr fr PA 2010" sheetId="7" state="hidden" r:id="rId7"/>
    <sheet name="Accum Dep" sheetId="8" r:id="rId8"/>
    <sheet name="DFIT" sheetId="9" r:id="rId9"/>
  </sheets>
  <externalReferences>
    <externalReference r:id="rId12"/>
  </externalReferences>
  <definedNames>
    <definedName name="__123Graph_ECURRENT" localSheetId="0" hidden="1">'[1]ConsolidatingPL'!#REF!</definedName>
    <definedName name="__123Graph_ECURRENT" hidden="1">'[1]ConsolidatingPL'!#REF!</definedName>
    <definedName name="_Order1" hidden="1">255</definedName>
    <definedName name="_Order2" hidden="1">255</definedName>
    <definedName name="a" hidden="1">{#N/A,#N/A,FALSE,"Coversheet";#N/A,#N/A,FALSE,"QA"}</definedName>
    <definedName name="AccessDatabase" hidden="1">"I:\COMTREL\FINICLE\TradeSummary.mdb"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_xlnm.Print_Titles" localSheetId="4">'12ME_12_2010'!$3:$10</definedName>
    <definedName name="_xlnm.Print_Titles" localSheetId="3">'Depr Exp'!$A:$F</definedName>
    <definedName name="_xlnm.Print_Titles" localSheetId="6">'Depr fr PA 2010'!$4:$5</definedName>
    <definedName name="qqq" hidden="1">{#N/A,#N/A,FALSE,"schA"}</definedName>
    <definedName name="six" hidden="1">{#N/A,#N/A,FALSE,"Drill Sites";"WP 212",#N/A,FALSE,"MWAG EOR";"WP 213",#N/A,FALSE,"MWAG EOR";#N/A,#N/A,FALSE,"Misc. Facility";#N/A,#N/A,FALSE,"WWTP"}</definedName>
    <definedName name="six6" hidden="1">{#N/A,#N/A,FALSE,"CRPT";#N/A,#N/A,FALSE,"TREND";#N/A,#N/A,FALSE,"%Curve"}</definedName>
    <definedName name="t" hidden="1">{#N/A,#N/A,FALSE,"CESTSUM";#N/A,#N/A,FALSE,"est sum A";#N/A,#N/A,FALSE,"est detail A"}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www1" hidden="1">{#N/A,#N/A,FALSE,"schA"}</definedName>
  </definedNames>
  <calcPr fullCalcOnLoad="1"/>
</workbook>
</file>

<file path=xl/comments4.xml><?xml version="1.0" encoding="utf-8"?>
<comments xmlns="http://schemas.openxmlformats.org/spreadsheetml/2006/main">
  <authors>
    <author>Puget Sound Energy</author>
  </authors>
  <commentList>
    <comment ref="CG4" authorId="0">
      <text>
        <r>
          <rPr>
            <sz val="8"/>
            <rFont val="Tahoma"/>
            <family val="2"/>
          </rPr>
          <t xml:space="preserve">PP g386 Book Cost. Part 2
</t>
        </r>
      </text>
    </comment>
    <comment ref="CH4" authorId="0">
      <text>
        <r>
          <rPr>
            <sz val="8"/>
            <rFont val="Tahoma"/>
            <family val="0"/>
          </rPr>
          <t xml:space="preserve">PP G386 Allocated Resv
Part 2
</t>
        </r>
      </text>
    </comment>
    <comment ref="CJ4" authorId="0">
      <text>
        <r>
          <rPr>
            <sz val="8"/>
            <rFont val="Tahoma"/>
            <family val="0"/>
          </rPr>
          <t>PP G386 Calculated Exp=COR Activity
. Part 1</t>
        </r>
      </text>
    </comment>
  </commentList>
</comments>
</file>

<file path=xl/sharedStrings.xml><?xml version="1.0" encoding="utf-8"?>
<sst xmlns="http://schemas.openxmlformats.org/spreadsheetml/2006/main" count="422" uniqueCount="314">
  <si>
    <t>ACCOUNT</t>
  </si>
  <si>
    <t>DESCRIPTION</t>
  </si>
  <si>
    <t>RATE</t>
  </si>
  <si>
    <t>LINE</t>
  </si>
  <si>
    <t>NO.</t>
  </si>
  <si>
    <t>ACTUAL</t>
  </si>
  <si>
    <t>ADJUSTMENT</t>
  </si>
  <si>
    <t>RESTATED</t>
  </si>
  <si>
    <t>PUGET SOUND ENERGY - GAS</t>
  </si>
  <si>
    <t>ADJUSTMENT TO RATE BASE</t>
  </si>
  <si>
    <t>ADJUSTMENT TO OPERATING EXPENSES</t>
  </si>
  <si>
    <t>TOTAL  ADJUSTMENT TO RATEBASE</t>
  </si>
  <si>
    <t>TOTAL</t>
  </si>
  <si>
    <t xml:space="preserve"> </t>
  </si>
  <si>
    <t>Docket Numbers UG-</t>
  </si>
  <si>
    <t>Depreciation Summary History</t>
  </si>
  <si>
    <t>PSE</t>
  </si>
  <si>
    <t>Start Month:</t>
  </si>
  <si>
    <t>End Month:</t>
  </si>
  <si>
    <t>Beginning</t>
  </si>
  <si>
    <t>Life</t>
  </si>
  <si>
    <t>Life Annual</t>
  </si>
  <si>
    <t>COR Base</t>
  </si>
  <si>
    <t>COR</t>
  </si>
  <si>
    <t>Plant Balance</t>
  </si>
  <si>
    <t>Depr Base</t>
  </si>
  <si>
    <t>Depr Rate</t>
  </si>
  <si>
    <t>Depr</t>
  </si>
  <si>
    <t>Ending Reserve</t>
  </si>
  <si>
    <t>COR Rate</t>
  </si>
  <si>
    <t>COR Depr
Exp</t>
  </si>
  <si>
    <t>End Reserve</t>
  </si>
  <si>
    <t>Depreciation</t>
  </si>
  <si>
    <t>G3861 DST Com Water Heater</t>
  </si>
  <si>
    <t>Depr Group Total:</t>
  </si>
  <si>
    <t>G3861 DST Com Water Heater &lt; 1994</t>
  </si>
  <si>
    <t>G3862 DST Res Water Heater</t>
  </si>
  <si>
    <t>G3862 DST Res Water Heater &lt; 1994</t>
  </si>
  <si>
    <t>G3863 DST Res Conv Burner</t>
  </si>
  <si>
    <t>G3865 DST Com Conv Burner</t>
  </si>
  <si>
    <t>Company/Set of Books Total:</t>
  </si>
  <si>
    <t>Page 1 of 1</t>
  </si>
  <si>
    <t>Depr - 1039</t>
  </si>
  <si>
    <t>PUGET SOUND ENERGY, INC.</t>
  </si>
  <si>
    <t>COMPARISON OF EXISTING AND PROPOSED DEPRECIATION RATES</t>
  </si>
  <si>
    <t>EXISTING</t>
  </si>
  <si>
    <t>PROPOSED</t>
  </si>
  <si>
    <t xml:space="preserve">ORIGINAL </t>
  </si>
  <si>
    <t xml:space="preserve">BOOK </t>
  </si>
  <si>
    <t>FUTURE</t>
  </si>
  <si>
    <t>SURVIVOR</t>
  </si>
  <si>
    <t>NET</t>
  </si>
  <si>
    <t>ANNUAL ACCRUAL</t>
  </si>
  <si>
    <t>COMPOSITE</t>
  </si>
  <si>
    <t>INCREASE/</t>
  </si>
  <si>
    <t>COST</t>
  </si>
  <si>
    <t>RESERVE (a)</t>
  </si>
  <si>
    <t>ACCRUALS</t>
  </si>
  <si>
    <t>CURVE</t>
  </si>
  <si>
    <t>SALVAGE</t>
  </si>
  <si>
    <t>AMOUNT</t>
  </si>
  <si>
    <t>REM. LIFE</t>
  </si>
  <si>
    <t>DECREASE</t>
  </si>
  <si>
    <t>(8)=(2)x(7)</t>
  </si>
  <si>
    <t>(13)=(4)/(12)</t>
  </si>
  <si>
    <t>(14)=(12)-(8)</t>
  </si>
  <si>
    <t>ACCOUNT 386, GAS RENTAL EQUIPMENT</t>
  </si>
  <si>
    <t>COMMERCIAL WATER HEATERS</t>
  </si>
  <si>
    <t>-</t>
  </si>
  <si>
    <t>RESIDENTIAL WATER HEATERS</t>
  </si>
  <si>
    <t>RESIDENTIAL CONVERSION BURNERS</t>
  </si>
  <si>
    <t>COMMERCIAL CONVERSION BURNERS</t>
  </si>
  <si>
    <t>TOTAL ACCOUNT 386</t>
  </si>
  <si>
    <t>(a) The book reserve for Account 386 has been allocated to each subaccount in proportion to the theoretical reserve.</t>
  </si>
  <si>
    <t xml:space="preserve"> DEPRECIATION EXPENSE</t>
  </si>
  <si>
    <t xml:space="preserve">TOTAL WATER HEATERS DEPRECIATION EXPENSE </t>
  </si>
  <si>
    <t xml:space="preserve">R1   </t>
  </si>
  <si>
    <t xml:space="preserve">L1.5 </t>
  </si>
  <si>
    <t xml:space="preserve">L2.5 </t>
  </si>
  <si>
    <t>GAS WATER HEATERS DEPRECIATION</t>
  </si>
  <si>
    <t>COR Depr Exp</t>
  </si>
  <si>
    <t>FERC</t>
  </si>
  <si>
    <t>Description</t>
  </si>
  <si>
    <t>Group
Asset</t>
  </si>
  <si>
    <t>Asset</t>
  </si>
  <si>
    <t>First
Vintage</t>
  </si>
  <si>
    <t>Corrected
FERC 10/08</t>
  </si>
  <si>
    <t xml:space="preserve">Gas Rental Equipment
</t>
  </si>
  <si>
    <t>G3863</t>
  </si>
  <si>
    <t>G3861</t>
  </si>
  <si>
    <t>COMMERCIAL WATER HEATER - pre 1994</t>
  </si>
  <si>
    <t>COMMERCIAL WATER HEATER - post 1993</t>
  </si>
  <si>
    <t>G3867</t>
  </si>
  <si>
    <t>G3862</t>
  </si>
  <si>
    <t>RESIDENTIAL WATER HEATER ONLY - pre 1994</t>
  </si>
  <si>
    <t>RESIDENTIAL WATER HEATER - post 1993</t>
  </si>
  <si>
    <t>G3865</t>
  </si>
  <si>
    <t>RESID CONVERSION BURNER ONLY - pre 1994</t>
  </si>
  <si>
    <t>RESID CONVERSION BURNER ONLY - post 1993</t>
  </si>
  <si>
    <t>G3869</t>
  </si>
  <si>
    <t>CIRCULATING HEATER</t>
  </si>
  <si>
    <t>G386</t>
  </si>
  <si>
    <t>COMM CONVERSION BURNER ONLY - pre 1994</t>
  </si>
  <si>
    <t>COMM CONVERSION BURNER ONLY - post 1993</t>
  </si>
  <si>
    <t>G3868</t>
  </si>
  <si>
    <t>RES WATER HTR PIPE &amp; VENT - pre 1994</t>
  </si>
  <si>
    <t>G3866</t>
  </si>
  <si>
    <t>RESID CONVERSION BURNER PIPE&amp;VENT - pre 1994</t>
  </si>
  <si>
    <t>COMMERCIAL CONVERSION BURNER PIPE &amp; VENT - pre 1994</t>
  </si>
  <si>
    <t xml:space="preserve">  1090215     1070639</t>
  </si>
  <si>
    <t>COMMERCIAL CONVERSION BURNER - pre 1994</t>
  </si>
  <si>
    <t xml:space="preserve">  1090216     1040146</t>
  </si>
  <si>
    <t>COMMERCIAL CONVERSION BURNER - post 1993</t>
  </si>
  <si>
    <t>AMOUNT OVER (UNDER)</t>
  </si>
  <si>
    <t>Total</t>
  </si>
  <si>
    <t>Test Year Depreciation</t>
  </si>
  <si>
    <t>Accrual Using New Rates</t>
  </si>
  <si>
    <t>Difference between Test Year and the Restated Amounts</t>
  </si>
  <si>
    <t>Depreciation Base:</t>
  </si>
  <si>
    <t>New depr rate</t>
  </si>
  <si>
    <t>G386.1</t>
  </si>
  <si>
    <t>Commercial water heaters</t>
  </si>
  <si>
    <t>G386.2</t>
  </si>
  <si>
    <t>Residential water heaters</t>
  </si>
  <si>
    <t>G386.3</t>
  </si>
  <si>
    <t>Residential conversion burners</t>
  </si>
  <si>
    <t>G386.5</t>
  </si>
  <si>
    <t>Commercial conversion burners</t>
  </si>
  <si>
    <t>Depreciation Expense:</t>
  </si>
  <si>
    <t>12 ME Depr</t>
  </si>
  <si>
    <t>Totals</t>
  </si>
  <si>
    <t>IMPACT ON ACCUMULATED DEPRECIATION BALANCE ASSUMING ADJUSTMENT INCLUDED RATABLY OVER TEST YEAR</t>
  </si>
  <si>
    <t>AMA ==&gt;</t>
  </si>
  <si>
    <t>(DECREASE)</t>
  </si>
  <si>
    <t>AS OF MARCH 31, 2010</t>
  </si>
  <si>
    <t>Accumulated Depreciation 
December 2010</t>
  </si>
  <si>
    <t>Net Book Value 
December 2010</t>
  </si>
  <si>
    <t xml:space="preserve">
Depreciation Expense
December 2010</t>
  </si>
  <si>
    <t>Depreciation 
Expense Year to Date 
December 2010</t>
  </si>
  <si>
    <t>Rolling 12 Month Depreciation
Expense 
December 2010</t>
  </si>
  <si>
    <t>Beginning Plant Balance</t>
  </si>
  <si>
    <t>Life Depr Base</t>
  </si>
  <si>
    <t>Life Annual Depr Rate</t>
  </si>
  <si>
    <t>Life Depr</t>
  </si>
  <si>
    <t>End Life Reserve</t>
  </si>
  <si>
    <t>COR End Reserve</t>
  </si>
  <si>
    <t>Depr Group Total</t>
  </si>
  <si>
    <t xml:space="preserve">Exhibit No. ______ </t>
  </si>
  <si>
    <t>FOR THE TWELVE MONTHS ENDED DECEMBER 31,2010</t>
  </si>
  <si>
    <t>2011 GENERAL RATE INCREASE</t>
  </si>
  <si>
    <t>DEPRECIATION EXPENSE TEST YEAR</t>
  </si>
  <si>
    <t>Acquisition Value
November 2009</t>
  </si>
  <si>
    <t>Accumulated Depreciation 
November 2009</t>
  </si>
  <si>
    <t>Net Book Value 
November 2009</t>
  </si>
  <si>
    <t xml:space="preserve">
Depreciation Expense
November 2009</t>
  </si>
  <si>
    <t>Depreciation 
Expense Year to Date 
November 2009</t>
  </si>
  <si>
    <t>Rolling 12 Month Depreciation
Expense 
November 2009</t>
  </si>
  <si>
    <t>Acquisition Value
December 2009</t>
  </si>
  <si>
    <t>Accumulated Depreciation 
December 2009</t>
  </si>
  <si>
    <t>Net Book Value 
December 2009</t>
  </si>
  <si>
    <t xml:space="preserve">
Depreciation Expense
December 2009</t>
  </si>
  <si>
    <t>Depreciation 
Expense Year to Date 
December 2009</t>
  </si>
  <si>
    <t>Rolling 12 Month Depreciation
Expense 
December 2009</t>
  </si>
  <si>
    <t>Acquisition Value
January 2010</t>
  </si>
  <si>
    <t>Accumulated Depreciation 
January 2010</t>
  </si>
  <si>
    <t>Net Book Value 
January 2010</t>
  </si>
  <si>
    <t xml:space="preserve">
Depreciation Expense
January 2010</t>
  </si>
  <si>
    <t>Depreciation 
Expense Year to Date 
January 2010</t>
  </si>
  <si>
    <t>Rolling 12 Month Depreciation
Expense 
January 2010</t>
  </si>
  <si>
    <t>Acquisition Value
February 2010</t>
  </si>
  <si>
    <t>Accumulated Depreciation 
February 2010</t>
  </si>
  <si>
    <t>Net Book Value 
February 2010</t>
  </si>
  <si>
    <t xml:space="preserve">
Depreciation Expense
February 2010</t>
  </si>
  <si>
    <t>Depreciation 
Expense Year to Date 
February 2010</t>
  </si>
  <si>
    <t>Rolling 12 Month Depreciation
Expense 
February 2010</t>
  </si>
  <si>
    <t>Acquisition Value
March 2010</t>
  </si>
  <si>
    <t>Accumulated Depreciation 
March 2010</t>
  </si>
  <si>
    <t>Net Book Value 
March 2010</t>
  </si>
  <si>
    <t xml:space="preserve">
Depreciation Expense
March 2010</t>
  </si>
  <si>
    <t>Depreciation 
Expense Year to Date 
March 2010</t>
  </si>
  <si>
    <t>Rolling 12 Month Depreciation
Expense 
March 2010</t>
  </si>
  <si>
    <t>Acquisition Value
April 2010</t>
  </si>
  <si>
    <t>Accumulated Depreciation 
April 2010</t>
  </si>
  <si>
    <t>Net Book Value 
April 2010</t>
  </si>
  <si>
    <t xml:space="preserve">
Depreciation Expense
April 2010</t>
  </si>
  <si>
    <t>Depreciation 
Expense Year to Date 
April 2010</t>
  </si>
  <si>
    <t>Rolling 12 Month Depreciation
Expense 
April 2010</t>
  </si>
  <si>
    <t>Acquisition Value
May 2010</t>
  </si>
  <si>
    <t>Accumulated Depreciation 
May 2010</t>
  </si>
  <si>
    <t>Net Book Value 
May 2010</t>
  </si>
  <si>
    <t xml:space="preserve">
Depreciation Expense
May 2010</t>
  </si>
  <si>
    <t>Depreciation 
Expense Year to Date 
May 2010</t>
  </si>
  <si>
    <t>Rolling 12 Month Depreciation
Expense 
May 2010</t>
  </si>
  <si>
    <t>Acquisition Value
June 2010</t>
  </si>
  <si>
    <t>Accumulated Depreciation 
June 2010</t>
  </si>
  <si>
    <t>Net Book Value 
June 2010</t>
  </si>
  <si>
    <t xml:space="preserve">
Depreciation Expense
June 2010</t>
  </si>
  <si>
    <t>Depreciation 
Expense Year to Date 
June 2010</t>
  </si>
  <si>
    <t>Rolling 12 Month Depreciation
Expense 
June 2010</t>
  </si>
  <si>
    <t>Acquisition Value
July 2010</t>
  </si>
  <si>
    <t>Accumulated Depreciation 
July 2010</t>
  </si>
  <si>
    <t>Net Book Value 
July 2010</t>
  </si>
  <si>
    <t xml:space="preserve">
Depreciation Expense
July 2010</t>
  </si>
  <si>
    <t>Depreciation 
Expense Year to Date 
July 2010</t>
  </si>
  <si>
    <t>Rolling 12 Month Depreciation
Expense 
July 2010</t>
  </si>
  <si>
    <t>Acquisition Value
August 2010</t>
  </si>
  <si>
    <t>Accumulated Depreciation 
August 2010</t>
  </si>
  <si>
    <t>Net Book Value 
August 2010</t>
  </si>
  <si>
    <t xml:space="preserve">
Depreciation Expense
August 2010</t>
  </si>
  <si>
    <t>Depreciation 
Expense Year to Date 
August 2010</t>
  </si>
  <si>
    <t>Rolling 12 Month Depreciation
Expense 
August 2010</t>
  </si>
  <si>
    <t>Acquisition Value
September 2010</t>
  </si>
  <si>
    <t>Accumulated Depreciation 
September 2010</t>
  </si>
  <si>
    <t>Net Book Value 
September 2010</t>
  </si>
  <si>
    <t xml:space="preserve">
Depreciation Expense
September 2010</t>
  </si>
  <si>
    <t>Depreciation 
Expense Year to Date 
September 2010</t>
  </si>
  <si>
    <t>Rolling 12 Month Depreciation
Expense 
September 2010</t>
  </si>
  <si>
    <t>Acquisition Value
October 2010</t>
  </si>
  <si>
    <t>Accumulated Depreciation 
October 2010</t>
  </si>
  <si>
    <t>Net Book Value 
October 2010</t>
  </si>
  <si>
    <t xml:space="preserve">
Depreciation Expense
October 2010</t>
  </si>
  <si>
    <t>Depreciation 
Expense Year to Date 
October 2010</t>
  </si>
  <si>
    <t>Rolling 12 Month Depreciation
Expense 
October 2010</t>
  </si>
  <si>
    <t>AMOUNT REQUIRED BY ORDER UG-060267 &amp; UG-072301</t>
  </si>
  <si>
    <t xml:space="preserve">* Effective 1/13/2007, WUTC General Rate Case order UG-060267 requires depreciation expense of no less than $8,536,339  ($711,362 monthly).  </t>
  </si>
  <si>
    <t xml:space="preserve"> Effective 04/08/2010, WUTC General Rate Case order UG-090705 requires depreciation expense of no less </t>
  </si>
  <si>
    <t>than $7,664,300 ($638,691.67/monthly).  (Unchanged from 2007 GRC).</t>
  </si>
  <si>
    <t xml:space="preserve"> The January 2007 required amount is $8,641,105 [($720,562 * 11) + (720,562 * 12/31) + ($711,367 * 19/31)].</t>
  </si>
  <si>
    <t>The February 2007 required amount is $8,631,905 [($720,562*10)+(720,562*12/31)+($711,362*19/31)+$711,362]</t>
  </si>
  <si>
    <t>The March 2007 required amount is $8,622,705 [(720,562*9)+(720,562*12/31)+($711,362*19/31)+(711,362*2)]</t>
  </si>
  <si>
    <t>The April 2007 required amount is $8,613,505 for rolling 12 months [(720,562*8)+(720,562*12/31)+(711,362*19/31)+(711,362*3)].</t>
  </si>
  <si>
    <t>The May 2007 required amount is $8,604,305 for rolling 12 months [(720,562*7)+(720,562*12/31)+(711,362*19/31)+(711,362*4)].</t>
  </si>
  <si>
    <t>The June 2007 required amount is $8,595,105 for rolling 12 months [(720,562*6)+(720,562*12/31)+(711,362*19/31)+(711,362*5)].</t>
  </si>
  <si>
    <t>The July 2007 required amount is $8,585,905 for rolling 12 months [(720,562*5)+(720,562*12/31)+(711,362*19/31)+(711,362*6)].</t>
  </si>
  <si>
    <t>The August 2007 required amount is $8,576,705 for rolling 12 months [(720,562*4)+(720,562*12/31)+(711,362*19/31)+(711,362*7)].</t>
  </si>
  <si>
    <t>The September 2007 required amount is $8,567,505 for rolling 12 months [(720,562*3)+(720,562*12/31)+(711,362*19/31)+(711,362*8)].</t>
  </si>
  <si>
    <t>The October 2007 required amount is $8,558,305 for rolling 12 months [(720,562*2)+(720,562*12/31)+(711,362*19/31)+(711,362*9)].</t>
  </si>
  <si>
    <t>The November 2007 required amount is $8,549,105 for rolling 12 months [(720,562*1)+(720,562*12/31)+(711,362*19/31)+(711,362*10)].</t>
  </si>
  <si>
    <t>The December 2007 required amount is $8,539,905 for rolling 12 months (720,562*12/31)+(711,362*19/31)+(711,362*11)].</t>
  </si>
  <si>
    <t>The January 2008 required amount is $8,536,344 for rolling 12 months (711,362*12).</t>
  </si>
  <si>
    <t xml:space="preserve"> For 11/08, prorated amount is $8,463,669 ($705,306 monthly), i.e. (8,536,339*11/12)+(7,664,300*1/12).</t>
  </si>
  <si>
    <t xml:space="preserve"> For 12/08, prorated amount is $8,390,999 ($699,250 monthly), i.e. (8,536,339*10/12)+(7,664,300*2/12).</t>
  </si>
  <si>
    <t xml:space="preserve"> For 1/09 prorated amount is $8,318,329 ($693,194 monthly), i.e. (8,536,339*9/12)+(7,664,300*3/12).</t>
  </si>
  <si>
    <t xml:space="preserve"> For 2/09 prorated amount is $8,245,659 ($687,138 monthly), i.e. (8,536,339*8/12)+(7,664,300*4/12).</t>
  </si>
  <si>
    <t xml:space="preserve"> For 3/09 prorated amount is $8,172,989 ($681,082 monthly), i.e. (8,536,339*7/12)+(7,664,300*5/12).</t>
  </si>
  <si>
    <t xml:space="preserve"> For 4/09 prorated amount is $8,100,320 ($675,027 monthly), i.e. (8,536,339*6/12)+(7,664,300*6/12).</t>
  </si>
  <si>
    <t xml:space="preserve"> For 5/09 prorated amount is $8,027,650 ($668,971 monthly), i.e. (8,536,339*5/12)+(7,664,300*7/12).</t>
  </si>
  <si>
    <t xml:space="preserve"> For 6/09 prorated amount is $7,954,980 ($662,915 monthly), i.e. (8,536,339*4/12)+(7,664,300*8/12).</t>
  </si>
  <si>
    <t xml:space="preserve"> For 7/09 prorated amount is $7,882,310 ($656,859 monthly), i.e. (8,536,339*3/12)+(7,664,300*9/12).</t>
  </si>
  <si>
    <t xml:space="preserve"> For 8/09 prorated amount is $7,809,640 ($650,803 monthly), i.e. (8,536,339*2/12)+(7,664,300*10/12).</t>
  </si>
  <si>
    <t xml:space="preserve"> For 9/09 prorated amount is $7,736,970 ($644,747 monthly), i.e. (8,536,339*1/12)+(7,664,300*11/12).</t>
  </si>
  <si>
    <t xml:space="preserve"> For 10/09 prorated amount is $7,664,300 ($638,692 monthly)</t>
  </si>
  <si>
    <t xml:space="preserve"> For 11/09 prorated amount is $7,664,300 ($638,692 monthly)</t>
  </si>
  <si>
    <t xml:space="preserve"> For 12/09 prorated amount is $7,664,300 ($638,692 monthly)</t>
  </si>
  <si>
    <t>Rolling 12 Month Depreciation
Expense 
November 2010</t>
  </si>
  <si>
    <t>Acquisition Value
December  2010</t>
  </si>
  <si>
    <t>Acquisition Value
November  2010</t>
  </si>
  <si>
    <t>Accumulated Depreciation 
November 2010</t>
  </si>
  <si>
    <t>Net Book Value 
November 2010</t>
  </si>
  <si>
    <t xml:space="preserve">
Depreciation Expense
November 2010</t>
  </si>
  <si>
    <t>Depreciation 
Expense Year to Date 
November 2010</t>
  </si>
  <si>
    <t>ROLLING 12 MONTHS</t>
  </si>
  <si>
    <t>Note:</t>
  </si>
  <si>
    <t>The Depreciation Base was calculated used 2-month average rate</t>
  </si>
  <si>
    <t>Impact on</t>
  </si>
  <si>
    <t>Accum Dep</t>
  </si>
  <si>
    <t>Balance</t>
  </si>
  <si>
    <t>AMA @ 4/2013</t>
  </si>
  <si>
    <t>Month</t>
  </si>
  <si>
    <t>GTIF Rates were effective April 1, 2011</t>
  </si>
  <si>
    <t>Restated Dep Exp</t>
  </si>
  <si>
    <t>Monthly</t>
  </si>
  <si>
    <t>DFIT</t>
  </si>
  <si>
    <t>Accumulated</t>
  </si>
  <si>
    <t>PUGET SOUND ENERGY</t>
  </si>
  <si>
    <t>DETERMINATION OF RATE YEAR DEFERRED FEDERAL INCOME TAX ARISING FROM DEPRECIATION</t>
  </si>
  <si>
    <t>RATE YEAR END APRIL 30,2013</t>
  </si>
  <si>
    <t>DFIT arising from Depreciation Expense</t>
  </si>
  <si>
    <t>AMA Calculation</t>
  </si>
  <si>
    <t>IRS Calculation</t>
  </si>
  <si>
    <t>Row</t>
  </si>
  <si>
    <t>Days in</t>
  </si>
  <si>
    <t>Deferred Tax</t>
  </si>
  <si>
    <t>Deferred</t>
  </si>
  <si>
    <t># Days</t>
  </si>
  <si>
    <t>Total Days</t>
  </si>
  <si>
    <t>IRS</t>
  </si>
  <si>
    <t>Cum IRS</t>
  </si>
  <si>
    <t>Ended</t>
  </si>
  <si>
    <t>Taxes</t>
  </si>
  <si>
    <t>to include</t>
  </si>
  <si>
    <t>in Period</t>
  </si>
  <si>
    <t>Amount</t>
  </si>
  <si>
    <t>a</t>
  </si>
  <si>
    <t>b</t>
  </si>
  <si>
    <t>c</t>
  </si>
  <si>
    <t>d = prior</t>
  </si>
  <si>
    <t>e =</t>
  </si>
  <si>
    <t>f = col. a row 28</t>
  </si>
  <si>
    <t>g = e ¸ f x c</t>
  </si>
  <si>
    <t>h = prior</t>
  </si>
  <si>
    <t>month - col c</t>
  </si>
  <si>
    <t>f - sum a +1</t>
  </si>
  <si>
    <t>month - col g</t>
  </si>
  <si>
    <t>Average of the Monthly Averages</t>
  </si>
  <si>
    <t>Benefit</t>
  </si>
  <si>
    <t>DFIT Benefit</t>
  </si>
  <si>
    <t>INCREASE (DECREASE) FIT EXPENSE</t>
  </si>
  <si>
    <t>INCREASE (DECREASE) NOI</t>
  </si>
  <si>
    <t>INCREASE (DECREASE) EXPENSE</t>
  </si>
  <si>
    <t>IMPACT ON ACCUMULATED DEPRECIATION</t>
  </si>
  <si>
    <t>DEFERRED FEDERAL INCOME TAX BENEFIT</t>
  </si>
  <si>
    <t>WATER HEATER DEPRECIATION</t>
  </si>
  <si>
    <t>PAGE 12.01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</si>
</sst>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_(* #,##0_);_(* \(#,##0\);_(* &quot;-&quot;??_);_(@_)"/>
    <numFmt numFmtId="166" formatCode="0.00_);\(0.00\)"/>
    <numFmt numFmtId="167" formatCode="0.00000"/>
    <numFmt numFmtId="168" formatCode="0.0000"/>
    <numFmt numFmtId="169" formatCode="0.000"/>
    <numFmt numFmtId="170" formatCode="0.0"/>
    <numFmt numFmtId="171" formatCode="0.0%"/>
    <numFmt numFmtId="172" formatCode="[$-409]dddd\,\ mmmm\ dd\,\ yyyy"/>
    <numFmt numFmtId="173" formatCode="[$-409]h:mm:ss\ AM/PM"/>
    <numFmt numFmtId="174" formatCode="0.000_);\(0.000\)"/>
    <numFmt numFmtId="175" formatCode="0.0000_);\(0.0000\)"/>
    <numFmt numFmtId="176" formatCode="_(* #,##0.000_);_(* \(#,##0.000\);_(* &quot;-&quot;??_);_(@_)"/>
    <numFmt numFmtId="177" formatCode="_(* #,##0.0000_);_(* \(#,##0.0000\);_(* &quot;-&quot;??_);_(@_)"/>
    <numFmt numFmtId="178" formatCode="_(* #,##0.0_);_(* \(#,##0.0\);_(* &quot;-&quot;??_);_(@_)"/>
    <numFmt numFmtId="179" formatCode="0.0000%"/>
    <numFmt numFmtId="180" formatCode="_(&quot;$&quot;* #,##0.000_);_(&quot;$&quot;* \(#,##0.000\);_(&quot;$&quot;* &quot;-&quot;??_);_(@_)"/>
    <numFmt numFmtId="181" formatCode="_(&quot;$&quot;* #,##0.0000_);_(&quot;$&quot;* \(#,##0.0000\);_(&quot;$&quot;* &quot;-&quot;??_);_(@_)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mm/dd/yyyy"/>
    <numFmt numFmtId="185" formatCode="[$-409]mmm\-yy;@"/>
    <numFmt numFmtId="186" formatCode="0.000%"/>
    <numFmt numFmtId="187" formatCode="0.000000"/>
    <numFmt numFmtId="188" formatCode="_(* #,##0.0_);_(* \(#,##0.0\);_(* &quot;-&quot;_);_(@_)"/>
    <numFmt numFmtId="189" formatCode="_(* #,##0.00000_);_(* \(#,##0.00000\);_(* &quot;-&quot;??_);_(@_)"/>
    <numFmt numFmtId="190" formatCode="_(* ###0_);_(* \(###0\);_(* &quot;-&quot;_);_(@_)"/>
    <numFmt numFmtId="191" formatCode="yyyy"/>
    <numFmt numFmtId="192" formatCode="mmm\ yyyy"/>
    <numFmt numFmtId="193" formatCode="&quot;Tax Expense @ &quot;0%"/>
    <numFmt numFmtId="194" formatCode="_(&quot;$&quot;* #,##0.00000_);_(&quot;$&quot;* \(#,##0.00000\);_(&quot;$&quot;* &quot;-&quot;??_);_(@_)"/>
    <numFmt numFmtId="195" formatCode="_(&quot;$&quot;* #,##0.00000000000000000000_);_(&quot;$&quot;* \(#,##0.00000000000000000000\);_(&quot;$&quot;* &quot;-&quot;??_);_(@_)"/>
    <numFmt numFmtId="196" formatCode="0.000000000000000000000000000000"/>
    <numFmt numFmtId="197" formatCode="0.0000000"/>
    <numFmt numFmtId="198" formatCode="m/d/yy"/>
    <numFmt numFmtId="199" formatCode="d\.mmm\.yy"/>
    <numFmt numFmtId="200" formatCode="#,##0.000000_);[Red]\(#,##0.000000\)"/>
    <numFmt numFmtId="201" formatCode="_(* #,##0.000_);_(* \(#,##0.000\);_(* &quot;-&quot;???_);_(@_)"/>
    <numFmt numFmtId="202" formatCode="_(* #,##0.0000_);_(* \(#,##0.0000\);_(* &quot;-&quot;????_);_(@_)"/>
    <numFmt numFmtId="203" formatCode="dd\-mmm\-yy"/>
    <numFmt numFmtId="204" formatCode="_(* #,##0.00_);_(* \(#,##0.00\);_(* &quot;-&quot;_);_(@_)"/>
    <numFmt numFmtId="205" formatCode="mmm\-yyyy"/>
    <numFmt numFmtId="206" formatCode="[$-409]mmmm\-yy;@"/>
    <numFmt numFmtId="207" formatCode="mmmm\ d\,\ yyyy"/>
    <numFmt numFmtId="208" formatCode="&quot;$&quot;#,##0.0_);[Red]\(&quot;$&quot;#,##0.0\)"/>
    <numFmt numFmtId="209" formatCode="_(* #,##0.0_);_(* \(#,##0.0\);_(* &quot;-&quot;?_);_(@_)"/>
    <numFmt numFmtId="210" formatCode="&quot;$&quot;#,##0"/>
    <numFmt numFmtId="211" formatCode="#."/>
    <numFmt numFmtId="212" formatCode="_([$€-2]* #,##0.00_);_([$€-2]* \(#,##0.00\);_([$€-2]* &quot;-&quot;??_)"/>
    <numFmt numFmtId="213" formatCode="&quot;$&quot;#,##0;\-&quot;$&quot;#,##0"/>
    <numFmt numFmtId="214" formatCode="_(&quot;$&quot;* #,##0.0000_);_(&quot;$&quot;* \(#,##0.0000\);_(&quot;$&quot;* &quot;-&quot;????_);_(@_)"/>
    <numFmt numFmtId="215" formatCode="&quot;$&quot;#,##0.00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mm/dd/yy"/>
    <numFmt numFmtId="221" formatCode="_(* #,##0.000000_);_(* \(#,##0.000000\);_(* &quot;-&quot;??_);_(@_)"/>
    <numFmt numFmtId="222" formatCode="#,##0.000000000000000_);\(#,##0.000000000000000\)"/>
  </numFmts>
  <fonts count="61">
    <font>
      <sz val="10"/>
      <name val="Arial"/>
      <family val="0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Arial"/>
      <family val="2"/>
    </font>
    <font>
      <sz val="10"/>
      <color indexed="8"/>
      <name val="MS Sans Serif"/>
      <family val="2"/>
    </font>
    <font>
      <sz val="12"/>
      <color indexed="24"/>
      <name val="Arial"/>
      <family val="2"/>
    </font>
    <font>
      <sz val="10"/>
      <name val="Helv"/>
      <family val="0"/>
    </font>
    <font>
      <sz val="10"/>
      <name val="MS Serif"/>
      <family val="1"/>
    </font>
    <font>
      <sz val="10"/>
      <name val="Courier"/>
      <family val="3"/>
    </font>
    <font>
      <b/>
      <sz val="12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Helv"/>
      <family val="0"/>
    </font>
    <font>
      <b/>
      <sz val="8"/>
      <color indexed="8"/>
      <name val="Helv"/>
      <family val="0"/>
    </font>
    <font>
      <b/>
      <sz val="14"/>
      <color indexed="56"/>
      <name val="Arial"/>
      <family val="2"/>
    </font>
    <font>
      <b/>
      <u val="single"/>
      <sz val="10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medium"/>
      <bottom style="medium"/>
    </border>
  </borders>
  <cellStyleXfs count="3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89" fontId="0" fillId="0" borderId="0">
      <alignment horizontal="left" wrapText="1"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7" fontId="0" fillId="0" borderId="0">
      <alignment horizontal="left" wrapText="1"/>
      <protection/>
    </xf>
    <xf numFmtId="197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0" fontId="26" fillId="0" borderId="0">
      <alignment/>
      <protection/>
    </xf>
    <xf numFmtId="0" fontId="26" fillId="0" borderId="0">
      <alignment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0" fontId="26" fillId="0" borderId="0">
      <alignment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7" fontId="0" fillId="0" borderId="0">
      <alignment horizontal="left" wrapText="1"/>
      <protection/>
    </xf>
    <xf numFmtId="0" fontId="26" fillId="0" borderId="0">
      <alignment/>
      <protection/>
    </xf>
    <xf numFmtId="0" fontId="26" fillId="0" borderId="0">
      <alignment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197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0" fontId="26" fillId="0" borderId="0">
      <alignment/>
      <protection/>
    </xf>
    <xf numFmtId="0" fontId="26" fillId="0" borderId="0">
      <alignment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189" fontId="0" fillId="0" borderId="0">
      <alignment horizontal="left" wrapText="1"/>
      <protection/>
    </xf>
    <xf numFmtId="0" fontId="26" fillId="0" borderId="0">
      <alignment/>
      <protection/>
    </xf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50" fillId="3" borderId="0" applyNumberFormat="0" applyBorder="0" applyAlignment="0" applyProtection="0"/>
    <xf numFmtId="199" fontId="11" fillId="0" borderId="0" applyFill="0" applyBorder="0" applyAlignment="0">
      <protection/>
    </xf>
    <xf numFmtId="41" fontId="0" fillId="20" borderId="0">
      <alignment/>
      <protection/>
    </xf>
    <xf numFmtId="0" fontId="51" fillId="21" borderId="1" applyNumberFormat="0" applyAlignment="0" applyProtection="0"/>
    <xf numFmtId="41" fontId="0" fillId="22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27" fillId="0" borderId="0">
      <alignment/>
      <protection/>
    </xf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211" fontId="29" fillId="0" borderId="0">
      <alignment/>
      <protection locked="0"/>
    </xf>
    <xf numFmtId="0" fontId="27" fillId="0" borderId="0">
      <alignment/>
      <protection/>
    </xf>
    <xf numFmtId="0" fontId="14" fillId="0" borderId="0" applyNumberFormat="0" applyAlignment="0">
      <protection/>
    </xf>
    <xf numFmtId="0" fontId="15" fillId="0" borderId="0" applyNumberFormat="0" applyAlignment="0">
      <protection/>
    </xf>
    <xf numFmtId="0" fontId="13" fillId="0" borderId="0">
      <alignment/>
      <protection/>
    </xf>
    <xf numFmtId="0" fontId="27" fillId="0" borderId="0">
      <alignment/>
      <protection/>
    </xf>
    <xf numFmtId="0" fontId="13" fillId="0" borderId="0">
      <alignment/>
      <protection/>
    </xf>
    <xf numFmtId="0" fontId="27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7" fontId="0" fillId="0" borderId="0">
      <alignment/>
      <protection/>
    </xf>
    <xf numFmtId="21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2" fontId="12" fillId="0" borderId="0" applyFont="0" applyFill="0" applyBorder="0" applyAlignment="0" applyProtection="0"/>
    <xf numFmtId="0" fontId="13" fillId="0" borderId="0">
      <alignment/>
      <protection/>
    </xf>
    <xf numFmtId="0" fontId="1" fillId="0" borderId="0" applyNumberFormat="0" applyFill="0" applyBorder="0" applyAlignment="0" applyProtection="0"/>
    <xf numFmtId="0" fontId="53" fillId="4" borderId="0" applyNumberFormat="0" applyBorder="0" applyAlignment="0" applyProtection="0"/>
    <xf numFmtId="38" fontId="5" fillId="22" borderId="0" applyNumberFormat="0" applyBorder="0" applyAlignment="0" applyProtection="0"/>
    <xf numFmtId="38" fontId="5" fillId="22" borderId="0" applyNumberFormat="0" applyBorder="0" applyAlignment="0" applyProtection="0"/>
    <xf numFmtId="38" fontId="5" fillId="22" borderId="0" applyNumberFormat="0" applyBorder="0" applyAlignment="0" applyProtection="0"/>
    <xf numFmtId="38" fontId="5" fillId="22" borderId="0" applyNumberFormat="0" applyBorder="0" applyAlignment="0" applyProtection="0"/>
    <xf numFmtId="0" fontId="16" fillId="0" borderId="2" applyNumberFormat="0" applyAlignment="0" applyProtection="0"/>
    <xf numFmtId="0" fontId="16" fillId="0" borderId="3">
      <alignment horizontal="left"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38" fontId="6" fillId="0" borderId="0">
      <alignment/>
      <protection/>
    </xf>
    <xf numFmtId="40" fontId="6" fillId="0" borderId="0">
      <alignment/>
      <protection/>
    </xf>
    <xf numFmtId="0" fontId="2" fillId="0" borderId="0" applyNumberFormat="0" applyFill="0" applyBorder="0" applyAlignment="0" applyProtection="0"/>
    <xf numFmtId="0" fontId="55" fillId="7" borderId="5" applyNumberFormat="0" applyAlignment="0" applyProtection="0"/>
    <xf numFmtId="10" fontId="5" fillId="20" borderId="6" applyNumberFormat="0" applyBorder="0" applyAlignment="0" applyProtection="0"/>
    <xf numFmtId="10" fontId="5" fillId="20" borderId="6" applyNumberFormat="0" applyBorder="0" applyAlignment="0" applyProtection="0"/>
    <xf numFmtId="10" fontId="5" fillId="20" borderId="6" applyNumberFormat="0" applyBorder="0" applyAlignment="0" applyProtection="0"/>
    <xf numFmtId="10" fontId="5" fillId="20" borderId="6" applyNumberFormat="0" applyBorder="0" applyAlignment="0" applyProtection="0"/>
    <xf numFmtId="41" fontId="10" fillId="23" borderId="7">
      <alignment horizontal="left"/>
      <protection locked="0"/>
    </xf>
    <xf numFmtId="10" fontId="10" fillId="23" borderId="7">
      <alignment horizontal="right"/>
      <protection locked="0"/>
    </xf>
    <xf numFmtId="41" fontId="10" fillId="23" borderId="7">
      <alignment horizontal="left"/>
      <protection locked="0"/>
    </xf>
    <xf numFmtId="0" fontId="5" fillId="22" borderId="0">
      <alignment/>
      <protection/>
    </xf>
    <xf numFmtId="3" fontId="30" fillId="0" borderId="0" applyFill="0" applyBorder="0" applyAlignment="0" applyProtection="0"/>
    <xf numFmtId="0" fontId="56" fillId="0" borderId="8" applyNumberFormat="0" applyFill="0" applyAlignment="0" applyProtection="0"/>
    <xf numFmtId="44" fontId="4" fillId="0" borderId="9" applyNumberFormat="0" applyFont="0" applyAlignment="0">
      <protection/>
    </xf>
    <xf numFmtId="44" fontId="4" fillId="0" borderId="9" applyNumberFormat="0" applyFont="0" applyAlignment="0">
      <protection/>
    </xf>
    <xf numFmtId="44" fontId="4" fillId="0" borderId="9" applyNumberFormat="0" applyFont="0" applyAlignment="0">
      <protection/>
    </xf>
    <xf numFmtId="44" fontId="4" fillId="0" borderId="9" applyNumberFormat="0" applyFont="0" applyAlignment="0">
      <protection/>
    </xf>
    <xf numFmtId="44" fontId="4" fillId="0" borderId="10" applyNumberFormat="0" applyFont="0" applyAlignment="0">
      <protection/>
    </xf>
    <xf numFmtId="44" fontId="4" fillId="0" borderId="10" applyNumberFormat="0" applyFont="0" applyAlignment="0">
      <protection/>
    </xf>
    <xf numFmtId="44" fontId="4" fillId="0" borderId="10" applyNumberFormat="0" applyFont="0" applyAlignment="0">
      <protection/>
    </xf>
    <xf numFmtId="44" fontId="4" fillId="0" borderId="10" applyNumberFormat="0" applyFont="0" applyAlignment="0">
      <protection/>
    </xf>
    <xf numFmtId="0" fontId="57" fillId="23" borderId="0" applyNumberFormat="0" applyBorder="0" applyAlignment="0" applyProtection="0"/>
    <xf numFmtId="37" fontId="17" fillId="0" borderId="0">
      <alignment/>
      <protection/>
    </xf>
    <xf numFmtId="0" fontId="0" fillId="0" borderId="0">
      <alignment/>
      <protection/>
    </xf>
    <xf numFmtId="213" fontId="0" fillId="0" borderId="0">
      <alignment/>
      <protection/>
    </xf>
    <xf numFmtId="213" fontId="0" fillId="0" borderId="0">
      <alignment/>
      <protection/>
    </xf>
    <xf numFmtId="21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0" fillId="0" borderId="0">
      <alignment horizontal="left" wrapText="1"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207" fontId="0" fillId="0" borderId="0">
      <alignment horizontal="left" wrapText="1"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24" borderId="11" applyNumberFormat="0" applyFont="0" applyAlignment="0" applyProtection="0"/>
    <xf numFmtId="0" fontId="25" fillId="24" borderId="11" applyNumberFormat="0" applyFont="0" applyAlignment="0" applyProtection="0"/>
    <xf numFmtId="0" fontId="25" fillId="24" borderId="11" applyNumberFormat="0" applyFont="0" applyAlignment="0" applyProtection="0"/>
    <xf numFmtId="0" fontId="58" fillId="22" borderId="12" applyNumberFormat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41" fontId="0" fillId="25" borderId="7">
      <alignment/>
      <protection/>
    </xf>
    <xf numFmtId="0" fontId="18" fillId="0" borderId="0" applyNumberFormat="0" applyFont="0" applyFill="0" applyBorder="0" applyAlignment="0" applyProtection="0"/>
    <xf numFmtId="15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0" fontId="19" fillId="0" borderId="13">
      <alignment horizontal="center"/>
      <protection/>
    </xf>
    <xf numFmtId="3" fontId="18" fillId="0" borderId="0" applyFont="0" applyFill="0" applyBorder="0" applyAlignment="0" applyProtection="0"/>
    <xf numFmtId="0" fontId="18" fillId="26" borderId="0" applyNumberFormat="0" applyFont="0" applyBorder="0" applyAlignment="0" applyProtection="0"/>
    <xf numFmtId="0" fontId="27" fillId="0" borderId="0">
      <alignment/>
      <protection/>
    </xf>
    <xf numFmtId="3" fontId="31" fillId="0" borderId="0" applyFill="0" applyBorder="0" applyAlignment="0" applyProtection="0"/>
    <xf numFmtId="0" fontId="32" fillId="0" borderId="0">
      <alignment/>
      <protection/>
    </xf>
    <xf numFmtId="3" fontId="31" fillId="0" borderId="0" applyFill="0" applyBorder="0" applyAlignment="0" applyProtection="0"/>
    <xf numFmtId="42" fontId="0" fillId="20" borderId="0">
      <alignment/>
      <protection/>
    </xf>
    <xf numFmtId="42" fontId="0" fillId="20" borderId="14">
      <alignment vertical="center"/>
      <protection/>
    </xf>
    <xf numFmtId="0" fontId="4" fillId="20" borderId="15" applyNumberFormat="0">
      <alignment horizontal="center" vertical="center" wrapText="1"/>
      <protection/>
    </xf>
    <xf numFmtId="10" fontId="0" fillId="20" borderId="0">
      <alignment/>
      <protection/>
    </xf>
    <xf numFmtId="214" fontId="0" fillId="20" borderId="0">
      <alignment/>
      <protection/>
    </xf>
    <xf numFmtId="165" fontId="6" fillId="0" borderId="0" applyBorder="0" applyAlignment="0">
      <protection/>
    </xf>
    <xf numFmtId="42" fontId="0" fillId="20" borderId="16">
      <alignment horizontal="left"/>
      <protection/>
    </xf>
    <xf numFmtId="214" fontId="33" fillId="20" borderId="16">
      <alignment horizontal="left"/>
      <protection/>
    </xf>
    <xf numFmtId="165" fontId="6" fillId="0" borderId="0" applyBorder="0" applyAlignment="0">
      <protection/>
    </xf>
    <xf numFmtId="14" fontId="20" fillId="0" borderId="0" applyNumberFormat="0" applyFill="0" applyBorder="0" applyAlignment="0" applyProtection="0"/>
    <xf numFmtId="188" fontId="0" fillId="0" borderId="0" applyFont="0" applyFill="0" applyAlignment="0">
      <protection/>
    </xf>
    <xf numFmtId="39" fontId="0" fillId="27" borderId="0">
      <alignment/>
      <protection/>
    </xf>
    <xf numFmtId="38" fontId="5" fillId="0" borderId="17">
      <alignment/>
      <protection/>
    </xf>
    <xf numFmtId="38" fontId="5" fillId="0" borderId="17">
      <alignment/>
      <protection/>
    </xf>
    <xf numFmtId="38" fontId="5" fillId="0" borderId="17">
      <alignment/>
      <protection/>
    </xf>
    <xf numFmtId="38" fontId="5" fillId="0" borderId="17">
      <alignment/>
      <protection/>
    </xf>
    <xf numFmtId="38" fontId="6" fillId="0" borderId="16">
      <alignment/>
      <protection/>
    </xf>
    <xf numFmtId="39" fontId="20" fillId="28" borderId="0">
      <alignment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187" fontId="0" fillId="0" borderId="0">
      <alignment horizontal="left" wrapText="1"/>
      <protection/>
    </xf>
    <xf numFmtId="40" fontId="21" fillId="0" borderId="0" applyBorder="0">
      <alignment horizontal="right"/>
      <protection/>
    </xf>
    <xf numFmtId="41" fontId="34" fillId="20" borderId="0">
      <alignment horizontal="left"/>
      <protection/>
    </xf>
    <xf numFmtId="0" fontId="59" fillId="0" borderId="0" applyNumberFormat="0" applyFill="0" applyBorder="0" applyAlignment="0" applyProtection="0"/>
    <xf numFmtId="215" fontId="35" fillId="20" borderId="0">
      <alignment horizontal="left" vertical="center"/>
      <protection/>
    </xf>
    <xf numFmtId="0" fontId="4" fillId="20" borderId="0">
      <alignment horizontal="left" wrapText="1"/>
      <protection/>
    </xf>
    <xf numFmtId="0" fontId="22" fillId="0" borderId="0">
      <alignment horizontal="left" vertical="center"/>
      <protection/>
    </xf>
    <xf numFmtId="0" fontId="12" fillId="0" borderId="18" applyNumberFormat="0" applyFont="0" applyFill="0" applyAlignment="0" applyProtection="0"/>
    <xf numFmtId="0" fontId="27" fillId="0" borderId="19">
      <alignment/>
      <protection/>
    </xf>
    <xf numFmtId="0" fontId="60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0" fontId="9" fillId="0" borderId="0" xfId="0" applyFont="1" applyFill="1" applyBorder="1" applyAlignment="1" quotePrefix="1">
      <alignment horizontal="right"/>
    </xf>
    <xf numFmtId="0" fontId="9" fillId="0" borderId="20" xfId="0" applyFont="1" applyFill="1" applyBorder="1" applyAlignment="1" quotePrefix="1">
      <alignment horizontal="right"/>
    </xf>
    <xf numFmtId="0" fontId="9" fillId="0" borderId="0" xfId="0" applyFont="1" applyFill="1" applyAlignment="1" applyProtection="1">
      <alignment horizontal="centerContinuous"/>
      <protection locked="0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 quotePrefix="1">
      <alignment horizontal="centerContinuous"/>
    </xf>
    <xf numFmtId="0" fontId="9" fillId="0" borderId="0" xfId="0" applyFont="1" applyFill="1" applyAlignment="1">
      <alignment horizontal="centerContinuous"/>
    </xf>
    <xf numFmtId="15" fontId="9" fillId="0" borderId="0" xfId="0" applyNumberFormat="1" applyFont="1" applyFill="1" applyAlignment="1" quotePrefix="1">
      <alignment horizontal="centerContinuous"/>
    </xf>
    <xf numFmtId="15" fontId="9" fillId="0" borderId="0" xfId="0" applyNumberFormat="1" applyFont="1" applyFill="1" applyAlignment="1">
      <alignment horizontal="centerContinuous"/>
    </xf>
    <xf numFmtId="18" fontId="9" fillId="0" borderId="0" xfId="0" applyNumberFormat="1" applyFont="1" applyFill="1" applyAlignment="1" quotePrefix="1">
      <alignment horizontal="centerContinuous"/>
    </xf>
    <xf numFmtId="18" fontId="9" fillId="0" borderId="0" xfId="0" applyNumberFormat="1" applyFont="1" applyFill="1" applyAlignment="1">
      <alignment horizontal="centerContinuous"/>
    </xf>
    <xf numFmtId="0" fontId="9" fillId="0" borderId="0" xfId="0" applyFont="1" applyFill="1" applyAlignment="1">
      <alignment/>
    </xf>
    <xf numFmtId="0" fontId="9" fillId="0" borderId="0" xfId="0" applyFont="1" applyFill="1" applyAlignment="1" applyProtection="1">
      <alignment horizontal="center"/>
      <protection locked="0"/>
    </xf>
    <xf numFmtId="0" fontId="9" fillId="0" borderId="15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left"/>
    </xf>
    <xf numFmtId="0" fontId="9" fillId="0" borderId="15" xfId="0" applyFont="1" applyFill="1" applyBorder="1" applyAlignment="1" applyProtection="1">
      <alignment horizontal="center"/>
      <protection locked="0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37" fontId="8" fillId="0" borderId="0" xfId="0" applyNumberFormat="1" applyFont="1" applyFill="1" applyAlignment="1">
      <alignment/>
    </xf>
    <xf numFmtId="165" fontId="8" fillId="0" borderId="0" xfId="186" applyNumberFormat="1" applyFont="1" applyFill="1" applyBorder="1" applyAlignment="1" applyProtection="1">
      <alignment/>
      <protection locked="0"/>
    </xf>
    <xf numFmtId="165" fontId="8" fillId="0" borderId="16" xfId="186" applyNumberFormat="1" applyFont="1" applyFill="1" applyBorder="1" applyAlignment="1" applyProtection="1">
      <alignment/>
      <protection locked="0"/>
    </xf>
    <xf numFmtId="165" fontId="8" fillId="0" borderId="0" xfId="186" applyNumberFormat="1" applyFont="1" applyFill="1" applyAlignment="1">
      <alignment/>
    </xf>
    <xf numFmtId="183" fontId="8" fillId="0" borderId="0" xfId="216" applyNumberFormat="1" applyFont="1" applyFill="1" applyAlignment="1" applyProtection="1">
      <alignment/>
      <protection locked="0"/>
    </xf>
    <xf numFmtId="0" fontId="23" fillId="0" borderId="0" xfId="0" applyFont="1" applyFill="1" applyAlignment="1">
      <alignment/>
    </xf>
    <xf numFmtId="187" fontId="8" fillId="0" borderId="0" xfId="342" applyFont="1" applyFill="1" applyAlignment="1">
      <alignment horizontal="left"/>
      <protection/>
    </xf>
    <xf numFmtId="183" fontId="8" fillId="0" borderId="0" xfId="216" applyNumberFormat="1" applyFont="1" applyFill="1" applyBorder="1" applyAlignment="1" applyProtection="1">
      <alignment/>
      <protection locked="0"/>
    </xf>
    <xf numFmtId="183" fontId="8" fillId="0" borderId="21" xfId="216" applyNumberFormat="1" applyFont="1" applyFill="1" applyBorder="1" applyAlignment="1" applyProtection="1">
      <alignment/>
      <protection locked="0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10" fontId="0" fillId="0" borderId="0" xfId="0" applyNumberFormat="1" applyAlignment="1">
      <alignment horizontal="right" wrapText="1"/>
    </xf>
    <xf numFmtId="0" fontId="0" fillId="0" borderId="15" xfId="0" applyBorder="1" applyAlignment="1">
      <alignment wrapText="1"/>
    </xf>
    <xf numFmtId="0" fontId="4" fillId="0" borderId="0" xfId="0" applyFont="1" applyAlignment="1">
      <alignment horizontal="right" wrapText="1"/>
    </xf>
    <xf numFmtId="0" fontId="0" fillId="0" borderId="21" xfId="0" applyBorder="1" applyAlignment="1">
      <alignment wrapText="1"/>
    </xf>
    <xf numFmtId="0" fontId="36" fillId="0" borderId="0" xfId="299" applyFont="1">
      <alignment/>
      <protection/>
    </xf>
    <xf numFmtId="0" fontId="37" fillId="0" borderId="0" xfId="299" applyFont="1" applyAlignment="1">
      <alignment horizontal="centerContinuous"/>
      <protection/>
    </xf>
    <xf numFmtId="0" fontId="4" fillId="0" borderId="0" xfId="299" applyFont="1">
      <alignment/>
      <protection/>
    </xf>
    <xf numFmtId="0" fontId="4" fillId="0" borderId="15" xfId="299" applyFont="1" applyBorder="1" applyAlignment="1">
      <alignment horizontal="centerContinuous"/>
      <protection/>
    </xf>
    <xf numFmtId="0" fontId="4" fillId="0" borderId="0" xfId="299" applyFont="1" applyAlignment="1">
      <alignment horizontal="center"/>
      <protection/>
    </xf>
    <xf numFmtId="0" fontId="4" fillId="0" borderId="0" xfId="299" applyFont="1" applyAlignment="1">
      <alignment horizontal="centerContinuous"/>
      <protection/>
    </xf>
    <xf numFmtId="0" fontId="4" fillId="0" borderId="0" xfId="299" applyFont="1" applyBorder="1" applyAlignment="1">
      <alignment horizontal="center"/>
      <protection/>
    </xf>
    <xf numFmtId="0" fontId="4" fillId="0" borderId="15" xfId="299" applyFont="1" applyBorder="1" applyAlignment="1">
      <alignment horizontal="center"/>
      <protection/>
    </xf>
    <xf numFmtId="0" fontId="3" fillId="0" borderId="0" xfId="299" applyFont="1" applyAlignment="1">
      <alignment horizontal="center"/>
      <protection/>
    </xf>
    <xf numFmtId="0" fontId="3" fillId="0" borderId="0" xfId="299" applyFont="1" applyAlignment="1">
      <alignment/>
      <protection/>
    </xf>
    <xf numFmtId="164" fontId="4" fillId="0" borderId="0" xfId="299" applyNumberFormat="1" applyFont="1" applyBorder="1" applyAlignment="1">
      <alignment horizontal="centerContinuous"/>
      <protection/>
    </xf>
    <xf numFmtId="164" fontId="4" fillId="0" borderId="0" xfId="299" applyNumberFormat="1" applyFont="1">
      <alignment/>
      <protection/>
    </xf>
    <xf numFmtId="164" fontId="4" fillId="0" borderId="0" xfId="299" applyNumberFormat="1" applyFont="1" applyBorder="1" applyAlignment="1">
      <alignment horizontal="center"/>
      <protection/>
    </xf>
    <xf numFmtId="164" fontId="3" fillId="0" borderId="0" xfId="299" applyNumberFormat="1" applyFont="1" applyAlignment="1">
      <alignment horizontal="center"/>
      <protection/>
    </xf>
    <xf numFmtId="164" fontId="3" fillId="0" borderId="0" xfId="299" applyNumberFormat="1" applyFont="1" applyAlignment="1">
      <alignment/>
      <protection/>
    </xf>
    <xf numFmtId="0" fontId="37" fillId="0" borderId="0" xfId="299" applyFont="1">
      <alignment/>
      <protection/>
    </xf>
    <xf numFmtId="165" fontId="36" fillId="0" borderId="0" xfId="186" applyNumberFormat="1" applyFont="1" applyAlignment="1">
      <alignment/>
    </xf>
    <xf numFmtId="164" fontId="36" fillId="0" borderId="0" xfId="299" applyNumberFormat="1" applyFont="1" applyAlignment="1">
      <alignment horizontal="center"/>
      <protection/>
    </xf>
    <xf numFmtId="2" fontId="36" fillId="0" borderId="0" xfId="299" applyNumberFormat="1" applyFont="1">
      <alignment/>
      <protection/>
    </xf>
    <xf numFmtId="170" fontId="36" fillId="0" borderId="0" xfId="299" applyNumberFormat="1" applyFont="1" applyAlignment="1">
      <alignment horizontal="center"/>
      <protection/>
    </xf>
    <xf numFmtId="165" fontId="36" fillId="0" borderId="15" xfId="186" applyNumberFormat="1" applyFont="1" applyBorder="1" applyAlignment="1">
      <alignment/>
    </xf>
    <xf numFmtId="165" fontId="36" fillId="0" borderId="0" xfId="186" applyNumberFormat="1" applyFont="1" applyBorder="1" applyAlignment="1">
      <alignment/>
    </xf>
    <xf numFmtId="165" fontId="37" fillId="0" borderId="0" xfId="186" applyNumberFormat="1" applyFont="1" applyAlignment="1">
      <alignment/>
    </xf>
    <xf numFmtId="44" fontId="36" fillId="0" borderId="0" xfId="216" applyFont="1" applyAlignment="1">
      <alignment/>
    </xf>
    <xf numFmtId="44" fontId="0" fillId="0" borderId="0" xfId="0" applyNumberFormat="1" applyAlignment="1">
      <alignment/>
    </xf>
    <xf numFmtId="43" fontId="0" fillId="0" borderId="0" xfId="186" applyFont="1" applyAlignment="1">
      <alignment/>
    </xf>
    <xf numFmtId="0" fontId="38" fillId="0" borderId="0" xfId="0" applyFont="1" applyFill="1" applyAlignment="1">
      <alignment/>
    </xf>
    <xf numFmtId="42" fontId="8" fillId="0" borderId="0" xfId="186" applyNumberFormat="1" applyFont="1" applyFill="1" applyBorder="1" applyAlignment="1">
      <alignment/>
    </xf>
    <xf numFmtId="0" fontId="0" fillId="0" borderId="15" xfId="0" applyBorder="1" applyAlignment="1">
      <alignment/>
    </xf>
    <xf numFmtId="0" fontId="36" fillId="0" borderId="14" xfId="299" applyFont="1" applyBorder="1">
      <alignment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5" xfId="0" applyFont="1" applyFill="1" applyBorder="1" applyAlignment="1">
      <alignment horizontal="center" wrapText="1"/>
    </xf>
    <xf numFmtId="41" fontId="0" fillId="0" borderId="0" xfId="0" applyNumberFormat="1" applyFont="1" applyFill="1" applyAlignment="1">
      <alignment/>
    </xf>
    <xf numFmtId="165" fontId="0" fillId="0" borderId="0" xfId="186" applyNumberFormat="1" applyFont="1" applyFill="1" applyAlignment="1">
      <alignment/>
    </xf>
    <xf numFmtId="41" fontId="0" fillId="0" borderId="15" xfId="0" applyNumberFormat="1" applyFont="1" applyFill="1" applyBorder="1" applyAlignment="1">
      <alignment/>
    </xf>
    <xf numFmtId="41" fontId="0" fillId="0" borderId="3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0" fontId="36" fillId="0" borderId="25" xfId="299" applyFont="1" applyBorder="1">
      <alignment/>
      <protection/>
    </xf>
    <xf numFmtId="4" fontId="0" fillId="0" borderId="25" xfId="0" applyNumberFormat="1" applyBorder="1" applyAlignment="1">
      <alignment/>
    </xf>
    <xf numFmtId="0" fontId="36" fillId="0" borderId="26" xfId="299" applyFont="1" applyBorder="1">
      <alignment/>
      <protection/>
    </xf>
    <xf numFmtId="41" fontId="4" fillId="0" borderId="27" xfId="0" applyNumberFormat="1" applyFont="1" applyFill="1" applyBorder="1" applyAlignment="1">
      <alignment horizontal="center"/>
    </xf>
    <xf numFmtId="0" fontId="4" fillId="0" borderId="28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299" applyFont="1" applyBorder="1" applyAlignment="1">
      <alignment horizontal="center"/>
      <protection/>
    </xf>
    <xf numFmtId="0" fontId="4" fillId="0" borderId="24" xfId="299" applyFont="1" applyBorder="1" applyAlignment="1">
      <alignment horizontal="center"/>
      <protection/>
    </xf>
    <xf numFmtId="0" fontId="36" fillId="0" borderId="0" xfId="299" applyFont="1" applyBorder="1">
      <alignment/>
      <protection/>
    </xf>
    <xf numFmtId="0" fontId="36" fillId="0" borderId="15" xfId="299" applyFont="1" applyBorder="1">
      <alignment/>
      <protection/>
    </xf>
    <xf numFmtId="0" fontId="4" fillId="0" borderId="25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4" fontId="0" fillId="0" borderId="30" xfId="216" applyFont="1" applyBorder="1" applyAlignment="1">
      <alignment/>
    </xf>
    <xf numFmtId="0" fontId="4" fillId="0" borderId="28" xfId="0" applyFont="1" applyBorder="1" applyAlignment="1">
      <alignment horizontal="center"/>
    </xf>
    <xf numFmtId="4" fontId="0" fillId="0" borderId="26" xfId="0" applyNumberFormat="1" applyBorder="1" applyAlignment="1">
      <alignment/>
    </xf>
    <xf numFmtId="0" fontId="0" fillId="0" borderId="30" xfId="0" applyBorder="1" applyAlignment="1">
      <alignment/>
    </xf>
    <xf numFmtId="43" fontId="0" fillId="0" borderId="6" xfId="0" applyNumberFormat="1" applyBorder="1" applyAlignment="1">
      <alignment/>
    </xf>
    <xf numFmtId="185" fontId="36" fillId="0" borderId="6" xfId="299" applyNumberFormat="1" applyFont="1" applyBorder="1" applyAlignment="1">
      <alignment horizontal="left"/>
      <protection/>
    </xf>
    <xf numFmtId="0" fontId="4" fillId="0" borderId="16" xfId="0" applyFont="1" applyBorder="1" applyAlignment="1">
      <alignment horizontal="center"/>
    </xf>
    <xf numFmtId="0" fontId="0" fillId="0" borderId="27" xfId="0" applyBorder="1" applyAlignment="1">
      <alignment/>
    </xf>
    <xf numFmtId="44" fontId="36" fillId="0" borderId="27" xfId="216" applyFont="1" applyBorder="1" applyAlignment="1">
      <alignment/>
    </xf>
    <xf numFmtId="44" fontId="36" fillId="0" borderId="24" xfId="216" applyFont="1" applyBorder="1" applyAlignment="1">
      <alignment/>
    </xf>
    <xf numFmtId="44" fontId="0" fillId="0" borderId="0" xfId="216" applyFont="1" applyBorder="1" applyAlignment="1">
      <alignment/>
    </xf>
    <xf numFmtId="0" fontId="42" fillId="0" borderId="0" xfId="298" applyFont="1">
      <alignment/>
      <protection/>
    </xf>
    <xf numFmtId="0" fontId="43" fillId="22" borderId="31" xfId="298" applyFont="1" applyFill="1" applyBorder="1" applyAlignment="1">
      <alignment horizontal="center"/>
      <protection/>
    </xf>
    <xf numFmtId="0" fontId="43" fillId="22" borderId="32" xfId="298" applyFont="1" applyFill="1" applyBorder="1" applyAlignment="1">
      <alignment horizontal="center"/>
      <protection/>
    </xf>
    <xf numFmtId="0" fontId="43" fillId="22" borderId="32" xfId="298" applyFont="1" applyFill="1" applyBorder="1" applyAlignment="1">
      <alignment horizontal="left"/>
      <protection/>
    </xf>
    <xf numFmtId="0" fontId="43" fillId="22" borderId="33" xfId="298" applyFont="1" applyFill="1" applyBorder="1" applyAlignment="1">
      <alignment horizontal="center"/>
      <protection/>
    </xf>
    <xf numFmtId="0" fontId="43" fillId="0" borderId="0" xfId="298" applyFont="1" applyAlignment="1">
      <alignment horizontal="center"/>
      <protection/>
    </xf>
    <xf numFmtId="0" fontId="43" fillId="22" borderId="34" xfId="298" applyFont="1" applyFill="1" applyBorder="1" applyAlignment="1">
      <alignment horizontal="center" wrapText="1"/>
      <protection/>
    </xf>
    <xf numFmtId="0" fontId="43" fillId="22" borderId="0" xfId="298" applyFont="1" applyFill="1" applyBorder="1" applyAlignment="1">
      <alignment horizontal="center" wrapText="1"/>
      <protection/>
    </xf>
    <xf numFmtId="0" fontId="43" fillId="22" borderId="35" xfId="298" applyFont="1" applyFill="1" applyBorder="1" applyAlignment="1">
      <alignment horizontal="center" wrapText="1"/>
      <protection/>
    </xf>
    <xf numFmtId="0" fontId="43" fillId="0" borderId="0" xfId="298" applyFont="1" applyAlignment="1">
      <alignment horizontal="center" wrapText="1"/>
      <protection/>
    </xf>
    <xf numFmtId="0" fontId="42" fillId="0" borderId="34" xfId="298" applyFont="1" applyBorder="1">
      <alignment/>
      <protection/>
    </xf>
    <xf numFmtId="0" fontId="42" fillId="0" borderId="0" xfId="298" applyFont="1" applyBorder="1">
      <alignment/>
      <protection/>
    </xf>
    <xf numFmtId="10" fontId="42" fillId="0" borderId="0" xfId="298" applyNumberFormat="1" applyFont="1" applyBorder="1">
      <alignment/>
      <protection/>
    </xf>
    <xf numFmtId="43" fontId="42" fillId="0" borderId="35" xfId="298" applyNumberFormat="1" applyFont="1" applyBorder="1">
      <alignment/>
      <protection/>
    </xf>
    <xf numFmtId="0" fontId="42" fillId="0" borderId="36" xfId="298" applyFont="1" applyBorder="1">
      <alignment/>
      <protection/>
    </xf>
    <xf numFmtId="0" fontId="42" fillId="0" borderId="15" xfId="298" applyFont="1" applyBorder="1">
      <alignment/>
      <protection/>
    </xf>
    <xf numFmtId="10" fontId="42" fillId="0" borderId="15" xfId="298" applyNumberFormat="1" applyFont="1" applyBorder="1">
      <alignment/>
      <protection/>
    </xf>
    <xf numFmtId="43" fontId="42" fillId="0" borderId="37" xfId="298" applyNumberFormat="1" applyFont="1" applyBorder="1">
      <alignment/>
      <protection/>
    </xf>
    <xf numFmtId="0" fontId="42" fillId="22" borderId="34" xfId="298" applyFont="1" applyFill="1" applyBorder="1">
      <alignment/>
      <protection/>
    </xf>
    <xf numFmtId="0" fontId="42" fillId="22" borderId="0" xfId="298" applyFont="1" applyFill="1" applyBorder="1">
      <alignment/>
      <protection/>
    </xf>
    <xf numFmtId="0" fontId="43" fillId="22" borderId="0" xfId="298" applyFont="1" applyFill="1" applyBorder="1">
      <alignment/>
      <protection/>
    </xf>
    <xf numFmtId="43" fontId="43" fillId="22" borderId="35" xfId="298" applyNumberFormat="1" applyFont="1" applyFill="1" applyBorder="1" applyAlignment="1">
      <alignment horizontal="center"/>
      <protection/>
    </xf>
    <xf numFmtId="0" fontId="42" fillId="22" borderId="0" xfId="298" applyFont="1" applyFill="1">
      <alignment/>
      <protection/>
    </xf>
    <xf numFmtId="0" fontId="42" fillId="0" borderId="38" xfId="298" applyFont="1" applyBorder="1">
      <alignment/>
      <protection/>
    </xf>
    <xf numFmtId="0" fontId="42" fillId="0" borderId="13" xfId="298" applyFont="1" applyBorder="1">
      <alignment/>
      <protection/>
    </xf>
    <xf numFmtId="165" fontId="42" fillId="0" borderId="0" xfId="186" applyNumberFormat="1" applyFont="1" applyBorder="1" applyAlignment="1">
      <alignment/>
    </xf>
    <xf numFmtId="165" fontId="42" fillId="0" borderId="0" xfId="298" applyNumberFormat="1" applyFont="1" applyBorder="1">
      <alignment/>
      <protection/>
    </xf>
    <xf numFmtId="165" fontId="42" fillId="0" borderId="15" xfId="298" applyNumberFormat="1" applyFont="1" applyBorder="1">
      <alignment/>
      <protection/>
    </xf>
    <xf numFmtId="165" fontId="42" fillId="0" borderId="13" xfId="298" applyNumberFormat="1" applyFont="1" applyBorder="1">
      <alignment/>
      <protection/>
    </xf>
    <xf numFmtId="43" fontId="42" fillId="0" borderId="35" xfId="298" applyNumberFormat="1" applyFont="1" applyFill="1" applyBorder="1">
      <alignment/>
      <protection/>
    </xf>
    <xf numFmtId="43" fontId="42" fillId="0" borderId="37" xfId="298" applyNumberFormat="1" applyFont="1" applyFill="1" applyBorder="1">
      <alignment/>
      <protection/>
    </xf>
    <xf numFmtId="43" fontId="42" fillId="0" borderId="39" xfId="298" applyNumberFormat="1" applyFont="1" applyFill="1" applyBorder="1">
      <alignment/>
      <protection/>
    </xf>
    <xf numFmtId="0" fontId="0" fillId="0" borderId="6" xfId="0" applyBorder="1" applyAlignment="1">
      <alignment horizontal="right"/>
    </xf>
    <xf numFmtId="44" fontId="0" fillId="0" borderId="25" xfId="0" applyNumberFormat="1" applyBorder="1" applyAlignment="1">
      <alignment/>
    </xf>
    <xf numFmtId="43" fontId="0" fillId="0" borderId="25" xfId="0" applyNumberFormat="1" applyBorder="1" applyAlignment="1">
      <alignment/>
    </xf>
    <xf numFmtId="43" fontId="0" fillId="0" borderId="26" xfId="0" applyNumberFormat="1" applyBorder="1" applyAlignment="1">
      <alignment/>
    </xf>
    <xf numFmtId="44" fontId="0" fillId="0" borderId="6" xfId="186" applyNumberFormat="1" applyFont="1" applyBorder="1" applyAlignment="1">
      <alignment/>
    </xf>
    <xf numFmtId="43" fontId="36" fillId="0" borderId="0" xfId="186" applyFont="1" applyAlignment="1">
      <alignment/>
    </xf>
    <xf numFmtId="43" fontId="36" fillId="0" borderId="0" xfId="299" applyNumberFormat="1" applyFont="1">
      <alignment/>
      <protection/>
    </xf>
    <xf numFmtId="168" fontId="36" fillId="0" borderId="0" xfId="299" applyNumberFormat="1" applyFont="1">
      <alignment/>
      <protection/>
    </xf>
    <xf numFmtId="0" fontId="39" fillId="0" borderId="0" xfId="0" applyFont="1" applyFill="1" applyAlignment="1">
      <alignment/>
    </xf>
    <xf numFmtId="0" fontId="36" fillId="0" borderId="0" xfId="0" applyFont="1" applyFill="1" applyAlignment="1">
      <alignment horizontal="center"/>
    </xf>
    <xf numFmtId="17" fontId="45" fillId="22" borderId="0" xfId="300" applyNumberFormat="1" applyFont="1" applyFill="1" applyBorder="1" applyAlignment="1">
      <alignment horizontal="center" wrapText="1"/>
      <protection/>
    </xf>
    <xf numFmtId="165" fontId="42" fillId="0" borderId="0" xfId="186" applyNumberFormat="1" applyFont="1" applyAlignment="1">
      <alignment/>
    </xf>
    <xf numFmtId="165" fontId="46" fillId="0" borderId="0" xfId="186" applyNumberFormat="1" applyFont="1" applyFill="1" applyBorder="1" applyAlignment="1">
      <alignment/>
    </xf>
    <xf numFmtId="165" fontId="42" fillId="0" borderId="0" xfId="298" applyNumberFormat="1" applyFont="1">
      <alignment/>
      <protection/>
    </xf>
    <xf numFmtId="39" fontId="42" fillId="0" borderId="0" xfId="298" applyNumberFormat="1" applyFont="1">
      <alignment/>
      <protection/>
    </xf>
    <xf numFmtId="41" fontId="0" fillId="0" borderId="0" xfId="0" applyNumberFormat="1" applyFill="1" applyAlignment="1">
      <alignment/>
    </xf>
    <xf numFmtId="185" fontId="5" fillId="0" borderId="0" xfId="0" applyNumberFormat="1" applyFont="1" applyAlignment="1">
      <alignment/>
    </xf>
    <xf numFmtId="39" fontId="5" fillId="0" borderId="0" xfId="0" applyNumberFormat="1" applyFont="1" applyAlignment="1">
      <alignment/>
    </xf>
    <xf numFmtId="0" fontId="5" fillId="0" borderId="0" xfId="0" applyFont="1" applyAlignment="1">
      <alignment/>
    </xf>
    <xf numFmtId="185" fontId="5" fillId="0" borderId="0" xfId="0" applyNumberFormat="1" applyFont="1" applyAlignment="1">
      <alignment horizontal="center"/>
    </xf>
    <xf numFmtId="39" fontId="5" fillId="0" borderId="0" xfId="0" applyNumberFormat="1" applyFont="1" applyAlignment="1">
      <alignment horizontal="center"/>
    </xf>
    <xf numFmtId="10" fontId="5" fillId="0" borderId="0" xfId="0" applyNumberFormat="1" applyFont="1" applyAlignment="1">
      <alignment horizontal="center"/>
    </xf>
    <xf numFmtId="17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179" fontId="5" fillId="0" borderId="0" xfId="0" applyNumberFormat="1" applyFont="1" applyAlignment="1">
      <alignment/>
    </xf>
    <xf numFmtId="17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right" wrapText="1"/>
    </xf>
    <xf numFmtId="10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185" fontId="5" fillId="0" borderId="0" xfId="0" applyNumberFormat="1" applyFont="1" applyAlignment="1">
      <alignment horizontal="right"/>
    </xf>
    <xf numFmtId="39" fontId="6" fillId="0" borderId="3" xfId="0" applyNumberFormat="1" applyFont="1" applyBorder="1" applyAlignment="1">
      <alignment/>
    </xf>
    <xf numFmtId="179" fontId="6" fillId="0" borderId="3" xfId="0" applyNumberFormat="1" applyFont="1" applyBorder="1" applyAlignment="1">
      <alignment/>
    </xf>
    <xf numFmtId="2" fontId="6" fillId="0" borderId="3" xfId="0" applyNumberFormat="1" applyFont="1" applyBorder="1" applyAlignment="1">
      <alignment horizontal="center"/>
    </xf>
    <xf numFmtId="39" fontId="6" fillId="0" borderId="0" xfId="0" applyNumberFormat="1" applyFont="1" applyAlignment="1">
      <alignment/>
    </xf>
    <xf numFmtId="39" fontId="6" fillId="0" borderId="14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4" fontId="6" fillId="0" borderId="14" xfId="0" applyNumberFormat="1" applyFont="1" applyBorder="1" applyAlignment="1">
      <alignment horizontal="center"/>
    </xf>
    <xf numFmtId="44" fontId="0" fillId="0" borderId="26" xfId="0" applyNumberFormat="1" applyBorder="1" applyAlignment="1">
      <alignment/>
    </xf>
    <xf numFmtId="43" fontId="47" fillId="0" borderId="0" xfId="186" applyFont="1" applyAlignment="1">
      <alignment/>
    </xf>
    <xf numFmtId="43" fontId="42" fillId="0" borderId="0" xfId="298" applyNumberFormat="1" applyFont="1">
      <alignment/>
      <protection/>
    </xf>
    <xf numFmtId="0" fontId="40" fillId="0" borderId="0" xfId="0" applyFont="1" applyFill="1" applyAlignment="1">
      <alignment/>
    </xf>
    <xf numFmtId="0" fontId="48" fillId="0" borderId="0" xfId="0" applyFont="1" applyFill="1" applyAlignment="1">
      <alignment/>
    </xf>
    <xf numFmtId="165" fontId="0" fillId="0" borderId="0" xfId="186" applyNumberFormat="1" applyFont="1" applyFill="1" applyAlignment="1">
      <alignment/>
    </xf>
    <xf numFmtId="165" fontId="46" fillId="0" borderId="15" xfId="186" applyNumberFormat="1" applyFont="1" applyFill="1" applyBorder="1" applyAlignment="1">
      <alignment/>
    </xf>
    <xf numFmtId="165" fontId="4" fillId="0" borderId="0" xfId="186" applyNumberFormat="1" applyFont="1" applyFill="1" applyAlignment="1">
      <alignment/>
    </xf>
    <xf numFmtId="41" fontId="4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36" fillId="0" borderId="15" xfId="0" applyFont="1" applyFill="1" applyBorder="1" applyAlignment="1">
      <alignment horizontal="center" wrapText="1"/>
    </xf>
    <xf numFmtId="0" fontId="36" fillId="0" borderId="15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9" fillId="0" borderId="0" xfId="0" applyFont="1" applyFill="1" applyAlignment="1">
      <alignment wrapText="1"/>
    </xf>
    <xf numFmtId="43" fontId="36" fillId="0" borderId="0" xfId="186" applyFont="1" applyFill="1" applyAlignment="1">
      <alignment horizontal="center"/>
    </xf>
    <xf numFmtId="0" fontId="36" fillId="0" borderId="0" xfId="0" applyFont="1" applyFill="1" applyAlignment="1">
      <alignment horizontal="left"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6" fillId="0" borderId="0" xfId="0" applyFont="1" applyFill="1" applyAlignment="1">
      <alignment/>
    </xf>
    <xf numFmtId="43" fontId="36" fillId="0" borderId="3" xfId="0" applyNumberFormat="1" applyFont="1" applyFill="1" applyBorder="1" applyAlignment="1">
      <alignment/>
    </xf>
    <xf numFmtId="0" fontId="36" fillId="0" borderId="3" xfId="0" applyFont="1" applyFill="1" applyBorder="1" applyAlignment="1">
      <alignment/>
    </xf>
    <xf numFmtId="43" fontId="0" fillId="0" borderId="0" xfId="0" applyNumberFormat="1" applyFill="1" applyAlignment="1">
      <alignment/>
    </xf>
    <xf numFmtId="0" fontId="36" fillId="0" borderId="0" xfId="0" applyFont="1" applyFill="1" applyBorder="1" applyAlignment="1">
      <alignment/>
    </xf>
    <xf numFmtId="165" fontId="0" fillId="0" borderId="0" xfId="0" applyNumberFormat="1" applyFill="1" applyAlignment="1">
      <alignment/>
    </xf>
    <xf numFmtId="44" fontId="0" fillId="0" borderId="0" xfId="216" applyFill="1" applyAlignment="1">
      <alignment/>
    </xf>
    <xf numFmtId="0" fontId="43" fillId="0" borderId="0" xfId="298" applyFont="1">
      <alignment/>
      <protection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43" fontId="0" fillId="0" borderId="0" xfId="186" applyFont="1" applyAlignment="1">
      <alignment horizontal="right"/>
    </xf>
    <xf numFmtId="165" fontId="0" fillId="0" borderId="0" xfId="186" applyNumberFormat="1" applyFont="1" applyAlignment="1">
      <alignment/>
    </xf>
    <xf numFmtId="165" fontId="0" fillId="0" borderId="0" xfId="0" applyNumberFormat="1" applyAlignment="1">
      <alignment/>
    </xf>
    <xf numFmtId="183" fontId="0" fillId="0" borderId="0" xfId="216" applyNumberFormat="1" applyFont="1" applyAlignment="1">
      <alignment/>
    </xf>
    <xf numFmtId="183" fontId="0" fillId="0" borderId="0" xfId="0" applyNumberFormat="1" applyAlignment="1">
      <alignment/>
    </xf>
    <xf numFmtId="183" fontId="0" fillId="0" borderId="0" xfId="186" applyNumberFormat="1" applyFont="1" applyAlignment="1">
      <alignment/>
    </xf>
    <xf numFmtId="187" fontId="4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187" fontId="0" fillId="0" borderId="0" xfId="0" applyNumberFormat="1" applyFont="1" applyAlignment="1">
      <alignment horizontal="left"/>
    </xf>
    <xf numFmtId="187" fontId="33" fillId="0" borderId="0" xfId="0" applyNumberFormat="1" applyFont="1" applyAlignment="1">
      <alignment horizontal="left"/>
    </xf>
    <xf numFmtId="0" fontId="0" fillId="0" borderId="28" xfId="0" applyNumberFormat="1" applyBorder="1" applyAlignment="1">
      <alignment horizontal="center"/>
    </xf>
    <xf numFmtId="187" fontId="0" fillId="0" borderId="40" xfId="0" applyNumberFormat="1" applyFont="1" applyBorder="1" applyAlignment="1">
      <alignment horizontal="centerContinuous"/>
    </xf>
    <xf numFmtId="187" fontId="0" fillId="0" borderId="3" xfId="0" applyNumberFormat="1" applyFont="1" applyBorder="1" applyAlignment="1">
      <alignment horizontal="centerContinuous"/>
    </xf>
    <xf numFmtId="187" fontId="0" fillId="0" borderId="41" xfId="0" applyNumberFormat="1" applyFont="1" applyBorder="1" applyAlignment="1">
      <alignment horizontal="centerContinuous"/>
    </xf>
    <xf numFmtId="0" fontId="0" fillId="0" borderId="25" xfId="0" applyNumberFormat="1" applyBorder="1" applyAlignment="1">
      <alignment horizontal="center"/>
    </xf>
    <xf numFmtId="187" fontId="0" fillId="0" borderId="22" xfId="0" applyNumberFormat="1" applyFont="1" applyFill="1" applyBorder="1" applyAlignment="1">
      <alignment horizontal="left"/>
    </xf>
    <xf numFmtId="187" fontId="0" fillId="0" borderId="3" xfId="0" applyNumberFormat="1" applyFont="1" applyFill="1" applyBorder="1" applyAlignment="1">
      <alignment horizontal="centerContinuous"/>
    </xf>
    <xf numFmtId="187" fontId="0" fillId="0" borderId="41" xfId="0" applyNumberFormat="1" applyFont="1" applyFill="1" applyBorder="1" applyAlignment="1">
      <alignment horizontal="centerContinuous"/>
    </xf>
    <xf numFmtId="187" fontId="0" fillId="0" borderId="40" xfId="0" applyNumberFormat="1" applyFont="1" applyFill="1" applyBorder="1" applyAlignment="1">
      <alignment horizontal="centerContinuous"/>
    </xf>
    <xf numFmtId="187" fontId="0" fillId="0" borderId="27" xfId="0" applyNumberFormat="1" applyFont="1" applyBorder="1" applyAlignment="1">
      <alignment horizontal="left"/>
    </xf>
    <xf numFmtId="187" fontId="0" fillId="0" borderId="42" xfId="0" applyNumberFormat="1" applyFont="1" applyFill="1" applyBorder="1" applyAlignment="1">
      <alignment horizontal="left"/>
    </xf>
    <xf numFmtId="187" fontId="0" fillId="0" borderId="0" xfId="0" applyNumberFormat="1" applyFont="1" applyFill="1" applyBorder="1" applyAlignment="1">
      <alignment horizontal="left"/>
    </xf>
    <xf numFmtId="187" fontId="0" fillId="0" borderId="29" xfId="0" applyNumberFormat="1" applyFont="1" applyFill="1" applyBorder="1" applyAlignment="1">
      <alignment horizontal="center"/>
    </xf>
    <xf numFmtId="187" fontId="0" fillId="0" borderId="42" xfId="0" applyNumberFormat="1" applyFont="1" applyFill="1" applyBorder="1" applyAlignment="1">
      <alignment horizontal="centerContinuous"/>
    </xf>
    <xf numFmtId="187" fontId="0" fillId="0" borderId="0" xfId="0" applyNumberFormat="1" applyFont="1" applyFill="1" applyBorder="1" applyAlignment="1">
      <alignment horizontal="centerContinuous"/>
    </xf>
    <xf numFmtId="187" fontId="0" fillId="0" borderId="29" xfId="0" applyNumberFormat="1" applyFont="1" applyBorder="1" applyAlignment="1">
      <alignment horizontal="left"/>
    </xf>
    <xf numFmtId="187" fontId="0" fillId="0" borderId="42" xfId="0" applyNumberFormat="1" applyFont="1" applyFill="1" applyBorder="1" applyAlignment="1">
      <alignment horizontal="center"/>
    </xf>
    <xf numFmtId="187" fontId="0" fillId="0" borderId="0" xfId="0" applyNumberFormat="1" applyFont="1" applyFill="1" applyBorder="1" applyAlignment="1">
      <alignment horizontal="center"/>
    </xf>
    <xf numFmtId="187" fontId="0" fillId="0" borderId="23" xfId="0" applyNumberFormat="1" applyFont="1" applyFill="1" applyBorder="1" applyAlignment="1">
      <alignment horizontal="center"/>
    </xf>
    <xf numFmtId="187" fontId="0" fillId="0" borderId="15" xfId="0" applyNumberFormat="1" applyFont="1" applyFill="1" applyBorder="1" applyAlignment="1">
      <alignment horizontal="center"/>
    </xf>
    <xf numFmtId="187" fontId="0" fillId="0" borderId="24" xfId="0" applyNumberFormat="1" applyFont="1" applyFill="1" applyBorder="1" applyAlignment="1">
      <alignment horizontal="center"/>
    </xf>
    <xf numFmtId="0" fontId="0" fillId="0" borderId="42" xfId="0" applyNumberFormat="1" applyFont="1" applyFill="1" applyBorder="1" applyAlignment="1">
      <alignment horizontal="center" vertical="top"/>
    </xf>
    <xf numFmtId="17" fontId="0" fillId="0" borderId="0" xfId="0" applyNumberFormat="1" applyFont="1" applyFill="1" applyBorder="1" applyAlignment="1">
      <alignment horizontal="center" vertical="top"/>
    </xf>
    <xf numFmtId="41" fontId="0" fillId="0" borderId="0" xfId="0" applyNumberFormat="1" applyFont="1" applyFill="1" applyBorder="1" applyAlignment="1">
      <alignment horizontal="center" vertical="top"/>
    </xf>
    <xf numFmtId="41" fontId="0" fillId="0" borderId="29" xfId="0" applyNumberFormat="1" applyFont="1" applyFill="1" applyBorder="1" applyAlignment="1">
      <alignment horizontal="center" vertical="top"/>
    </xf>
    <xf numFmtId="37" fontId="0" fillId="0" borderId="0" xfId="0" applyNumberFormat="1" applyFont="1" applyFill="1" applyBorder="1" applyAlignment="1">
      <alignment horizontal="center" vertical="top"/>
    </xf>
    <xf numFmtId="187" fontId="0" fillId="0" borderId="0" xfId="0" applyNumberFormat="1" applyFont="1" applyAlignment="1">
      <alignment horizontal="center"/>
    </xf>
    <xf numFmtId="0" fontId="0" fillId="0" borderId="26" xfId="0" applyNumberFormat="1" applyBorder="1" applyAlignment="1">
      <alignment horizontal="center"/>
    </xf>
    <xf numFmtId="0" fontId="0" fillId="0" borderId="23" xfId="0" applyNumberFormat="1" applyFont="1" applyFill="1" applyBorder="1" applyAlignment="1">
      <alignment horizontal="center"/>
    </xf>
    <xf numFmtId="17" fontId="0" fillId="0" borderId="15" xfId="0" applyNumberFormat="1" applyFont="1" applyFill="1" applyBorder="1" applyAlignment="1">
      <alignment horizontal="center"/>
    </xf>
    <xf numFmtId="41" fontId="0" fillId="0" borderId="15" xfId="0" applyNumberFormat="1" applyFont="1" applyFill="1" applyBorder="1" applyAlignment="1">
      <alignment horizontal="center"/>
    </xf>
    <xf numFmtId="41" fontId="0" fillId="0" borderId="24" xfId="0" applyNumberFormat="1" applyFont="1" applyFill="1" applyBorder="1" applyAlignment="1">
      <alignment horizontal="center"/>
    </xf>
    <xf numFmtId="37" fontId="0" fillId="0" borderId="15" xfId="0" applyNumberFormat="1" applyFont="1" applyFill="1" applyBorder="1" applyAlignment="1">
      <alignment horizontal="center"/>
    </xf>
    <xf numFmtId="41" fontId="0" fillId="0" borderId="15" xfId="0" applyNumberFormat="1" applyFont="1" applyFill="1" applyBorder="1" applyAlignment="1">
      <alignment horizontal="left"/>
    </xf>
    <xf numFmtId="0" fontId="0" fillId="0" borderId="42" xfId="0" applyNumberFormat="1" applyFont="1" applyFill="1" applyBorder="1" applyAlignment="1">
      <alignment horizontal="center"/>
    </xf>
    <xf numFmtId="17" fontId="0" fillId="0" borderId="0" xfId="0" applyNumberFormat="1" applyFont="1" applyFill="1" applyBorder="1" applyAlignment="1">
      <alignment horizontal="center"/>
    </xf>
    <xf numFmtId="41" fontId="0" fillId="0" borderId="0" xfId="0" applyNumberFormat="1" applyFont="1" applyFill="1" applyBorder="1" applyAlignment="1">
      <alignment horizontal="left"/>
    </xf>
    <xf numFmtId="41" fontId="0" fillId="0" borderId="29" xfId="0" applyNumberFormat="1" applyFont="1" applyFill="1" applyBorder="1" applyAlignment="1">
      <alignment horizontal="left"/>
    </xf>
    <xf numFmtId="37" fontId="0" fillId="0" borderId="42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42" fontId="0" fillId="0" borderId="29" xfId="0" applyNumberFormat="1" applyFont="1" applyFill="1" applyBorder="1" applyAlignment="1">
      <alignment horizontal="left"/>
    </xf>
    <xf numFmtId="0" fontId="0" fillId="0" borderId="43" xfId="0" applyNumberFormat="1" applyFont="1" applyFill="1" applyBorder="1" applyAlignment="1">
      <alignment horizontal="center"/>
    </xf>
    <xf numFmtId="41" fontId="0" fillId="0" borderId="14" xfId="0" applyNumberFormat="1" applyFont="1" applyFill="1" applyBorder="1" applyAlignment="1">
      <alignment horizontal="left"/>
    </xf>
    <xf numFmtId="37" fontId="0" fillId="0" borderId="0" xfId="0" applyNumberFormat="1" applyFont="1" applyFill="1" applyBorder="1" applyAlignment="1">
      <alignment horizontal="left"/>
    </xf>
    <xf numFmtId="187" fontId="0" fillId="0" borderId="29" xfId="0" applyNumberFormat="1" applyFont="1" applyFill="1" applyBorder="1" applyAlignment="1">
      <alignment horizontal="left"/>
    </xf>
    <xf numFmtId="41" fontId="4" fillId="0" borderId="0" xfId="0" applyNumberFormat="1" applyFont="1" applyFill="1" applyBorder="1" applyAlignment="1">
      <alignment horizontal="left"/>
    </xf>
    <xf numFmtId="42" fontId="0" fillId="0" borderId="44" xfId="0" applyNumberFormat="1" applyFont="1" applyFill="1" applyBorder="1" applyAlignment="1">
      <alignment horizontal="left"/>
    </xf>
    <xf numFmtId="42" fontId="4" fillId="0" borderId="45" xfId="0" applyNumberFormat="1" applyFont="1" applyFill="1" applyBorder="1" applyAlignment="1">
      <alignment horizontal="left"/>
    </xf>
    <xf numFmtId="187" fontId="0" fillId="0" borderId="23" xfId="0" applyNumberFormat="1" applyFont="1" applyBorder="1" applyAlignment="1">
      <alignment horizontal="left"/>
    </xf>
    <xf numFmtId="187" fontId="0" fillId="0" borderId="15" xfId="0" applyNumberFormat="1" applyFont="1" applyBorder="1" applyAlignment="1">
      <alignment horizontal="left"/>
    </xf>
    <xf numFmtId="187" fontId="0" fillId="0" borderId="24" xfId="0" applyNumberFormat="1" applyFont="1" applyBorder="1" applyAlignment="1">
      <alignment horizontal="left"/>
    </xf>
    <xf numFmtId="9" fontId="8" fillId="0" borderId="0" xfId="308" applyFont="1" applyFill="1" applyBorder="1" applyAlignment="1" applyProtection="1">
      <alignment/>
      <protection locked="0"/>
    </xf>
    <xf numFmtId="183" fontId="8" fillId="0" borderId="16" xfId="216" applyNumberFormat="1" applyFont="1" applyFill="1" applyBorder="1" applyAlignment="1" applyProtection="1">
      <alignment/>
      <protection locked="0"/>
    </xf>
    <xf numFmtId="165" fontId="8" fillId="0" borderId="16" xfId="186" applyNumberFormat="1" applyFont="1" applyFill="1" applyBorder="1" applyAlignment="1">
      <alignment/>
    </xf>
    <xf numFmtId="0" fontId="37" fillId="0" borderId="40" xfId="299" applyFont="1" applyBorder="1" applyAlignment="1">
      <alignment horizontal="center" wrapText="1"/>
      <protection/>
    </xf>
    <xf numFmtId="0" fontId="37" fillId="0" borderId="41" xfId="299" applyFont="1" applyBorder="1" applyAlignment="1">
      <alignment horizontal="center" wrapText="1"/>
      <protection/>
    </xf>
    <xf numFmtId="0" fontId="43" fillId="22" borderId="32" xfId="298" applyFont="1" applyFill="1" applyBorder="1" applyAlignment="1">
      <alignment horizontal="center" wrapText="1"/>
      <protection/>
    </xf>
    <xf numFmtId="0" fontId="43" fillId="22" borderId="0" xfId="298" applyFont="1" applyFill="1" applyBorder="1" applyAlignment="1">
      <alignment horizontal="center" wrapText="1"/>
      <protection/>
    </xf>
    <xf numFmtId="39" fontId="6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right" wrapText="1"/>
    </xf>
    <xf numFmtId="0" fontId="4" fillId="0" borderId="0" xfId="0" applyFont="1" applyAlignment="1">
      <alignment horizontal="right" wrapText="1"/>
    </xf>
    <xf numFmtId="4" fontId="4" fillId="0" borderId="0" xfId="0" applyNumberFormat="1" applyFont="1" applyAlignment="1">
      <alignment horizontal="right" wrapText="1"/>
    </xf>
    <xf numFmtId="4" fontId="0" fillId="0" borderId="0" xfId="0" applyNumberFormat="1" applyAlignment="1">
      <alignment horizontal="right" wrapText="1"/>
    </xf>
    <xf numFmtId="10" fontId="0" fillId="0" borderId="0" xfId="0" applyNumberFormat="1" applyAlignment="1">
      <alignment horizontal="right" wrapText="1"/>
    </xf>
    <xf numFmtId="0" fontId="0" fillId="0" borderId="15" xfId="0" applyBorder="1" applyAlignment="1">
      <alignment wrapText="1"/>
    </xf>
    <xf numFmtId="0" fontId="0" fillId="0" borderId="0" xfId="0" applyAlignment="1">
      <alignment horizontal="right" wrapText="1"/>
    </xf>
    <xf numFmtId="17" fontId="0" fillId="0" borderId="0" xfId="0" applyNumberFormat="1" applyAlignment="1">
      <alignment horizontal="right" wrapText="1"/>
    </xf>
    <xf numFmtId="0" fontId="4" fillId="0" borderId="0" xfId="0" applyFont="1" applyAlignment="1">
      <alignment wrapText="1"/>
    </xf>
    <xf numFmtId="4" fontId="0" fillId="0" borderId="16" xfId="0" applyNumberFormat="1" applyBorder="1" applyAlignment="1">
      <alignment horizontal="right" wrapText="1"/>
    </xf>
    <xf numFmtId="10" fontId="0" fillId="0" borderId="16" xfId="0" applyNumberFormat="1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17" fontId="0" fillId="0" borderId="16" xfId="0" applyNumberFormat="1" applyBorder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17" fontId="4" fillId="0" borderId="0" xfId="0" applyNumberFormat="1" applyFont="1" applyAlignment="1">
      <alignment horizontal="left" vertical="center" wrapText="1"/>
    </xf>
  </cellXfs>
  <cellStyles count="342">
    <cellStyle name="Normal" xfId="0"/>
    <cellStyle name="_x0013_" xfId="15"/>
    <cellStyle name="_09GRC Gas Transport For Review" xfId="16"/>
    <cellStyle name="_4.06E Pass Throughs" xfId="17"/>
    <cellStyle name="_4.06E Pass Throughs_04 07E Wild Horse Wind Expansion (C) (2)" xfId="18"/>
    <cellStyle name="_4.06E Pass Throughs_4 31 Regulatory Assets and Liabilities  7 06- Exhibit D" xfId="19"/>
    <cellStyle name="_4.06E Pass Throughs_4 32 Regulatory Assets and Liabilities  7 06- Exhibit D" xfId="20"/>
    <cellStyle name="_4.06E Pass Throughs_Book9" xfId="21"/>
    <cellStyle name="_4.13E Montana Energy Tax" xfId="22"/>
    <cellStyle name="_4.13E Montana Energy Tax_04 07E Wild Horse Wind Expansion (C) (2)" xfId="23"/>
    <cellStyle name="_4.13E Montana Energy Tax_4 31 Regulatory Assets and Liabilities  7 06- Exhibit D" xfId="24"/>
    <cellStyle name="_4.13E Montana Energy Tax_4 32 Regulatory Assets and Liabilities  7 06- Exhibit D" xfId="25"/>
    <cellStyle name="_4.13E Montana Energy Tax_Book9" xfId="26"/>
    <cellStyle name="_AURORA WIP" xfId="27"/>
    <cellStyle name="_Book1" xfId="28"/>
    <cellStyle name="_Book1 (2)" xfId="29"/>
    <cellStyle name="_Book1 (2)_04 07E Wild Horse Wind Expansion (C) (2)" xfId="30"/>
    <cellStyle name="_Book1 (2)_4 31 Regulatory Assets and Liabilities  7 06- Exhibit D" xfId="31"/>
    <cellStyle name="_Book1 (2)_4 32 Regulatory Assets and Liabilities  7 06- Exhibit D" xfId="32"/>
    <cellStyle name="_Book1 (2)_Book9" xfId="33"/>
    <cellStyle name="_Book1_4 31 Regulatory Assets and Liabilities  7 06- Exhibit D" xfId="34"/>
    <cellStyle name="_Book1_4 32 Regulatory Assets and Liabilities  7 06- Exhibit D" xfId="35"/>
    <cellStyle name="_Book1_Book9" xfId="36"/>
    <cellStyle name="_Book2" xfId="37"/>
    <cellStyle name="_Book2_04 07E Wild Horse Wind Expansion (C) (2)" xfId="38"/>
    <cellStyle name="_Book2_4 31 Regulatory Assets and Liabilities  7 06- Exhibit D" xfId="39"/>
    <cellStyle name="_Book2_4 32 Regulatory Assets and Liabilities  7 06- Exhibit D" xfId="40"/>
    <cellStyle name="_Book2_Book9" xfId="41"/>
    <cellStyle name="_Book3" xfId="42"/>
    <cellStyle name="_Book5" xfId="43"/>
    <cellStyle name="_Chelan Debt Forecast 12.19.05" xfId="44"/>
    <cellStyle name="_Chelan Debt Forecast 12.19.05_4 31 Regulatory Assets and Liabilities  7 06- Exhibit D" xfId="45"/>
    <cellStyle name="_Chelan Debt Forecast 12.19.05_4 32 Regulatory Assets and Liabilities  7 06- Exhibit D" xfId="46"/>
    <cellStyle name="_Chelan Debt Forecast 12.19.05_Book9" xfId="47"/>
    <cellStyle name="_Copy 11-9 Sumas Proforma - Current" xfId="48"/>
    <cellStyle name="_Costs not in AURORA 06GRC" xfId="49"/>
    <cellStyle name="_Costs not in AURORA 06GRC_04 07E Wild Horse Wind Expansion (C) (2)" xfId="50"/>
    <cellStyle name="_Costs not in AURORA 06GRC_4 31 Regulatory Assets and Liabilities  7 06- Exhibit D" xfId="51"/>
    <cellStyle name="_Costs not in AURORA 06GRC_4 32 Regulatory Assets and Liabilities  7 06- Exhibit D" xfId="52"/>
    <cellStyle name="_Costs not in AURORA 06GRC_Book9" xfId="53"/>
    <cellStyle name="_Costs not in AURORA 2006GRC 6.15.06" xfId="54"/>
    <cellStyle name="_Costs not in AURORA 2006GRC 6.15.06_04 07E Wild Horse Wind Expansion (C) (2)" xfId="55"/>
    <cellStyle name="_Costs not in AURORA 2006GRC 6.15.06_4 31 Regulatory Assets and Liabilities  7 06- Exhibit D" xfId="56"/>
    <cellStyle name="_Costs not in AURORA 2006GRC 6.15.06_4 32 Regulatory Assets and Liabilities  7 06- Exhibit D" xfId="57"/>
    <cellStyle name="_Costs not in AURORA 2006GRC 6.15.06_Book9" xfId="58"/>
    <cellStyle name="_Costs not in AURORA 2006GRC w gas price updated" xfId="59"/>
    <cellStyle name="_Costs not in AURORA 2007 Rate Case" xfId="60"/>
    <cellStyle name="_Costs not in AURORA 2007 Rate Case_4 31 Regulatory Assets and Liabilities  7 06- Exhibit D" xfId="61"/>
    <cellStyle name="_Costs not in AURORA 2007 Rate Case_4 32 Regulatory Assets and Liabilities  7 06- Exhibit D" xfId="62"/>
    <cellStyle name="_Costs not in AURORA 2007 Rate Case_Book9" xfId="63"/>
    <cellStyle name="_Costs not in KWI3000 '06Budget" xfId="64"/>
    <cellStyle name="_Costs not in KWI3000 '06Budget_4 31 Regulatory Assets and Liabilities  7 06- Exhibit D" xfId="65"/>
    <cellStyle name="_Costs not in KWI3000 '06Budget_4 32 Regulatory Assets and Liabilities  7 06- Exhibit D" xfId="66"/>
    <cellStyle name="_Costs not in KWI3000 '06Budget_Book9" xfId="67"/>
    <cellStyle name="_DEM-WP (C) Power Cost 2006GRC Order" xfId="68"/>
    <cellStyle name="_DEM-WP (C) Power Cost 2006GRC Order_04 07E Wild Horse Wind Expansion (C) (2)" xfId="69"/>
    <cellStyle name="_DEM-WP (C) Power Cost 2006GRC Order_4 31 Regulatory Assets and Liabilities  7 06- Exhibit D" xfId="70"/>
    <cellStyle name="_DEM-WP (C) Power Cost 2006GRC Order_4 32 Regulatory Assets and Liabilities  7 06- Exhibit D" xfId="71"/>
    <cellStyle name="_DEM-WP (C) Power Cost 2006GRC Order_Book9" xfId="72"/>
    <cellStyle name="_DEM-WP Revised (HC) Wild Horse 2006GRC" xfId="73"/>
    <cellStyle name="_DEM-WP(C) Colstrip FOR" xfId="74"/>
    <cellStyle name="_DEM-WP(C) Costs not in AURORA 2006GRC" xfId="75"/>
    <cellStyle name="_DEM-WP(C) Costs not in AURORA 2006GRC_4 31 Regulatory Assets and Liabilities  7 06- Exhibit D" xfId="76"/>
    <cellStyle name="_DEM-WP(C) Costs not in AURORA 2006GRC_4 32 Regulatory Assets and Liabilities  7 06- Exhibit D" xfId="77"/>
    <cellStyle name="_DEM-WP(C) Costs not in AURORA 2006GRC_Book9" xfId="78"/>
    <cellStyle name="_DEM-WP(C) Costs not in AURORA 2007GRC" xfId="79"/>
    <cellStyle name="_DEM-WP(C) Costs not in AURORA 2007PCORC-5.07Update" xfId="80"/>
    <cellStyle name="_DEM-WP(C) Costs not in AURORA 2007PCORC-5.07Update_DEM-WP(C) Production O&amp;M 2009GRC Rebuttal" xfId="81"/>
    <cellStyle name="_DEM-WP(C) Prod O&amp;M 2007GRC" xfId="82"/>
    <cellStyle name="_DEM-WP(C) Rate Year Sumas by Month Update Corrected" xfId="83"/>
    <cellStyle name="_DEM-WP(C) Sumas Proforma 11.5.07" xfId="84"/>
    <cellStyle name="_DEM-WP(C) Westside Hydro Data_051007" xfId="85"/>
    <cellStyle name="_Fixed Gas Transport 1 19 09" xfId="86"/>
    <cellStyle name="_Fuel Prices 4-14" xfId="87"/>
    <cellStyle name="_Fuel Prices 4-14_04 07E Wild Horse Wind Expansion (C) (2)" xfId="88"/>
    <cellStyle name="_Fuel Prices 4-14_4 31 Regulatory Assets and Liabilities  7 06- Exhibit D" xfId="89"/>
    <cellStyle name="_Fuel Prices 4-14_4 32 Regulatory Assets and Liabilities  7 06- Exhibit D" xfId="90"/>
    <cellStyle name="_Fuel Prices 4-14_Book9" xfId="91"/>
    <cellStyle name="_Gas Transportation Charges_2009GRC_120308" xfId="92"/>
    <cellStyle name="_NIM 06 Base Case Current Trends" xfId="93"/>
    <cellStyle name="_Portfolio SPlan Base Case.xls Chart 1" xfId="94"/>
    <cellStyle name="_Portfolio SPlan Base Case.xls Chart 2" xfId="95"/>
    <cellStyle name="_Portfolio SPlan Base Case.xls Chart 3" xfId="96"/>
    <cellStyle name="_Power Cost Value Copy 11.30.05 gas 1.09.06 AURORA at 1.10.06" xfId="97"/>
    <cellStyle name="_Power Cost Value Copy 11.30.05 gas 1.09.06 AURORA at 1.10.06_04 07E Wild Horse Wind Expansion (C) (2)" xfId="98"/>
    <cellStyle name="_Power Cost Value Copy 11.30.05 gas 1.09.06 AURORA at 1.10.06_4 31 Regulatory Assets and Liabilities  7 06- Exhibit D" xfId="99"/>
    <cellStyle name="_Power Cost Value Copy 11.30.05 gas 1.09.06 AURORA at 1.10.06_4 32 Regulatory Assets and Liabilities  7 06- Exhibit D" xfId="100"/>
    <cellStyle name="_Power Cost Value Copy 11.30.05 gas 1.09.06 AURORA at 1.10.06_Book9" xfId="101"/>
    <cellStyle name="_Recon to Darrin's 5.11.05 proforma" xfId="102"/>
    <cellStyle name="_Recon to Darrin's 5.11.05 proforma_4 31 Regulatory Assets and Liabilities  7 06- Exhibit D" xfId="103"/>
    <cellStyle name="_Recon to Darrin's 5.11.05 proforma_4 32 Regulatory Assets and Liabilities  7 06- Exhibit D" xfId="104"/>
    <cellStyle name="_Recon to Darrin's 5.11.05 proforma_Book9" xfId="105"/>
    <cellStyle name="_Sumas Proforma - 11-09-07" xfId="106"/>
    <cellStyle name="_Sumas Property Taxes v1" xfId="107"/>
    <cellStyle name="_Tenaska Comparison" xfId="108"/>
    <cellStyle name="_Tenaska Comparison_4 31 Regulatory Assets and Liabilities  7 06- Exhibit D" xfId="109"/>
    <cellStyle name="_Tenaska Comparison_4 32 Regulatory Assets and Liabilities  7 06- Exhibit D" xfId="110"/>
    <cellStyle name="_Tenaska Comparison_Book9" xfId="111"/>
    <cellStyle name="_Value Copy 11 30 05 gas 12 09 05 AURORA at 12 14 05" xfId="112"/>
    <cellStyle name="_Value Copy 11 30 05 gas 12 09 05 AURORA at 12 14 05_04 07E Wild Horse Wind Expansion (C) (2)" xfId="113"/>
    <cellStyle name="_Value Copy 11 30 05 gas 12 09 05 AURORA at 12 14 05_4 31 Regulatory Assets and Liabilities  7 06- Exhibit D" xfId="114"/>
    <cellStyle name="_Value Copy 11 30 05 gas 12 09 05 AURORA at 12 14 05_4 32 Regulatory Assets and Liabilities  7 06- Exhibit D" xfId="115"/>
    <cellStyle name="_Value Copy 11 30 05 gas 12 09 05 AURORA at 12 14 05_Book9" xfId="116"/>
    <cellStyle name="_VC 6.15.06 update on 06GRC power costs.xls Chart 1" xfId="117"/>
    <cellStyle name="_VC 6.15.06 update on 06GRC power costs.xls Chart 1_04 07E Wild Horse Wind Expansion (C) (2)" xfId="118"/>
    <cellStyle name="_VC 6.15.06 update on 06GRC power costs.xls Chart 1_4 31 Regulatory Assets and Liabilities  7 06- Exhibit D" xfId="119"/>
    <cellStyle name="_VC 6.15.06 update on 06GRC power costs.xls Chart 1_4 32 Regulatory Assets and Liabilities  7 06- Exhibit D" xfId="120"/>
    <cellStyle name="_VC 6.15.06 update on 06GRC power costs.xls Chart 1_Book9" xfId="121"/>
    <cellStyle name="_VC 6.15.06 update on 06GRC power costs.xls Chart 2" xfId="122"/>
    <cellStyle name="_VC 6.15.06 update on 06GRC power costs.xls Chart 2_04 07E Wild Horse Wind Expansion (C) (2)" xfId="123"/>
    <cellStyle name="_VC 6.15.06 update on 06GRC power costs.xls Chart 2_4 31 Regulatory Assets and Liabilities  7 06- Exhibit D" xfId="124"/>
    <cellStyle name="_VC 6.15.06 update on 06GRC power costs.xls Chart 2_4 32 Regulatory Assets and Liabilities  7 06- Exhibit D" xfId="125"/>
    <cellStyle name="_VC 6.15.06 update on 06GRC power costs.xls Chart 2_Book9" xfId="126"/>
    <cellStyle name="_VC 6.15.06 update on 06GRC power costs.xls Chart 3" xfId="127"/>
    <cellStyle name="_VC 6.15.06 update on 06GRC power costs.xls Chart 3_04 07E Wild Horse Wind Expansion (C) (2)" xfId="128"/>
    <cellStyle name="_VC 6.15.06 update on 06GRC power costs.xls Chart 3_4 31 Regulatory Assets and Liabilities  7 06- Exhibit D" xfId="129"/>
    <cellStyle name="_VC 6.15.06 update on 06GRC power costs.xls Chart 3_4 32 Regulatory Assets and Liabilities  7 06- Exhibit D" xfId="130"/>
    <cellStyle name="_VC 6.15.06 update on 06GRC power costs.xls Chart 3_Book9" xfId="131"/>
    <cellStyle name="0,0&#13;&#10;NA&#13;&#10;" xfId="132"/>
    <cellStyle name="20% - Accent1" xfId="133"/>
    <cellStyle name="20% - Accent1 2" xfId="134"/>
    <cellStyle name="20% - Accent1 3" xfId="135"/>
    <cellStyle name="20% - Accent2" xfId="136"/>
    <cellStyle name="20% - Accent2 2" xfId="137"/>
    <cellStyle name="20% - Accent2 3" xfId="138"/>
    <cellStyle name="20% - Accent3" xfId="139"/>
    <cellStyle name="20% - Accent3 2" xfId="140"/>
    <cellStyle name="20% - Accent3 3" xfId="141"/>
    <cellStyle name="20% - Accent4" xfId="142"/>
    <cellStyle name="20% - Accent4 2" xfId="143"/>
    <cellStyle name="20% - Accent4 3" xfId="144"/>
    <cellStyle name="20% - Accent5" xfId="145"/>
    <cellStyle name="20% - Accent5 2" xfId="146"/>
    <cellStyle name="20% - Accent5 3" xfId="147"/>
    <cellStyle name="20% - Accent6" xfId="148"/>
    <cellStyle name="20% - Accent6 2" xfId="149"/>
    <cellStyle name="20% - Accent6 3" xfId="150"/>
    <cellStyle name="40% - Accent1" xfId="151"/>
    <cellStyle name="40% - Accent1 2" xfId="152"/>
    <cellStyle name="40% - Accent1 3" xfId="153"/>
    <cellStyle name="40% - Accent2" xfId="154"/>
    <cellStyle name="40% - Accent2 2" xfId="155"/>
    <cellStyle name="40% - Accent2 3" xfId="156"/>
    <cellStyle name="40% - Accent3" xfId="157"/>
    <cellStyle name="40% - Accent3 2" xfId="158"/>
    <cellStyle name="40% - Accent3 3" xfId="159"/>
    <cellStyle name="40% - Accent4" xfId="160"/>
    <cellStyle name="40% - Accent4 2" xfId="161"/>
    <cellStyle name="40% - Accent4 3" xfId="162"/>
    <cellStyle name="40% - Accent5" xfId="163"/>
    <cellStyle name="40% - Accent5 2" xfId="164"/>
    <cellStyle name="40% - Accent5 3" xfId="165"/>
    <cellStyle name="40% - Accent6" xfId="166"/>
    <cellStyle name="40% - Accent6 2" xfId="167"/>
    <cellStyle name="40% - Accent6 3" xfId="168"/>
    <cellStyle name="60% - Accent1" xfId="169"/>
    <cellStyle name="60% - Accent2" xfId="170"/>
    <cellStyle name="60% - Accent3" xfId="171"/>
    <cellStyle name="60% - Accent4" xfId="172"/>
    <cellStyle name="60% - Accent5" xfId="173"/>
    <cellStyle name="60% - Accent6" xfId="174"/>
    <cellStyle name="Accent1" xfId="175"/>
    <cellStyle name="Accent2" xfId="176"/>
    <cellStyle name="Accent3" xfId="177"/>
    <cellStyle name="Accent4" xfId="178"/>
    <cellStyle name="Accent5" xfId="179"/>
    <cellStyle name="Accent6" xfId="180"/>
    <cellStyle name="Bad" xfId="181"/>
    <cellStyle name="Calc Currency (0)" xfId="182"/>
    <cellStyle name="Calculation" xfId="183"/>
    <cellStyle name="Check Cell" xfId="184"/>
    <cellStyle name="CheckCell" xfId="185"/>
    <cellStyle name="Comma" xfId="186"/>
    <cellStyle name="Comma [0]" xfId="187"/>
    <cellStyle name="Comma 10" xfId="188"/>
    <cellStyle name="Comma 11" xfId="189"/>
    <cellStyle name="Comma 12" xfId="190"/>
    <cellStyle name="Comma 13" xfId="191"/>
    <cellStyle name="Comma 2" xfId="192"/>
    <cellStyle name="Comma 2 2" xfId="193"/>
    <cellStyle name="Comma 3" xfId="194"/>
    <cellStyle name="Comma 3 2" xfId="195"/>
    <cellStyle name="Comma 4" xfId="196"/>
    <cellStyle name="Comma 4 2" xfId="197"/>
    <cellStyle name="Comma 7" xfId="198"/>
    <cellStyle name="Comma 8" xfId="199"/>
    <cellStyle name="Comma 9" xfId="200"/>
    <cellStyle name="Comma0" xfId="201"/>
    <cellStyle name="Comma0 - Style2" xfId="202"/>
    <cellStyle name="Comma0 - Style4" xfId="203"/>
    <cellStyle name="Comma0 - Style5" xfId="204"/>
    <cellStyle name="Comma0 2" xfId="205"/>
    <cellStyle name="Comma0 3" xfId="206"/>
    <cellStyle name="Comma0 4" xfId="207"/>
    <cellStyle name="Comma0_00COS Ind Allocators" xfId="208"/>
    <cellStyle name="Comma1 - Style1" xfId="209"/>
    <cellStyle name="Copied" xfId="210"/>
    <cellStyle name="COST1" xfId="211"/>
    <cellStyle name="Curren - Style1" xfId="212"/>
    <cellStyle name="Curren - Style2" xfId="213"/>
    <cellStyle name="Curren - Style5" xfId="214"/>
    <cellStyle name="Curren - Style6" xfId="215"/>
    <cellStyle name="Currency" xfId="216"/>
    <cellStyle name="Currency [0]" xfId="217"/>
    <cellStyle name="Currency 10" xfId="218"/>
    <cellStyle name="Currency 11" xfId="219"/>
    <cellStyle name="Currency 2" xfId="220"/>
    <cellStyle name="Currency 3" xfId="221"/>
    <cellStyle name="Currency 7" xfId="222"/>
    <cellStyle name="Currency 8" xfId="223"/>
    <cellStyle name="Currency 9" xfId="224"/>
    <cellStyle name="Currency0" xfId="225"/>
    <cellStyle name="Date" xfId="226"/>
    <cellStyle name="Date 2" xfId="227"/>
    <cellStyle name="Date 3" xfId="228"/>
    <cellStyle name="Date 4" xfId="229"/>
    <cellStyle name="Entered" xfId="230"/>
    <cellStyle name="Euro" xfId="231"/>
    <cellStyle name="Explanatory Text" xfId="232"/>
    <cellStyle name="Fixed" xfId="233"/>
    <cellStyle name="Fixed3 - Style3" xfId="234"/>
    <cellStyle name="Followed Hyperlink" xfId="235"/>
    <cellStyle name="Good" xfId="236"/>
    <cellStyle name="Grey" xfId="237"/>
    <cellStyle name="Grey 2" xfId="238"/>
    <cellStyle name="Grey 3" xfId="239"/>
    <cellStyle name="Grey 4" xfId="240"/>
    <cellStyle name="Header1" xfId="241"/>
    <cellStyle name="Header2" xfId="242"/>
    <cellStyle name="Heading 1" xfId="243"/>
    <cellStyle name="Heading 2" xfId="244"/>
    <cellStyle name="Heading 3" xfId="245"/>
    <cellStyle name="Heading 4" xfId="246"/>
    <cellStyle name="Heading1" xfId="247"/>
    <cellStyle name="Heading2" xfId="248"/>
    <cellStyle name="Hyperlink" xfId="249"/>
    <cellStyle name="Input" xfId="250"/>
    <cellStyle name="Input [yellow]" xfId="251"/>
    <cellStyle name="Input [yellow] 2" xfId="252"/>
    <cellStyle name="Input [yellow] 3" xfId="253"/>
    <cellStyle name="Input [yellow] 4" xfId="254"/>
    <cellStyle name="Input Cells" xfId="255"/>
    <cellStyle name="Input Cells Percent" xfId="256"/>
    <cellStyle name="Input Cells_Book9" xfId="257"/>
    <cellStyle name="Lines" xfId="258"/>
    <cellStyle name="LINKED" xfId="259"/>
    <cellStyle name="Linked Cell" xfId="260"/>
    <cellStyle name="modified border" xfId="261"/>
    <cellStyle name="modified border 2" xfId="262"/>
    <cellStyle name="modified border 3" xfId="263"/>
    <cellStyle name="modified border 4" xfId="264"/>
    <cellStyle name="modified border1" xfId="265"/>
    <cellStyle name="modified border1 2" xfId="266"/>
    <cellStyle name="modified border1 3" xfId="267"/>
    <cellStyle name="modified border1 4" xfId="268"/>
    <cellStyle name="Neutral" xfId="269"/>
    <cellStyle name="no dec" xfId="270"/>
    <cellStyle name="Normal - Style1" xfId="271"/>
    <cellStyle name="Normal - Style1 2" xfId="272"/>
    <cellStyle name="Normal - Style1 3" xfId="273"/>
    <cellStyle name="Normal - Style1 4" xfId="274"/>
    <cellStyle name="Normal 10" xfId="275"/>
    <cellStyle name="Normal 10 2" xfId="276"/>
    <cellStyle name="Normal 11" xfId="277"/>
    <cellStyle name="Normal 12" xfId="278"/>
    <cellStyle name="Normal 13" xfId="279"/>
    <cellStyle name="Normal 14" xfId="280"/>
    <cellStyle name="Normal 2" xfId="281"/>
    <cellStyle name="Normal 2 2" xfId="282"/>
    <cellStyle name="Normal 2 2 2" xfId="283"/>
    <cellStyle name="Normal 2 2 3" xfId="284"/>
    <cellStyle name="Normal 2 3" xfId="285"/>
    <cellStyle name="Normal 2 4" xfId="286"/>
    <cellStyle name="Normal 2 5" xfId="287"/>
    <cellStyle name="Normal 2 6" xfId="288"/>
    <cellStyle name="Normal 2_Allocation Method - Working File" xfId="289"/>
    <cellStyle name="Normal 3" xfId="290"/>
    <cellStyle name="Normal 3 2" xfId="291"/>
    <cellStyle name="Normal 3 3" xfId="292"/>
    <cellStyle name="Normal 4" xfId="293"/>
    <cellStyle name="Normal 4 2" xfId="294"/>
    <cellStyle name="Normal 6" xfId="295"/>
    <cellStyle name="Normal 7" xfId="296"/>
    <cellStyle name="Normal 9" xfId="297"/>
    <cellStyle name="Normal_G386 depr using new rates" xfId="298"/>
    <cellStyle name="Normal_PSE Depr Schedule 5 25 2010" xfId="299"/>
    <cellStyle name="Normal_Sheet1" xfId="300"/>
    <cellStyle name="Note" xfId="301"/>
    <cellStyle name="Note 8" xfId="302"/>
    <cellStyle name="Note 9" xfId="303"/>
    <cellStyle name="Output" xfId="304"/>
    <cellStyle name="Percen - Style1" xfId="305"/>
    <cellStyle name="Percen - Style2" xfId="306"/>
    <cellStyle name="Percen - Style3" xfId="307"/>
    <cellStyle name="Percent" xfId="308"/>
    <cellStyle name="Percent [2]" xfId="309"/>
    <cellStyle name="Percent 2" xfId="310"/>
    <cellStyle name="Percent 3" xfId="311"/>
    <cellStyle name="Percent 4 2" xfId="312"/>
    <cellStyle name="Processing" xfId="313"/>
    <cellStyle name="PSChar" xfId="314"/>
    <cellStyle name="PSDate" xfId="315"/>
    <cellStyle name="PSDec" xfId="316"/>
    <cellStyle name="PSHeading" xfId="317"/>
    <cellStyle name="PSInt" xfId="318"/>
    <cellStyle name="PSSpacer" xfId="319"/>
    <cellStyle name="purple - Style8" xfId="320"/>
    <cellStyle name="RED" xfId="321"/>
    <cellStyle name="Red - Style7" xfId="322"/>
    <cellStyle name="RED_04 07E Wild Horse Wind Expansion (C) (2)" xfId="323"/>
    <cellStyle name="Report" xfId="324"/>
    <cellStyle name="Report Bar" xfId="325"/>
    <cellStyle name="Report Heading" xfId="326"/>
    <cellStyle name="Report Percent" xfId="327"/>
    <cellStyle name="Report Unit Cost" xfId="328"/>
    <cellStyle name="Reports" xfId="329"/>
    <cellStyle name="Reports Total" xfId="330"/>
    <cellStyle name="Reports Unit Cost Total" xfId="331"/>
    <cellStyle name="Reports_Book9" xfId="332"/>
    <cellStyle name="RevList" xfId="333"/>
    <cellStyle name="round100" xfId="334"/>
    <cellStyle name="shade" xfId="335"/>
    <cellStyle name="StmtTtl1" xfId="336"/>
    <cellStyle name="StmtTtl1 2" xfId="337"/>
    <cellStyle name="StmtTtl1 3" xfId="338"/>
    <cellStyle name="StmtTtl1 4" xfId="339"/>
    <cellStyle name="StmtTtl2" xfId="340"/>
    <cellStyle name="STYL1 - Style1" xfId="341"/>
    <cellStyle name="Style 1" xfId="342"/>
    <cellStyle name="Style 1 2" xfId="343"/>
    <cellStyle name="Style 1 3" xfId="344"/>
    <cellStyle name="Style 1 4" xfId="345"/>
    <cellStyle name="Style 1_4 31 Regulatory Assets and Liabilities  7 06- Exhibit D" xfId="346"/>
    <cellStyle name="Subtotal" xfId="347"/>
    <cellStyle name="Sub-total" xfId="348"/>
    <cellStyle name="Title" xfId="349"/>
    <cellStyle name="Title: Major" xfId="350"/>
    <cellStyle name="Title: Minor" xfId="351"/>
    <cellStyle name="Title: Worksheet" xfId="352"/>
    <cellStyle name="Total" xfId="353"/>
    <cellStyle name="Total4 - Style4" xfId="354"/>
    <cellStyle name="Warning Text" xfId="3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6.57421875" style="0" customWidth="1"/>
    <col min="2" max="2" width="45.28125" style="0" bestFit="1" customWidth="1"/>
    <col min="3" max="3" width="17.140625" style="0" customWidth="1"/>
    <col min="4" max="4" width="15.140625" style="0" customWidth="1"/>
    <col min="5" max="5" width="15.28125" style="0" customWidth="1"/>
  </cols>
  <sheetData>
    <row r="1" spans="1:5" ht="12.75">
      <c r="A1" s="4"/>
      <c r="B1" s="5"/>
      <c r="C1" s="5"/>
      <c r="D1" s="5"/>
      <c r="E1" s="6" t="s">
        <v>14</v>
      </c>
    </row>
    <row r="2" spans="1:5" ht="13.5" thickBot="1">
      <c r="A2" s="5"/>
      <c r="B2" s="5"/>
      <c r="C2" s="5"/>
      <c r="D2" s="5"/>
      <c r="E2" s="6" t="s">
        <v>147</v>
      </c>
    </row>
    <row r="3" spans="1:5" ht="14.25" thickBot="1" thickTop="1">
      <c r="A3" s="1"/>
      <c r="B3" s="1"/>
      <c r="C3" s="1"/>
      <c r="D3" s="1"/>
      <c r="E3" s="2" t="s">
        <v>313</v>
      </c>
    </row>
    <row r="4" spans="1:5" ht="13.5" thickTop="1">
      <c r="A4" s="3" t="s">
        <v>8</v>
      </c>
      <c r="B4" s="7"/>
      <c r="C4" s="8"/>
      <c r="D4" s="8"/>
      <c r="E4" s="8"/>
    </row>
    <row r="5" spans="1:5" ht="12.75">
      <c r="A5" s="3" t="s">
        <v>79</v>
      </c>
      <c r="B5" s="9"/>
      <c r="C5" s="10"/>
      <c r="D5" s="10"/>
      <c r="E5" s="10"/>
    </row>
    <row r="6" spans="1:5" ht="12.75">
      <c r="A6" s="8" t="s">
        <v>148</v>
      </c>
      <c r="B6" s="11"/>
      <c r="C6" s="12"/>
      <c r="D6" s="12"/>
      <c r="E6" s="12"/>
    </row>
    <row r="7" spans="1:5" ht="12.75">
      <c r="A7" s="3" t="s">
        <v>149</v>
      </c>
      <c r="B7" s="7"/>
      <c r="C7" s="8"/>
      <c r="D7" s="8"/>
      <c r="E7" s="8"/>
    </row>
    <row r="8" spans="1:5" ht="12.75">
      <c r="A8" s="13"/>
      <c r="B8" s="13"/>
      <c r="C8" s="13"/>
      <c r="D8" s="13"/>
      <c r="E8" s="13"/>
    </row>
    <row r="9" spans="1:5" ht="12.75">
      <c r="A9" s="14" t="s">
        <v>3</v>
      </c>
      <c r="B9" s="13"/>
      <c r="C9" s="13"/>
      <c r="D9" s="13"/>
      <c r="E9" s="13"/>
    </row>
    <row r="10" spans="1:5" ht="12.75">
      <c r="A10" s="15" t="s">
        <v>4</v>
      </c>
      <c r="B10" s="16" t="s">
        <v>1</v>
      </c>
      <c r="C10" s="17" t="s">
        <v>5</v>
      </c>
      <c r="D10" s="17" t="s">
        <v>7</v>
      </c>
      <c r="E10" s="17" t="s">
        <v>6</v>
      </c>
    </row>
    <row r="11" spans="1:5" ht="12.75">
      <c r="A11" s="5"/>
      <c r="B11" s="5"/>
      <c r="C11" s="5"/>
      <c r="D11" s="5"/>
      <c r="E11" s="5"/>
    </row>
    <row r="12" spans="1:5" ht="12.75">
      <c r="A12" s="18">
        <v>1</v>
      </c>
      <c r="B12" s="25" t="s">
        <v>10</v>
      </c>
      <c r="C12" s="5"/>
      <c r="D12" s="5"/>
      <c r="E12" s="5"/>
    </row>
    <row r="13" spans="1:5" ht="12.75">
      <c r="A13" s="18">
        <f aca="true" t="shared" si="0" ref="A13:A26">A12+1</f>
        <v>2</v>
      </c>
      <c r="B13" s="5" t="s">
        <v>74</v>
      </c>
      <c r="C13" s="24">
        <f>'Water Heaters Schedule'!D11</f>
        <v>7798988.068039249</v>
      </c>
      <c r="D13" s="24">
        <f>'Water Heaters Schedule'!D23</f>
        <v>1535588.9709753334</v>
      </c>
      <c r="E13" s="24">
        <f>+D13-C13</f>
        <v>-6263399.097063916</v>
      </c>
    </row>
    <row r="14" spans="1:5" ht="12.75">
      <c r="A14" s="18">
        <f t="shared" si="0"/>
        <v>3</v>
      </c>
      <c r="B14" s="5" t="s">
        <v>75</v>
      </c>
      <c r="C14" s="22">
        <f>SUM(C13:C13)</f>
        <v>7798988.068039249</v>
      </c>
      <c r="D14" s="22">
        <f>SUM(D13:D13)</f>
        <v>1535588.9709753334</v>
      </c>
      <c r="E14" s="22">
        <f>SUM(E13:E13)</f>
        <v>-6263399.097063916</v>
      </c>
    </row>
    <row r="15" spans="1:5" ht="12.75">
      <c r="A15" s="18">
        <f t="shared" si="0"/>
        <v>4</v>
      </c>
      <c r="B15" s="5"/>
      <c r="C15" s="21"/>
      <c r="D15" s="21"/>
      <c r="E15" s="21"/>
    </row>
    <row r="16" spans="1:5" ht="12.75">
      <c r="A16" s="18">
        <f t="shared" si="0"/>
        <v>5</v>
      </c>
      <c r="B16" s="26" t="s">
        <v>309</v>
      </c>
      <c r="C16" s="27"/>
      <c r="D16" s="27"/>
      <c r="E16" s="27">
        <f>E14</f>
        <v>-6263399.097063916</v>
      </c>
    </row>
    <row r="17" spans="1:5" ht="12.75">
      <c r="A17" s="18">
        <f t="shared" si="0"/>
        <v>6</v>
      </c>
      <c r="B17" s="26"/>
      <c r="C17" s="27"/>
      <c r="D17" s="27"/>
      <c r="E17" s="27"/>
    </row>
    <row r="18" spans="1:5" ht="12.75">
      <c r="A18" s="18">
        <f t="shared" si="0"/>
        <v>7</v>
      </c>
      <c r="B18" s="26" t="s">
        <v>307</v>
      </c>
      <c r="C18" s="27"/>
      <c r="D18" s="266">
        <v>0.35</v>
      </c>
      <c r="E18" s="27">
        <f>-E16*0.35</f>
        <v>2192189.6839723703</v>
      </c>
    </row>
    <row r="19" spans="1:5" ht="12.75">
      <c r="A19" s="18">
        <f t="shared" si="0"/>
        <v>8</v>
      </c>
      <c r="B19" s="26"/>
      <c r="C19" s="27"/>
      <c r="D19" s="27"/>
      <c r="E19" s="267"/>
    </row>
    <row r="20" spans="1:5" ht="13.5" thickBot="1">
      <c r="A20" s="18">
        <f t="shared" si="0"/>
        <v>9</v>
      </c>
      <c r="B20" s="26" t="s">
        <v>308</v>
      </c>
      <c r="C20" s="23"/>
      <c r="D20" s="23"/>
      <c r="E20" s="28">
        <f>-E16-E18</f>
        <v>4071209.4130915455</v>
      </c>
    </row>
    <row r="21" spans="1:5" ht="13.5" thickTop="1">
      <c r="A21" s="18">
        <f t="shared" si="0"/>
        <v>10</v>
      </c>
      <c r="B21" s="19"/>
      <c r="C21" s="23"/>
      <c r="D21" s="23"/>
      <c r="E21" s="23"/>
    </row>
    <row r="22" spans="1:5" ht="12.75">
      <c r="A22" s="18">
        <f t="shared" si="0"/>
        <v>11</v>
      </c>
      <c r="B22" s="25" t="s">
        <v>9</v>
      </c>
      <c r="C22" s="23"/>
      <c r="D22" s="23"/>
      <c r="E22" s="23"/>
    </row>
    <row r="23" spans="1:5" ht="12.75">
      <c r="A23" s="18">
        <f t="shared" si="0"/>
        <v>12</v>
      </c>
      <c r="B23" s="63" t="s">
        <v>310</v>
      </c>
      <c r="C23" s="23"/>
      <c r="D23" s="23"/>
      <c r="E23" s="23">
        <f>'Accum Dep'!C35</f>
        <v>-2431349.2040442782</v>
      </c>
    </row>
    <row r="24" spans="1:5" ht="12.75">
      <c r="A24" s="18">
        <f t="shared" si="0"/>
        <v>13</v>
      </c>
      <c r="B24" s="63" t="s">
        <v>311</v>
      </c>
      <c r="C24" s="23"/>
      <c r="D24" s="23"/>
      <c r="E24" s="23">
        <f>DFIT!I30</f>
        <v>212502.75437810807</v>
      </c>
    </row>
    <row r="25" spans="1:5" ht="12.75">
      <c r="A25" s="18">
        <f t="shared" si="0"/>
        <v>14</v>
      </c>
      <c r="B25" s="63"/>
      <c r="C25" s="23"/>
      <c r="D25" s="23"/>
      <c r="E25" s="268"/>
    </row>
    <row r="26" spans="1:5" ht="13.5" thickBot="1">
      <c r="A26" s="18">
        <f t="shared" si="0"/>
        <v>15</v>
      </c>
      <c r="B26" s="19" t="s">
        <v>11</v>
      </c>
      <c r="C26" s="20"/>
      <c r="D26" s="20"/>
      <c r="E26" s="28">
        <f>SUM(E23:E24)</f>
        <v>-2218846.4496661704</v>
      </c>
    </row>
    <row r="27" spans="1:5" ht="13.5" thickTop="1">
      <c r="A27" s="18"/>
      <c r="B27" s="5"/>
      <c r="C27" s="5"/>
      <c r="D27" s="5"/>
      <c r="E27" s="5"/>
    </row>
    <row r="28" spans="1:2" ht="12.75">
      <c r="A28" s="18"/>
      <c r="B28" s="5" t="s">
        <v>13</v>
      </c>
    </row>
    <row r="29" spans="1:2" ht="12.75">
      <c r="A29" s="18"/>
      <c r="B29" s="5"/>
    </row>
  </sheetData>
  <sheetProtection/>
  <printOptions/>
  <pageMargins left="0.94" right="0.75" top="1" bottom="1" header="0.5" footer="0.5"/>
  <pageSetup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2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6.00390625" style="0" customWidth="1"/>
    <col min="2" max="2" width="8.421875" style="0" customWidth="1"/>
    <col min="3" max="3" width="41.57421875" style="0" customWidth="1"/>
    <col min="4" max="4" width="17.57421875" style="0" customWidth="1"/>
    <col min="5" max="5" width="14.57421875" style="0" bestFit="1" customWidth="1"/>
    <col min="6" max="11" width="11.8515625" style="0" bestFit="1" customWidth="1"/>
    <col min="12" max="12" width="14.57421875" style="0" customWidth="1"/>
  </cols>
  <sheetData>
    <row r="2" spans="2:4" ht="12.75">
      <c r="B2" s="66"/>
      <c r="C2" s="97" t="s">
        <v>115</v>
      </c>
      <c r="D2" s="98"/>
    </row>
    <row r="3" spans="2:4" ht="12.75">
      <c r="B3" s="67"/>
      <c r="C3" s="64"/>
      <c r="D3" s="68"/>
    </row>
    <row r="4" spans="2:4" ht="12.75">
      <c r="B4" s="82"/>
      <c r="C4" s="82"/>
      <c r="D4" s="81"/>
    </row>
    <row r="5" spans="2:4" ht="12.75">
      <c r="B5" s="88" t="s">
        <v>81</v>
      </c>
      <c r="C5" s="83" t="s">
        <v>82</v>
      </c>
      <c r="D5" s="90" t="s">
        <v>114</v>
      </c>
    </row>
    <row r="6" spans="2:4" ht="12.75">
      <c r="B6" s="82"/>
      <c r="C6" s="89"/>
      <c r="D6" s="92"/>
    </row>
    <row r="7" spans="2:4" ht="12.75">
      <c r="B7" s="78">
        <v>386.1</v>
      </c>
      <c r="C7" s="36" t="s">
        <v>67</v>
      </c>
      <c r="D7" s="135">
        <f>'Depr Exp'!CL5+'Depr Exp'!CL6</f>
        <v>2640896</v>
      </c>
    </row>
    <row r="8" spans="2:4" ht="12.75">
      <c r="B8" s="78">
        <v>386.2</v>
      </c>
      <c r="C8" s="36" t="s">
        <v>69</v>
      </c>
      <c r="D8" s="79">
        <f>'Depr Exp'!CL7+'Depr Exp'!CL8</f>
        <v>4857837.66</v>
      </c>
    </row>
    <row r="9" spans="2:4" ht="12.75">
      <c r="B9" s="78">
        <v>386.3</v>
      </c>
      <c r="C9" s="36" t="s">
        <v>70</v>
      </c>
      <c r="D9" s="79">
        <f>'Depr Exp'!CL9+'Depr Exp'!CL10</f>
        <v>243019.66</v>
      </c>
    </row>
    <row r="10" spans="2:4" ht="12.75">
      <c r="B10" s="80">
        <v>386.5</v>
      </c>
      <c r="C10" s="36" t="s">
        <v>71</v>
      </c>
      <c r="D10" s="93">
        <f>'Depr Exp'!CL17+'Depr Exp'!CL18</f>
        <v>57234.74803924869</v>
      </c>
    </row>
    <row r="11" spans="2:4" ht="13.5" thickBot="1">
      <c r="B11" s="94"/>
      <c r="C11" s="65" t="s">
        <v>12</v>
      </c>
      <c r="D11" s="91">
        <f>SUM(D7:D10)</f>
        <v>7798988.068039249</v>
      </c>
    </row>
    <row r="12" spans="2:4" ht="13.5" thickTop="1">
      <c r="B12" s="70"/>
      <c r="C12" s="86"/>
      <c r="D12" s="101"/>
    </row>
    <row r="14" spans="2:4" ht="12.75">
      <c r="B14" s="66"/>
      <c r="C14" s="97" t="s">
        <v>116</v>
      </c>
      <c r="D14" s="98"/>
    </row>
    <row r="15" spans="2:4" ht="12.75">
      <c r="B15" s="67"/>
      <c r="C15" s="64"/>
      <c r="D15" s="68"/>
    </row>
    <row r="16" spans="2:4" ht="12.75">
      <c r="B16" s="82"/>
      <c r="C16" s="82"/>
      <c r="D16" s="81"/>
    </row>
    <row r="17" spans="2:4" ht="12.75">
      <c r="B17" s="88" t="s">
        <v>81</v>
      </c>
      <c r="C17" s="83" t="s">
        <v>82</v>
      </c>
      <c r="D17" s="90" t="s">
        <v>114</v>
      </c>
    </row>
    <row r="18" spans="2:4" ht="12.75">
      <c r="B18" s="82"/>
      <c r="C18" s="89"/>
      <c r="D18" s="92"/>
    </row>
    <row r="19" spans="2:4" ht="12.75">
      <c r="B19" s="78">
        <v>386.1</v>
      </c>
      <c r="C19" s="36" t="s">
        <v>67</v>
      </c>
      <c r="D19" s="135">
        <f>'Comparison Schedule new'!$P$12</f>
        <v>307573.00776875</v>
      </c>
    </row>
    <row r="20" spans="2:4" ht="12.75">
      <c r="B20" s="78">
        <v>386.2</v>
      </c>
      <c r="C20" s="36" t="s">
        <v>69</v>
      </c>
      <c r="D20" s="135">
        <f>'Comparison Schedule new'!$P$13</f>
        <v>1203232.241532</v>
      </c>
    </row>
    <row r="21" spans="2:4" ht="12.75">
      <c r="B21" s="78">
        <v>386.3</v>
      </c>
      <c r="C21" s="36" t="s">
        <v>70</v>
      </c>
      <c r="D21" s="135">
        <f>'Comparison Schedule new'!$P$14</f>
        <v>24783.721674583336</v>
      </c>
    </row>
    <row r="22" spans="2:4" ht="12.75">
      <c r="B22" s="80">
        <v>386.5</v>
      </c>
      <c r="C22" s="36" t="s">
        <v>71</v>
      </c>
      <c r="D22" s="174">
        <f>'Comparison Schedule new'!$P$15</f>
        <v>0</v>
      </c>
    </row>
    <row r="23" spans="1:4" ht="13.5" thickBot="1">
      <c r="A23" s="60"/>
      <c r="B23" s="94"/>
      <c r="C23" s="65" t="s">
        <v>12</v>
      </c>
      <c r="D23" s="91">
        <f>SUM(D19:D22)</f>
        <v>1535588.9709753334</v>
      </c>
    </row>
    <row r="24" spans="2:4" ht="13.5" thickTop="1">
      <c r="B24" s="70"/>
      <c r="C24" s="86"/>
      <c r="D24" s="101"/>
    </row>
    <row r="25" spans="1:4" ht="12.75">
      <c r="A25" s="60"/>
      <c r="C25" s="36"/>
      <c r="D25" s="59"/>
    </row>
    <row r="26" spans="1:4" ht="12.75">
      <c r="A26" s="60"/>
      <c r="B26" s="66"/>
      <c r="C26" s="97" t="s">
        <v>117</v>
      </c>
      <c r="D26" s="99"/>
    </row>
    <row r="27" spans="1:4" ht="12.75">
      <c r="A27" s="60"/>
      <c r="B27" s="67"/>
      <c r="C27" s="87"/>
      <c r="D27" s="100"/>
    </row>
    <row r="28" spans="1:4" ht="12.75">
      <c r="A28" s="60"/>
      <c r="B28" s="82"/>
      <c r="C28" s="82"/>
      <c r="D28" s="84" t="s">
        <v>54</v>
      </c>
    </row>
    <row r="29" spans="1:4" ht="12.75">
      <c r="A29" s="60"/>
      <c r="B29" s="88" t="s">
        <v>81</v>
      </c>
      <c r="C29" s="83" t="s">
        <v>82</v>
      </c>
      <c r="D29" s="85" t="s">
        <v>133</v>
      </c>
    </row>
    <row r="30" spans="1:4" ht="12.75">
      <c r="A30" s="60"/>
      <c r="B30" s="82"/>
      <c r="C30" s="89"/>
      <c r="D30" s="92"/>
    </row>
    <row r="31" spans="1:4" ht="12.75">
      <c r="A31" s="60"/>
      <c r="B31" s="78">
        <v>386.1</v>
      </c>
      <c r="C31" s="36" t="s">
        <v>67</v>
      </c>
      <c r="D31" s="135">
        <f>-D7+D19</f>
        <v>-2333322.99223125</v>
      </c>
    </row>
    <row r="32" spans="1:4" ht="12.75">
      <c r="A32" s="60"/>
      <c r="B32" s="78">
        <v>386.2</v>
      </c>
      <c r="C32" s="36" t="s">
        <v>69</v>
      </c>
      <c r="D32" s="136">
        <f>-D8+D20</f>
        <v>-3654605.4184680004</v>
      </c>
    </row>
    <row r="33" spans="1:4" ht="12.75">
      <c r="A33" s="60"/>
      <c r="B33" s="78">
        <v>386.3</v>
      </c>
      <c r="C33" s="36" t="s">
        <v>70</v>
      </c>
      <c r="D33" s="136">
        <f>-D9+D21</f>
        <v>-218235.93832541668</v>
      </c>
    </row>
    <row r="34" spans="1:4" ht="12.75">
      <c r="A34" s="60"/>
      <c r="B34" s="80">
        <v>386.5</v>
      </c>
      <c r="C34" s="36" t="s">
        <v>71</v>
      </c>
      <c r="D34" s="137">
        <f>-D10+D22</f>
        <v>-57234.74803924869</v>
      </c>
    </row>
    <row r="35" spans="1:5" ht="13.5" thickBot="1">
      <c r="A35" s="60"/>
      <c r="B35" s="94"/>
      <c r="C35" s="65" t="s">
        <v>12</v>
      </c>
      <c r="D35" s="91">
        <f>SUM(D31:D34)</f>
        <v>-6263399.097063915</v>
      </c>
      <c r="E35" s="60"/>
    </row>
    <row r="36" spans="1:4" ht="13.5" thickTop="1">
      <c r="A36" s="60"/>
      <c r="C36" s="36"/>
      <c r="D36" s="59"/>
    </row>
    <row r="38" spans="3:4" ht="27" customHeight="1">
      <c r="C38" s="269" t="s">
        <v>131</v>
      </c>
      <c r="D38" s="270"/>
    </row>
    <row r="39" spans="3:4" ht="16.5" customHeight="1">
      <c r="C39" s="96">
        <v>40148</v>
      </c>
      <c r="D39" s="135">
        <v>0</v>
      </c>
    </row>
    <row r="40" spans="3:12" ht="12.75">
      <c r="C40" s="96">
        <v>40179</v>
      </c>
      <c r="D40" s="95">
        <f aca="true" t="shared" si="0" ref="D40:D51">D39-$D$35/12</f>
        <v>521949.92475532624</v>
      </c>
      <c r="E40" s="61"/>
      <c r="F40" s="61"/>
      <c r="G40" s="61"/>
      <c r="H40" s="61"/>
      <c r="I40" s="61"/>
      <c r="J40" s="61"/>
      <c r="K40" s="61"/>
      <c r="L40" s="61"/>
    </row>
    <row r="41" spans="3:5" ht="12.75">
      <c r="C41" s="96">
        <v>40210</v>
      </c>
      <c r="D41" s="95">
        <f t="shared" si="0"/>
        <v>1043899.8495106525</v>
      </c>
      <c r="E41" s="61"/>
    </row>
    <row r="42" spans="3:5" ht="12.75">
      <c r="C42" s="96">
        <v>40238</v>
      </c>
      <c r="D42" s="95">
        <f t="shared" si="0"/>
        <v>1565849.7742659787</v>
      </c>
      <c r="E42" s="61"/>
    </row>
    <row r="43" spans="3:5" ht="12.75">
      <c r="C43" s="96">
        <v>40269</v>
      </c>
      <c r="D43" s="95">
        <f t="shared" si="0"/>
        <v>2087799.699021305</v>
      </c>
      <c r="E43" s="61"/>
    </row>
    <row r="44" spans="3:5" ht="12.75">
      <c r="C44" s="96">
        <v>40299</v>
      </c>
      <c r="D44" s="95">
        <f t="shared" si="0"/>
        <v>2609749.6237766314</v>
      </c>
      <c r="E44" s="61"/>
    </row>
    <row r="45" spans="3:5" ht="12.75">
      <c r="C45" s="96">
        <v>40330</v>
      </c>
      <c r="D45" s="95">
        <f t="shared" si="0"/>
        <v>3131699.548531958</v>
      </c>
      <c r="E45" s="61"/>
    </row>
    <row r="46" spans="3:5" ht="12.75">
      <c r="C46" s="96">
        <v>40360</v>
      </c>
      <c r="D46" s="95">
        <f t="shared" si="0"/>
        <v>3653649.4732872844</v>
      </c>
      <c r="E46" s="61"/>
    </row>
    <row r="47" spans="3:5" ht="12.75">
      <c r="C47" s="96">
        <v>40391</v>
      </c>
      <c r="D47" s="95">
        <f t="shared" si="0"/>
        <v>4175599.398042611</v>
      </c>
      <c r="E47" s="61"/>
    </row>
    <row r="48" spans="3:5" ht="12.75">
      <c r="C48" s="96">
        <v>40422</v>
      </c>
      <c r="D48" s="95">
        <f t="shared" si="0"/>
        <v>4697549.322797937</v>
      </c>
      <c r="E48" s="61"/>
    </row>
    <row r="49" spans="3:5" ht="12.75">
      <c r="C49" s="96">
        <v>40452</v>
      </c>
      <c r="D49" s="95">
        <f t="shared" si="0"/>
        <v>5219499.247553264</v>
      </c>
      <c r="E49" s="61"/>
    </row>
    <row r="50" spans="3:5" ht="12.75">
      <c r="C50" s="96">
        <v>40483</v>
      </c>
      <c r="D50" s="95">
        <f t="shared" si="0"/>
        <v>5741449.17230859</v>
      </c>
      <c r="E50" s="61"/>
    </row>
    <row r="51" spans="3:5" ht="12.75">
      <c r="C51" s="96">
        <v>40513</v>
      </c>
      <c r="D51" s="95">
        <f t="shared" si="0"/>
        <v>6263399.097063917</v>
      </c>
      <c r="E51" s="61"/>
    </row>
    <row r="52" spans="3:4" ht="12.75">
      <c r="C52" s="134" t="s">
        <v>132</v>
      </c>
      <c r="D52" s="138">
        <f>(D39+D51+SUM(D40:D50)*2)/24</f>
        <v>3131699.5485319584</v>
      </c>
    </row>
  </sheetData>
  <sheetProtection/>
  <mergeCells count="1">
    <mergeCell ref="C38:D38"/>
  </mergeCells>
  <printOptions/>
  <pageMargins left="0.55" right="0.6" top="0.7" bottom="0.7" header="0.5" footer="0.5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2"/>
  <sheetViews>
    <sheetView zoomScalePageLayoutView="0" workbookViewId="0" topLeftCell="A2">
      <pane xSplit="3" topLeftCell="G1" activePane="topRight" state="frozen"/>
      <selection pane="topLeft" activeCell="A2" sqref="A2"/>
      <selection pane="topRight" activeCell="B31" sqref="B31"/>
    </sheetView>
  </sheetViews>
  <sheetFormatPr defaultColWidth="10.7109375" defaultRowHeight="12.75" outlineLevelRow="1"/>
  <cols>
    <col min="1" max="1" width="6.8515625" style="102" customWidth="1"/>
    <col min="2" max="2" width="26.8515625" style="102" customWidth="1"/>
    <col min="3" max="3" width="8.57421875" style="102" customWidth="1"/>
    <col min="4" max="4" width="12.57421875" style="102" customWidth="1"/>
    <col min="5" max="5" width="14.00390625" style="102" bestFit="1" customWidth="1"/>
    <col min="6" max="9" width="14.140625" style="102" bestFit="1" customWidth="1"/>
    <col min="10" max="10" width="11.421875" style="102" bestFit="1" customWidth="1"/>
    <col min="11" max="13" width="14.140625" style="102" bestFit="1" customWidth="1"/>
    <col min="14" max="14" width="12.421875" style="102" customWidth="1"/>
    <col min="15" max="15" width="12.140625" style="102" customWidth="1"/>
    <col min="16" max="16" width="13.28125" style="102" customWidth="1"/>
    <col min="17" max="16384" width="10.7109375" style="102" customWidth="1"/>
  </cols>
  <sheetData>
    <row r="1" ht="15.75" outlineLevel="1" thickBot="1"/>
    <row r="2" spans="1:16" s="107" customFormat="1" ht="14.25" outlineLevel="1">
      <c r="A2" s="103"/>
      <c r="B2" s="104"/>
      <c r="C2" s="271" t="s">
        <v>119</v>
      </c>
      <c r="D2" s="105" t="s">
        <v>118</v>
      </c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6"/>
    </row>
    <row r="3" spans="1:16" s="111" customFormat="1" ht="27.75" customHeight="1">
      <c r="A3" s="108" t="s">
        <v>81</v>
      </c>
      <c r="B3" s="109" t="s">
        <v>82</v>
      </c>
      <c r="C3" s="272"/>
      <c r="D3" s="144">
        <v>40179</v>
      </c>
      <c r="E3" s="144">
        <v>40210</v>
      </c>
      <c r="F3" s="144">
        <v>40238</v>
      </c>
      <c r="G3" s="144">
        <v>40269</v>
      </c>
      <c r="H3" s="144">
        <v>40299</v>
      </c>
      <c r="I3" s="144">
        <v>40330</v>
      </c>
      <c r="J3" s="144">
        <v>40390</v>
      </c>
      <c r="K3" s="144">
        <v>40421</v>
      </c>
      <c r="L3" s="144">
        <v>40451</v>
      </c>
      <c r="M3" s="144">
        <v>40482</v>
      </c>
      <c r="N3" s="144">
        <v>40512</v>
      </c>
      <c r="O3" s="144">
        <v>40543</v>
      </c>
      <c r="P3" s="110"/>
    </row>
    <row r="4" spans="1:16" ht="15">
      <c r="A4" s="112" t="s">
        <v>120</v>
      </c>
      <c r="B4" s="113" t="s">
        <v>121</v>
      </c>
      <c r="C4" s="114">
        <f>'Compar. Sched. Original'!Z13</f>
        <v>0.0255</v>
      </c>
      <c r="D4" s="146">
        <f>('Depr Exp'!S5+'Depr Exp'!M5)/2+('Depr Exp'!S6+'Depr Exp'!M6)/2</f>
        <v>12501633.5</v>
      </c>
      <c r="E4" s="146">
        <f>('Depr Exp'!S5+'Depr Exp'!Y5)/2+('Depr Exp'!S6+'Depr Exp'!Y6)/2</f>
        <v>12448087.5</v>
      </c>
      <c r="F4" s="146">
        <f>('Depr Exp'!Y5+'Depr Exp'!AE5)/2+('Depr Exp'!Y6+'Depr Exp'!AE6)/2</f>
        <v>12335306</v>
      </c>
      <c r="G4" s="146">
        <f>('Depr Exp'!AE5+'Depr Exp'!AK5)/2+('Depr Exp'!AE6+'Depr Exp'!AK6)/2</f>
        <v>12271518</v>
      </c>
      <c r="H4" s="146">
        <f>('Depr Exp'!AK5+'Depr Exp'!AQ5)/2+('Depr Exp'!AK6+'Depr Exp'!AK6)/2</f>
        <v>12215926.98</v>
      </c>
      <c r="I4" s="146">
        <f>('Depr Exp'!AQ5+'Depr Exp'!AW5)/2+('Depr Exp'!AQ6+'Depr Exp'!AW6)/2</f>
        <v>12029739.129999999</v>
      </c>
      <c r="J4" s="146">
        <f>('Depr Exp'!AW5+'Depr Exp'!BC5)/2+('Depr Exp'!AW6+'Depr Exp'!BC6)/2</f>
        <v>11945728.754999999</v>
      </c>
      <c r="K4" s="146">
        <f>('Depr Exp'!BC5+'Depr Exp'!BI5)/2+('Depr Exp'!BC6+'Depr Exp'!BI6)/2</f>
        <v>11882201.795</v>
      </c>
      <c r="L4" s="146">
        <f>('Depr Exp'!BI5+'Depr Exp'!BO5)/2+('Depr Exp'!BI6+'Depr Exp'!BO6)/2</f>
        <v>11839337.225</v>
      </c>
      <c r="M4" s="146">
        <f>('Depr Exp'!BO5+'Depr Exp'!BU5)/2+('Depr Exp'!BO6+'Depr Exp'!BU6)/2</f>
        <v>11792023.540000001</v>
      </c>
      <c r="N4" s="146">
        <f>('Depr Exp'!BU5+'Depr Exp'!CA5)/2+('Depr Exp'!BU6+'Depr Exp'!CA6)/2</f>
        <v>11766915.085</v>
      </c>
      <c r="O4" s="146">
        <f>('Depr Exp'!CA5+'Depr Exp'!CG5)/2+('Depr Exp'!CA6+'Depr Exp'!CG6)/2</f>
        <v>11711821.440000001</v>
      </c>
      <c r="P4" s="115"/>
    </row>
    <row r="5" spans="1:16" ht="15">
      <c r="A5" s="112" t="s">
        <v>122</v>
      </c>
      <c r="B5" s="113" t="s">
        <v>123</v>
      </c>
      <c r="C5" s="114">
        <f>'Compar. Sched. Original'!Z14</f>
        <v>0.0552</v>
      </c>
      <c r="D5" s="146">
        <f>('Depr Exp'!S7+'Depr Exp'!M7)/2+('Depr Exp'!S8+'Depr Exp'!M8)/2</f>
        <v>21723358.5</v>
      </c>
      <c r="E5" s="146">
        <f>('Depr Exp'!S7+'Depr Exp'!Y7)/2+('Depr Exp'!S8+'Depr Exp'!Y8)/2</f>
        <v>21769447.5</v>
      </c>
      <c r="F5" s="146">
        <f>('Depr Exp'!Y7+'Depr Exp'!AE7)/2+('Depr Exp'!Y8+'Depr Exp'!AE8)/2</f>
        <v>21792836</v>
      </c>
      <c r="G5" s="146">
        <f>('Depr Exp'!AE7+'Depr Exp'!AK7)/2+('Depr Exp'!AE8+'Depr Exp'!AK8)/2</f>
        <v>21814157</v>
      </c>
      <c r="H5" s="146">
        <f>('Depr Exp'!AK7+'Depr Exp'!AQ7)/2+('Depr Exp'!AK8+'Depr Exp'!AQ8)/2</f>
        <v>21802305.009999998</v>
      </c>
      <c r="I5" s="146">
        <f>('Depr Exp'!AQ7+'Depr Exp'!AW7)/2+('Depr Exp'!AQ8+'Depr Exp'!AW8)/2</f>
        <v>21791172.91</v>
      </c>
      <c r="J5" s="146">
        <f>('Depr Exp'!AW7+'Depr Exp'!BC7)/2+('Depr Exp'!AW8+'Depr Exp'!BC8)/2</f>
        <v>21798983.54</v>
      </c>
      <c r="K5" s="146">
        <f>('Depr Exp'!BC7+'Depr Exp'!BI7)/2+('Depr Exp'!BC8+'Depr Exp'!BI8)/2</f>
        <v>21832351.880000003</v>
      </c>
      <c r="L5" s="146">
        <f>('Depr Exp'!BI8+'Depr Exp'!BO8)/2+('Depr Exp'!BI7+'Depr Exp'!BO7)/2</f>
        <v>21840220.25</v>
      </c>
      <c r="M5" s="146">
        <f>('Depr Exp'!BO8+'Depr Exp'!BU8)/2+('Depr Exp'!BO7+'Depr Exp'!BU7)/2</f>
        <v>21808799.24</v>
      </c>
      <c r="N5" s="146">
        <f>('Depr Exp'!BU8+'Depr Exp'!CA8)/2+('Depr Exp'!BU7+'Depr Exp'!CA7)/2</f>
        <v>21802567.159999996</v>
      </c>
      <c r="O5" s="146">
        <f>('Depr Exp'!CA8+'Depr Exp'!CG8)/2+('Depr Exp'!CA7+'Depr Exp'!CG7)/2</f>
        <v>21796027.43</v>
      </c>
      <c r="P5" s="115"/>
    </row>
    <row r="6" spans="1:16" ht="15">
      <c r="A6" s="112" t="s">
        <v>124</v>
      </c>
      <c r="B6" s="113" t="s">
        <v>125</v>
      </c>
      <c r="C6" s="114">
        <f>'Compar. Sched. Original'!Z15</f>
        <v>0.0137</v>
      </c>
      <c r="D6" s="146">
        <f>('Depr Exp'!S9+'Depr Exp'!M9)/2+('Depr Exp'!S10+'Depr Exp'!M10)/2</f>
        <v>1868906</v>
      </c>
      <c r="E6" s="146">
        <f>('Depr Exp'!S9+'Depr Exp'!Y9)/2+('Depr Exp'!S10+'Depr Exp'!Y10)/2</f>
        <v>1857575</v>
      </c>
      <c r="F6" s="146">
        <f>('Depr Exp'!Y9+'Depr Exp'!AE9)/2+('Depr Exp'!Y10+'Depr Exp'!AE10)/2</f>
        <v>1846880.5</v>
      </c>
      <c r="G6" s="146">
        <f>('Depr Exp'!AE9+'Depr Exp'!AK9)/2+('Depr Exp'!AE10+'Depr Exp'!AK10)/2</f>
        <v>1835902</v>
      </c>
      <c r="H6" s="146">
        <f>('Depr Exp'!AK9+'Depr Exp'!AQ9)/2+('Depr Exp'!AK10+'Depr Exp'!AQ10)/2</f>
        <v>1825777.075</v>
      </c>
      <c r="I6" s="146">
        <f>('Depr Exp'!AQ9+'Depr Exp'!AW9)/2+('Depr Exp'!AQ10+'Depr Exp'!AW10)/2</f>
        <v>1815752.025</v>
      </c>
      <c r="J6" s="146">
        <f>('Depr Exp'!AW9+'Depr Exp'!BC9)/2+('Depr Exp'!AW10+'Depr Exp'!BC10)/2</f>
        <v>1803656.45</v>
      </c>
      <c r="K6" s="146">
        <f>('Depr Exp'!BC9+'Depr Exp'!BI9)/2+('Depr Exp'!BC10+'Depr Exp'!BI10)/2</f>
        <v>1792929.1099999999</v>
      </c>
      <c r="L6" s="146">
        <f>('Depr Exp'!BI9+'Depr Exp'!BO9)/2+('Depr Exp'!BI10+'Depr Exp'!BO10)/2</f>
        <v>1781537.815</v>
      </c>
      <c r="M6" s="146">
        <f>('Depr Exp'!BO9+'Depr Exp'!BU9)/2+('Depr Exp'!BO10+'Depr Exp'!BU10)/2</f>
        <v>1769230.655</v>
      </c>
      <c r="N6" s="146">
        <f>('Depr Exp'!BU9+'Depr Exp'!CA9)/2+('Depr Exp'!BU10+'Depr Exp'!CA10)/2</f>
        <v>1759442.585</v>
      </c>
      <c r="O6" s="146">
        <f>('Depr Exp'!CA9+'Depr Exp'!CG9)/2+('Depr Exp'!CA10+'Depr Exp'!CG10)/2</f>
        <v>1750780.1349999998</v>
      </c>
      <c r="P6" s="115"/>
    </row>
    <row r="7" spans="1:16" s="117" customFormat="1" ht="15">
      <c r="A7" s="116" t="s">
        <v>126</v>
      </c>
      <c r="B7" s="117" t="s">
        <v>127</v>
      </c>
      <c r="C7" s="118">
        <f>'Compar. Sched. Original'!Z16</f>
        <v>0</v>
      </c>
      <c r="D7" s="180">
        <f>('Depr Exp'!S17+'Depr Exp'!M17)/2+('Depr Exp'!S18+'Depr Exp'!M18)/2</f>
        <v>254905</v>
      </c>
      <c r="E7" s="180">
        <f>('Depr Exp'!Y17+'Depr Exp'!S17)/2+('Depr Exp'!Y18+'Depr Exp'!S18)/2</f>
        <v>254904.5</v>
      </c>
      <c r="F7" s="180">
        <f>('Depr Exp'!Y17+'Depr Exp'!AE17)/2+('Depr Exp'!Y18+'Depr Exp'!AE18)/2</f>
        <v>254904</v>
      </c>
      <c r="G7" s="180">
        <f>('Depr Exp'!AE17+'Depr Exp'!AK17)/2+('Depr Exp'!AE18+'Depr Exp'!AK18)/2</f>
        <v>254904.5</v>
      </c>
      <c r="H7" s="180">
        <f>('Depr Exp'!AK17+'Depr Exp'!AQ17)/2+('Depr Exp'!AK18+'Depr Exp'!AQ18)/2</f>
        <v>254904.72</v>
      </c>
      <c r="I7" s="180">
        <f>('Depr Exp'!AQ17+'Depr Exp'!AW17)/2+('Depr Exp'!AQ18+'Depr Exp'!AW18)/2</f>
        <v>254904.44</v>
      </c>
      <c r="J7" s="180">
        <f>('Depr Exp'!AW17+'Depr Exp'!BC17)/2+('Depr Exp'!AW18+'Depr Exp'!BC18)/2</f>
        <v>254904.44</v>
      </c>
      <c r="K7" s="180">
        <f>('Depr Exp'!BC17+'Depr Exp'!BI17)/2+('Depr Exp'!BC18+'Depr Exp'!BI18)/2</f>
        <v>254904.44</v>
      </c>
      <c r="L7" s="180">
        <f>('Depr Exp'!BI17+'Depr Exp'!BO17)/2+('Depr Exp'!BI18+'Depr Exp'!BO18)/2</f>
        <v>254904.44</v>
      </c>
      <c r="M7" s="180">
        <f>('Depr Exp'!BO17+'Depr Exp'!BU17)/2+('Depr Exp'!BO18+'Depr Exp'!BU18)/2</f>
        <v>254904.44</v>
      </c>
      <c r="N7" s="180">
        <f>('Depr Exp'!BU17+'Depr Exp'!CA17)/2+('Depr Exp'!BU18+'Depr Exp'!CA18)/2</f>
        <v>254904.44</v>
      </c>
      <c r="O7" s="180">
        <f>('Depr Exp'!CA17+'Depr Exp'!CG17)/2+('Depr Exp'!CA18+'Depr Exp'!CG18)/2</f>
        <v>254904.72</v>
      </c>
      <c r="P7" s="119"/>
    </row>
    <row r="8" spans="1:16" ht="15">
      <c r="A8" s="112"/>
      <c r="B8" s="113" t="s">
        <v>114</v>
      </c>
      <c r="C8" s="113"/>
      <c r="D8" s="127">
        <f aca="true" t="shared" si="0" ref="D8:O8">SUM(D4:D7)</f>
        <v>36348803</v>
      </c>
      <c r="E8" s="127">
        <f t="shared" si="0"/>
        <v>36330014.5</v>
      </c>
      <c r="F8" s="127">
        <f t="shared" si="0"/>
        <v>36229926.5</v>
      </c>
      <c r="G8" s="127">
        <f t="shared" si="0"/>
        <v>36176481.5</v>
      </c>
      <c r="H8" s="127">
        <f t="shared" si="0"/>
        <v>36098913.785</v>
      </c>
      <c r="I8" s="127">
        <f t="shared" si="0"/>
        <v>35891568.504999995</v>
      </c>
      <c r="J8" s="127">
        <f t="shared" si="0"/>
        <v>35803273.185</v>
      </c>
      <c r="K8" s="127">
        <f t="shared" si="0"/>
        <v>35762387.225</v>
      </c>
      <c r="L8" s="127">
        <f t="shared" si="0"/>
        <v>35715999.73</v>
      </c>
      <c r="M8" s="127">
        <f t="shared" si="0"/>
        <v>35624957.875</v>
      </c>
      <c r="N8" s="127">
        <f t="shared" si="0"/>
        <v>35583829.269999996</v>
      </c>
      <c r="O8" s="127">
        <f t="shared" si="0"/>
        <v>35513533.725</v>
      </c>
      <c r="P8" s="115"/>
    </row>
    <row r="9" spans="1:16" ht="15">
      <c r="A9" s="112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5"/>
    </row>
    <row r="10" spans="1:16" s="124" customFormat="1" ht="15">
      <c r="A10" s="120"/>
      <c r="B10" s="121"/>
      <c r="C10" s="272" t="s">
        <v>119</v>
      </c>
      <c r="D10" s="122" t="s">
        <v>128</v>
      </c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3" t="s">
        <v>129</v>
      </c>
    </row>
    <row r="11" spans="1:16" s="111" customFormat="1" ht="31.5" customHeight="1">
      <c r="A11" s="108" t="s">
        <v>81</v>
      </c>
      <c r="B11" s="109" t="s">
        <v>82</v>
      </c>
      <c r="C11" s="272"/>
      <c r="D11" s="144">
        <v>40179</v>
      </c>
      <c r="E11" s="144">
        <v>40210</v>
      </c>
      <c r="F11" s="144">
        <v>40238</v>
      </c>
      <c r="G11" s="144">
        <v>40269</v>
      </c>
      <c r="H11" s="144">
        <v>40299</v>
      </c>
      <c r="I11" s="144">
        <v>40330</v>
      </c>
      <c r="J11" s="144">
        <v>40390</v>
      </c>
      <c r="K11" s="144">
        <v>40421</v>
      </c>
      <c r="L11" s="144">
        <v>40451</v>
      </c>
      <c r="M11" s="144">
        <v>40482</v>
      </c>
      <c r="N11" s="144">
        <v>40512</v>
      </c>
      <c r="O11" s="144">
        <v>40543</v>
      </c>
      <c r="P11" s="110" t="s">
        <v>130</v>
      </c>
    </row>
    <row r="12" spans="1:16" ht="15">
      <c r="A12" s="112" t="s">
        <v>120</v>
      </c>
      <c r="B12" s="113" t="s">
        <v>121</v>
      </c>
      <c r="C12" s="114">
        <v>0.0255</v>
      </c>
      <c r="D12" s="128">
        <f aca="true" t="shared" si="1" ref="D12:O12">D4*$C$4/12</f>
        <v>26565.971187499996</v>
      </c>
      <c r="E12" s="128">
        <f t="shared" si="1"/>
        <v>26452.185937499995</v>
      </c>
      <c r="F12" s="128">
        <f t="shared" si="1"/>
        <v>26212.525249999995</v>
      </c>
      <c r="G12" s="128">
        <f t="shared" si="1"/>
        <v>26076.975749999998</v>
      </c>
      <c r="H12" s="128">
        <f t="shared" si="1"/>
        <v>25958.844832500003</v>
      </c>
      <c r="I12" s="128">
        <f t="shared" si="1"/>
        <v>25563.195651249993</v>
      </c>
      <c r="J12" s="128">
        <f t="shared" si="1"/>
        <v>25384.673604374995</v>
      </c>
      <c r="K12" s="128">
        <f t="shared" si="1"/>
        <v>25249.678814375</v>
      </c>
      <c r="L12" s="128">
        <f t="shared" si="1"/>
        <v>25158.591603124998</v>
      </c>
      <c r="M12" s="128">
        <f t="shared" si="1"/>
        <v>25058.0500225</v>
      </c>
      <c r="N12" s="128">
        <f t="shared" si="1"/>
        <v>25004.694555625</v>
      </c>
      <c r="O12" s="128">
        <f t="shared" si="1"/>
        <v>24887.62056</v>
      </c>
      <c r="P12" s="131">
        <f>SUM(D12:O12)</f>
        <v>307573.00776875</v>
      </c>
    </row>
    <row r="13" spans="1:16" ht="15">
      <c r="A13" s="112" t="s">
        <v>122</v>
      </c>
      <c r="B13" s="113" t="s">
        <v>123</v>
      </c>
      <c r="C13" s="114">
        <v>0.0552</v>
      </c>
      <c r="D13" s="128">
        <f aca="true" t="shared" si="2" ref="D13:O13">D5*$C$5/12</f>
        <v>99927.44910000001</v>
      </c>
      <c r="E13" s="128">
        <f t="shared" si="2"/>
        <v>100139.45850000001</v>
      </c>
      <c r="F13" s="128">
        <f t="shared" si="2"/>
        <v>100247.0456</v>
      </c>
      <c r="G13" s="128">
        <f t="shared" si="2"/>
        <v>100345.1222</v>
      </c>
      <c r="H13" s="128">
        <f t="shared" si="2"/>
        <v>100290.60304599999</v>
      </c>
      <c r="I13" s="128">
        <f t="shared" si="2"/>
        <v>100239.395386</v>
      </c>
      <c r="J13" s="128">
        <f t="shared" si="2"/>
        <v>100275.32428399999</v>
      </c>
      <c r="K13" s="128">
        <f t="shared" si="2"/>
        <v>100428.81864800001</v>
      </c>
      <c r="L13" s="128">
        <f t="shared" si="2"/>
        <v>100465.01315</v>
      </c>
      <c r="M13" s="128">
        <f t="shared" si="2"/>
        <v>100320.47650399998</v>
      </c>
      <c r="N13" s="128">
        <f t="shared" si="2"/>
        <v>100291.80893599999</v>
      </c>
      <c r="O13" s="128">
        <f t="shared" si="2"/>
        <v>100261.726178</v>
      </c>
      <c r="P13" s="131">
        <f>SUM(D13:O13)</f>
        <v>1203232.241532</v>
      </c>
    </row>
    <row r="14" spans="1:16" ht="15">
      <c r="A14" s="112" t="s">
        <v>124</v>
      </c>
      <c r="B14" s="113" t="s">
        <v>125</v>
      </c>
      <c r="C14" s="114">
        <v>0.0137</v>
      </c>
      <c r="D14" s="128">
        <f aca="true" t="shared" si="3" ref="D14:O14">D6*$C$6/12</f>
        <v>2133.6676833333336</v>
      </c>
      <c r="E14" s="128">
        <f t="shared" si="3"/>
        <v>2120.731458333333</v>
      </c>
      <c r="F14" s="128">
        <f t="shared" si="3"/>
        <v>2108.5219041666664</v>
      </c>
      <c r="G14" s="128">
        <f t="shared" si="3"/>
        <v>2095.988116666667</v>
      </c>
      <c r="H14" s="128">
        <f t="shared" si="3"/>
        <v>2084.428827291667</v>
      </c>
      <c r="I14" s="128">
        <f t="shared" si="3"/>
        <v>2072.983561875</v>
      </c>
      <c r="J14" s="128">
        <f t="shared" si="3"/>
        <v>2059.1744470833332</v>
      </c>
      <c r="K14" s="128">
        <f t="shared" si="3"/>
        <v>2046.927400583333</v>
      </c>
      <c r="L14" s="128">
        <f t="shared" si="3"/>
        <v>2033.9223387916666</v>
      </c>
      <c r="M14" s="128">
        <f t="shared" si="3"/>
        <v>2019.8716644583335</v>
      </c>
      <c r="N14" s="128">
        <f t="shared" si="3"/>
        <v>2008.6969512083333</v>
      </c>
      <c r="O14" s="128">
        <f t="shared" si="3"/>
        <v>1998.8073207916666</v>
      </c>
      <c r="P14" s="131">
        <f>SUM(D14:O14)</f>
        <v>24783.721674583336</v>
      </c>
    </row>
    <row r="15" spans="1:16" s="117" customFormat="1" ht="15">
      <c r="A15" s="116" t="s">
        <v>126</v>
      </c>
      <c r="B15" s="117" t="s">
        <v>127</v>
      </c>
      <c r="C15" s="118">
        <v>0</v>
      </c>
      <c r="D15" s="129">
        <f aca="true" t="shared" si="4" ref="D15:O15">D7*$C$713</f>
        <v>0</v>
      </c>
      <c r="E15" s="129">
        <f t="shared" si="4"/>
        <v>0</v>
      </c>
      <c r="F15" s="129">
        <f t="shared" si="4"/>
        <v>0</v>
      </c>
      <c r="G15" s="129">
        <f t="shared" si="4"/>
        <v>0</v>
      </c>
      <c r="H15" s="129">
        <f t="shared" si="4"/>
        <v>0</v>
      </c>
      <c r="I15" s="129">
        <f t="shared" si="4"/>
        <v>0</v>
      </c>
      <c r="J15" s="129">
        <f t="shared" si="4"/>
        <v>0</v>
      </c>
      <c r="K15" s="129">
        <f t="shared" si="4"/>
        <v>0</v>
      </c>
      <c r="L15" s="129">
        <f t="shared" si="4"/>
        <v>0</v>
      </c>
      <c r="M15" s="129">
        <f t="shared" si="4"/>
        <v>0</v>
      </c>
      <c r="N15" s="129">
        <f t="shared" si="4"/>
        <v>0</v>
      </c>
      <c r="O15" s="129">
        <f t="shared" si="4"/>
        <v>0</v>
      </c>
      <c r="P15" s="132">
        <f>SUM(D15:O15)</f>
        <v>0</v>
      </c>
    </row>
    <row r="16" spans="1:16" ht="15.75" thickBot="1">
      <c r="A16" s="125"/>
      <c r="B16" s="126" t="s">
        <v>114</v>
      </c>
      <c r="C16" s="126"/>
      <c r="D16" s="130">
        <f aca="true" t="shared" si="5" ref="D16:O16">SUM(D12:D15)</f>
        <v>128627.08797083334</v>
      </c>
      <c r="E16" s="130">
        <f t="shared" si="5"/>
        <v>128712.37589583333</v>
      </c>
      <c r="F16" s="130">
        <f t="shared" si="5"/>
        <v>128568.09275416666</v>
      </c>
      <c r="G16" s="130">
        <f t="shared" si="5"/>
        <v>128518.08606666666</v>
      </c>
      <c r="H16" s="130">
        <f t="shared" si="5"/>
        <v>128333.87670579166</v>
      </c>
      <c r="I16" s="130">
        <f t="shared" si="5"/>
        <v>127875.57459912499</v>
      </c>
      <c r="J16" s="130">
        <f t="shared" si="5"/>
        <v>127719.17233545832</v>
      </c>
      <c r="K16" s="130">
        <f t="shared" si="5"/>
        <v>127725.42486295835</v>
      </c>
      <c r="L16" s="130">
        <f t="shared" si="5"/>
        <v>127657.52709191667</v>
      </c>
      <c r="M16" s="130">
        <f t="shared" si="5"/>
        <v>127398.39819095831</v>
      </c>
      <c r="N16" s="130">
        <f t="shared" si="5"/>
        <v>127305.20044283332</v>
      </c>
      <c r="O16" s="130">
        <f t="shared" si="5"/>
        <v>127148.15405879165</v>
      </c>
      <c r="P16" s="133">
        <f>SUM(D16:O16)</f>
        <v>1535588.9709753334</v>
      </c>
    </row>
    <row r="18" spans="12:15" ht="15">
      <c r="L18" s="145"/>
      <c r="M18" s="145"/>
      <c r="N18" s="145"/>
      <c r="O18" s="145"/>
    </row>
    <row r="19" spans="4:16" ht="15" hidden="1">
      <c r="D19" s="145"/>
      <c r="E19" s="145"/>
      <c r="F19" s="145"/>
      <c r="G19" s="145"/>
      <c r="H19" s="142" t="s">
        <v>90</v>
      </c>
      <c r="J19" s="143"/>
      <c r="K19" s="73">
        <v>4417518</v>
      </c>
      <c r="L19" s="145">
        <f>'12ME_12_2010'!C31</f>
        <v>3885721.42</v>
      </c>
      <c r="M19" s="145"/>
      <c r="N19" s="145"/>
      <c r="O19" s="145"/>
      <c r="P19" s="145"/>
    </row>
    <row r="20" spans="8:16" ht="15" hidden="1">
      <c r="H20" s="142" t="s">
        <v>91</v>
      </c>
      <c r="J20" s="143"/>
      <c r="K20" s="73">
        <v>7252128</v>
      </c>
      <c r="L20" s="148">
        <f>'12ME_12_2010'!C17</f>
        <v>7405855.49</v>
      </c>
      <c r="N20" s="147"/>
      <c r="O20" s="147">
        <f>+K20+K19</f>
        <v>11669646</v>
      </c>
      <c r="P20" s="147">
        <f>+O20-O4</f>
        <v>-42175.44000000134</v>
      </c>
    </row>
    <row r="21" spans="6:12" ht="15" hidden="1">
      <c r="F21" s="145"/>
      <c r="G21" s="145"/>
      <c r="H21" s="142" t="s">
        <v>94</v>
      </c>
      <c r="J21" s="143"/>
      <c r="K21" s="73">
        <v>3127686</v>
      </c>
      <c r="L21" s="148">
        <f>+'12ME_12_2010'!C59</f>
        <v>2378004.46</v>
      </c>
    </row>
    <row r="22" spans="4:16" ht="15" hidden="1">
      <c r="D22" s="145"/>
      <c r="E22" s="145"/>
      <c r="F22" s="145"/>
      <c r="G22" s="145"/>
      <c r="H22" s="142" t="s">
        <v>95</v>
      </c>
      <c r="J22" s="143"/>
      <c r="K22" s="73">
        <v>18664554</v>
      </c>
      <c r="L22" s="148">
        <f>'12ME_12_2010'!C45</f>
        <v>19291721.31</v>
      </c>
      <c r="O22" s="147">
        <f>+K22+K21</f>
        <v>21792240</v>
      </c>
      <c r="P22" s="147">
        <f>+O22-O5</f>
        <v>-3787.429999999702</v>
      </c>
    </row>
    <row r="23" spans="8:12" ht="15" hidden="1">
      <c r="H23" s="142" t="s">
        <v>97</v>
      </c>
      <c r="J23" s="143"/>
      <c r="K23" s="73">
        <v>1570312</v>
      </c>
      <c r="L23" s="148">
        <f>'12ME_12_2010'!C73</f>
        <v>1688546.47</v>
      </c>
    </row>
    <row r="24" spans="8:16" ht="15" hidden="1">
      <c r="H24" s="142" t="s">
        <v>98</v>
      </c>
      <c r="J24" s="143"/>
      <c r="K24" s="73">
        <v>176112</v>
      </c>
      <c r="O24" s="147">
        <f>+K24+K23</f>
        <v>1746424</v>
      </c>
      <c r="P24" s="147">
        <f>+O24-O6</f>
        <v>-4356.1349999997765</v>
      </c>
    </row>
    <row r="25" spans="8:11" ht="15" hidden="1">
      <c r="H25" s="142" t="s">
        <v>110</v>
      </c>
      <c r="J25" s="143"/>
      <c r="K25" s="73">
        <v>235013</v>
      </c>
    </row>
    <row r="26" spans="8:16" ht="15" hidden="1">
      <c r="H26" s="142" t="s">
        <v>112</v>
      </c>
      <c r="J26" s="143"/>
      <c r="K26" s="73">
        <v>19892</v>
      </c>
      <c r="L26" s="102">
        <v>254905</v>
      </c>
      <c r="O26" s="147">
        <f>+K26+K25</f>
        <v>254905</v>
      </c>
      <c r="P26" s="147">
        <f>+O26-O7</f>
        <v>0.27999999999883585</v>
      </c>
    </row>
    <row r="27" spans="9:16" ht="15" hidden="1">
      <c r="I27" s="142"/>
      <c r="J27" s="143"/>
      <c r="K27" s="73">
        <f>SUM(K19:K26)</f>
        <v>35463215</v>
      </c>
      <c r="O27" s="73">
        <f>SUM(L19:L26)</f>
        <v>34904754.15</v>
      </c>
      <c r="P27" s="73">
        <f>SUM(M19:M26)</f>
        <v>0</v>
      </c>
    </row>
    <row r="28" spans="9:11" ht="15" hidden="1">
      <c r="I28" s="142"/>
      <c r="J28" s="143"/>
      <c r="K28" s="73"/>
    </row>
    <row r="29" spans="9:11" ht="15" hidden="1">
      <c r="I29" s="142"/>
      <c r="J29" s="143"/>
      <c r="K29" s="73"/>
    </row>
    <row r="30" spans="2:15" ht="15">
      <c r="B30" s="200" t="s">
        <v>262</v>
      </c>
      <c r="I30" s="142"/>
      <c r="J30" s="143"/>
      <c r="K30" s="73"/>
      <c r="O30" s="175"/>
    </row>
    <row r="31" spans="2:15" ht="15">
      <c r="B31" s="102" t="s">
        <v>263</v>
      </c>
      <c r="J31" s="143"/>
      <c r="O31" s="176"/>
    </row>
    <row r="32" ht="15">
      <c r="J32" s="143"/>
    </row>
  </sheetData>
  <sheetProtection/>
  <mergeCells count="2">
    <mergeCell ref="C2:C3"/>
    <mergeCell ref="C10:C11"/>
  </mergeCells>
  <printOptions/>
  <pageMargins left="0.4" right="0.47" top="1.06" bottom="0.75" header="0.47" footer="0.3"/>
  <pageSetup fitToHeight="0" fitToWidth="1" horizontalDpi="600" verticalDpi="600" orientation="landscape" scale="60" r:id="rId1"/>
  <headerFooter alignWithMargins="0">
    <oddHeader>&amp;CPUGET SOUND ENERGY, INC
DEPRECIATION FOR TEST YEAR ENDING 12/31/2010 USING PROPOSED DEPRECIATION RATES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CS80"/>
  <sheetViews>
    <sheetView zoomScale="115" zoomScaleNormal="115" zoomScaleSheetLayoutView="85" zoomScalePageLayoutView="0" workbookViewId="0" topLeftCell="A1">
      <pane xSplit="6" ySplit="4" topLeftCell="AK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K5" sqref="AK5"/>
    </sheetView>
  </sheetViews>
  <sheetFormatPr defaultColWidth="9.140625" defaultRowHeight="12.75"/>
  <cols>
    <col min="1" max="1" width="8.7109375" style="69" customWidth="1"/>
    <col min="2" max="2" width="9.8515625" style="69" customWidth="1"/>
    <col min="3" max="3" width="7.421875" style="69" customWidth="1"/>
    <col min="4" max="4" width="7.57421875" style="69" customWidth="1"/>
    <col min="5" max="5" width="9.8515625" style="69" customWidth="1"/>
    <col min="6" max="6" width="35.57421875" style="69" customWidth="1"/>
    <col min="7" max="7" width="14.00390625" style="69" customWidth="1"/>
    <col min="8" max="8" width="13.8515625" style="69" customWidth="1"/>
    <col min="9" max="9" width="12.57421875" style="69" customWidth="1"/>
    <col min="10" max="10" width="11.7109375" style="69" customWidth="1"/>
    <col min="11" max="11" width="11.140625" style="69" customWidth="1"/>
    <col min="12" max="12" width="15.421875" style="69" customWidth="1"/>
    <col min="13" max="13" width="11.421875" style="69" customWidth="1"/>
    <col min="14" max="14" width="11.8515625" style="69" customWidth="1"/>
    <col min="15" max="15" width="11.421875" style="69" customWidth="1"/>
    <col min="16" max="16" width="11.57421875" style="69" customWidth="1"/>
    <col min="17" max="17" width="10.8515625" style="69" customWidth="1"/>
    <col min="18" max="18" width="11.7109375" style="69" customWidth="1"/>
    <col min="19" max="19" width="14.140625" style="69" customWidth="1"/>
    <col min="20" max="20" width="14.28125" style="69" bestFit="1" customWidth="1"/>
    <col min="21" max="21" width="13.140625" style="69" bestFit="1" customWidth="1"/>
    <col min="22" max="22" width="11.8515625" style="69" customWidth="1"/>
    <col min="23" max="23" width="12.421875" style="69" customWidth="1"/>
    <col min="24" max="24" width="12.28125" style="69" customWidth="1"/>
    <col min="25" max="25" width="17.00390625" style="69" customWidth="1"/>
    <col min="26" max="26" width="14.421875" style="69" bestFit="1" customWidth="1"/>
    <col min="27" max="27" width="13.140625" style="69" bestFit="1" customWidth="1"/>
    <col min="28" max="28" width="12.28125" style="69" customWidth="1"/>
    <col min="29" max="29" width="13.140625" style="69" bestFit="1" customWidth="1"/>
    <col min="30" max="30" width="12.8515625" style="69" customWidth="1"/>
    <col min="31" max="31" width="15.57421875" style="69" customWidth="1"/>
    <col min="32" max="32" width="14.28125" style="69" bestFit="1" customWidth="1"/>
    <col min="33" max="33" width="13.140625" style="69" bestFit="1" customWidth="1"/>
    <col min="34" max="34" width="11.7109375" style="69" customWidth="1"/>
    <col min="35" max="36" width="13.140625" style="69" bestFit="1" customWidth="1"/>
    <col min="37" max="37" width="15.57421875" style="69" customWidth="1"/>
    <col min="38" max="38" width="14.140625" style="69" customWidth="1"/>
    <col min="39" max="39" width="13.140625" style="69" bestFit="1" customWidth="1"/>
    <col min="40" max="40" width="12.57421875" style="69" customWidth="1"/>
    <col min="41" max="41" width="11.8515625" style="69" customWidth="1"/>
    <col min="42" max="42" width="14.00390625" style="69" customWidth="1"/>
    <col min="43" max="43" width="18.57421875" style="69" customWidth="1"/>
    <col min="44" max="44" width="14.57421875" style="69" customWidth="1"/>
    <col min="45" max="45" width="14.421875" style="69" bestFit="1" customWidth="1"/>
    <col min="46" max="46" width="12.7109375" style="69" customWidth="1"/>
    <col min="47" max="47" width="12.421875" style="69" customWidth="1"/>
    <col min="48" max="48" width="12.28125" style="69" customWidth="1"/>
    <col min="49" max="49" width="21.140625" style="69" bestFit="1" customWidth="1"/>
    <col min="50" max="50" width="13.28125" style="69" customWidth="1"/>
    <col min="51" max="51" width="15.140625" style="69" bestFit="1" customWidth="1"/>
    <col min="52" max="52" width="12.57421875" style="69" customWidth="1"/>
    <col min="53" max="53" width="12.28125" style="69" customWidth="1"/>
    <col min="54" max="54" width="13.140625" style="69" bestFit="1" customWidth="1"/>
    <col min="55" max="60" width="13.00390625" style="69" customWidth="1"/>
    <col min="61" max="61" width="16.7109375" style="69" customWidth="1"/>
    <col min="62" max="62" width="13.28125" style="69" customWidth="1"/>
    <col min="63" max="63" width="15.140625" style="69" bestFit="1" customWidth="1"/>
    <col min="64" max="64" width="12.57421875" style="69" customWidth="1"/>
    <col min="65" max="65" width="12.28125" style="69" customWidth="1"/>
    <col min="66" max="66" width="13.140625" style="69" bestFit="1" customWidth="1"/>
    <col min="67" max="67" width="13.00390625" style="69" customWidth="1"/>
    <col min="68" max="68" width="14.28125" style="69" bestFit="1" customWidth="1"/>
    <col min="69" max="69" width="13.140625" style="69" bestFit="1" customWidth="1"/>
    <col min="70" max="70" width="12.28125" style="69" bestFit="1" customWidth="1"/>
    <col min="71" max="72" width="13.140625" style="69" bestFit="1" customWidth="1"/>
    <col min="73" max="75" width="14.28125" style="69" bestFit="1" customWidth="1"/>
    <col min="76" max="77" width="12.28125" style="69" customWidth="1"/>
    <col min="78" max="78" width="13.140625" style="69" bestFit="1" customWidth="1"/>
    <col min="79" max="79" width="13.57421875" style="69" customWidth="1"/>
    <col min="80" max="80" width="12.140625" style="69" customWidth="1"/>
    <col min="81" max="81" width="14.28125" style="69" bestFit="1" customWidth="1"/>
    <col min="82" max="82" width="9.140625" style="69" customWidth="1"/>
    <col min="83" max="83" width="11.140625" style="69" customWidth="1"/>
    <col min="84" max="84" width="11.421875" style="69" customWidth="1"/>
    <col min="85" max="85" width="15.8515625" style="69" customWidth="1"/>
    <col min="86" max="86" width="11.8515625" style="69" customWidth="1"/>
    <col min="87" max="87" width="12.7109375" style="69" customWidth="1"/>
    <col min="88" max="88" width="9.140625" style="69" customWidth="1"/>
    <col min="89" max="89" width="12.140625" style="69" customWidth="1"/>
    <col min="90" max="90" width="12.28125" style="69" customWidth="1"/>
    <col min="91" max="91" width="9.140625" style="69" customWidth="1"/>
    <col min="92" max="92" width="14.28125" style="69" bestFit="1" customWidth="1"/>
    <col min="93" max="93" width="15.00390625" style="69" bestFit="1" customWidth="1"/>
    <col min="94" max="94" width="14.28125" style="69" bestFit="1" customWidth="1"/>
    <col min="95" max="95" width="11.57421875" style="69" bestFit="1" customWidth="1"/>
    <col min="96" max="97" width="13.140625" style="69" bestFit="1" customWidth="1"/>
    <col min="98" max="16384" width="9.140625" style="69" customWidth="1"/>
  </cols>
  <sheetData>
    <row r="1" ht="12.75"/>
    <row r="2" ht="12.75"/>
    <row r="3" s="183" customFormat="1" ht="12.75"/>
    <row r="4" spans="1:90" s="186" customFormat="1" ht="89.25">
      <c r="A4" s="184" t="s">
        <v>83</v>
      </c>
      <c r="B4" s="185" t="s">
        <v>84</v>
      </c>
      <c r="C4" s="184" t="s">
        <v>85</v>
      </c>
      <c r="D4" s="185" t="s">
        <v>81</v>
      </c>
      <c r="E4" s="184" t="s">
        <v>86</v>
      </c>
      <c r="F4" s="184" t="s">
        <v>87</v>
      </c>
      <c r="G4" s="71" t="s">
        <v>151</v>
      </c>
      <c r="H4" s="71" t="s">
        <v>152</v>
      </c>
      <c r="I4" s="71" t="s">
        <v>153</v>
      </c>
      <c r="J4" s="71" t="s">
        <v>154</v>
      </c>
      <c r="K4" s="71" t="s">
        <v>155</v>
      </c>
      <c r="L4" s="71" t="s">
        <v>156</v>
      </c>
      <c r="M4" s="71" t="s">
        <v>157</v>
      </c>
      <c r="N4" s="71" t="s">
        <v>158</v>
      </c>
      <c r="O4" s="71" t="s">
        <v>159</v>
      </c>
      <c r="P4" s="71" t="s">
        <v>160</v>
      </c>
      <c r="Q4" s="71" t="s">
        <v>161</v>
      </c>
      <c r="R4" s="71" t="s">
        <v>162</v>
      </c>
      <c r="S4" s="71" t="s">
        <v>163</v>
      </c>
      <c r="T4" s="71" t="s">
        <v>164</v>
      </c>
      <c r="U4" s="71" t="s">
        <v>165</v>
      </c>
      <c r="V4" s="71" t="s">
        <v>166</v>
      </c>
      <c r="W4" s="71" t="s">
        <v>167</v>
      </c>
      <c r="X4" s="71" t="s">
        <v>168</v>
      </c>
      <c r="Y4" s="71" t="s">
        <v>169</v>
      </c>
      <c r="Z4" s="71" t="s">
        <v>170</v>
      </c>
      <c r="AA4" s="71" t="s">
        <v>171</v>
      </c>
      <c r="AB4" s="71" t="s">
        <v>172</v>
      </c>
      <c r="AC4" s="71" t="s">
        <v>173</v>
      </c>
      <c r="AD4" s="71" t="s">
        <v>174</v>
      </c>
      <c r="AE4" s="71" t="s">
        <v>175</v>
      </c>
      <c r="AF4" s="71" t="s">
        <v>176</v>
      </c>
      <c r="AG4" s="71" t="s">
        <v>177</v>
      </c>
      <c r="AH4" s="71" t="s">
        <v>178</v>
      </c>
      <c r="AI4" s="71" t="s">
        <v>179</v>
      </c>
      <c r="AJ4" s="71" t="s">
        <v>180</v>
      </c>
      <c r="AK4" s="71" t="s">
        <v>181</v>
      </c>
      <c r="AL4" s="71" t="s">
        <v>182</v>
      </c>
      <c r="AM4" s="71" t="s">
        <v>183</v>
      </c>
      <c r="AN4" s="71" t="s">
        <v>184</v>
      </c>
      <c r="AO4" s="71" t="s">
        <v>185</v>
      </c>
      <c r="AP4" s="71" t="s">
        <v>186</v>
      </c>
      <c r="AQ4" s="71" t="s">
        <v>187</v>
      </c>
      <c r="AR4" s="71" t="s">
        <v>188</v>
      </c>
      <c r="AS4" s="71" t="s">
        <v>189</v>
      </c>
      <c r="AT4" s="71" t="s">
        <v>190</v>
      </c>
      <c r="AU4" s="71" t="s">
        <v>191</v>
      </c>
      <c r="AV4" s="71" t="s">
        <v>192</v>
      </c>
      <c r="AW4" s="71" t="s">
        <v>193</v>
      </c>
      <c r="AX4" s="71" t="s">
        <v>194</v>
      </c>
      <c r="AY4" s="71" t="s">
        <v>195</v>
      </c>
      <c r="AZ4" s="71" t="s">
        <v>196</v>
      </c>
      <c r="BA4" s="71" t="s">
        <v>197</v>
      </c>
      <c r="BB4" s="71" t="s">
        <v>198</v>
      </c>
      <c r="BC4" s="71" t="s">
        <v>199</v>
      </c>
      <c r="BD4" s="71" t="s">
        <v>200</v>
      </c>
      <c r="BE4" s="71" t="s">
        <v>201</v>
      </c>
      <c r="BF4" s="71" t="s">
        <v>202</v>
      </c>
      <c r="BG4" s="71" t="s">
        <v>203</v>
      </c>
      <c r="BH4" s="71" t="s">
        <v>204</v>
      </c>
      <c r="BI4" s="71" t="s">
        <v>205</v>
      </c>
      <c r="BJ4" s="71" t="s">
        <v>206</v>
      </c>
      <c r="BK4" s="71" t="s">
        <v>207</v>
      </c>
      <c r="BL4" s="71" t="s">
        <v>208</v>
      </c>
      <c r="BM4" s="71" t="s">
        <v>209</v>
      </c>
      <c r="BN4" s="71" t="s">
        <v>210</v>
      </c>
      <c r="BO4" s="71" t="s">
        <v>211</v>
      </c>
      <c r="BP4" s="71" t="s">
        <v>212</v>
      </c>
      <c r="BQ4" s="71" t="s">
        <v>213</v>
      </c>
      <c r="BR4" s="71" t="s">
        <v>214</v>
      </c>
      <c r="BS4" s="71" t="s">
        <v>215</v>
      </c>
      <c r="BT4" s="71" t="s">
        <v>216</v>
      </c>
      <c r="BU4" s="71" t="s">
        <v>217</v>
      </c>
      <c r="BV4" s="71" t="s">
        <v>218</v>
      </c>
      <c r="BW4" s="71" t="s">
        <v>219</v>
      </c>
      <c r="BX4" s="71" t="s">
        <v>220</v>
      </c>
      <c r="BY4" s="71" t="s">
        <v>221</v>
      </c>
      <c r="BZ4" s="71" t="s">
        <v>222</v>
      </c>
      <c r="CA4" s="71" t="s">
        <v>256</v>
      </c>
      <c r="CB4" s="71" t="s">
        <v>257</v>
      </c>
      <c r="CC4" s="71" t="s">
        <v>258</v>
      </c>
      <c r="CD4" s="71" t="s">
        <v>259</v>
      </c>
      <c r="CE4" s="71" t="s">
        <v>260</v>
      </c>
      <c r="CF4" s="71" t="s">
        <v>254</v>
      </c>
      <c r="CG4" s="71" t="s">
        <v>255</v>
      </c>
      <c r="CH4" s="71" t="s">
        <v>135</v>
      </c>
      <c r="CI4" s="71" t="s">
        <v>136</v>
      </c>
      <c r="CJ4" s="71" t="s">
        <v>137</v>
      </c>
      <c r="CK4" s="71" t="s">
        <v>138</v>
      </c>
      <c r="CL4" s="71" t="s">
        <v>139</v>
      </c>
    </row>
    <row r="5" spans="1:97" ht="12.75">
      <c r="A5" s="143">
        <v>100279</v>
      </c>
      <c r="B5" s="143">
        <v>1040143</v>
      </c>
      <c r="C5" s="143">
        <v>1981</v>
      </c>
      <c r="D5" s="143" t="s">
        <v>88</v>
      </c>
      <c r="E5" s="143" t="s">
        <v>89</v>
      </c>
      <c r="F5" s="142" t="s">
        <v>90</v>
      </c>
      <c r="G5" s="73">
        <v>5240116</v>
      </c>
      <c r="H5" s="73">
        <v>10114699</v>
      </c>
      <c r="I5" s="73">
        <v>-4874583</v>
      </c>
      <c r="J5" s="73">
        <v>94930.63</v>
      </c>
      <c r="K5" s="72">
        <v>1047274.2</v>
      </c>
      <c r="L5" s="72">
        <v>94930.63</v>
      </c>
      <c r="M5" s="73">
        <v>5235261</v>
      </c>
      <c r="N5" s="73">
        <v>10204311</v>
      </c>
      <c r="O5" s="73">
        <f aca="true" t="shared" si="0" ref="O5:O18">M5-N5</f>
        <v>-4969050</v>
      </c>
      <c r="P5" s="73">
        <f>94467.21+0</f>
        <v>94467.21</v>
      </c>
      <c r="Q5" s="72">
        <f aca="true" t="shared" si="1" ref="Q5:Q18">K5+P5</f>
        <v>1141741.41</v>
      </c>
      <c r="R5" s="72">
        <f aca="true" t="shared" si="2" ref="R5:R18">P5</f>
        <v>94467.21</v>
      </c>
      <c r="S5" s="73">
        <v>5229798</v>
      </c>
      <c r="T5" s="73">
        <v>10293957</v>
      </c>
      <c r="U5" s="73">
        <f aca="true" t="shared" si="3" ref="U5:U18">S5-T5</f>
        <v>-5064159</v>
      </c>
      <c r="V5" s="73">
        <f>94926.81+181.54</f>
        <v>95108.34999999999</v>
      </c>
      <c r="W5" s="72">
        <f aca="true" t="shared" si="4" ref="W5:W18">V5</f>
        <v>95108.34999999999</v>
      </c>
      <c r="X5" s="72">
        <f aca="true" t="shared" si="5" ref="X5:X18">V5</f>
        <v>95108.34999999999</v>
      </c>
      <c r="Y5" s="73">
        <v>5143383</v>
      </c>
      <c r="Z5" s="73">
        <v>10301749</v>
      </c>
      <c r="AA5" s="73">
        <f aca="true" t="shared" si="6" ref="AA5:AA18">Y5-Z5</f>
        <v>-5158366</v>
      </c>
      <c r="AB5" s="73">
        <f>94071.69+135.7</f>
        <v>94207.39</v>
      </c>
      <c r="AC5" s="72">
        <f aca="true" t="shared" si="7" ref="AC5:AC19">AB5+W5</f>
        <v>189315.74</v>
      </c>
      <c r="AD5" s="72">
        <f aca="true" t="shared" si="8" ref="AD5:AD18">X5+AB5</f>
        <v>189315.74</v>
      </c>
      <c r="AE5" s="73">
        <v>5001975</v>
      </c>
      <c r="AF5" s="73">
        <v>10253071</v>
      </c>
      <c r="AG5" s="73">
        <f aca="true" t="shared" si="9" ref="AG5:AG18">AE5-AF5</f>
        <v>-5251096</v>
      </c>
      <c r="AH5" s="73">
        <f>92532.46+197</f>
        <v>92729.46</v>
      </c>
      <c r="AI5" s="72">
        <f aca="true" t="shared" si="10" ref="AI5:AI18">AH5+AC5</f>
        <v>282045.2</v>
      </c>
      <c r="AJ5" s="72">
        <f aca="true" t="shared" si="11" ref="AJ5:AJ18">AD5+AH5</f>
        <v>282045.2</v>
      </c>
      <c r="AK5" s="73">
        <v>4962695</v>
      </c>
      <c r="AL5" s="73">
        <v>10305849</v>
      </c>
      <c r="AM5" s="73">
        <f aca="true" t="shared" si="12" ref="AM5:AM18">AK5-AL5</f>
        <v>-5343154</v>
      </c>
      <c r="AN5" s="73">
        <f>92057.39+0</f>
        <v>92057.39</v>
      </c>
      <c r="AO5" s="72">
        <f aca="true" t="shared" si="13" ref="AO5:AO18">AN5+AI5</f>
        <v>374102.59</v>
      </c>
      <c r="AP5" s="72">
        <f aca="true" t="shared" si="14" ref="AP5:AP18">AJ5+AN5</f>
        <v>374102.59</v>
      </c>
      <c r="AQ5" s="73">
        <f>4866760.96</f>
        <v>4866760.96</v>
      </c>
      <c r="AR5" s="73">
        <f>10209964.22</f>
        <v>10209964.22</v>
      </c>
      <c r="AS5" s="73">
        <f aca="true" t="shared" si="15" ref="AS5:AS18">AQ5-AR5</f>
        <v>-5343203.260000001</v>
      </c>
      <c r="AT5" s="73">
        <f>49.41</f>
        <v>49.41</v>
      </c>
      <c r="AU5" s="72">
        <f aca="true" t="shared" si="16" ref="AU5:AU18">AT5+AO5</f>
        <v>374152</v>
      </c>
      <c r="AV5" s="72">
        <f aca="true" t="shared" si="17" ref="AV5:AV18">AP5+AT5</f>
        <v>374152</v>
      </c>
      <c r="AW5" s="73">
        <f>4810605.55</f>
        <v>4810605.55</v>
      </c>
      <c r="AX5" s="73">
        <f>10336094.02</f>
        <v>10336094.02</v>
      </c>
      <c r="AY5" s="73">
        <f aca="true" t="shared" si="18" ref="AY5:AY18">AW5-AX5</f>
        <v>-5525488.47</v>
      </c>
      <c r="AZ5" s="73">
        <f>89878.87+90752.09+1654.25</f>
        <v>182285.21</v>
      </c>
      <c r="BA5" s="72">
        <f aca="true" t="shared" si="19" ref="BA5:BA18">AZ5+AU5</f>
        <v>556437.21</v>
      </c>
      <c r="BB5" s="72">
        <f aca="true" t="shared" si="20" ref="BB5:BB18">AV5+AZ5</f>
        <v>556437.21</v>
      </c>
      <c r="BC5" s="73">
        <f>4714339.13</f>
        <v>4714339.13</v>
      </c>
      <c r="BD5" s="73">
        <f>10328050.3</f>
        <v>10328050.3</v>
      </c>
      <c r="BE5" s="73">
        <f aca="true" t="shared" si="21" ref="BE5:BE18">BC5-BD5</f>
        <v>-5613711.170000001</v>
      </c>
      <c r="BF5" s="73">
        <f>88132.44+90.24+0</f>
        <v>88222.68000000001</v>
      </c>
      <c r="BG5" s="72">
        <f aca="true" t="shared" si="22" ref="BG5:BG18">BF5+BA5</f>
        <v>644659.89</v>
      </c>
      <c r="BH5" s="72">
        <f aca="true" t="shared" si="23" ref="BH5:BH18">BB5+BF5</f>
        <v>644659.89</v>
      </c>
      <c r="BI5" s="73">
        <f>4666205.92</f>
        <v>4666205.92</v>
      </c>
      <c r="BJ5" s="73">
        <f>10367116.38</f>
        <v>10367116.38</v>
      </c>
      <c r="BK5" s="73">
        <f aca="true" t="shared" si="24" ref="BK5:BK18">BI5-BJ5</f>
        <v>-5700910.460000001</v>
      </c>
      <c r="BL5" s="73">
        <f>87084.58+114.72</f>
        <v>87199.3</v>
      </c>
      <c r="BM5" s="72">
        <f aca="true" t="shared" si="25" ref="BM5:BM18">BL5+BG5</f>
        <v>731859.1900000001</v>
      </c>
      <c r="BN5" s="72">
        <f aca="true" t="shared" si="26" ref="BN5:BN18">BH5+BL5</f>
        <v>731859.1900000001</v>
      </c>
      <c r="BO5" s="73">
        <f>4585983.9</f>
        <v>4585983.9</v>
      </c>
      <c r="BP5" s="73">
        <f>10371860.62</f>
        <v>10371860.62</v>
      </c>
      <c r="BQ5" s="73">
        <f aca="true" t="shared" si="27" ref="BQ5:BQ18">BO5-BP5</f>
        <v>-5785876.719999999</v>
      </c>
      <c r="BR5" s="73">
        <f>84901.54+64.72</f>
        <v>84966.26</v>
      </c>
      <c r="BS5" s="72">
        <f aca="true" t="shared" si="28" ref="BS5:BS18">BR5+BM5</f>
        <v>816825.4500000001</v>
      </c>
      <c r="BT5" s="72">
        <f aca="true" t="shared" si="29" ref="BT5:BT18">BN5+BR5</f>
        <v>816825.4500000001</v>
      </c>
      <c r="BU5" s="73">
        <f>4561917.29</f>
        <v>4561917.29</v>
      </c>
      <c r="BV5" s="73">
        <f>10434243.43</f>
        <v>10434243.43</v>
      </c>
      <c r="BW5" s="73">
        <f aca="true" t="shared" si="30" ref="BW5:BW18">BU5-BV5</f>
        <v>-5872326.14</v>
      </c>
      <c r="BX5" s="72">
        <f>84028.32+2421.12</f>
        <v>86449.44</v>
      </c>
      <c r="BY5" s="72">
        <f aca="true" t="shared" si="31" ref="BY5:BY18">BX5+BS5</f>
        <v>903274.8900000001</v>
      </c>
      <c r="BZ5" s="72">
        <f aca="true" t="shared" si="32" ref="BZ5:BZ18">BT5+BX5</f>
        <v>903274.8900000001</v>
      </c>
      <c r="CA5" s="73">
        <f>4521806.28</f>
        <v>4521806.28</v>
      </c>
      <c r="CB5" s="73">
        <f>10476966.22</f>
        <v>10476966.22</v>
      </c>
      <c r="CC5" s="73">
        <f aca="true" t="shared" si="33" ref="CC5:CC18">CA5-CB5</f>
        <v>-5955159.94</v>
      </c>
      <c r="CD5" s="72">
        <f>81845.28+988.51</f>
        <v>82833.79</v>
      </c>
      <c r="CE5" s="72">
        <v>986106</v>
      </c>
      <c r="CF5" s="72">
        <v>986106</v>
      </c>
      <c r="CG5" s="73">
        <v>4417518</v>
      </c>
      <c r="CH5" s="73">
        <v>10443171</v>
      </c>
      <c r="CI5" s="73">
        <f>(CG5-CH5)</f>
        <v>-6025653</v>
      </c>
      <c r="CJ5" s="72">
        <v>70493</v>
      </c>
      <c r="CK5" s="72">
        <f>CJ5+CE5</f>
        <v>1056599</v>
      </c>
      <c r="CL5" s="72">
        <f>CJ5+CF5</f>
        <v>1056599</v>
      </c>
      <c r="CN5" s="179"/>
      <c r="CO5" s="179"/>
      <c r="CP5" s="179"/>
      <c r="CQ5" s="179"/>
      <c r="CR5" s="179"/>
      <c r="CS5" s="179"/>
    </row>
    <row r="6" spans="1:97" ht="12.75">
      <c r="A6" s="143">
        <v>100280</v>
      </c>
      <c r="B6" s="143">
        <v>1040144</v>
      </c>
      <c r="C6" s="143">
        <v>1999</v>
      </c>
      <c r="D6" s="143" t="s">
        <v>88</v>
      </c>
      <c r="E6" s="143" t="s">
        <v>89</v>
      </c>
      <c r="F6" s="142" t="s">
        <v>91</v>
      </c>
      <c r="G6" s="73">
        <v>7279522</v>
      </c>
      <c r="H6" s="73">
        <v>6957919</v>
      </c>
      <c r="I6" s="73">
        <v>321603</v>
      </c>
      <c r="J6" s="73">
        <v>131522.69</v>
      </c>
      <c r="K6" s="72">
        <v>1403366.9</v>
      </c>
      <c r="L6" s="72">
        <v>131522.69</v>
      </c>
      <c r="M6" s="73">
        <v>7263301</v>
      </c>
      <c r="N6" s="73">
        <v>7034685</v>
      </c>
      <c r="O6" s="73">
        <f t="shared" si="0"/>
        <v>228616</v>
      </c>
      <c r="P6" s="73">
        <f>127482.16-86.56</f>
        <v>127395.6</v>
      </c>
      <c r="Q6" s="72">
        <f t="shared" si="1"/>
        <v>1530762.5</v>
      </c>
      <c r="R6" s="72">
        <f t="shared" si="2"/>
        <v>127395.6</v>
      </c>
      <c r="S6" s="73">
        <v>7274907</v>
      </c>
      <c r="T6" s="73">
        <v>7125999</v>
      </c>
      <c r="U6" s="73">
        <f t="shared" si="3"/>
        <v>148908</v>
      </c>
      <c r="V6" s="73">
        <f>131873.67+2.16</f>
        <v>131875.83000000002</v>
      </c>
      <c r="W6" s="72">
        <f t="shared" si="4"/>
        <v>131875.83000000002</v>
      </c>
      <c r="X6" s="72">
        <f t="shared" si="5"/>
        <v>131875.83000000002</v>
      </c>
      <c r="Y6" s="73">
        <v>7248087</v>
      </c>
      <c r="Z6" s="73">
        <v>7190492</v>
      </c>
      <c r="AA6" s="73">
        <f t="shared" si="6"/>
        <v>57595</v>
      </c>
      <c r="AB6" s="73">
        <f>131608.27+1.61</f>
        <v>131609.87999999998</v>
      </c>
      <c r="AC6" s="72">
        <f t="shared" si="7"/>
        <v>263485.70999999996</v>
      </c>
      <c r="AD6" s="72">
        <f t="shared" si="8"/>
        <v>263485.70999999996</v>
      </c>
      <c r="AE6" s="73">
        <v>7277167</v>
      </c>
      <c r="AF6" s="73">
        <v>7289068</v>
      </c>
      <c r="AG6" s="73">
        <f t="shared" si="9"/>
        <v>-11901</v>
      </c>
      <c r="AH6" s="73">
        <f>131924.81+1506.23</f>
        <v>133431.04</v>
      </c>
      <c r="AI6" s="72">
        <f t="shared" si="10"/>
        <v>396916.75</v>
      </c>
      <c r="AJ6" s="72">
        <f t="shared" si="11"/>
        <v>396916.75</v>
      </c>
      <c r="AK6" s="73">
        <v>7301199</v>
      </c>
      <c r="AL6" s="73">
        <v>7397402</v>
      </c>
      <c r="AM6" s="73">
        <f t="shared" si="12"/>
        <v>-96203</v>
      </c>
      <c r="AN6" s="73">
        <f>132215.47+0</f>
        <v>132215.47</v>
      </c>
      <c r="AO6" s="72">
        <f t="shared" si="13"/>
        <v>529132.22</v>
      </c>
      <c r="AP6" s="72">
        <f t="shared" si="14"/>
        <v>529132.22</v>
      </c>
      <c r="AQ6" s="73">
        <f>7191202.72</f>
        <v>7191202.72</v>
      </c>
      <c r="AR6" s="73">
        <f>7366050.92</f>
        <v>7366050.92</v>
      </c>
      <c r="AS6" s="73">
        <f t="shared" si="15"/>
        <v>-174848.2000000002</v>
      </c>
      <c r="AT6" s="73">
        <f>130718.82-1217.96</f>
        <v>129500.86</v>
      </c>
      <c r="AU6" s="72">
        <f t="shared" si="16"/>
        <v>658633.08</v>
      </c>
      <c r="AV6" s="72">
        <f t="shared" si="17"/>
        <v>658633.08</v>
      </c>
      <c r="AW6" s="73">
        <f>7190909.03</f>
        <v>7190909.03</v>
      </c>
      <c r="AX6" s="73">
        <f>7454942.85</f>
        <v>7454942.85</v>
      </c>
      <c r="AY6" s="73">
        <f t="shared" si="18"/>
        <v>-264033.81999999937</v>
      </c>
      <c r="AZ6" s="73">
        <f>130714.25+299.38</f>
        <v>131013.63</v>
      </c>
      <c r="BA6" s="72">
        <f t="shared" si="19"/>
        <v>789646.71</v>
      </c>
      <c r="BB6" s="72">
        <f t="shared" si="20"/>
        <v>789646.71</v>
      </c>
      <c r="BC6" s="73">
        <f>7175603.8</f>
        <v>7175603.8</v>
      </c>
      <c r="BD6" s="73">
        <f>7552930.13</f>
        <v>7552930.13</v>
      </c>
      <c r="BE6" s="73">
        <f t="shared" si="21"/>
        <v>-377326.3300000001</v>
      </c>
      <c r="BF6" s="73">
        <f>130436.59-80.8</f>
        <v>130355.79</v>
      </c>
      <c r="BG6" s="72">
        <f t="shared" si="22"/>
        <v>920002.5</v>
      </c>
      <c r="BH6" s="72">
        <f t="shared" si="23"/>
        <v>920002.5</v>
      </c>
      <c r="BI6" s="73">
        <f>7208254.74</f>
        <v>7208254.74</v>
      </c>
      <c r="BJ6" s="73">
        <f>7651713.1</f>
        <v>7651713.1</v>
      </c>
      <c r="BK6" s="73">
        <f t="shared" si="24"/>
        <v>-443458.3599999994</v>
      </c>
      <c r="BL6" s="73">
        <f>131147.4+113.86</f>
        <v>131261.25999999998</v>
      </c>
      <c r="BM6" s="72">
        <f t="shared" si="25"/>
        <v>1051263.76</v>
      </c>
      <c r="BN6" s="72">
        <f t="shared" si="26"/>
        <v>1051263.76</v>
      </c>
      <c r="BO6" s="73">
        <f>7218229.89</f>
        <v>7218229.89</v>
      </c>
      <c r="BP6" s="73">
        <f>7756450.29</f>
        <v>7756450.29</v>
      </c>
      <c r="BQ6" s="73">
        <f t="shared" si="27"/>
        <v>-538220.4000000004</v>
      </c>
      <c r="BR6" s="73">
        <f>131418.85+668.43</f>
        <v>132087.28</v>
      </c>
      <c r="BS6" s="72">
        <f t="shared" si="28"/>
        <v>1183351.04</v>
      </c>
      <c r="BT6" s="72">
        <f t="shared" si="29"/>
        <v>1183351.04</v>
      </c>
      <c r="BU6" s="73">
        <f>7217916</f>
        <v>7217916</v>
      </c>
      <c r="BV6" s="73">
        <f>7881813.63</f>
        <v>7881813.63</v>
      </c>
      <c r="BW6" s="73">
        <f t="shared" si="30"/>
        <v>-663897.6299999999</v>
      </c>
      <c r="BX6" s="72">
        <f>131407.48+793.42</f>
        <v>132200.90000000002</v>
      </c>
      <c r="BY6" s="72">
        <f t="shared" si="31"/>
        <v>1315551.94</v>
      </c>
      <c r="BZ6" s="72">
        <f t="shared" si="32"/>
        <v>1315551.94</v>
      </c>
      <c r="CA6" s="73">
        <f>7232190.6</f>
        <v>7232190.6</v>
      </c>
      <c r="CB6" s="73">
        <f>7990562.82</f>
        <v>7990562.82</v>
      </c>
      <c r="CC6" s="73">
        <f t="shared" si="33"/>
        <v>-758372.2200000007</v>
      </c>
      <c r="CD6" s="72">
        <f>132184.35+2205.59</f>
        <v>134389.94</v>
      </c>
      <c r="CE6" s="72">
        <v>1449942</v>
      </c>
      <c r="CF6" s="72">
        <v>1449942</v>
      </c>
      <c r="CG6" s="73">
        <v>7252128</v>
      </c>
      <c r="CH6" s="73">
        <v>8083892</v>
      </c>
      <c r="CI6" s="73">
        <f aca="true" t="shared" si="34" ref="CI6:CI18">(CG6-CH6)</f>
        <v>-831764</v>
      </c>
      <c r="CJ6" s="72">
        <v>134355</v>
      </c>
      <c r="CK6" s="72">
        <f aca="true" t="shared" si="35" ref="CK6:CK17">CJ6+CE6</f>
        <v>1584297</v>
      </c>
      <c r="CL6" s="72">
        <f>CJ6+CF6</f>
        <v>1584297</v>
      </c>
      <c r="CN6" s="179"/>
      <c r="CO6" s="179"/>
      <c r="CP6" s="179"/>
      <c r="CQ6" s="179"/>
      <c r="CR6" s="179"/>
      <c r="CS6" s="179"/>
    </row>
    <row r="7" spans="1:97" ht="12.75">
      <c r="A7" s="143">
        <v>100281</v>
      </c>
      <c r="B7" s="143">
        <v>1040141</v>
      </c>
      <c r="C7" s="143">
        <v>1991</v>
      </c>
      <c r="D7" s="143" t="s">
        <v>92</v>
      </c>
      <c r="E7" s="143" t="s">
        <v>93</v>
      </c>
      <c r="F7" s="142" t="s">
        <v>94</v>
      </c>
      <c r="G7" s="73">
        <v>4202965</v>
      </c>
      <c r="H7" s="73">
        <v>-9825004</v>
      </c>
      <c r="I7" s="73">
        <v>14027969</v>
      </c>
      <c r="J7" s="73">
        <v>12780.52</v>
      </c>
      <c r="K7" s="72">
        <v>1632658.75</v>
      </c>
      <c r="L7" s="72">
        <v>12780.52</v>
      </c>
      <c r="M7" s="73">
        <v>4135703</v>
      </c>
      <c r="N7" s="73">
        <v>-10025837</v>
      </c>
      <c r="O7" s="73">
        <f t="shared" si="0"/>
        <v>14161540</v>
      </c>
      <c r="P7" s="73">
        <f>3074.36+13354.55-150000</f>
        <v>-133571.09</v>
      </c>
      <c r="Q7" s="72">
        <f t="shared" si="1"/>
        <v>1499087.66</v>
      </c>
      <c r="R7" s="72">
        <f t="shared" si="2"/>
        <v>-133571.09</v>
      </c>
      <c r="S7" s="73">
        <v>4087710</v>
      </c>
      <c r="T7" s="73">
        <v>-9963679</v>
      </c>
      <c r="U7" s="73">
        <f t="shared" si="3"/>
        <v>14051389</v>
      </c>
      <c r="V7" s="73">
        <f>102792.66+7357.31</f>
        <v>110149.97</v>
      </c>
      <c r="W7" s="72">
        <f t="shared" si="4"/>
        <v>110149.97</v>
      </c>
      <c r="X7" s="72">
        <f t="shared" si="5"/>
        <v>110149.97</v>
      </c>
      <c r="Y7" s="73">
        <v>3989610</v>
      </c>
      <c r="Z7" s="73">
        <v>-9957040</v>
      </c>
      <c r="AA7" s="73">
        <f t="shared" si="6"/>
        <v>13946650</v>
      </c>
      <c r="AB7" s="73">
        <f>101454.93+3285.03</f>
        <v>104739.95999999999</v>
      </c>
      <c r="AC7" s="72">
        <f t="shared" si="7"/>
        <v>214889.93</v>
      </c>
      <c r="AD7" s="72">
        <f t="shared" si="8"/>
        <v>214889.93</v>
      </c>
      <c r="AE7" s="73">
        <v>3883228</v>
      </c>
      <c r="AF7" s="73">
        <v>-9953092</v>
      </c>
      <c r="AG7" s="73">
        <f t="shared" si="9"/>
        <v>13836320</v>
      </c>
      <c r="AH7" s="73">
        <f>99859.2+10470.2</f>
        <v>110329.4</v>
      </c>
      <c r="AI7" s="72">
        <f t="shared" si="10"/>
        <v>325219.32999999996</v>
      </c>
      <c r="AJ7" s="72">
        <f t="shared" si="11"/>
        <v>325219.32999999996</v>
      </c>
      <c r="AK7" s="73">
        <v>3796593</v>
      </c>
      <c r="AL7" s="73">
        <v>-9913759</v>
      </c>
      <c r="AM7" s="73">
        <f t="shared" si="12"/>
        <v>13710352</v>
      </c>
      <c r="AN7" s="73">
        <f>114817.84+11149.93</f>
        <v>125967.76999999999</v>
      </c>
      <c r="AO7" s="72">
        <f t="shared" si="13"/>
        <v>451187.1</v>
      </c>
      <c r="AP7" s="72">
        <f t="shared" si="14"/>
        <v>451187.1</v>
      </c>
      <c r="AQ7" s="73">
        <f>3714418.02</f>
        <v>3714418.02</v>
      </c>
      <c r="AR7" s="73">
        <f>-9483701.9</f>
        <v>-9483701.9</v>
      </c>
      <c r="AS7" s="73">
        <f t="shared" si="15"/>
        <v>13198119.92</v>
      </c>
      <c r="AT7" s="73">
        <f>510205.72+2026.78</f>
        <v>512232.5</v>
      </c>
      <c r="AU7" s="72">
        <f t="shared" si="16"/>
        <v>963419.6</v>
      </c>
      <c r="AV7" s="72">
        <f t="shared" si="17"/>
        <v>963419.6</v>
      </c>
      <c r="AW7" s="73">
        <f>3632879.76</f>
        <v>3632879.76</v>
      </c>
      <c r="AX7" s="73">
        <f>-9863226.22</f>
        <v>-9863226.22</v>
      </c>
      <c r="AY7" s="73">
        <f t="shared" si="18"/>
        <v>13496105.98</v>
      </c>
      <c r="AZ7" s="73">
        <f>69759.99-378081.88+10335.84</f>
        <v>-297986.05</v>
      </c>
      <c r="BA7" s="72">
        <f t="shared" si="19"/>
        <v>665433.55</v>
      </c>
      <c r="BB7" s="72">
        <f t="shared" si="20"/>
        <v>665433.55</v>
      </c>
      <c r="BC7" s="73">
        <f>3543697.28</f>
        <v>3543697.28</v>
      </c>
      <c r="BD7" s="73">
        <f>-9706875</f>
        <v>-9706875</v>
      </c>
      <c r="BE7" s="73">
        <f t="shared" si="21"/>
        <v>13250572.28</v>
      </c>
      <c r="BF7" s="73">
        <f>241534-4955.77+8955.47</f>
        <v>245533.7</v>
      </c>
      <c r="BG7" s="72">
        <f t="shared" si="22"/>
        <v>910967.25</v>
      </c>
      <c r="BH7" s="72">
        <f t="shared" si="23"/>
        <v>910967.25</v>
      </c>
      <c r="BI7" s="73">
        <f>3462796.03</f>
        <v>3462796.03</v>
      </c>
      <c r="BJ7" s="73">
        <f>-9540825.23</f>
        <v>-9540825.23</v>
      </c>
      <c r="BK7" s="73">
        <f t="shared" si="24"/>
        <v>13003621.26</v>
      </c>
      <c r="BL7" s="73">
        <f>241255.08+5695.96</f>
        <v>246951.03999999998</v>
      </c>
      <c r="BM7" s="72">
        <f t="shared" si="25"/>
        <v>1157918.29</v>
      </c>
      <c r="BN7" s="72">
        <f t="shared" si="26"/>
        <v>1157918.29</v>
      </c>
      <c r="BO7" s="73">
        <f>3399731.28</f>
        <v>3399731.28</v>
      </c>
      <c r="BP7" s="73">
        <f>-9514419.77</f>
        <v>-9514419.77</v>
      </c>
      <c r="BQ7" s="73">
        <f t="shared" si="27"/>
        <v>12914151.049999999</v>
      </c>
      <c r="BR7" s="73">
        <f>82232.01+7238.18</f>
        <v>89470.19</v>
      </c>
      <c r="BS7" s="72">
        <f t="shared" si="28"/>
        <v>1247388.48</v>
      </c>
      <c r="BT7" s="72">
        <f t="shared" si="29"/>
        <v>1247388.48</v>
      </c>
      <c r="BU7" s="73">
        <f>3343673.72</f>
        <v>3343673.72</v>
      </c>
      <c r="BV7" s="73">
        <f>-9558480.46</f>
        <v>-9558480.46</v>
      </c>
      <c r="BW7" s="73">
        <f t="shared" si="30"/>
        <v>12902154.180000002</v>
      </c>
      <c r="BX7" s="72">
        <f>2843.43+9153.44</f>
        <v>11996.87</v>
      </c>
      <c r="BY7" s="72">
        <f t="shared" si="31"/>
        <v>1259385.35</v>
      </c>
      <c r="BZ7" s="72">
        <f t="shared" si="32"/>
        <v>1259385.35</v>
      </c>
      <c r="CA7" s="73">
        <f>3256402.3</f>
        <v>3256402.3</v>
      </c>
      <c r="CB7" s="73">
        <f>-9635465.01</f>
        <v>-9635465.01</v>
      </c>
      <c r="CC7" s="73">
        <f t="shared" si="33"/>
        <v>12891867.309999999</v>
      </c>
      <c r="CD7" s="72">
        <f>2625.25+7661.63</f>
        <v>10286.880000000001</v>
      </c>
      <c r="CE7" s="72">
        <v>1269673</v>
      </c>
      <c r="CF7" s="72">
        <v>1269673</v>
      </c>
      <c r="CG7" s="73">
        <v>3127686</v>
      </c>
      <c r="CH7" s="73">
        <v>-9755485</v>
      </c>
      <c r="CI7" s="73">
        <f t="shared" si="34"/>
        <v>12883171</v>
      </c>
      <c r="CJ7" s="72">
        <v>8695</v>
      </c>
      <c r="CK7" s="72">
        <f t="shared" si="35"/>
        <v>1278368</v>
      </c>
      <c r="CL7" s="72">
        <f>CJ7+CF7</f>
        <v>1278368</v>
      </c>
      <c r="CN7" s="179"/>
      <c r="CO7" s="179"/>
      <c r="CP7" s="179"/>
      <c r="CQ7" s="179"/>
      <c r="CR7" s="179"/>
      <c r="CS7" s="179"/>
    </row>
    <row r="8" spans="1:97" ht="12.75">
      <c r="A8" s="143">
        <v>100282</v>
      </c>
      <c r="B8" s="143">
        <v>1040142</v>
      </c>
      <c r="C8" s="143">
        <v>1999</v>
      </c>
      <c r="D8" s="143" t="s">
        <v>92</v>
      </c>
      <c r="E8" s="143" t="s">
        <v>93</v>
      </c>
      <c r="F8" s="142" t="s">
        <v>95</v>
      </c>
      <c r="G8" s="73">
        <v>17401511</v>
      </c>
      <c r="H8" s="73">
        <v>18874122</v>
      </c>
      <c r="I8" s="73">
        <v>-1472611</v>
      </c>
      <c r="J8" s="73">
        <v>288576.07</v>
      </c>
      <c r="K8" s="72">
        <v>2939313.56</v>
      </c>
      <c r="L8" s="72">
        <v>288576.07</v>
      </c>
      <c r="M8" s="73">
        <v>17553166</v>
      </c>
      <c r="N8" s="73">
        <v>19118510</v>
      </c>
      <c r="O8" s="73">
        <f t="shared" si="0"/>
        <v>-1565344</v>
      </c>
      <c r="P8" s="73">
        <f>296230+9958.97</f>
        <v>306188.97</v>
      </c>
      <c r="Q8" s="72">
        <f t="shared" si="1"/>
        <v>3245502.5300000003</v>
      </c>
      <c r="R8" s="72">
        <f t="shared" si="2"/>
        <v>306188.97</v>
      </c>
      <c r="S8" s="73">
        <v>17670138</v>
      </c>
      <c r="T8" s="73">
        <v>19294559</v>
      </c>
      <c r="U8" s="73">
        <f t="shared" si="3"/>
        <v>-1624421</v>
      </c>
      <c r="V8" s="73">
        <f>283400.83+4807.88</f>
        <v>288208.71</v>
      </c>
      <c r="W8" s="72">
        <f t="shared" si="4"/>
        <v>288208.71</v>
      </c>
      <c r="X8" s="72">
        <f t="shared" si="5"/>
        <v>288208.71</v>
      </c>
      <c r="Y8" s="73">
        <v>17791437</v>
      </c>
      <c r="Z8" s="73">
        <v>19542104</v>
      </c>
      <c r="AA8" s="73">
        <f t="shared" si="6"/>
        <v>-1750667</v>
      </c>
      <c r="AB8" s="73">
        <f>284465.51+7123.66</f>
        <v>291589.17</v>
      </c>
      <c r="AC8" s="72">
        <f t="shared" si="7"/>
        <v>579797.88</v>
      </c>
      <c r="AD8" s="72">
        <f t="shared" si="8"/>
        <v>579797.88</v>
      </c>
      <c r="AE8" s="73">
        <v>17921397</v>
      </c>
      <c r="AF8" s="73">
        <v>19790883</v>
      </c>
      <c r="AG8" s="73">
        <f t="shared" si="9"/>
        <v>-1869486</v>
      </c>
      <c r="AH8" s="73">
        <f>285720.27+7807.97</f>
        <v>293528.24</v>
      </c>
      <c r="AI8" s="72">
        <f t="shared" si="10"/>
        <v>873326.12</v>
      </c>
      <c r="AJ8" s="72">
        <f t="shared" si="11"/>
        <v>873326.12</v>
      </c>
      <c r="AK8" s="73">
        <v>18027096</v>
      </c>
      <c r="AL8" s="73">
        <v>20052931</v>
      </c>
      <c r="AM8" s="73">
        <f t="shared" si="12"/>
        <v>-2025835</v>
      </c>
      <c r="AN8" s="73">
        <f>286854.18+8314.86</f>
        <v>295169.04</v>
      </c>
      <c r="AO8" s="72">
        <f t="shared" si="13"/>
        <v>1168495.16</v>
      </c>
      <c r="AP8" s="72">
        <f t="shared" si="14"/>
        <v>1168495.16</v>
      </c>
      <c r="AQ8" s="73">
        <f>18066503</f>
        <v>18066503</v>
      </c>
      <c r="AR8" s="73">
        <f>20034285.88</f>
        <v>20034285.88</v>
      </c>
      <c r="AS8" s="73">
        <f t="shared" si="15"/>
        <v>-1967782.879999999</v>
      </c>
      <c r="AT8" s="73">
        <f>15885.99</f>
        <v>15885.99</v>
      </c>
      <c r="AU8" s="72">
        <f t="shared" si="16"/>
        <v>1184381.15</v>
      </c>
      <c r="AV8" s="72">
        <f t="shared" si="17"/>
        <v>1184381.15</v>
      </c>
      <c r="AW8" s="73">
        <f>18168545.04</f>
        <v>18168545.04</v>
      </c>
      <c r="AX8" s="73">
        <f>20575501.49</f>
        <v>20575501.49</v>
      </c>
      <c r="AY8" s="73">
        <f t="shared" si="18"/>
        <v>-2406956.4499999993</v>
      </c>
      <c r="AZ8" s="73">
        <f>288737.23+287329.79+5460.31</f>
        <v>581527.3300000001</v>
      </c>
      <c r="BA8" s="72">
        <f t="shared" si="19"/>
        <v>1765908.48</v>
      </c>
      <c r="BB8" s="72">
        <f t="shared" si="20"/>
        <v>1765908.48</v>
      </c>
      <c r="BC8" s="73">
        <v>18252845</v>
      </c>
      <c r="BD8" s="73">
        <v>20811829</v>
      </c>
      <c r="BE8" s="73">
        <f t="shared" si="21"/>
        <v>-2558984</v>
      </c>
      <c r="BF8" s="73">
        <f>290093.75+8058.59</f>
        <v>298152.34</v>
      </c>
      <c r="BG8" s="72">
        <f t="shared" si="22"/>
        <v>2064060.82</v>
      </c>
      <c r="BH8" s="72">
        <f t="shared" si="23"/>
        <v>2064060.82</v>
      </c>
      <c r="BI8" s="73">
        <f>18405365.45</f>
        <v>18405365.45</v>
      </c>
      <c r="BJ8" s="73">
        <f>21071700.71</f>
        <v>21071700.71</v>
      </c>
      <c r="BK8" s="73">
        <f t="shared" si="24"/>
        <v>-2666335.2600000016</v>
      </c>
      <c r="BL8" s="73">
        <f>293038.93+7090.45</f>
        <v>300129.38</v>
      </c>
      <c r="BM8" s="72">
        <f t="shared" si="25"/>
        <v>2364190.2</v>
      </c>
      <c r="BN8" s="72">
        <f t="shared" si="26"/>
        <v>2364190.2</v>
      </c>
      <c r="BO8" s="73">
        <f>18412547.74</f>
        <v>18412547.74</v>
      </c>
      <c r="BP8" s="73">
        <f>21263439.79</f>
        <v>21263439.79</v>
      </c>
      <c r="BQ8" s="73">
        <f t="shared" si="27"/>
        <v>-2850892.0500000007</v>
      </c>
      <c r="BR8" s="73">
        <f>293212.29+6839.7</f>
        <v>300051.99</v>
      </c>
      <c r="BS8" s="72">
        <f t="shared" si="28"/>
        <v>2664242.1900000004</v>
      </c>
      <c r="BT8" s="72">
        <f t="shared" si="29"/>
        <v>2664242.1900000004</v>
      </c>
      <c r="BU8" s="73">
        <f>18461645.74</f>
        <v>18461645.74</v>
      </c>
      <c r="BV8" s="73">
        <f>21533612.95</f>
        <v>21533612.95</v>
      </c>
      <c r="BW8" s="73">
        <f t="shared" si="30"/>
        <v>-3071967.210000001</v>
      </c>
      <c r="BX8" s="72">
        <f>294792.43+4615.59</f>
        <v>299408.02</v>
      </c>
      <c r="BY8" s="72">
        <f t="shared" si="31"/>
        <v>2963650.2100000004</v>
      </c>
      <c r="BZ8" s="72">
        <f t="shared" si="32"/>
        <v>2963650.2100000004</v>
      </c>
      <c r="CA8" s="73">
        <f>18543412.56</f>
        <v>18543412.56</v>
      </c>
      <c r="CB8" s="73">
        <f>21779127.52</f>
        <v>21779127.52</v>
      </c>
      <c r="CC8" s="73">
        <f t="shared" si="33"/>
        <v>-3235714.960000001</v>
      </c>
      <c r="CD8" s="72">
        <f>298739.72+3806.86</f>
        <v>302546.57999999996</v>
      </c>
      <c r="CE8" s="72">
        <v>3266196</v>
      </c>
      <c r="CF8" s="72">
        <v>3266196</v>
      </c>
      <c r="CG8" s="73">
        <v>18664554</v>
      </c>
      <c r="CH8" s="73">
        <v>21976746</v>
      </c>
      <c r="CI8" s="73">
        <f t="shared" si="34"/>
        <v>-3312192</v>
      </c>
      <c r="CJ8" s="72">
        <f>310435.95+2837.71</f>
        <v>313273.66000000003</v>
      </c>
      <c r="CK8" s="72">
        <f t="shared" si="35"/>
        <v>3579469.66</v>
      </c>
      <c r="CL8" s="72">
        <f>CJ8+CF8</f>
        <v>3579469.66</v>
      </c>
      <c r="CN8" s="179"/>
      <c r="CO8" s="179"/>
      <c r="CP8" s="179"/>
      <c r="CQ8" s="179"/>
      <c r="CR8" s="179"/>
      <c r="CS8" s="179"/>
    </row>
    <row r="9" spans="1:97" ht="12.75">
      <c r="A9" s="143">
        <v>100283</v>
      </c>
      <c r="B9" s="143">
        <v>1070636</v>
      </c>
      <c r="C9" s="143">
        <v>1987</v>
      </c>
      <c r="D9" s="143" t="s">
        <v>96</v>
      </c>
      <c r="E9" s="143" t="s">
        <v>88</v>
      </c>
      <c r="F9" s="187" t="s">
        <v>97</v>
      </c>
      <c r="G9" s="73">
        <v>1726119</v>
      </c>
      <c r="H9" s="73">
        <v>-10161</v>
      </c>
      <c r="I9" s="73">
        <v>1736280</v>
      </c>
      <c r="J9" s="73">
        <v>18719.969832365194</v>
      </c>
      <c r="K9" s="72">
        <v>222224.8845308288</v>
      </c>
      <c r="L9" s="72">
        <v>18719.969832365194</v>
      </c>
      <c r="M9" s="73">
        <v>1710284</v>
      </c>
      <c r="N9" s="73">
        <v>-5682</v>
      </c>
      <c r="O9" s="73">
        <f t="shared" si="0"/>
        <v>1715966</v>
      </c>
      <c r="P9" s="73">
        <f>O9/(O9+O10)*(21083.94-566.88)</f>
        <v>18723.895087044526</v>
      </c>
      <c r="Q9" s="72">
        <f t="shared" si="1"/>
        <v>240948.7796178733</v>
      </c>
      <c r="R9" s="72">
        <f t="shared" si="2"/>
        <v>18723.895087044526</v>
      </c>
      <c r="S9" s="73">
        <v>1696647</v>
      </c>
      <c r="T9" s="73">
        <v>-25</v>
      </c>
      <c r="U9" s="73">
        <f t="shared" si="3"/>
        <v>1696672</v>
      </c>
      <c r="V9" s="73">
        <f>U9/(U9+U10)*(22598.18-3172.75)</f>
        <v>17687.801798458797</v>
      </c>
      <c r="W9" s="72">
        <f t="shared" si="4"/>
        <v>17687.801798458797</v>
      </c>
      <c r="X9" s="72">
        <f t="shared" si="5"/>
        <v>17687.801798458797</v>
      </c>
      <c r="Y9" s="73">
        <v>1685218</v>
      </c>
      <c r="Z9" s="73">
        <v>12681</v>
      </c>
      <c r="AA9" s="73">
        <f t="shared" si="6"/>
        <v>1672537</v>
      </c>
      <c r="AB9" s="73">
        <f>AA9/(AA9+AA10)*(22522.34-441.51)</f>
        <v>20057.365417931873</v>
      </c>
      <c r="AC9" s="72">
        <f t="shared" si="7"/>
        <v>37745.16721639067</v>
      </c>
      <c r="AD9" s="72">
        <f t="shared" si="8"/>
        <v>37745.16721639067</v>
      </c>
      <c r="AE9" s="73">
        <v>1673790</v>
      </c>
      <c r="AF9" s="73">
        <v>18839</v>
      </c>
      <c r="AG9" s="73">
        <f t="shared" si="9"/>
        <v>1654951</v>
      </c>
      <c r="AH9" s="73">
        <f>AG9/(AG9+AG10)*(22450.59-927.67)</f>
        <v>19557.267764052434</v>
      </c>
      <c r="AI9" s="72">
        <f t="shared" si="10"/>
        <v>57302.434980443104</v>
      </c>
      <c r="AJ9" s="72">
        <f t="shared" si="11"/>
        <v>57302.434980443104</v>
      </c>
      <c r="AK9" s="73">
        <v>1660518</v>
      </c>
      <c r="AL9" s="73">
        <v>25571</v>
      </c>
      <c r="AM9" s="73">
        <f t="shared" si="12"/>
        <v>1634947</v>
      </c>
      <c r="AN9" s="73">
        <f>AM9/(AM9+AM10)*(22353.31-1486.63)</f>
        <v>18933.97393878244</v>
      </c>
      <c r="AO9" s="72">
        <f t="shared" si="13"/>
        <v>76236.40891922555</v>
      </c>
      <c r="AP9" s="72">
        <f t="shared" si="14"/>
        <v>76236.40891922555</v>
      </c>
      <c r="AQ9" s="73">
        <f>1652406.85</f>
        <v>1652406.85</v>
      </c>
      <c r="AR9" s="73">
        <f>37597.64</f>
        <v>37597.64</v>
      </c>
      <c r="AS9" s="73">
        <f t="shared" si="15"/>
        <v>1614809.2100000002</v>
      </c>
      <c r="AT9" s="73">
        <f>AS9/(AS9+AS10)*(22279.11-981.88)</f>
        <v>19314.925112301884</v>
      </c>
      <c r="AU9" s="72">
        <f t="shared" si="16"/>
        <v>95551.33403152743</v>
      </c>
      <c r="AV9" s="72">
        <f t="shared" si="17"/>
        <v>95551.33403152743</v>
      </c>
      <c r="AW9" s="73">
        <f>1640609.48</f>
        <v>1640609.48</v>
      </c>
      <c r="AX9" s="73">
        <f>45604.23</f>
        <v>45604.23</v>
      </c>
      <c r="AY9" s="73">
        <f t="shared" si="18"/>
        <v>1595005.25</v>
      </c>
      <c r="AZ9" s="73">
        <f>AY9/(AY9+AY10)*(22156.11-1557.75)</f>
        <v>18667.962556397735</v>
      </c>
      <c r="BA9" s="72">
        <f t="shared" si="19"/>
        <v>114219.29658792516</v>
      </c>
      <c r="BB9" s="72">
        <f t="shared" si="20"/>
        <v>114219.29658792516</v>
      </c>
      <c r="BC9" s="73">
        <v>1628075</v>
      </c>
      <c r="BD9" s="73">
        <v>52187</v>
      </c>
      <c r="BE9" s="73">
        <f t="shared" si="21"/>
        <v>1575888</v>
      </c>
      <c r="BF9" s="73">
        <f>BE9/(BE9+BE10)*(22007.1+0-2283.49)</f>
        <v>17858.940625915006</v>
      </c>
      <c r="BG9" s="72">
        <f t="shared" si="22"/>
        <v>132078.23721384016</v>
      </c>
      <c r="BH9" s="72">
        <f t="shared" si="23"/>
        <v>132078.23721384016</v>
      </c>
      <c r="BI9" s="73">
        <f>1618123.39</f>
        <v>1618123.39</v>
      </c>
      <c r="BJ9" s="73">
        <f>62170.13</f>
        <v>62170.13</v>
      </c>
      <c r="BK9" s="73">
        <f t="shared" si="24"/>
        <v>1555953.26</v>
      </c>
      <c r="BL9" s="73">
        <f>BK9/(BK9+BK10)*(21874.6-1042.34)</f>
        <v>18840.811305296986</v>
      </c>
      <c r="BM9" s="72">
        <f t="shared" si="25"/>
        <v>150919.04851913714</v>
      </c>
      <c r="BN9" s="72">
        <f t="shared" si="26"/>
        <v>150919.04851913714</v>
      </c>
      <c r="BO9" s="73">
        <f>1604515.4</f>
        <v>1604515.4</v>
      </c>
      <c r="BP9" s="73">
        <f>64643.6</f>
        <v>64643.6</v>
      </c>
      <c r="BQ9" s="73">
        <f t="shared" si="27"/>
        <v>1539871.7999999998</v>
      </c>
      <c r="BR9" s="73">
        <f>BQ9/(BQ9+BQ10)*(21627.01-774.29)</f>
        <v>18843.57884772455</v>
      </c>
      <c r="BS9" s="72">
        <f t="shared" si="28"/>
        <v>169762.62736686168</v>
      </c>
      <c r="BT9" s="72">
        <f t="shared" si="29"/>
        <v>169762.62736686168</v>
      </c>
      <c r="BU9" s="73">
        <f>1590171.84</f>
        <v>1590171.84</v>
      </c>
      <c r="BV9" s="73">
        <f>68310.48</f>
        <v>68310.48</v>
      </c>
      <c r="BW9" s="73">
        <f t="shared" si="30"/>
        <v>1521861.36</v>
      </c>
      <c r="BX9" s="72">
        <f>BW9/(BW9+BW10)*(21361.87-2519)</f>
        <v>16978.755163563554</v>
      </c>
      <c r="BY9" s="72">
        <f t="shared" si="31"/>
        <v>186741.38253042524</v>
      </c>
      <c r="BZ9" s="72">
        <f t="shared" si="32"/>
        <v>186741.38253042524</v>
      </c>
      <c r="CA9" s="73">
        <f>1580609.47</f>
        <v>1580609.47</v>
      </c>
      <c r="CB9" s="73">
        <f>77454.45</f>
        <v>77454.45</v>
      </c>
      <c r="CC9" s="73">
        <f t="shared" si="33"/>
        <v>1503155.02</v>
      </c>
      <c r="CD9" s="72">
        <f>CC9/(CC9+CC10)*(21049.45-1430.21)</f>
        <v>17655.442754559415</v>
      </c>
      <c r="CE9" s="72">
        <v>204397</v>
      </c>
      <c r="CF9" s="72">
        <v>204397</v>
      </c>
      <c r="CG9" s="73">
        <v>1570312</v>
      </c>
      <c r="CH9" s="73">
        <v>83800</v>
      </c>
      <c r="CI9" s="73">
        <f t="shared" si="34"/>
        <v>1486512</v>
      </c>
      <c r="CJ9" s="72">
        <f>CI9/(CI9+CI10)*(20417.34-3059.68)</f>
        <v>15593.872462251791</v>
      </c>
      <c r="CK9" s="72">
        <f t="shared" si="35"/>
        <v>219990.8724622518</v>
      </c>
      <c r="CL9" s="72">
        <f aca="true" t="shared" si="36" ref="CL9:CL17">CJ9+CF9</f>
        <v>219990.8724622518</v>
      </c>
      <c r="CN9" s="179"/>
      <c r="CO9" s="179"/>
      <c r="CP9" s="179"/>
      <c r="CQ9" s="179"/>
      <c r="CR9" s="179"/>
      <c r="CS9" s="179"/>
    </row>
    <row r="10" spans="1:97" ht="12.75">
      <c r="A10" s="143">
        <v>100283</v>
      </c>
      <c r="B10" s="143">
        <v>1040145</v>
      </c>
      <c r="C10" s="143">
        <v>2001</v>
      </c>
      <c r="D10" s="143" t="s">
        <v>96</v>
      </c>
      <c r="E10" s="143" t="s">
        <v>88</v>
      </c>
      <c r="F10" s="142" t="s">
        <v>98</v>
      </c>
      <c r="G10" s="73">
        <v>163869</v>
      </c>
      <c r="H10" s="73">
        <v>-232</v>
      </c>
      <c r="I10" s="73">
        <v>164101</v>
      </c>
      <c r="J10" s="73">
        <v>1769.280167634806</v>
      </c>
      <c r="K10" s="72">
        <v>19229.235469171213</v>
      </c>
      <c r="L10" s="72">
        <v>1769.280167634806</v>
      </c>
      <c r="M10" s="73">
        <v>164203</v>
      </c>
      <c r="N10" s="73">
        <v>-133</v>
      </c>
      <c r="O10" s="73">
        <f t="shared" si="0"/>
        <v>164336</v>
      </c>
      <c r="P10" s="73">
        <f>O10/(O9+O10)*(21083.94-566.88)</f>
        <v>1793.164912955472</v>
      </c>
      <c r="Q10" s="72">
        <f t="shared" si="1"/>
        <v>21022.400382126685</v>
      </c>
      <c r="R10" s="72">
        <f t="shared" si="2"/>
        <v>1793.164912955472</v>
      </c>
      <c r="S10" s="73">
        <v>166678</v>
      </c>
      <c r="T10" s="73">
        <v>-1</v>
      </c>
      <c r="U10" s="73">
        <f t="shared" si="3"/>
        <v>166679</v>
      </c>
      <c r="V10" s="73">
        <f>U10/(U9+U10)*(22598.18-3172.75)</f>
        <v>1737.628201541202</v>
      </c>
      <c r="W10" s="72">
        <f t="shared" si="4"/>
        <v>1737.628201541202</v>
      </c>
      <c r="X10" s="72">
        <f t="shared" si="5"/>
        <v>1737.628201541202</v>
      </c>
      <c r="Y10" s="73">
        <v>166607</v>
      </c>
      <c r="Z10" s="73">
        <v>-2125</v>
      </c>
      <c r="AA10" s="73">
        <f t="shared" si="6"/>
        <v>168732</v>
      </c>
      <c r="AB10" s="73">
        <f>AA10/(AA9+AA10)*(22522.34-441.51)</f>
        <v>2023.4645820681283</v>
      </c>
      <c r="AC10" s="72">
        <f t="shared" si="7"/>
        <v>3761.0927836093306</v>
      </c>
      <c r="AD10" s="72">
        <f t="shared" si="8"/>
        <v>3761.0927836093306</v>
      </c>
      <c r="AE10" s="73">
        <v>168146</v>
      </c>
      <c r="AF10" s="73">
        <v>1811</v>
      </c>
      <c r="AG10" s="73">
        <f t="shared" si="9"/>
        <v>166335</v>
      </c>
      <c r="AH10" s="73">
        <f>AG10/(AG9+AG10)*(22450.59-927.67)</f>
        <v>1965.6522359475669</v>
      </c>
      <c r="AI10" s="72">
        <f t="shared" si="10"/>
        <v>5726.745019556897</v>
      </c>
      <c r="AJ10" s="72">
        <f t="shared" si="11"/>
        <v>5726.745019556897</v>
      </c>
      <c r="AK10" s="73">
        <v>169350</v>
      </c>
      <c r="AL10" s="73">
        <v>2461</v>
      </c>
      <c r="AM10" s="73">
        <f t="shared" si="12"/>
        <v>166889</v>
      </c>
      <c r="AN10" s="73">
        <f>AM10/(AM9+AM10)*(22353.31-1486.63)</f>
        <v>1932.7060612175583</v>
      </c>
      <c r="AO10" s="72">
        <f t="shared" si="13"/>
        <v>7659.4510807744555</v>
      </c>
      <c r="AP10" s="72">
        <f t="shared" si="14"/>
        <v>7659.4510807744555</v>
      </c>
      <c r="AQ10" s="73">
        <f>169279.3</f>
        <v>169279.3</v>
      </c>
      <c r="AR10" s="73">
        <f>3550.25</f>
        <v>3550.25</v>
      </c>
      <c r="AS10" s="73">
        <f t="shared" si="15"/>
        <v>165729.05</v>
      </c>
      <c r="AT10" s="73">
        <f>AS10/(AS9+AS10)*(22279.11-981.88)</f>
        <v>1982.304887698116</v>
      </c>
      <c r="AU10" s="72">
        <f t="shared" si="16"/>
        <v>9641.755968472571</v>
      </c>
      <c r="AV10" s="72">
        <f t="shared" si="17"/>
        <v>9641.755968472571</v>
      </c>
      <c r="AW10" s="73">
        <f>169208.42</f>
        <v>169208.42</v>
      </c>
      <c r="AX10" s="73">
        <f>4273.76</f>
        <v>4273.76</v>
      </c>
      <c r="AY10" s="73">
        <f t="shared" si="18"/>
        <v>164934.66</v>
      </c>
      <c r="AZ10" s="73">
        <f>AY10/(AY9+AY10)*(22156.11-1557.75)</f>
        <v>1930.3974436022652</v>
      </c>
      <c r="BA10" s="72">
        <f t="shared" si="19"/>
        <v>11572.153412074837</v>
      </c>
      <c r="BB10" s="72">
        <f t="shared" si="20"/>
        <v>11572.153412074837</v>
      </c>
      <c r="BC10" s="73">
        <v>169420</v>
      </c>
      <c r="BD10" s="73">
        <v>4880</v>
      </c>
      <c r="BE10" s="73">
        <f t="shared" si="21"/>
        <v>164540</v>
      </c>
      <c r="BF10" s="73">
        <f>BE10/(BE9+BE10)*(22007.1+0-2283.49)</f>
        <v>1864.6693740849953</v>
      </c>
      <c r="BG10" s="72">
        <f t="shared" si="22"/>
        <v>13436.822786159832</v>
      </c>
      <c r="BH10" s="72">
        <f t="shared" si="23"/>
        <v>13436.822786159832</v>
      </c>
      <c r="BI10" s="73">
        <f>170239.83</f>
        <v>170239.83</v>
      </c>
      <c r="BJ10" s="73">
        <f>5777.64</f>
        <v>5777.64</v>
      </c>
      <c r="BK10" s="73">
        <f t="shared" si="24"/>
        <v>164462.18999999997</v>
      </c>
      <c r="BL10" s="73">
        <f>BK10/(BK9+BK10)*(21874.6-1042.34)</f>
        <v>1991.4486947030146</v>
      </c>
      <c r="BM10" s="72">
        <f t="shared" si="25"/>
        <v>15428.271480862846</v>
      </c>
      <c r="BN10" s="72">
        <f t="shared" si="26"/>
        <v>15428.271480862846</v>
      </c>
      <c r="BO10" s="73">
        <f>170197.01</f>
        <v>170197.01</v>
      </c>
      <c r="BP10" s="73">
        <f>6012.71</f>
        <v>6012.71</v>
      </c>
      <c r="BQ10" s="73">
        <f t="shared" si="27"/>
        <v>164184.30000000002</v>
      </c>
      <c r="BR10" s="73">
        <f>BQ10/(BQ9+BQ10)*(21627.01-774.29)</f>
        <v>2009.1411522754445</v>
      </c>
      <c r="BS10" s="72">
        <f t="shared" si="28"/>
        <v>17437.41263313829</v>
      </c>
      <c r="BT10" s="72">
        <f t="shared" si="29"/>
        <v>17437.41263313829</v>
      </c>
      <c r="BU10" s="73">
        <f>173577.06</f>
        <v>173577.06</v>
      </c>
      <c r="BV10" s="73">
        <f>6490.35</f>
        <v>6490.35</v>
      </c>
      <c r="BW10" s="73">
        <f t="shared" si="30"/>
        <v>167086.71</v>
      </c>
      <c r="BX10" s="72">
        <f>BW10/(BW9+BW10)*(21361.87-2519)</f>
        <v>1864.114836436445</v>
      </c>
      <c r="BY10" s="72">
        <f t="shared" si="31"/>
        <v>19301.527469574736</v>
      </c>
      <c r="BZ10" s="72">
        <f t="shared" si="32"/>
        <v>19301.527469574736</v>
      </c>
      <c r="CA10" s="73">
        <f>174526.8</f>
        <v>174526.8</v>
      </c>
      <c r="CB10" s="73">
        <f>7332.37</f>
        <v>7332.37</v>
      </c>
      <c r="CC10" s="73">
        <f t="shared" si="33"/>
        <v>167194.43</v>
      </c>
      <c r="CD10" s="72">
        <f>CC10/(CC9+CC10)*(21049.45-1430.21)</f>
        <v>1963.7972454405874</v>
      </c>
      <c r="CE10" s="72">
        <v>21265</v>
      </c>
      <c r="CF10" s="72">
        <v>21265</v>
      </c>
      <c r="CG10" s="73">
        <v>176112</v>
      </c>
      <c r="CH10" s="73">
        <v>7976</v>
      </c>
      <c r="CI10" s="73">
        <f t="shared" si="34"/>
        <v>168136</v>
      </c>
      <c r="CJ10" s="72">
        <f>CI10/(CI9+CI10)*(20417.34-3059.68)</f>
        <v>1763.7875377482098</v>
      </c>
      <c r="CK10" s="72">
        <f t="shared" si="35"/>
        <v>23028.78753774821</v>
      </c>
      <c r="CL10" s="72">
        <f t="shared" si="36"/>
        <v>23028.78753774821</v>
      </c>
      <c r="CN10" s="179"/>
      <c r="CO10" s="179"/>
      <c r="CP10" s="179"/>
      <c r="CQ10" s="179"/>
      <c r="CR10" s="179"/>
      <c r="CS10" s="179"/>
    </row>
    <row r="11" spans="1:97" ht="12.75" hidden="1">
      <c r="A11" s="143">
        <v>100284</v>
      </c>
      <c r="B11" s="143">
        <v>1040147</v>
      </c>
      <c r="C11" s="188">
        <v>0</v>
      </c>
      <c r="D11" s="143" t="s">
        <v>99</v>
      </c>
      <c r="E11" s="143" t="s">
        <v>99</v>
      </c>
      <c r="F11" s="142" t="s">
        <v>100</v>
      </c>
      <c r="G11" s="73"/>
      <c r="H11" s="73"/>
      <c r="I11" s="73">
        <v>0</v>
      </c>
      <c r="J11" s="73"/>
      <c r="K11" s="72">
        <v>0</v>
      </c>
      <c r="L11" s="72">
        <v>0</v>
      </c>
      <c r="M11" s="73"/>
      <c r="N11" s="73"/>
      <c r="O11" s="73">
        <f t="shared" si="0"/>
        <v>0</v>
      </c>
      <c r="P11" s="73"/>
      <c r="Q11" s="72">
        <f t="shared" si="1"/>
        <v>0</v>
      </c>
      <c r="R11" s="72">
        <f t="shared" si="2"/>
        <v>0</v>
      </c>
      <c r="S11" s="73"/>
      <c r="T11" s="73"/>
      <c r="U11" s="73">
        <f t="shared" si="3"/>
        <v>0</v>
      </c>
      <c r="V11" s="73"/>
      <c r="W11" s="72">
        <f t="shared" si="4"/>
        <v>0</v>
      </c>
      <c r="X11" s="72">
        <f t="shared" si="5"/>
        <v>0</v>
      </c>
      <c r="Y11" s="73"/>
      <c r="Z11" s="73"/>
      <c r="AA11" s="73">
        <f t="shared" si="6"/>
        <v>0</v>
      </c>
      <c r="AB11" s="73"/>
      <c r="AC11" s="72">
        <f t="shared" si="7"/>
        <v>0</v>
      </c>
      <c r="AD11" s="72">
        <f t="shared" si="8"/>
        <v>0</v>
      </c>
      <c r="AE11" s="73"/>
      <c r="AF11" s="73"/>
      <c r="AG11" s="73">
        <f t="shared" si="9"/>
        <v>0</v>
      </c>
      <c r="AH11" s="73"/>
      <c r="AI11" s="72">
        <f t="shared" si="10"/>
        <v>0</v>
      </c>
      <c r="AJ11" s="72">
        <f t="shared" si="11"/>
        <v>0</v>
      </c>
      <c r="AK11" s="73"/>
      <c r="AL11" s="73"/>
      <c r="AM11" s="73">
        <f t="shared" si="12"/>
        <v>0</v>
      </c>
      <c r="AN11" s="73"/>
      <c r="AO11" s="72">
        <f t="shared" si="13"/>
        <v>0</v>
      </c>
      <c r="AP11" s="72">
        <f t="shared" si="14"/>
        <v>0</v>
      </c>
      <c r="AQ11" s="73"/>
      <c r="AR11" s="73"/>
      <c r="AS11" s="73">
        <f t="shared" si="15"/>
        <v>0</v>
      </c>
      <c r="AT11" s="73"/>
      <c r="AU11" s="72">
        <f t="shared" si="16"/>
        <v>0</v>
      </c>
      <c r="AV11" s="72">
        <f t="shared" si="17"/>
        <v>0</v>
      </c>
      <c r="AW11" s="73"/>
      <c r="AX11" s="73"/>
      <c r="AY11" s="73">
        <f t="shared" si="18"/>
        <v>0</v>
      </c>
      <c r="AZ11" s="73"/>
      <c r="BA11" s="72">
        <f t="shared" si="19"/>
        <v>0</v>
      </c>
      <c r="BB11" s="72">
        <f t="shared" si="20"/>
        <v>0</v>
      </c>
      <c r="BC11" s="73"/>
      <c r="BD11" s="73"/>
      <c r="BE11" s="73">
        <f t="shared" si="21"/>
        <v>0</v>
      </c>
      <c r="BF11" s="73"/>
      <c r="BG11" s="72">
        <f t="shared" si="22"/>
        <v>0</v>
      </c>
      <c r="BH11" s="72">
        <f t="shared" si="23"/>
        <v>0</v>
      </c>
      <c r="BI11" s="73"/>
      <c r="BJ11" s="73"/>
      <c r="BK11" s="73">
        <f t="shared" si="24"/>
        <v>0</v>
      </c>
      <c r="BL11" s="73"/>
      <c r="BM11" s="72">
        <f t="shared" si="25"/>
        <v>0</v>
      </c>
      <c r="BN11" s="72">
        <f t="shared" si="26"/>
        <v>0</v>
      </c>
      <c r="BO11" s="73"/>
      <c r="BP11" s="73"/>
      <c r="BQ11" s="73">
        <f t="shared" si="27"/>
        <v>0</v>
      </c>
      <c r="BR11" s="73"/>
      <c r="BS11" s="72">
        <f t="shared" si="28"/>
        <v>0</v>
      </c>
      <c r="BT11" s="72">
        <f t="shared" si="29"/>
        <v>0</v>
      </c>
      <c r="BU11" s="73"/>
      <c r="BV11" s="73"/>
      <c r="BW11" s="73">
        <f t="shared" si="30"/>
        <v>0</v>
      </c>
      <c r="BX11" s="72"/>
      <c r="BY11" s="72">
        <f t="shared" si="31"/>
        <v>0</v>
      </c>
      <c r="BZ11" s="72">
        <f t="shared" si="32"/>
        <v>0</v>
      </c>
      <c r="CA11" s="73"/>
      <c r="CB11" s="73"/>
      <c r="CC11" s="73">
        <f t="shared" si="33"/>
        <v>0</v>
      </c>
      <c r="CD11" s="72"/>
      <c r="CE11" s="72">
        <v>0</v>
      </c>
      <c r="CF11" s="72">
        <v>0</v>
      </c>
      <c r="CG11" s="73"/>
      <c r="CH11" s="73"/>
      <c r="CI11" s="73">
        <f t="shared" si="34"/>
        <v>0</v>
      </c>
      <c r="CJ11" s="72"/>
      <c r="CK11" s="72">
        <f t="shared" si="35"/>
        <v>0</v>
      </c>
      <c r="CL11" s="72">
        <f t="shared" si="36"/>
        <v>0</v>
      </c>
      <c r="CN11" s="179"/>
      <c r="CO11" s="179"/>
      <c r="CP11" s="179"/>
      <c r="CQ11" s="179"/>
      <c r="CR11" s="179"/>
      <c r="CS11" s="179"/>
    </row>
    <row r="12" spans="1:97" ht="12.75" hidden="1">
      <c r="A12" s="143">
        <v>100285</v>
      </c>
      <c r="B12" s="143">
        <v>1070639</v>
      </c>
      <c r="C12" s="188">
        <v>1978</v>
      </c>
      <c r="D12" s="143" t="s">
        <v>101</v>
      </c>
      <c r="E12" s="143" t="s">
        <v>101</v>
      </c>
      <c r="F12" s="142" t="s">
        <v>102</v>
      </c>
      <c r="G12" s="73"/>
      <c r="H12" s="73"/>
      <c r="I12" s="73">
        <v>0</v>
      </c>
      <c r="J12" s="73"/>
      <c r="K12" s="72">
        <v>0</v>
      </c>
      <c r="L12" s="72">
        <v>0</v>
      </c>
      <c r="M12" s="73"/>
      <c r="N12" s="73"/>
      <c r="O12" s="73">
        <f t="shared" si="0"/>
        <v>0</v>
      </c>
      <c r="P12" s="73"/>
      <c r="Q12" s="72">
        <f t="shared" si="1"/>
        <v>0</v>
      </c>
      <c r="R12" s="72">
        <f t="shared" si="2"/>
        <v>0</v>
      </c>
      <c r="S12" s="73"/>
      <c r="T12" s="73"/>
      <c r="U12" s="73">
        <f t="shared" si="3"/>
        <v>0</v>
      </c>
      <c r="V12" s="73"/>
      <c r="W12" s="72">
        <f t="shared" si="4"/>
        <v>0</v>
      </c>
      <c r="X12" s="72">
        <f t="shared" si="5"/>
        <v>0</v>
      </c>
      <c r="Y12" s="73"/>
      <c r="Z12" s="73"/>
      <c r="AA12" s="73">
        <f t="shared" si="6"/>
        <v>0</v>
      </c>
      <c r="AB12" s="73"/>
      <c r="AC12" s="72">
        <f t="shared" si="7"/>
        <v>0</v>
      </c>
      <c r="AD12" s="72">
        <f t="shared" si="8"/>
        <v>0</v>
      </c>
      <c r="AE12" s="73"/>
      <c r="AF12" s="73"/>
      <c r="AG12" s="73">
        <f t="shared" si="9"/>
        <v>0</v>
      </c>
      <c r="AH12" s="73"/>
      <c r="AI12" s="72">
        <f t="shared" si="10"/>
        <v>0</v>
      </c>
      <c r="AJ12" s="72">
        <f t="shared" si="11"/>
        <v>0</v>
      </c>
      <c r="AK12" s="73"/>
      <c r="AL12" s="73"/>
      <c r="AM12" s="73">
        <f t="shared" si="12"/>
        <v>0</v>
      </c>
      <c r="AN12" s="73"/>
      <c r="AO12" s="72">
        <f t="shared" si="13"/>
        <v>0</v>
      </c>
      <c r="AP12" s="72">
        <f t="shared" si="14"/>
        <v>0</v>
      </c>
      <c r="AQ12" s="73"/>
      <c r="AR12" s="73"/>
      <c r="AS12" s="73">
        <f t="shared" si="15"/>
        <v>0</v>
      </c>
      <c r="AT12" s="73"/>
      <c r="AU12" s="72">
        <f t="shared" si="16"/>
        <v>0</v>
      </c>
      <c r="AV12" s="72">
        <f t="shared" si="17"/>
        <v>0</v>
      </c>
      <c r="AW12" s="73"/>
      <c r="AX12" s="73"/>
      <c r="AY12" s="73">
        <f t="shared" si="18"/>
        <v>0</v>
      </c>
      <c r="AZ12" s="73"/>
      <c r="BA12" s="72">
        <f t="shared" si="19"/>
        <v>0</v>
      </c>
      <c r="BB12" s="72">
        <f t="shared" si="20"/>
        <v>0</v>
      </c>
      <c r="BC12" s="73"/>
      <c r="BD12" s="73"/>
      <c r="BE12" s="73">
        <f t="shared" si="21"/>
        <v>0</v>
      </c>
      <c r="BF12" s="73"/>
      <c r="BG12" s="72">
        <f t="shared" si="22"/>
        <v>0</v>
      </c>
      <c r="BH12" s="72">
        <f t="shared" si="23"/>
        <v>0</v>
      </c>
      <c r="BI12" s="73"/>
      <c r="BJ12" s="73"/>
      <c r="BK12" s="73">
        <f t="shared" si="24"/>
        <v>0</v>
      </c>
      <c r="BL12" s="73"/>
      <c r="BM12" s="72">
        <f t="shared" si="25"/>
        <v>0</v>
      </c>
      <c r="BN12" s="72">
        <f t="shared" si="26"/>
        <v>0</v>
      </c>
      <c r="BO12" s="73"/>
      <c r="BP12" s="73"/>
      <c r="BQ12" s="73">
        <f t="shared" si="27"/>
        <v>0</v>
      </c>
      <c r="BR12" s="73"/>
      <c r="BS12" s="72">
        <f t="shared" si="28"/>
        <v>0</v>
      </c>
      <c r="BT12" s="72">
        <f t="shared" si="29"/>
        <v>0</v>
      </c>
      <c r="BU12" s="73"/>
      <c r="BV12" s="73"/>
      <c r="BW12" s="73">
        <f t="shared" si="30"/>
        <v>0</v>
      </c>
      <c r="BX12" s="72"/>
      <c r="BY12" s="72">
        <f t="shared" si="31"/>
        <v>0</v>
      </c>
      <c r="BZ12" s="72">
        <f t="shared" si="32"/>
        <v>0</v>
      </c>
      <c r="CA12" s="73"/>
      <c r="CB12" s="73"/>
      <c r="CC12" s="73">
        <f t="shared" si="33"/>
        <v>0</v>
      </c>
      <c r="CD12" s="72"/>
      <c r="CE12" s="72">
        <v>0</v>
      </c>
      <c r="CF12" s="72">
        <v>0</v>
      </c>
      <c r="CG12" s="73"/>
      <c r="CH12" s="73"/>
      <c r="CI12" s="73">
        <f t="shared" si="34"/>
        <v>0</v>
      </c>
      <c r="CJ12" s="72"/>
      <c r="CK12" s="72">
        <f t="shared" si="35"/>
        <v>0</v>
      </c>
      <c r="CL12" s="72">
        <f t="shared" si="36"/>
        <v>0</v>
      </c>
      <c r="CN12" s="179"/>
      <c r="CO12" s="179"/>
      <c r="CP12" s="179"/>
      <c r="CQ12" s="179"/>
      <c r="CR12" s="179"/>
      <c r="CS12" s="179"/>
    </row>
    <row r="13" spans="1:97" ht="12.75" hidden="1">
      <c r="A13" s="143">
        <v>100285</v>
      </c>
      <c r="B13" s="143">
        <v>1040146</v>
      </c>
      <c r="C13" s="188"/>
      <c r="D13" s="143"/>
      <c r="E13" s="143"/>
      <c r="F13" s="142" t="s">
        <v>103</v>
      </c>
      <c r="G13" s="73"/>
      <c r="H13" s="73"/>
      <c r="I13" s="73">
        <v>0</v>
      </c>
      <c r="J13" s="73"/>
      <c r="K13" s="72">
        <v>0</v>
      </c>
      <c r="L13" s="72">
        <v>0</v>
      </c>
      <c r="M13" s="73"/>
      <c r="N13" s="73"/>
      <c r="O13" s="73">
        <f t="shared" si="0"/>
        <v>0</v>
      </c>
      <c r="P13" s="73"/>
      <c r="Q13" s="72">
        <f t="shared" si="1"/>
        <v>0</v>
      </c>
      <c r="R13" s="72">
        <f t="shared" si="2"/>
        <v>0</v>
      </c>
      <c r="S13" s="73"/>
      <c r="T13" s="73"/>
      <c r="U13" s="73">
        <f t="shared" si="3"/>
        <v>0</v>
      </c>
      <c r="V13" s="73"/>
      <c r="W13" s="72">
        <f t="shared" si="4"/>
        <v>0</v>
      </c>
      <c r="X13" s="72">
        <f t="shared" si="5"/>
        <v>0</v>
      </c>
      <c r="Y13" s="73"/>
      <c r="Z13" s="73"/>
      <c r="AA13" s="73">
        <f t="shared" si="6"/>
        <v>0</v>
      </c>
      <c r="AB13" s="73"/>
      <c r="AC13" s="72">
        <f t="shared" si="7"/>
        <v>0</v>
      </c>
      <c r="AD13" s="72">
        <f t="shared" si="8"/>
        <v>0</v>
      </c>
      <c r="AE13" s="73"/>
      <c r="AF13" s="73"/>
      <c r="AG13" s="73">
        <f t="shared" si="9"/>
        <v>0</v>
      </c>
      <c r="AH13" s="73"/>
      <c r="AI13" s="72">
        <f t="shared" si="10"/>
        <v>0</v>
      </c>
      <c r="AJ13" s="72">
        <f t="shared" si="11"/>
        <v>0</v>
      </c>
      <c r="AK13" s="73"/>
      <c r="AL13" s="73"/>
      <c r="AM13" s="73">
        <f t="shared" si="12"/>
        <v>0</v>
      </c>
      <c r="AN13" s="73"/>
      <c r="AO13" s="72">
        <f t="shared" si="13"/>
        <v>0</v>
      </c>
      <c r="AP13" s="72">
        <f t="shared" si="14"/>
        <v>0</v>
      </c>
      <c r="AQ13" s="73"/>
      <c r="AR13" s="73"/>
      <c r="AS13" s="73">
        <f t="shared" si="15"/>
        <v>0</v>
      </c>
      <c r="AT13" s="73"/>
      <c r="AU13" s="72">
        <f t="shared" si="16"/>
        <v>0</v>
      </c>
      <c r="AV13" s="72">
        <f t="shared" si="17"/>
        <v>0</v>
      </c>
      <c r="AW13" s="73"/>
      <c r="AX13" s="73"/>
      <c r="AY13" s="73">
        <f t="shared" si="18"/>
        <v>0</v>
      </c>
      <c r="AZ13" s="73"/>
      <c r="BA13" s="72">
        <f t="shared" si="19"/>
        <v>0</v>
      </c>
      <c r="BB13" s="72">
        <f t="shared" si="20"/>
        <v>0</v>
      </c>
      <c r="BC13" s="73"/>
      <c r="BD13" s="73"/>
      <c r="BE13" s="73">
        <f t="shared" si="21"/>
        <v>0</v>
      </c>
      <c r="BF13" s="73"/>
      <c r="BG13" s="72">
        <f t="shared" si="22"/>
        <v>0</v>
      </c>
      <c r="BH13" s="72">
        <f t="shared" si="23"/>
        <v>0</v>
      </c>
      <c r="BI13" s="73"/>
      <c r="BJ13" s="73"/>
      <c r="BK13" s="73">
        <f t="shared" si="24"/>
        <v>0</v>
      </c>
      <c r="BL13" s="73"/>
      <c r="BM13" s="72">
        <f t="shared" si="25"/>
        <v>0</v>
      </c>
      <c r="BN13" s="72">
        <f t="shared" si="26"/>
        <v>0</v>
      </c>
      <c r="BO13" s="73"/>
      <c r="BP13" s="73"/>
      <c r="BQ13" s="73">
        <f t="shared" si="27"/>
        <v>0</v>
      </c>
      <c r="BR13" s="73"/>
      <c r="BS13" s="72">
        <f t="shared" si="28"/>
        <v>0</v>
      </c>
      <c r="BT13" s="72">
        <f t="shared" si="29"/>
        <v>0</v>
      </c>
      <c r="BU13" s="73"/>
      <c r="BV13" s="73"/>
      <c r="BW13" s="73">
        <f t="shared" si="30"/>
        <v>0</v>
      </c>
      <c r="BX13" s="72"/>
      <c r="BY13" s="72">
        <f t="shared" si="31"/>
        <v>0</v>
      </c>
      <c r="BZ13" s="72">
        <f t="shared" si="32"/>
        <v>0</v>
      </c>
      <c r="CA13" s="73"/>
      <c r="CB13" s="73"/>
      <c r="CC13" s="73">
        <f t="shared" si="33"/>
        <v>0</v>
      </c>
      <c r="CD13" s="72"/>
      <c r="CE13" s="72">
        <v>0</v>
      </c>
      <c r="CF13" s="72">
        <v>0</v>
      </c>
      <c r="CG13" s="73"/>
      <c r="CH13" s="73"/>
      <c r="CI13" s="73">
        <f t="shared" si="34"/>
        <v>0</v>
      </c>
      <c r="CJ13" s="72"/>
      <c r="CK13" s="72">
        <f t="shared" si="35"/>
        <v>0</v>
      </c>
      <c r="CL13" s="72">
        <f t="shared" si="36"/>
        <v>0</v>
      </c>
      <c r="CN13" s="179"/>
      <c r="CO13" s="179"/>
      <c r="CP13" s="179"/>
      <c r="CQ13" s="179"/>
      <c r="CR13" s="179"/>
      <c r="CS13" s="179"/>
    </row>
    <row r="14" spans="1:97" ht="12.75" hidden="1">
      <c r="A14" s="143">
        <v>100779</v>
      </c>
      <c r="B14" s="143">
        <v>1070543</v>
      </c>
      <c r="C14" s="188">
        <v>0</v>
      </c>
      <c r="D14" s="143" t="s">
        <v>104</v>
      </c>
      <c r="E14" s="143" t="s">
        <v>104</v>
      </c>
      <c r="F14" s="142" t="s">
        <v>105</v>
      </c>
      <c r="G14" s="73"/>
      <c r="H14" s="73"/>
      <c r="I14" s="73">
        <v>0</v>
      </c>
      <c r="J14" s="73"/>
      <c r="K14" s="72">
        <v>0</v>
      </c>
      <c r="L14" s="72">
        <v>0</v>
      </c>
      <c r="M14" s="73"/>
      <c r="N14" s="73"/>
      <c r="O14" s="73">
        <f t="shared" si="0"/>
        <v>0</v>
      </c>
      <c r="P14" s="73"/>
      <c r="Q14" s="72">
        <f t="shared" si="1"/>
        <v>0</v>
      </c>
      <c r="R14" s="72">
        <f t="shared" si="2"/>
        <v>0</v>
      </c>
      <c r="S14" s="73"/>
      <c r="T14" s="73"/>
      <c r="U14" s="73">
        <f t="shared" si="3"/>
        <v>0</v>
      </c>
      <c r="V14" s="73"/>
      <c r="W14" s="72">
        <f t="shared" si="4"/>
        <v>0</v>
      </c>
      <c r="X14" s="72">
        <f t="shared" si="5"/>
        <v>0</v>
      </c>
      <c r="Y14" s="73"/>
      <c r="Z14" s="73"/>
      <c r="AA14" s="73">
        <f t="shared" si="6"/>
        <v>0</v>
      </c>
      <c r="AB14" s="73"/>
      <c r="AC14" s="72">
        <f t="shared" si="7"/>
        <v>0</v>
      </c>
      <c r="AD14" s="72">
        <f t="shared" si="8"/>
        <v>0</v>
      </c>
      <c r="AE14" s="73"/>
      <c r="AF14" s="73"/>
      <c r="AG14" s="73">
        <f t="shared" si="9"/>
        <v>0</v>
      </c>
      <c r="AH14" s="73"/>
      <c r="AI14" s="72">
        <f t="shared" si="10"/>
        <v>0</v>
      </c>
      <c r="AJ14" s="72">
        <f t="shared" si="11"/>
        <v>0</v>
      </c>
      <c r="AK14" s="73"/>
      <c r="AL14" s="73"/>
      <c r="AM14" s="73">
        <f t="shared" si="12"/>
        <v>0</v>
      </c>
      <c r="AN14" s="73"/>
      <c r="AO14" s="72">
        <f t="shared" si="13"/>
        <v>0</v>
      </c>
      <c r="AP14" s="72">
        <f t="shared" si="14"/>
        <v>0</v>
      </c>
      <c r="AQ14" s="73"/>
      <c r="AR14" s="73"/>
      <c r="AS14" s="73">
        <f t="shared" si="15"/>
        <v>0</v>
      </c>
      <c r="AT14" s="73"/>
      <c r="AU14" s="72">
        <f t="shared" si="16"/>
        <v>0</v>
      </c>
      <c r="AV14" s="72">
        <f t="shared" si="17"/>
        <v>0</v>
      </c>
      <c r="AW14" s="73"/>
      <c r="AX14" s="73"/>
      <c r="AY14" s="73">
        <f t="shared" si="18"/>
        <v>0</v>
      </c>
      <c r="AZ14" s="73"/>
      <c r="BA14" s="72">
        <f t="shared" si="19"/>
        <v>0</v>
      </c>
      <c r="BB14" s="72">
        <f t="shared" si="20"/>
        <v>0</v>
      </c>
      <c r="BC14" s="73"/>
      <c r="BD14" s="73"/>
      <c r="BE14" s="73">
        <f t="shared" si="21"/>
        <v>0</v>
      </c>
      <c r="BF14" s="73"/>
      <c r="BG14" s="72">
        <f t="shared" si="22"/>
        <v>0</v>
      </c>
      <c r="BH14" s="72">
        <f t="shared" si="23"/>
        <v>0</v>
      </c>
      <c r="BI14" s="73"/>
      <c r="BJ14" s="73"/>
      <c r="BK14" s="73">
        <f t="shared" si="24"/>
        <v>0</v>
      </c>
      <c r="BL14" s="73"/>
      <c r="BM14" s="72">
        <f t="shared" si="25"/>
        <v>0</v>
      </c>
      <c r="BN14" s="72">
        <f t="shared" si="26"/>
        <v>0</v>
      </c>
      <c r="BO14" s="73"/>
      <c r="BP14" s="73"/>
      <c r="BQ14" s="73">
        <f t="shared" si="27"/>
        <v>0</v>
      </c>
      <c r="BR14" s="73"/>
      <c r="BS14" s="72">
        <f t="shared" si="28"/>
        <v>0</v>
      </c>
      <c r="BT14" s="72">
        <f t="shared" si="29"/>
        <v>0</v>
      </c>
      <c r="BU14" s="73"/>
      <c r="BV14" s="73"/>
      <c r="BW14" s="73">
        <f t="shared" si="30"/>
        <v>0</v>
      </c>
      <c r="BX14" s="72"/>
      <c r="BY14" s="72">
        <f t="shared" si="31"/>
        <v>0</v>
      </c>
      <c r="BZ14" s="72">
        <f t="shared" si="32"/>
        <v>0</v>
      </c>
      <c r="CA14" s="73"/>
      <c r="CB14" s="73"/>
      <c r="CC14" s="73">
        <f t="shared" si="33"/>
        <v>0</v>
      </c>
      <c r="CD14" s="72"/>
      <c r="CE14" s="72">
        <v>0</v>
      </c>
      <c r="CF14" s="72">
        <v>0</v>
      </c>
      <c r="CG14" s="73"/>
      <c r="CH14" s="73"/>
      <c r="CI14" s="73">
        <f t="shared" si="34"/>
        <v>0</v>
      </c>
      <c r="CJ14" s="72"/>
      <c r="CK14" s="72">
        <f t="shared" si="35"/>
        <v>0</v>
      </c>
      <c r="CL14" s="72">
        <f t="shared" si="36"/>
        <v>0</v>
      </c>
      <c r="CN14" s="179"/>
      <c r="CO14" s="179"/>
      <c r="CP14" s="179"/>
      <c r="CQ14" s="179"/>
      <c r="CR14" s="179"/>
      <c r="CS14" s="179"/>
    </row>
    <row r="15" spans="1:97" ht="12.75" hidden="1">
      <c r="A15" s="143">
        <v>100780</v>
      </c>
      <c r="B15" s="143">
        <v>1070544</v>
      </c>
      <c r="C15" s="188">
        <v>0</v>
      </c>
      <c r="D15" s="143" t="s">
        <v>106</v>
      </c>
      <c r="E15" s="143" t="s">
        <v>106</v>
      </c>
      <c r="F15" s="142" t="s">
        <v>107</v>
      </c>
      <c r="G15" s="73"/>
      <c r="H15" s="73"/>
      <c r="I15" s="73">
        <v>0</v>
      </c>
      <c r="J15" s="73"/>
      <c r="K15" s="72">
        <v>0</v>
      </c>
      <c r="L15" s="72">
        <v>0</v>
      </c>
      <c r="M15" s="73"/>
      <c r="N15" s="73"/>
      <c r="O15" s="73">
        <f t="shared" si="0"/>
        <v>0</v>
      </c>
      <c r="P15" s="73"/>
      <c r="Q15" s="72">
        <f t="shared" si="1"/>
        <v>0</v>
      </c>
      <c r="R15" s="72">
        <f t="shared" si="2"/>
        <v>0</v>
      </c>
      <c r="S15" s="73"/>
      <c r="T15" s="73"/>
      <c r="U15" s="73">
        <f t="shared" si="3"/>
        <v>0</v>
      </c>
      <c r="V15" s="73"/>
      <c r="W15" s="72">
        <f t="shared" si="4"/>
        <v>0</v>
      </c>
      <c r="X15" s="72">
        <f t="shared" si="5"/>
        <v>0</v>
      </c>
      <c r="Y15" s="73"/>
      <c r="Z15" s="73"/>
      <c r="AA15" s="73">
        <f t="shared" si="6"/>
        <v>0</v>
      </c>
      <c r="AB15" s="73"/>
      <c r="AC15" s="72">
        <f t="shared" si="7"/>
        <v>0</v>
      </c>
      <c r="AD15" s="72">
        <f t="shared" si="8"/>
        <v>0</v>
      </c>
      <c r="AE15" s="73"/>
      <c r="AF15" s="73"/>
      <c r="AG15" s="73">
        <f t="shared" si="9"/>
        <v>0</v>
      </c>
      <c r="AH15" s="73"/>
      <c r="AI15" s="72">
        <f t="shared" si="10"/>
        <v>0</v>
      </c>
      <c r="AJ15" s="72">
        <f t="shared" si="11"/>
        <v>0</v>
      </c>
      <c r="AK15" s="73"/>
      <c r="AL15" s="73"/>
      <c r="AM15" s="73">
        <f t="shared" si="12"/>
        <v>0</v>
      </c>
      <c r="AN15" s="73"/>
      <c r="AO15" s="72">
        <f t="shared" si="13"/>
        <v>0</v>
      </c>
      <c r="AP15" s="72">
        <f t="shared" si="14"/>
        <v>0</v>
      </c>
      <c r="AQ15" s="73"/>
      <c r="AR15" s="73"/>
      <c r="AS15" s="73">
        <f t="shared" si="15"/>
        <v>0</v>
      </c>
      <c r="AT15" s="73"/>
      <c r="AU15" s="72">
        <f t="shared" si="16"/>
        <v>0</v>
      </c>
      <c r="AV15" s="72">
        <f t="shared" si="17"/>
        <v>0</v>
      </c>
      <c r="AW15" s="73"/>
      <c r="AX15" s="73"/>
      <c r="AY15" s="73">
        <f t="shared" si="18"/>
        <v>0</v>
      </c>
      <c r="AZ15" s="73"/>
      <c r="BA15" s="72">
        <f t="shared" si="19"/>
        <v>0</v>
      </c>
      <c r="BB15" s="72">
        <f t="shared" si="20"/>
        <v>0</v>
      </c>
      <c r="BC15" s="73"/>
      <c r="BD15" s="73"/>
      <c r="BE15" s="73">
        <f t="shared" si="21"/>
        <v>0</v>
      </c>
      <c r="BF15" s="73"/>
      <c r="BG15" s="72">
        <f t="shared" si="22"/>
        <v>0</v>
      </c>
      <c r="BH15" s="72">
        <f t="shared" si="23"/>
        <v>0</v>
      </c>
      <c r="BI15" s="73"/>
      <c r="BJ15" s="73"/>
      <c r="BK15" s="73">
        <f t="shared" si="24"/>
        <v>0</v>
      </c>
      <c r="BL15" s="73"/>
      <c r="BM15" s="72">
        <f t="shared" si="25"/>
        <v>0</v>
      </c>
      <c r="BN15" s="72">
        <f t="shared" si="26"/>
        <v>0</v>
      </c>
      <c r="BO15" s="73"/>
      <c r="BP15" s="73"/>
      <c r="BQ15" s="73">
        <f t="shared" si="27"/>
        <v>0</v>
      </c>
      <c r="BR15" s="73"/>
      <c r="BS15" s="72">
        <f t="shared" si="28"/>
        <v>0</v>
      </c>
      <c r="BT15" s="72">
        <f t="shared" si="29"/>
        <v>0</v>
      </c>
      <c r="BU15" s="73"/>
      <c r="BV15" s="73"/>
      <c r="BW15" s="73">
        <f t="shared" si="30"/>
        <v>0</v>
      </c>
      <c r="BX15" s="72"/>
      <c r="BY15" s="72">
        <f t="shared" si="31"/>
        <v>0</v>
      </c>
      <c r="BZ15" s="72">
        <f t="shared" si="32"/>
        <v>0</v>
      </c>
      <c r="CA15" s="73"/>
      <c r="CB15" s="73"/>
      <c r="CC15" s="73">
        <f t="shared" si="33"/>
        <v>0</v>
      </c>
      <c r="CD15" s="72"/>
      <c r="CE15" s="72">
        <v>0</v>
      </c>
      <c r="CF15" s="72">
        <v>0</v>
      </c>
      <c r="CG15" s="73"/>
      <c r="CH15" s="73"/>
      <c r="CI15" s="73">
        <f t="shared" si="34"/>
        <v>0</v>
      </c>
      <c r="CJ15" s="72"/>
      <c r="CK15" s="72">
        <f t="shared" si="35"/>
        <v>0</v>
      </c>
      <c r="CL15" s="72">
        <f t="shared" si="36"/>
        <v>0</v>
      </c>
      <c r="CN15" s="179"/>
      <c r="CO15" s="179"/>
      <c r="CP15" s="179"/>
      <c r="CQ15" s="179"/>
      <c r="CR15" s="179"/>
      <c r="CS15" s="179"/>
    </row>
    <row r="16" spans="1:97" ht="12.75" hidden="1">
      <c r="A16" s="143">
        <v>100818</v>
      </c>
      <c r="B16" s="143">
        <v>1071810</v>
      </c>
      <c r="C16" s="188">
        <v>0</v>
      </c>
      <c r="D16" s="143" t="s">
        <v>93</v>
      </c>
      <c r="E16" s="143" t="s">
        <v>92</v>
      </c>
      <c r="F16" s="142" t="s">
        <v>108</v>
      </c>
      <c r="G16" s="73"/>
      <c r="H16" s="73"/>
      <c r="I16" s="73">
        <v>0</v>
      </c>
      <c r="J16" s="73"/>
      <c r="K16" s="72">
        <v>0</v>
      </c>
      <c r="L16" s="72">
        <v>0</v>
      </c>
      <c r="M16" s="73"/>
      <c r="N16" s="73"/>
      <c r="O16" s="73">
        <f t="shared" si="0"/>
        <v>0</v>
      </c>
      <c r="P16" s="73"/>
      <c r="Q16" s="72">
        <f t="shared" si="1"/>
        <v>0</v>
      </c>
      <c r="R16" s="72">
        <f t="shared" si="2"/>
        <v>0</v>
      </c>
      <c r="S16" s="73"/>
      <c r="T16" s="73"/>
      <c r="U16" s="73">
        <f t="shared" si="3"/>
        <v>0</v>
      </c>
      <c r="V16" s="73"/>
      <c r="W16" s="72">
        <f t="shared" si="4"/>
        <v>0</v>
      </c>
      <c r="X16" s="72">
        <f t="shared" si="5"/>
        <v>0</v>
      </c>
      <c r="Y16" s="73"/>
      <c r="Z16" s="73"/>
      <c r="AA16" s="73">
        <f t="shared" si="6"/>
        <v>0</v>
      </c>
      <c r="AB16" s="73"/>
      <c r="AC16" s="72">
        <f t="shared" si="7"/>
        <v>0</v>
      </c>
      <c r="AD16" s="72">
        <f t="shared" si="8"/>
        <v>0</v>
      </c>
      <c r="AE16" s="73"/>
      <c r="AF16" s="73"/>
      <c r="AG16" s="73">
        <f t="shared" si="9"/>
        <v>0</v>
      </c>
      <c r="AH16" s="73"/>
      <c r="AI16" s="72">
        <f t="shared" si="10"/>
        <v>0</v>
      </c>
      <c r="AJ16" s="72">
        <f t="shared" si="11"/>
        <v>0</v>
      </c>
      <c r="AK16" s="73"/>
      <c r="AL16" s="73"/>
      <c r="AM16" s="73">
        <f t="shared" si="12"/>
        <v>0</v>
      </c>
      <c r="AN16" s="73"/>
      <c r="AO16" s="72">
        <f t="shared" si="13"/>
        <v>0</v>
      </c>
      <c r="AP16" s="72">
        <f t="shared" si="14"/>
        <v>0</v>
      </c>
      <c r="AQ16" s="73"/>
      <c r="AR16" s="73"/>
      <c r="AS16" s="73">
        <f t="shared" si="15"/>
        <v>0</v>
      </c>
      <c r="AT16" s="73"/>
      <c r="AU16" s="72">
        <f t="shared" si="16"/>
        <v>0</v>
      </c>
      <c r="AV16" s="72">
        <f t="shared" si="17"/>
        <v>0</v>
      </c>
      <c r="AW16" s="73"/>
      <c r="AX16" s="73"/>
      <c r="AY16" s="73">
        <f t="shared" si="18"/>
        <v>0</v>
      </c>
      <c r="AZ16" s="73"/>
      <c r="BA16" s="72">
        <f t="shared" si="19"/>
        <v>0</v>
      </c>
      <c r="BB16" s="72">
        <f t="shared" si="20"/>
        <v>0</v>
      </c>
      <c r="BC16" s="73"/>
      <c r="BD16" s="73"/>
      <c r="BE16" s="73">
        <f t="shared" si="21"/>
        <v>0</v>
      </c>
      <c r="BF16" s="73"/>
      <c r="BG16" s="72">
        <f t="shared" si="22"/>
        <v>0</v>
      </c>
      <c r="BH16" s="72">
        <f t="shared" si="23"/>
        <v>0</v>
      </c>
      <c r="BI16" s="73"/>
      <c r="BJ16" s="73"/>
      <c r="BK16" s="73">
        <f t="shared" si="24"/>
        <v>0</v>
      </c>
      <c r="BL16" s="73"/>
      <c r="BM16" s="72">
        <f t="shared" si="25"/>
        <v>0</v>
      </c>
      <c r="BN16" s="72">
        <f t="shared" si="26"/>
        <v>0</v>
      </c>
      <c r="BO16" s="73"/>
      <c r="BP16" s="73"/>
      <c r="BQ16" s="73">
        <f t="shared" si="27"/>
        <v>0</v>
      </c>
      <c r="BR16" s="73"/>
      <c r="BS16" s="72">
        <f t="shared" si="28"/>
        <v>0</v>
      </c>
      <c r="BT16" s="72">
        <f t="shared" si="29"/>
        <v>0</v>
      </c>
      <c r="BU16" s="73"/>
      <c r="BV16" s="73"/>
      <c r="BW16" s="73">
        <f t="shared" si="30"/>
        <v>0</v>
      </c>
      <c r="BX16" s="72"/>
      <c r="BY16" s="72">
        <f t="shared" si="31"/>
        <v>0</v>
      </c>
      <c r="BZ16" s="72">
        <f t="shared" si="32"/>
        <v>0</v>
      </c>
      <c r="CA16" s="73"/>
      <c r="CB16" s="73"/>
      <c r="CC16" s="73">
        <f t="shared" si="33"/>
        <v>0</v>
      </c>
      <c r="CD16" s="72"/>
      <c r="CE16" s="72">
        <v>0</v>
      </c>
      <c r="CF16" s="72">
        <v>0</v>
      </c>
      <c r="CG16" s="73"/>
      <c r="CH16" s="73"/>
      <c r="CI16" s="73">
        <f t="shared" si="34"/>
        <v>0</v>
      </c>
      <c r="CJ16" s="72"/>
      <c r="CK16" s="72">
        <f t="shared" si="35"/>
        <v>0</v>
      </c>
      <c r="CL16" s="72">
        <f t="shared" si="36"/>
        <v>0</v>
      </c>
      <c r="CN16" s="179"/>
      <c r="CO16" s="179"/>
      <c r="CP16" s="179"/>
      <c r="CQ16" s="179"/>
      <c r="CR16" s="179"/>
      <c r="CS16" s="179"/>
    </row>
    <row r="17" spans="1:97" ht="12.75">
      <c r="A17" s="143">
        <v>100912</v>
      </c>
      <c r="B17" s="189" t="s">
        <v>109</v>
      </c>
      <c r="C17" s="143">
        <v>1980</v>
      </c>
      <c r="D17" s="143" t="s">
        <v>89</v>
      </c>
      <c r="E17" s="143" t="s">
        <v>96</v>
      </c>
      <c r="F17" s="142" t="s">
        <v>110</v>
      </c>
      <c r="G17" s="73">
        <v>235013</v>
      </c>
      <c r="H17" s="73">
        <v>622381</v>
      </c>
      <c r="I17" s="73">
        <v>-387368</v>
      </c>
      <c r="J17" s="73">
        <v>4818.176812787599</v>
      </c>
      <c r="K17" s="72">
        <v>49799.552707931995</v>
      </c>
      <c r="L17" s="72">
        <v>4818.176812787599</v>
      </c>
      <c r="M17" s="73">
        <v>235013</v>
      </c>
      <c r="N17" s="73">
        <v>625761</v>
      </c>
      <c r="O17" s="73">
        <f t="shared" si="0"/>
        <v>-390748</v>
      </c>
      <c r="P17" s="73">
        <f>O17/(O17+O18)*(5083.02+0)</f>
        <v>4963.489169178175</v>
      </c>
      <c r="Q17" s="72">
        <f t="shared" si="1"/>
        <v>54763.04187711017</v>
      </c>
      <c r="R17" s="72">
        <f t="shared" si="2"/>
        <v>4963.489169178175</v>
      </c>
      <c r="S17" s="73">
        <v>235013</v>
      </c>
      <c r="T17" s="73">
        <v>630516</v>
      </c>
      <c r="U17" s="73">
        <f t="shared" si="3"/>
        <v>-395503</v>
      </c>
      <c r="V17" s="73">
        <f>U17/(U17+U18)*(4955.77+0)</f>
        <v>4838.18644658924</v>
      </c>
      <c r="W17" s="72">
        <f t="shared" si="4"/>
        <v>4838.18644658924</v>
      </c>
      <c r="X17" s="72">
        <f t="shared" si="5"/>
        <v>4838.18644658924</v>
      </c>
      <c r="Y17" s="73">
        <v>235013</v>
      </c>
      <c r="Z17" s="73">
        <v>635269</v>
      </c>
      <c r="AA17" s="73">
        <f t="shared" si="6"/>
        <v>-400256</v>
      </c>
      <c r="AB17" s="73">
        <f>AA17/(AA17+AA18)*(4955.77+0)</f>
        <v>4837.154241875188</v>
      </c>
      <c r="AC17" s="72">
        <f t="shared" si="7"/>
        <v>9675.340688464428</v>
      </c>
      <c r="AD17" s="72">
        <f t="shared" si="8"/>
        <v>9675.340688464428</v>
      </c>
      <c r="AE17" s="73">
        <v>235012</v>
      </c>
      <c r="AF17" s="73">
        <v>640021</v>
      </c>
      <c r="AG17" s="73">
        <f t="shared" si="9"/>
        <v>-405009</v>
      </c>
      <c r="AH17" s="73">
        <f>AG17/(AG17+AG18)*(4955.77+0)</f>
        <v>4836.146689082879</v>
      </c>
      <c r="AI17" s="72">
        <f t="shared" si="10"/>
        <v>14511.487377547306</v>
      </c>
      <c r="AJ17" s="72">
        <f t="shared" si="11"/>
        <v>14511.487377547306</v>
      </c>
      <c r="AK17" s="73">
        <v>235013</v>
      </c>
      <c r="AL17" s="73">
        <v>644771</v>
      </c>
      <c r="AM17" s="73">
        <f t="shared" si="12"/>
        <v>-409758</v>
      </c>
      <c r="AN17" s="73">
        <f>AM17/(AM17+AM18)*(4955.77+0)</f>
        <v>4835.138741181149</v>
      </c>
      <c r="AO17" s="72">
        <f t="shared" si="13"/>
        <v>19346.626118728454</v>
      </c>
      <c r="AP17" s="72">
        <f t="shared" si="14"/>
        <v>19346.626118728454</v>
      </c>
      <c r="AQ17" s="73">
        <f>235012.74</f>
        <v>235012.74</v>
      </c>
      <c r="AR17" s="73">
        <f>642581.97</f>
        <v>642581.97</v>
      </c>
      <c r="AS17" s="73">
        <f t="shared" si="15"/>
        <v>-407569.23</v>
      </c>
      <c r="AT17" s="73">
        <f>AS17/(AS17+AS18)*(-2157.27)</f>
        <v>-2104.319849143683</v>
      </c>
      <c r="AU17" s="72">
        <f t="shared" si="16"/>
        <v>17242.306269584773</v>
      </c>
      <c r="AV17" s="72">
        <f t="shared" si="17"/>
        <v>17242.306269584773</v>
      </c>
      <c r="AW17" s="73">
        <f>235012.74</f>
        <v>235012.74</v>
      </c>
      <c r="AX17" s="73">
        <f>647428.72</f>
        <v>647428.72</v>
      </c>
      <c r="AY17" s="73">
        <f t="shared" si="18"/>
        <v>-412415.98</v>
      </c>
      <c r="AZ17" s="73">
        <f>AY17/(AY17+AY18)*(4955.77+100)</f>
        <v>4930.660882222282</v>
      </c>
      <c r="BA17" s="72">
        <f t="shared" si="19"/>
        <v>22172.967151807054</v>
      </c>
      <c r="BB17" s="72">
        <f t="shared" si="20"/>
        <v>22172.967151807054</v>
      </c>
      <c r="BC17" s="73">
        <f>235012.74</f>
        <v>235012.74</v>
      </c>
      <c r="BD17" s="73">
        <f>657008.76</f>
        <v>657008.76</v>
      </c>
      <c r="BE17" s="73">
        <f t="shared" si="21"/>
        <v>-421996.02</v>
      </c>
      <c r="BF17" s="73">
        <f>BE17/(BE17+BE18)*(4955.77+4955.77)</f>
        <v>9664.295224789697</v>
      </c>
      <c r="BG17" s="72">
        <f t="shared" si="22"/>
        <v>31837.26237659675</v>
      </c>
      <c r="BH17" s="72">
        <f t="shared" si="23"/>
        <v>31837.26237659675</v>
      </c>
      <c r="BI17" s="73">
        <f>235012.74</f>
        <v>235012.74</v>
      </c>
      <c r="BJ17" s="73">
        <f>661204.03</f>
        <v>661204.03</v>
      </c>
      <c r="BK17" s="73">
        <f t="shared" si="24"/>
        <v>-426191.29000000004</v>
      </c>
      <c r="BL17" s="73">
        <f>BK17/(BK17+BK18)*(4955.77-564.4)</f>
        <v>4280.957803925946</v>
      </c>
      <c r="BM17" s="72">
        <f t="shared" si="25"/>
        <v>36118.220180522694</v>
      </c>
      <c r="BN17" s="72">
        <f t="shared" si="26"/>
        <v>36118.220180522694</v>
      </c>
      <c r="BO17" s="73">
        <f>235012.74</f>
        <v>235012.74</v>
      </c>
      <c r="BP17" s="73">
        <f>665948.37</f>
        <v>665948.37</v>
      </c>
      <c r="BQ17" s="73">
        <f t="shared" si="27"/>
        <v>-430935.63</v>
      </c>
      <c r="BR17" s="73">
        <f>BQ17/(BQ17+BQ18)*(4955.77)</f>
        <v>4830.193666811207</v>
      </c>
      <c r="BS17" s="72">
        <f t="shared" si="28"/>
        <v>40948.4138473339</v>
      </c>
      <c r="BT17" s="72">
        <f t="shared" si="29"/>
        <v>40948.4138473339</v>
      </c>
      <c r="BU17" s="73">
        <f>235012.74</f>
        <v>235012.74</v>
      </c>
      <c r="BV17" s="73">
        <f>671067.2</f>
        <v>671067.2</v>
      </c>
      <c r="BW17" s="73">
        <f t="shared" si="30"/>
        <v>-436054.45999999996</v>
      </c>
      <c r="BX17" s="72">
        <f>BW17/(BW17+BW18)*(4955.77+385.62)</f>
        <v>5205.000914228237</v>
      </c>
      <c r="BY17" s="72">
        <f t="shared" si="31"/>
        <v>46153.41476156213</v>
      </c>
      <c r="BZ17" s="72">
        <f t="shared" si="32"/>
        <v>46153.41476156213</v>
      </c>
      <c r="CA17" s="73">
        <f>235012.74</f>
        <v>235012.74</v>
      </c>
      <c r="CB17" s="73">
        <f>674627.3</f>
        <v>674627.3</v>
      </c>
      <c r="CC17" s="73">
        <f t="shared" si="33"/>
        <v>-439614.56000000006</v>
      </c>
      <c r="CD17" s="72">
        <f>CC17/(CC17+CC18)*(4955.77)</f>
        <v>4815.326496904438</v>
      </c>
      <c r="CE17" s="72">
        <v>50968</v>
      </c>
      <c r="CF17" s="72">
        <v>50968</v>
      </c>
      <c r="CG17" s="73">
        <v>235013</v>
      </c>
      <c r="CH17" s="73">
        <v>679359</v>
      </c>
      <c r="CI17" s="73">
        <f t="shared" si="34"/>
        <v>-444346</v>
      </c>
      <c r="CJ17" s="72">
        <f>CI17/(CI17+CI18)*(4955.77)</f>
        <v>4814.4291785802525</v>
      </c>
      <c r="CK17" s="72">
        <f t="shared" si="35"/>
        <v>55782.42917858025</v>
      </c>
      <c r="CL17" s="72">
        <f t="shared" si="36"/>
        <v>55782.42917858025</v>
      </c>
      <c r="CN17" s="179"/>
      <c r="CO17" s="179"/>
      <c r="CP17" s="179"/>
      <c r="CQ17" s="179"/>
      <c r="CR17" s="179"/>
      <c r="CS17" s="179"/>
    </row>
    <row r="18" spans="1:97" ht="12.75">
      <c r="A18" s="143">
        <v>100912</v>
      </c>
      <c r="B18" s="189" t="s">
        <v>111</v>
      </c>
      <c r="C18" s="143">
        <v>1998</v>
      </c>
      <c r="D18" s="143" t="s">
        <v>89</v>
      </c>
      <c r="E18" s="143" t="s">
        <v>96</v>
      </c>
      <c r="F18" s="142" t="s">
        <v>112</v>
      </c>
      <c r="G18" s="73">
        <v>18583</v>
      </c>
      <c r="H18" s="73">
        <v>27599</v>
      </c>
      <c r="I18" s="73">
        <v>-9016</v>
      </c>
      <c r="J18" s="73">
        <v>112.1431872124001</v>
      </c>
      <c r="K18" s="72">
        <v>1108.497292068003</v>
      </c>
      <c r="L18" s="72">
        <v>112.1431872124001</v>
      </c>
      <c r="M18" s="73">
        <v>19892</v>
      </c>
      <c r="N18" s="73">
        <v>29302</v>
      </c>
      <c r="O18" s="73">
        <f t="shared" si="0"/>
        <v>-9410</v>
      </c>
      <c r="P18" s="73">
        <f>O18/(O17+O18)*(5083.02+0)</f>
        <v>119.53083082182539</v>
      </c>
      <c r="Q18" s="72">
        <f t="shared" si="1"/>
        <v>1228.0281228898284</v>
      </c>
      <c r="R18" s="72">
        <f t="shared" si="2"/>
        <v>119.53083082182539</v>
      </c>
      <c r="S18" s="73">
        <v>19892</v>
      </c>
      <c r="T18" s="73">
        <v>29504</v>
      </c>
      <c r="U18" s="73">
        <f t="shared" si="3"/>
        <v>-9612</v>
      </c>
      <c r="V18" s="73">
        <f>U18/(U17+U18)*(4955.77+0)</f>
        <v>117.58355341075992</v>
      </c>
      <c r="W18" s="72">
        <f t="shared" si="4"/>
        <v>117.58355341075992</v>
      </c>
      <c r="X18" s="72">
        <f t="shared" si="5"/>
        <v>117.58355341075992</v>
      </c>
      <c r="Y18" s="73">
        <v>19891</v>
      </c>
      <c r="Z18" s="73">
        <v>29706</v>
      </c>
      <c r="AA18" s="73">
        <f t="shared" si="6"/>
        <v>-9815</v>
      </c>
      <c r="AB18" s="73">
        <f>AA18/(AA17+AA18)*(4955.77)+1</f>
        <v>119.61575812481254</v>
      </c>
      <c r="AC18" s="72">
        <f t="shared" si="7"/>
        <v>237.19931153557246</v>
      </c>
      <c r="AD18" s="72">
        <f t="shared" si="8"/>
        <v>237.19931153557246</v>
      </c>
      <c r="AE18" s="73">
        <v>19892</v>
      </c>
      <c r="AF18" s="73">
        <v>29910</v>
      </c>
      <c r="AG18" s="73">
        <f t="shared" si="9"/>
        <v>-10018</v>
      </c>
      <c r="AH18" s="73">
        <f>AG18/(AG17+AG18)*(4955.77)+1</f>
        <v>120.62331091712107</v>
      </c>
      <c r="AI18" s="72">
        <f t="shared" si="10"/>
        <v>357.8226224526935</v>
      </c>
      <c r="AJ18" s="72">
        <f t="shared" si="11"/>
        <v>357.8226224526935</v>
      </c>
      <c r="AK18" s="73">
        <v>19892</v>
      </c>
      <c r="AL18" s="73">
        <v>30115</v>
      </c>
      <c r="AM18" s="73">
        <f t="shared" si="12"/>
        <v>-10223</v>
      </c>
      <c r="AN18" s="73">
        <f>AM18/(AM17+AM18)*(4955.77)</f>
        <v>120.63125881885134</v>
      </c>
      <c r="AO18" s="72">
        <f t="shared" si="13"/>
        <v>478.45388127154484</v>
      </c>
      <c r="AP18" s="72">
        <f t="shared" si="14"/>
        <v>478.45388127154484</v>
      </c>
      <c r="AQ18" s="73">
        <f>19891.7</f>
        <v>19891.7</v>
      </c>
      <c r="AR18" s="73">
        <f>30147.2</f>
        <v>30147.2</v>
      </c>
      <c r="AS18" s="73">
        <f t="shared" si="15"/>
        <v>-10255.5</v>
      </c>
      <c r="AT18" s="73">
        <f>AS18/(AS17+AS18)*(-2157.27)</f>
        <v>-52.950150856317194</v>
      </c>
      <c r="AU18" s="72">
        <f t="shared" si="16"/>
        <v>425.50373041522766</v>
      </c>
      <c r="AV18" s="72">
        <f t="shared" si="17"/>
        <v>425.50373041522766</v>
      </c>
      <c r="AW18" s="73">
        <f>19891.7</f>
        <v>19891.7</v>
      </c>
      <c r="AX18" s="73">
        <f>30356.22</f>
        <v>30356.22</v>
      </c>
      <c r="AY18" s="73">
        <f t="shared" si="18"/>
        <v>-10464.52</v>
      </c>
      <c r="AZ18" s="73">
        <f>AY18/(AY17+AY18)*(4955.77+100)</f>
        <v>125.10911777771736</v>
      </c>
      <c r="BA18" s="72">
        <f t="shared" si="19"/>
        <v>550.612848192945</v>
      </c>
      <c r="BB18" s="72">
        <f t="shared" si="20"/>
        <v>550.612848192945</v>
      </c>
      <c r="BC18" s="73">
        <f>19891.7</f>
        <v>19891.7</v>
      </c>
      <c r="BD18" s="73">
        <f>30687.76</f>
        <v>30687.76</v>
      </c>
      <c r="BE18" s="73">
        <f t="shared" si="21"/>
        <v>-10796.059999999998</v>
      </c>
      <c r="BF18" s="73">
        <f>BE18/(BE17+BE18)*(4955.77+4955.77)</f>
        <v>247.24477521030417</v>
      </c>
      <c r="BG18" s="72">
        <f t="shared" si="22"/>
        <v>797.8576234032491</v>
      </c>
      <c r="BH18" s="72">
        <f t="shared" si="23"/>
        <v>797.8576234032491</v>
      </c>
      <c r="BI18" s="73">
        <f>19891.7</f>
        <v>19891.7</v>
      </c>
      <c r="BJ18" s="73">
        <f>30883.8</f>
        <v>30883.8</v>
      </c>
      <c r="BK18" s="73">
        <f t="shared" si="24"/>
        <v>-10992.099999999999</v>
      </c>
      <c r="BL18" s="73">
        <f>BK18/(BK17+BK18)*(4955.77-564.4)</f>
        <v>110.41219607405488</v>
      </c>
      <c r="BM18" s="72">
        <f t="shared" si="25"/>
        <v>908.269819477304</v>
      </c>
      <c r="BN18" s="72">
        <f t="shared" si="26"/>
        <v>908.269819477304</v>
      </c>
      <c r="BO18" s="73">
        <f>19891.7</f>
        <v>19891.7</v>
      </c>
      <c r="BP18" s="73">
        <f>31095.25</f>
        <v>31095.25</v>
      </c>
      <c r="BQ18" s="73">
        <f t="shared" si="27"/>
        <v>-11203.55</v>
      </c>
      <c r="BR18" s="73">
        <f>BQ18/(BQ17+BQ18)*(4955.77)</f>
        <v>125.57633318879363</v>
      </c>
      <c r="BS18" s="72">
        <f t="shared" si="28"/>
        <v>1033.8461526660976</v>
      </c>
      <c r="BT18" s="72">
        <f t="shared" si="29"/>
        <v>1033.8461526660976</v>
      </c>
      <c r="BU18" s="73">
        <f>19891.7</f>
        <v>19891.7</v>
      </c>
      <c r="BV18" s="73">
        <f>31317.84</f>
        <v>31317.84</v>
      </c>
      <c r="BW18" s="73">
        <f t="shared" si="30"/>
        <v>-11426.14</v>
      </c>
      <c r="BX18" s="72">
        <f>BW18/(BW17+BW18)*(4955.77+385.62)</f>
        <v>136.3890857717631</v>
      </c>
      <c r="BY18" s="72">
        <f t="shared" si="31"/>
        <v>1170.2352384378607</v>
      </c>
      <c r="BZ18" s="72">
        <f t="shared" si="32"/>
        <v>1170.2352384378607</v>
      </c>
      <c r="CA18" s="73">
        <f>19891.7</f>
        <v>19891.7</v>
      </c>
      <c r="CB18" s="73">
        <f>32713.47</f>
        <v>32713.47</v>
      </c>
      <c r="CC18" s="73">
        <f t="shared" si="33"/>
        <v>-12821.77</v>
      </c>
      <c r="CD18" s="72">
        <f>CC18/(CC17+CC18)*(4955.77)</f>
        <v>140.44350309556262</v>
      </c>
      <c r="CE18" s="72">
        <v>1311</v>
      </c>
      <c r="CF18" s="72">
        <v>1311</v>
      </c>
      <c r="CG18" s="73">
        <v>19892</v>
      </c>
      <c r="CH18" s="73">
        <v>32937</v>
      </c>
      <c r="CI18" s="73">
        <f t="shared" si="34"/>
        <v>-13045</v>
      </c>
      <c r="CJ18" s="72">
        <f>CI18/(CI17+CI18)*(4955)</f>
        <v>141.31886066844342</v>
      </c>
      <c r="CK18" s="72">
        <f>CJ18+CE18</f>
        <v>1452.3188606684434</v>
      </c>
      <c r="CL18" s="72">
        <f>CJ18+CF18</f>
        <v>1452.3188606684434</v>
      </c>
      <c r="CN18" s="179"/>
      <c r="CO18" s="179"/>
      <c r="CP18" s="179"/>
      <c r="CQ18" s="179"/>
      <c r="CR18" s="179"/>
      <c r="CS18" s="179"/>
    </row>
    <row r="19" spans="1:97" ht="12.75">
      <c r="A19" s="189"/>
      <c r="B19" s="189"/>
      <c r="C19" s="143"/>
      <c r="D19" s="143"/>
      <c r="E19" s="143"/>
      <c r="F19" s="142"/>
      <c r="G19" s="73"/>
      <c r="H19" s="73"/>
      <c r="I19" s="73"/>
      <c r="J19" s="73"/>
      <c r="K19" s="72"/>
      <c r="L19" s="72"/>
      <c r="M19" s="73"/>
      <c r="N19" s="73"/>
      <c r="O19" s="73"/>
      <c r="P19" s="73"/>
      <c r="Q19" s="72"/>
      <c r="R19" s="72"/>
      <c r="S19" s="73"/>
      <c r="T19" s="73"/>
      <c r="U19" s="73"/>
      <c r="V19" s="73"/>
      <c r="W19" s="72"/>
      <c r="X19" s="72"/>
      <c r="Y19" s="73"/>
      <c r="Z19" s="73"/>
      <c r="AA19" s="73"/>
      <c r="AB19" s="73"/>
      <c r="AC19" s="72">
        <f t="shared" si="7"/>
        <v>0</v>
      </c>
      <c r="AD19" s="72"/>
      <c r="AE19" s="73"/>
      <c r="AF19" s="73"/>
      <c r="AG19" s="73"/>
      <c r="AH19" s="73"/>
      <c r="AI19" s="72"/>
      <c r="AJ19" s="72"/>
      <c r="AK19" s="73"/>
      <c r="AL19" s="73"/>
      <c r="AM19" s="73"/>
      <c r="AN19" s="73"/>
      <c r="AO19" s="72"/>
      <c r="AP19" s="72"/>
      <c r="AQ19" s="73"/>
      <c r="AR19" s="73"/>
      <c r="AS19" s="73"/>
      <c r="AT19" s="73"/>
      <c r="AU19" s="72"/>
      <c r="AV19" s="72"/>
      <c r="AW19" s="73"/>
      <c r="AX19" s="73"/>
      <c r="AY19" s="73"/>
      <c r="AZ19" s="73"/>
      <c r="BA19" s="72"/>
      <c r="BB19" s="72"/>
      <c r="BH19" s="72"/>
      <c r="BI19" s="73"/>
      <c r="BJ19" s="73"/>
      <c r="BK19" s="73"/>
      <c r="BL19" s="73"/>
      <c r="BM19" s="72"/>
      <c r="BN19" s="72"/>
      <c r="BO19" s="73"/>
      <c r="BP19" s="73"/>
      <c r="BQ19" s="73"/>
      <c r="BR19" s="73"/>
      <c r="BS19" s="72"/>
      <c r="BT19" s="72"/>
      <c r="BU19" s="73"/>
      <c r="BV19" s="73"/>
      <c r="BW19" s="73"/>
      <c r="BX19" s="72"/>
      <c r="BY19" s="72"/>
      <c r="BZ19" s="72"/>
      <c r="CA19" s="73"/>
      <c r="CB19" s="73"/>
      <c r="CC19" s="73"/>
      <c r="CD19" s="72"/>
      <c r="CE19" s="72"/>
      <c r="CF19" s="72"/>
      <c r="CG19" s="73"/>
      <c r="CH19" s="73"/>
      <c r="CI19" s="73"/>
      <c r="CJ19" s="72"/>
      <c r="CK19" s="72"/>
      <c r="CL19" s="72"/>
      <c r="CN19" s="179"/>
      <c r="CO19" s="179"/>
      <c r="CP19" s="179"/>
      <c r="CQ19" s="179"/>
      <c r="CR19" s="179"/>
      <c r="CS19" s="179"/>
    </row>
    <row r="20" spans="1:97" s="192" customFormat="1" ht="12.75">
      <c r="A20" s="190"/>
      <c r="B20" s="190"/>
      <c r="C20" s="190"/>
      <c r="D20" s="190"/>
      <c r="E20" s="190"/>
      <c r="F20" s="191" t="s">
        <v>12</v>
      </c>
      <c r="G20" s="73">
        <f aca="true" t="shared" si="37" ref="G20:AB20">SUM(G5:G19)</f>
        <v>36267698</v>
      </c>
      <c r="H20" s="73">
        <f t="shared" si="37"/>
        <v>26761323</v>
      </c>
      <c r="I20" s="73">
        <v>9506375</v>
      </c>
      <c r="J20" s="73">
        <v>553229.48</v>
      </c>
      <c r="K20" s="72">
        <v>7314975.58</v>
      </c>
      <c r="L20" s="72">
        <v>553229.48</v>
      </c>
      <c r="M20" s="73">
        <f t="shared" si="37"/>
        <v>36316823</v>
      </c>
      <c r="N20" s="73">
        <f t="shared" si="37"/>
        <v>26980917</v>
      </c>
      <c r="O20" s="73">
        <f t="shared" si="37"/>
        <v>9335906</v>
      </c>
      <c r="P20" s="72">
        <f t="shared" si="37"/>
        <v>420080.76999999996</v>
      </c>
      <c r="Q20" s="72">
        <f t="shared" si="37"/>
        <v>7735056.350000001</v>
      </c>
      <c r="R20" s="72">
        <f t="shared" si="37"/>
        <v>420080.76999999996</v>
      </c>
      <c r="S20" s="73">
        <f t="shared" si="37"/>
        <v>36380783</v>
      </c>
      <c r="T20" s="73">
        <f t="shared" si="37"/>
        <v>27410830</v>
      </c>
      <c r="U20" s="73">
        <f t="shared" si="37"/>
        <v>8969953</v>
      </c>
      <c r="V20" s="72">
        <f t="shared" si="37"/>
        <v>649724.06</v>
      </c>
      <c r="W20" s="72">
        <f t="shared" si="37"/>
        <v>649724.06</v>
      </c>
      <c r="X20" s="72">
        <f t="shared" si="37"/>
        <v>649724.06</v>
      </c>
      <c r="Y20" s="73">
        <f t="shared" si="37"/>
        <v>36279246</v>
      </c>
      <c r="Z20" s="73">
        <f t="shared" si="37"/>
        <v>27752836</v>
      </c>
      <c r="AA20" s="73">
        <f t="shared" si="37"/>
        <v>8526410</v>
      </c>
      <c r="AB20" s="73">
        <f t="shared" si="37"/>
        <v>649184</v>
      </c>
      <c r="AC20" s="72">
        <f aca="true" t="shared" si="38" ref="AC20:CF20">SUM(AC5:AC19)</f>
        <v>1298908.0599999998</v>
      </c>
      <c r="AD20" s="72">
        <f t="shared" si="38"/>
        <v>1298908.0599999998</v>
      </c>
      <c r="AE20" s="73">
        <f t="shared" si="38"/>
        <v>36180607</v>
      </c>
      <c r="AF20" s="73">
        <f t="shared" si="38"/>
        <v>28070511</v>
      </c>
      <c r="AG20" s="73">
        <f t="shared" si="38"/>
        <v>8110096</v>
      </c>
      <c r="AH20" s="73">
        <f t="shared" si="38"/>
        <v>656497.8300000001</v>
      </c>
      <c r="AI20" s="72">
        <f t="shared" si="38"/>
        <v>1955405.89</v>
      </c>
      <c r="AJ20" s="72">
        <f t="shared" si="38"/>
        <v>1955405.89</v>
      </c>
      <c r="AK20" s="73">
        <f t="shared" si="38"/>
        <v>36172356</v>
      </c>
      <c r="AL20" s="73">
        <f t="shared" si="38"/>
        <v>28545341</v>
      </c>
      <c r="AM20" s="73">
        <f t="shared" si="38"/>
        <v>7627015</v>
      </c>
      <c r="AN20" s="73">
        <f t="shared" si="38"/>
        <v>671232.12</v>
      </c>
      <c r="AO20" s="72">
        <f t="shared" si="38"/>
        <v>2626638.0100000002</v>
      </c>
      <c r="AP20" s="72">
        <f t="shared" si="38"/>
        <v>2626638.0100000002</v>
      </c>
      <c r="AQ20" s="73">
        <f t="shared" si="38"/>
        <v>35915475.29000001</v>
      </c>
      <c r="AR20" s="73">
        <f t="shared" si="38"/>
        <v>28840476.179999996</v>
      </c>
      <c r="AS20" s="73">
        <f t="shared" si="38"/>
        <v>7074999.109999999</v>
      </c>
      <c r="AT20" s="73">
        <f t="shared" si="38"/>
        <v>676808.72</v>
      </c>
      <c r="AU20" s="72">
        <f t="shared" si="38"/>
        <v>3303446.73</v>
      </c>
      <c r="AV20" s="72">
        <f t="shared" si="38"/>
        <v>3303446.73</v>
      </c>
      <c r="AW20" s="73">
        <f t="shared" si="38"/>
        <v>35867661.72</v>
      </c>
      <c r="AX20" s="73">
        <f t="shared" si="38"/>
        <v>29230975.069999993</v>
      </c>
      <c r="AY20" s="73">
        <f t="shared" si="38"/>
        <v>6636686.650000002</v>
      </c>
      <c r="AZ20" s="73">
        <f t="shared" si="38"/>
        <v>622494.25</v>
      </c>
      <c r="BA20" s="72">
        <f t="shared" si="38"/>
        <v>3925940.98</v>
      </c>
      <c r="BB20" s="72">
        <f t="shared" si="38"/>
        <v>3925940.98</v>
      </c>
      <c r="BC20" s="73">
        <f t="shared" si="38"/>
        <v>35738884.650000006</v>
      </c>
      <c r="BD20" s="73">
        <f t="shared" si="38"/>
        <v>29730697.950000003</v>
      </c>
      <c r="BE20" s="73">
        <f t="shared" si="38"/>
        <v>6008186.699999998</v>
      </c>
      <c r="BF20" s="72">
        <f t="shared" si="38"/>
        <v>791899.6599999999</v>
      </c>
      <c r="BG20" s="72">
        <f t="shared" si="38"/>
        <v>4717840.64</v>
      </c>
      <c r="BH20" s="72">
        <f t="shared" si="38"/>
        <v>4717840.64</v>
      </c>
      <c r="BI20" s="73">
        <f t="shared" si="38"/>
        <v>35785889.800000004</v>
      </c>
      <c r="BJ20" s="73">
        <f t="shared" si="38"/>
        <v>30309740.560000002</v>
      </c>
      <c r="BK20" s="73">
        <f t="shared" si="38"/>
        <v>5476149.239999998</v>
      </c>
      <c r="BL20" s="73">
        <f t="shared" si="38"/>
        <v>790764.61</v>
      </c>
      <c r="BM20" s="72">
        <f t="shared" si="38"/>
        <v>5508605.250000001</v>
      </c>
      <c r="BN20" s="72">
        <f t="shared" si="38"/>
        <v>5508605.250000001</v>
      </c>
      <c r="BO20" s="73">
        <f t="shared" si="38"/>
        <v>35646109.66</v>
      </c>
      <c r="BP20" s="73">
        <f t="shared" si="38"/>
        <v>30645030.860000003</v>
      </c>
      <c r="BQ20" s="73">
        <f t="shared" si="38"/>
        <v>5001078.799999999</v>
      </c>
      <c r="BR20" s="73">
        <f t="shared" si="38"/>
        <v>632384.2100000001</v>
      </c>
      <c r="BS20" s="72">
        <f t="shared" si="38"/>
        <v>6140989.46</v>
      </c>
      <c r="BT20" s="72">
        <f t="shared" si="38"/>
        <v>6140989.46</v>
      </c>
      <c r="BU20" s="73">
        <f t="shared" si="38"/>
        <v>35603806.09000001</v>
      </c>
      <c r="BV20" s="73">
        <f t="shared" si="38"/>
        <v>31068375.419999998</v>
      </c>
      <c r="BW20" s="73">
        <f t="shared" si="38"/>
        <v>4535430.670000002</v>
      </c>
      <c r="BX20" s="72">
        <f t="shared" si="38"/>
        <v>554239.49</v>
      </c>
      <c r="BY20" s="72">
        <f t="shared" si="38"/>
        <v>6695228.95</v>
      </c>
      <c r="BZ20" s="72">
        <f t="shared" si="38"/>
        <v>6695228.95</v>
      </c>
      <c r="CA20" s="73">
        <f t="shared" si="38"/>
        <v>35563852.45</v>
      </c>
      <c r="CB20" s="73">
        <f t="shared" si="38"/>
        <v>31403319.139999997</v>
      </c>
      <c r="CC20" s="73">
        <f t="shared" si="38"/>
        <v>4160533.309999997</v>
      </c>
      <c r="CD20" s="72">
        <f t="shared" si="38"/>
        <v>554632.2</v>
      </c>
      <c r="CE20" s="72">
        <f t="shared" si="38"/>
        <v>7249858</v>
      </c>
      <c r="CF20" s="72">
        <f t="shared" si="38"/>
        <v>7249858</v>
      </c>
      <c r="CG20" s="181">
        <f aca="true" t="shared" si="39" ref="CG20:CL20">SUM(CG5:CG19)</f>
        <v>35463215</v>
      </c>
      <c r="CH20" s="181">
        <f t="shared" si="39"/>
        <v>31552396</v>
      </c>
      <c r="CI20" s="181">
        <f t="shared" si="39"/>
        <v>3910819</v>
      </c>
      <c r="CJ20" s="182">
        <f t="shared" si="39"/>
        <v>549130.0680392488</v>
      </c>
      <c r="CK20" s="182">
        <f t="shared" si="39"/>
        <v>7798988.06803925</v>
      </c>
      <c r="CL20" s="182">
        <f t="shared" si="39"/>
        <v>7798988.06803925</v>
      </c>
      <c r="CN20" s="181"/>
      <c r="CO20" s="181"/>
      <c r="CP20" s="181"/>
      <c r="CQ20" s="181"/>
      <c r="CR20" s="181"/>
      <c r="CS20" s="181"/>
    </row>
    <row r="21" spans="1:90" ht="12.75">
      <c r="A21" s="193"/>
      <c r="B21" s="193"/>
      <c r="C21" s="193"/>
      <c r="D21" s="193"/>
      <c r="E21" s="193"/>
      <c r="F21" s="193"/>
      <c r="G21" s="72"/>
      <c r="H21" s="72"/>
      <c r="I21" s="74"/>
      <c r="J21" s="73"/>
      <c r="K21" s="72"/>
      <c r="L21" s="72"/>
      <c r="M21" s="72"/>
      <c r="N21" s="72"/>
      <c r="O21" s="74"/>
      <c r="P21" s="73"/>
      <c r="Q21" s="72"/>
      <c r="R21" s="72"/>
      <c r="S21" s="72"/>
      <c r="T21" s="72"/>
      <c r="U21" s="74"/>
      <c r="V21" s="73"/>
      <c r="W21" s="72"/>
      <c r="X21" s="72"/>
      <c r="Y21" s="72"/>
      <c r="Z21" s="72"/>
      <c r="AA21" s="74"/>
      <c r="AB21" s="73"/>
      <c r="AC21" s="72"/>
      <c r="AD21" s="72"/>
      <c r="AE21" s="72"/>
      <c r="AF21" s="72"/>
      <c r="AG21" s="74"/>
      <c r="AH21" s="73"/>
      <c r="AI21" s="72"/>
      <c r="AJ21" s="72"/>
      <c r="AK21" s="72"/>
      <c r="AL21" s="72"/>
      <c r="AM21" s="74"/>
      <c r="AN21" s="73"/>
      <c r="AO21" s="72"/>
      <c r="AP21" s="72"/>
      <c r="AQ21" s="72"/>
      <c r="AR21" s="72"/>
      <c r="AS21" s="74"/>
      <c r="AT21" s="73"/>
      <c r="AU21" s="72"/>
      <c r="AV21" s="72"/>
      <c r="AW21" s="72"/>
      <c r="AX21" s="72"/>
      <c r="AY21" s="74"/>
      <c r="AZ21" s="73"/>
      <c r="BA21" s="72"/>
      <c r="BB21" s="72"/>
      <c r="BI21" s="72"/>
      <c r="BJ21" s="72"/>
      <c r="BK21" s="74"/>
      <c r="BL21" s="73"/>
      <c r="BM21" s="72"/>
      <c r="BN21" s="72"/>
      <c r="BO21" s="72"/>
      <c r="BP21" s="72"/>
      <c r="BQ21" s="74"/>
      <c r="BR21" s="73"/>
      <c r="BS21" s="72"/>
      <c r="BT21" s="72"/>
      <c r="BU21" s="72"/>
      <c r="BV21" s="72"/>
      <c r="BW21" s="74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4"/>
      <c r="CJ21" s="72"/>
      <c r="CK21" s="72"/>
      <c r="CL21" s="72"/>
    </row>
    <row r="22" spans="1:90" s="196" customFormat="1" ht="12.75">
      <c r="A22" s="194"/>
      <c r="B22" s="194"/>
      <c r="C22" s="194"/>
      <c r="D22" s="194"/>
      <c r="E22" s="194"/>
      <c r="F22" s="195" t="s">
        <v>223</v>
      </c>
      <c r="G22" s="75"/>
      <c r="H22" s="75"/>
      <c r="I22" s="75"/>
      <c r="J22" s="75">
        <f>((8536339*0/12)+(7664300*12/12))/12</f>
        <v>638691.6666666666</v>
      </c>
      <c r="K22" s="75"/>
      <c r="L22" s="75">
        <f>(8536339*0/12)+(7664300*12/12)</f>
        <v>7664300</v>
      </c>
      <c r="M22" s="75"/>
      <c r="N22" s="75"/>
      <c r="O22" s="75"/>
      <c r="P22" s="75">
        <f>((8536339*0/12)+(7664300*12/12))/12</f>
        <v>638691.6666666666</v>
      </c>
      <c r="Q22" s="75"/>
      <c r="R22" s="75">
        <f>(8536339*0/12)+(7664300*12/12)</f>
        <v>7664300</v>
      </c>
      <c r="S22" s="75"/>
      <c r="T22" s="75"/>
      <c r="U22" s="75"/>
      <c r="V22" s="75">
        <v>638692</v>
      </c>
      <c r="W22" s="75"/>
      <c r="X22" s="75">
        <v>7664300</v>
      </c>
      <c r="Y22" s="75"/>
      <c r="Z22" s="75"/>
      <c r="AA22" s="75"/>
      <c r="AB22" s="75">
        <v>638692</v>
      </c>
      <c r="AC22" s="75"/>
      <c r="AD22" s="75">
        <v>7664300</v>
      </c>
      <c r="AE22" s="75"/>
      <c r="AF22" s="75"/>
      <c r="AG22" s="75"/>
      <c r="AH22" s="75">
        <v>638692</v>
      </c>
      <c r="AI22" s="75"/>
      <c r="AJ22" s="75">
        <v>7664300</v>
      </c>
      <c r="AK22" s="75"/>
      <c r="AL22" s="75"/>
      <c r="AM22" s="75"/>
      <c r="AN22" s="75">
        <v>638692</v>
      </c>
      <c r="AO22" s="75"/>
      <c r="AP22" s="75">
        <v>7664300</v>
      </c>
      <c r="AQ22" s="75"/>
      <c r="AR22" s="75"/>
      <c r="AS22" s="75"/>
      <c r="AT22" s="75">
        <v>638692</v>
      </c>
      <c r="AU22" s="75"/>
      <c r="AV22" s="75">
        <v>7664300</v>
      </c>
      <c r="AW22" s="75"/>
      <c r="AX22" s="75"/>
      <c r="AY22" s="75"/>
      <c r="AZ22" s="75">
        <v>638692</v>
      </c>
      <c r="BA22" s="75"/>
      <c r="BB22" s="75">
        <v>7664300</v>
      </c>
      <c r="BC22" s="75"/>
      <c r="BD22" s="75"/>
      <c r="BE22" s="75"/>
      <c r="BF22" s="75">
        <v>638692</v>
      </c>
      <c r="BG22" s="75"/>
      <c r="BH22" s="75">
        <v>7664300</v>
      </c>
      <c r="BI22" s="75"/>
      <c r="BJ22" s="75"/>
      <c r="BK22" s="75"/>
      <c r="BL22" s="75">
        <v>638692</v>
      </c>
      <c r="BM22" s="75"/>
      <c r="BN22" s="75">
        <v>7664300</v>
      </c>
      <c r="BO22" s="75"/>
      <c r="BP22" s="75"/>
      <c r="BQ22" s="75"/>
      <c r="BR22" s="75">
        <v>638692</v>
      </c>
      <c r="BS22" s="75"/>
      <c r="BT22" s="75">
        <v>7664300</v>
      </c>
      <c r="BU22" s="75"/>
      <c r="BV22" s="75"/>
      <c r="BW22" s="75"/>
      <c r="BX22" s="75">
        <v>638692</v>
      </c>
      <c r="BY22" s="75"/>
      <c r="BZ22" s="75">
        <v>7664300</v>
      </c>
      <c r="CA22" s="75"/>
      <c r="CB22" s="75"/>
      <c r="CC22" s="75"/>
      <c r="CD22" s="75">
        <v>638692</v>
      </c>
      <c r="CE22" s="75"/>
      <c r="CF22" s="75">
        <v>7664300</v>
      </c>
      <c r="CG22" s="75"/>
      <c r="CH22" s="75"/>
      <c r="CI22" s="75"/>
      <c r="CJ22" s="75">
        <v>638692</v>
      </c>
      <c r="CK22" s="75"/>
      <c r="CL22" s="75">
        <v>7664300</v>
      </c>
    </row>
    <row r="23" spans="1:90" ht="12.75">
      <c r="A23" s="193"/>
      <c r="B23" s="193"/>
      <c r="C23" s="193"/>
      <c r="D23" s="193"/>
      <c r="E23" s="193"/>
      <c r="F23" s="193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</row>
    <row r="24" spans="1:90" ht="12.75">
      <c r="A24" s="193"/>
      <c r="B24" s="197"/>
      <c r="C24" s="197"/>
      <c r="D24" s="197"/>
      <c r="E24" s="197"/>
      <c r="F24" s="197" t="s">
        <v>113</v>
      </c>
      <c r="G24" s="77"/>
      <c r="H24" s="76"/>
      <c r="I24" s="76"/>
      <c r="J24" s="76">
        <f>J20-J22</f>
        <v>-85462.18666666665</v>
      </c>
      <c r="K24" s="76"/>
      <c r="L24" s="76">
        <v>-85462</v>
      </c>
      <c r="M24" s="77"/>
      <c r="N24" s="76"/>
      <c r="O24" s="76"/>
      <c r="P24" s="76">
        <f>P20-P22</f>
        <v>-218610.89666666667</v>
      </c>
      <c r="Q24" s="76"/>
      <c r="R24" s="76">
        <f>P24</f>
        <v>-218610.89666666667</v>
      </c>
      <c r="S24" s="77"/>
      <c r="T24" s="76"/>
      <c r="U24" s="76"/>
      <c r="V24" s="76">
        <f>V20-V22</f>
        <v>11032.060000000056</v>
      </c>
      <c r="W24" s="76"/>
      <c r="X24" s="76">
        <f>V24</f>
        <v>11032.060000000056</v>
      </c>
      <c r="Y24" s="77"/>
      <c r="Z24" s="76"/>
      <c r="AA24" s="76"/>
      <c r="AB24" s="76">
        <f>AB20-AB22</f>
        <v>10492</v>
      </c>
      <c r="AC24" s="76"/>
      <c r="AD24" s="76">
        <f>(X24+AB24)-6051</f>
        <v>15473.060000000056</v>
      </c>
      <c r="AE24" s="77"/>
      <c r="AF24" s="76"/>
      <c r="AG24" s="76"/>
      <c r="AH24" s="76">
        <f>AH20-AH22</f>
        <v>17805.830000000075</v>
      </c>
      <c r="AI24" s="76"/>
      <c r="AJ24" s="76">
        <f>(AD24+AH24)-6056</f>
        <v>27222.89000000013</v>
      </c>
      <c r="AK24" s="77"/>
      <c r="AL24" s="76"/>
      <c r="AM24" s="76"/>
      <c r="AN24" s="76">
        <f>AN20-AN22</f>
        <v>32540.119999999995</v>
      </c>
      <c r="AO24" s="76"/>
      <c r="AP24" s="76">
        <f>(AJ24+AN24)-6056</f>
        <v>53707.010000000126</v>
      </c>
      <c r="AQ24" s="77"/>
      <c r="AR24" s="76"/>
      <c r="AS24" s="76"/>
      <c r="AT24" s="76">
        <f>AT20-AT22</f>
        <v>38116.71999999997</v>
      </c>
      <c r="AU24" s="76"/>
      <c r="AV24" s="76">
        <f>(AP24+AT24)-6056</f>
        <v>85767.7300000001</v>
      </c>
      <c r="AW24" s="77"/>
      <c r="AX24" s="76"/>
      <c r="AY24" s="76"/>
      <c r="AZ24" s="76">
        <f>AZ20-AZ22</f>
        <v>-16197.75</v>
      </c>
      <c r="BA24" s="76"/>
      <c r="BB24" s="76">
        <f>(AV24+AZ24)-6056</f>
        <v>63513.9800000001</v>
      </c>
      <c r="BC24" s="77"/>
      <c r="BD24" s="76"/>
      <c r="BE24" s="76"/>
      <c r="BF24" s="76">
        <f>BF20-BF22</f>
        <v>153207.65999999992</v>
      </c>
      <c r="BG24" s="76"/>
      <c r="BH24" s="76">
        <f>(BB24+BF24)-6056</f>
        <v>210665.64</v>
      </c>
      <c r="BI24" s="77"/>
      <c r="BJ24" s="76"/>
      <c r="BK24" s="76"/>
      <c r="BL24" s="76">
        <f>BL20-BL22</f>
        <v>152072.61</v>
      </c>
      <c r="BM24" s="76"/>
      <c r="BN24" s="76">
        <f>(BH24+BL24)-152607</f>
        <v>210131.25</v>
      </c>
      <c r="BO24" s="77"/>
      <c r="BP24" s="76"/>
      <c r="BQ24" s="76"/>
      <c r="BR24" s="76">
        <f>BR20-BR22</f>
        <v>-6307.789999999921</v>
      </c>
      <c r="BS24" s="76"/>
      <c r="BT24" s="76">
        <f>(BN24+BR24)+207110</f>
        <v>410933.4600000001</v>
      </c>
      <c r="BU24" s="76"/>
      <c r="BV24" s="76"/>
      <c r="BW24" s="76"/>
      <c r="BX24" s="76">
        <f>BX20-BX22</f>
        <v>-84452.51000000001</v>
      </c>
      <c r="BY24" s="76"/>
      <c r="BZ24" s="76">
        <f>(BT24+BX24)-6057</f>
        <v>320423.95000000007</v>
      </c>
      <c r="CA24" s="76"/>
      <c r="CB24" s="76"/>
      <c r="CC24" s="76"/>
      <c r="CD24" s="76">
        <f>CD20-CD22</f>
        <v>-84059.80000000005</v>
      </c>
      <c r="CE24" s="76"/>
      <c r="CF24" s="76">
        <v>224246</v>
      </c>
      <c r="CG24" s="76"/>
      <c r="CH24" s="76"/>
      <c r="CI24" s="76"/>
      <c r="CJ24" s="76">
        <f>CJ20-CJ22</f>
        <v>-89561.93196075119</v>
      </c>
      <c r="CK24" s="76"/>
      <c r="CL24" s="76">
        <f>CJ24+CF24+4</f>
        <v>134688.0680392488</v>
      </c>
    </row>
    <row r="25" spans="1:90" ht="12.75">
      <c r="A25" s="193"/>
      <c r="B25" s="193"/>
      <c r="C25" s="193"/>
      <c r="D25" s="193"/>
      <c r="E25" s="193"/>
      <c r="F25" s="193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</row>
    <row r="26" spans="1:90" ht="12.75">
      <c r="A26" s="177"/>
      <c r="B26" s="177"/>
      <c r="C26" s="177"/>
      <c r="D26" s="177"/>
      <c r="E26" s="177"/>
      <c r="F26" s="177"/>
      <c r="H26" s="72"/>
      <c r="I26" s="72"/>
      <c r="J26" s="72"/>
      <c r="K26" s="72"/>
      <c r="L26" s="72"/>
      <c r="N26" s="72"/>
      <c r="O26" s="72"/>
      <c r="P26" s="72"/>
      <c r="Q26" s="72"/>
      <c r="R26" s="72"/>
      <c r="T26" s="72"/>
      <c r="U26" s="72"/>
      <c r="V26" s="72"/>
      <c r="W26" s="72"/>
      <c r="X26" s="72"/>
      <c r="Z26" s="72"/>
      <c r="AA26" s="72"/>
      <c r="AB26" s="72"/>
      <c r="AC26" s="72"/>
      <c r="AD26" s="72"/>
      <c r="AF26" s="72"/>
      <c r="AG26" s="72"/>
      <c r="AH26" s="72"/>
      <c r="AI26" s="72"/>
      <c r="AJ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X26" s="72"/>
      <c r="AY26" s="72"/>
      <c r="AZ26" s="72"/>
      <c r="BA26" s="72"/>
      <c r="BB26" s="72"/>
      <c r="BD26" s="72"/>
      <c r="BE26" s="72"/>
      <c r="BF26" s="72"/>
      <c r="BG26" s="72"/>
      <c r="BH26" s="72"/>
      <c r="BJ26" s="72"/>
      <c r="BK26" s="72"/>
      <c r="BL26" s="72"/>
      <c r="BM26" s="72"/>
      <c r="BN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 t="s">
        <v>261</v>
      </c>
      <c r="CB26" s="72"/>
      <c r="CC26" s="72"/>
      <c r="CD26" s="72"/>
      <c r="CE26" s="72"/>
      <c r="CF26" s="72"/>
      <c r="CG26" s="72" t="s">
        <v>261</v>
      </c>
      <c r="CH26" s="72"/>
      <c r="CI26" s="72"/>
      <c r="CJ26" s="72"/>
      <c r="CK26" s="72"/>
      <c r="CL26" s="76">
        <f>CL20-CL22</f>
        <v>134688.06803924963</v>
      </c>
    </row>
    <row r="27" spans="1:81" ht="12.75">
      <c r="A27" s="177"/>
      <c r="B27" s="177"/>
      <c r="C27" s="177"/>
      <c r="D27" s="177"/>
      <c r="E27" s="177"/>
      <c r="F27" s="177"/>
      <c r="L27" s="149"/>
      <c r="R27" s="14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  <c r="BN27" s="179"/>
      <c r="BO27" s="179"/>
      <c r="BP27" s="179"/>
      <c r="BQ27" s="179"/>
      <c r="BR27" s="179"/>
      <c r="BS27" s="179"/>
      <c r="BT27" s="179"/>
      <c r="BU27" s="179"/>
      <c r="BV27" s="179"/>
      <c r="BW27" s="179"/>
      <c r="BX27" s="179"/>
      <c r="BY27" s="179"/>
      <c r="BZ27" s="179"/>
      <c r="CC27" s="179"/>
    </row>
    <row r="28" spans="19:81" ht="12.75"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9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  <c r="BZ28" s="198"/>
      <c r="CC28" s="198"/>
    </row>
    <row r="29" spans="1:6" ht="12.75" hidden="1">
      <c r="A29" s="177" t="s">
        <v>224</v>
      </c>
      <c r="B29" s="177"/>
      <c r="C29" s="177"/>
      <c r="D29" s="177"/>
      <c r="E29" s="177"/>
      <c r="F29" s="177"/>
    </row>
    <row r="30" spans="1:48" ht="12.75">
      <c r="A30" s="177" t="s">
        <v>225</v>
      </c>
      <c r="B30" s="177"/>
      <c r="C30" s="177"/>
      <c r="D30" s="177"/>
      <c r="E30" s="177"/>
      <c r="F30" s="177"/>
      <c r="L30" s="149"/>
      <c r="AV30" s="149"/>
    </row>
    <row r="31" spans="1:6" ht="12.75">
      <c r="A31" s="177" t="s">
        <v>226</v>
      </c>
      <c r="B31" s="177"/>
      <c r="C31" s="177"/>
      <c r="D31" s="177"/>
      <c r="E31" s="177"/>
      <c r="F31" s="177"/>
    </row>
    <row r="32" spans="1:6" ht="12.75" hidden="1">
      <c r="A32" s="178" t="s">
        <v>227</v>
      </c>
      <c r="B32" s="178"/>
      <c r="C32" s="178"/>
      <c r="D32" s="178"/>
      <c r="E32" s="178"/>
      <c r="F32" s="178"/>
    </row>
    <row r="33" ht="12.75" hidden="1">
      <c r="A33" s="177" t="s">
        <v>228</v>
      </c>
    </row>
    <row r="34" ht="12.75" hidden="1">
      <c r="A34" s="177" t="s">
        <v>229</v>
      </c>
    </row>
    <row r="35" ht="12.75" hidden="1">
      <c r="A35" s="177" t="s">
        <v>230</v>
      </c>
    </row>
    <row r="36" ht="12.75" hidden="1">
      <c r="A36" s="177" t="s">
        <v>231</v>
      </c>
    </row>
    <row r="37" ht="12.75" hidden="1">
      <c r="A37" s="177" t="s">
        <v>232</v>
      </c>
    </row>
    <row r="38" ht="12.75" hidden="1">
      <c r="A38" s="177" t="s">
        <v>233</v>
      </c>
    </row>
    <row r="39" ht="12.75" hidden="1">
      <c r="A39" s="177" t="s">
        <v>234</v>
      </c>
    </row>
    <row r="40" ht="12.75" hidden="1">
      <c r="A40" s="177" t="s">
        <v>235</v>
      </c>
    </row>
    <row r="41" ht="12.75" hidden="1">
      <c r="A41" s="177" t="s">
        <v>236</v>
      </c>
    </row>
    <row r="42" ht="12.75" hidden="1">
      <c r="A42" s="177" t="s">
        <v>237</v>
      </c>
    </row>
    <row r="43" ht="12.75" hidden="1">
      <c r="A43" s="177" t="s">
        <v>238</v>
      </c>
    </row>
    <row r="44" ht="12.75" hidden="1">
      <c r="A44" s="177" t="s">
        <v>239</v>
      </c>
    </row>
    <row r="45" ht="12.75" hidden="1">
      <c r="A45" s="69" t="s">
        <v>240</v>
      </c>
    </row>
    <row r="46" ht="12.75" hidden="1">
      <c r="A46" s="69" t="s">
        <v>241</v>
      </c>
    </row>
    <row r="47" ht="12.75" hidden="1">
      <c r="A47" s="69" t="s">
        <v>242</v>
      </c>
    </row>
    <row r="48" ht="12.75" hidden="1">
      <c r="A48" s="69" t="s">
        <v>243</v>
      </c>
    </row>
    <row r="49" ht="12.75" hidden="1">
      <c r="A49" s="69" t="s">
        <v>244</v>
      </c>
    </row>
    <row r="50" ht="12.75" hidden="1">
      <c r="A50" s="69" t="s">
        <v>245</v>
      </c>
    </row>
    <row r="51" ht="12.75" hidden="1">
      <c r="A51" s="69" t="s">
        <v>246</v>
      </c>
    </row>
    <row r="52" ht="12.75" hidden="1">
      <c r="A52" s="69" t="s">
        <v>247</v>
      </c>
    </row>
    <row r="53" ht="12.75" hidden="1">
      <c r="A53" s="69" t="s">
        <v>248</v>
      </c>
    </row>
    <row r="54" ht="12.75" hidden="1">
      <c r="A54" s="69" t="s">
        <v>249</v>
      </c>
    </row>
    <row r="55" ht="12.75" hidden="1">
      <c r="A55" s="69" t="s">
        <v>250</v>
      </c>
    </row>
    <row r="56" ht="12.75" hidden="1">
      <c r="A56" s="69" t="s">
        <v>251</v>
      </c>
    </row>
    <row r="57" ht="12.75" hidden="1">
      <c r="A57" s="69" t="s">
        <v>252</v>
      </c>
    </row>
    <row r="58" ht="12.75" hidden="1">
      <c r="A58" s="69" t="s">
        <v>253</v>
      </c>
    </row>
    <row r="67" ht="12.75">
      <c r="BH67" s="199"/>
    </row>
    <row r="68" ht="12.75">
      <c r="BH68" s="199"/>
    </row>
    <row r="69" ht="12.75">
      <c r="BH69" s="199"/>
    </row>
    <row r="70" ht="12.75">
      <c r="BH70" s="199"/>
    </row>
    <row r="71" ht="12.75">
      <c r="BH71" s="199"/>
    </row>
    <row r="72" ht="12.75">
      <c r="BH72" s="199"/>
    </row>
    <row r="73" ht="12.75">
      <c r="BH73" s="199"/>
    </row>
    <row r="74" ht="12.75">
      <c r="BH74" s="199"/>
    </row>
    <row r="75" ht="12.75">
      <c r="BH75" s="199"/>
    </row>
    <row r="76" ht="12.75">
      <c r="BH76" s="199"/>
    </row>
    <row r="77" ht="12.75">
      <c r="BH77" s="199"/>
    </row>
    <row r="78" ht="12.75">
      <c r="BH78" s="199"/>
    </row>
    <row r="79" ht="12.75">
      <c r="BH79" s="199"/>
    </row>
    <row r="80" ht="12.75">
      <c r="BH80" s="199"/>
    </row>
  </sheetData>
  <sheetProtection/>
  <printOptions horizontalCentered="1"/>
  <pageMargins left="0.26" right="0.26" top="1.76" bottom="1" header="0.26" footer="0.5"/>
  <pageSetup fitToHeight="6" fitToWidth="6" horizontalDpi="600" verticalDpi="600" orientation="landscape" scale="50" r:id="rId3"/>
  <headerFooter alignWithMargins="0">
    <oddHeader>&amp;C&amp;"Arial,Bold"&amp;12Puget Sound Energy, Inc.
Gas Rental Equipment 
Twelve Month Ended Depreciation Analysis
for Period Ended December 31, 2010</oddHeader>
    <oddFooter>&amp;C
</oddFooter>
  </headerFooter>
  <colBreaks count="5" manualBreakCount="5">
    <brk id="18" max="65535" man="1"/>
    <brk id="30" max="65535" man="1"/>
    <brk id="42" max="65535" man="1"/>
    <brk id="54" max="65535" man="1"/>
    <brk id="66" max="6553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Z90"/>
  <sheetViews>
    <sheetView zoomScale="130" zoomScaleNormal="130" zoomScalePageLayoutView="0" workbookViewId="0" topLeftCell="A1">
      <selection activeCell="F43" sqref="F43"/>
    </sheetView>
  </sheetViews>
  <sheetFormatPr defaultColWidth="9.140625" defaultRowHeight="12.75"/>
  <cols>
    <col min="1" max="1" width="16.00390625" style="150" customWidth="1"/>
    <col min="2" max="2" width="13.8515625" style="151" customWidth="1"/>
    <col min="3" max="3" width="14.57421875" style="151" customWidth="1"/>
    <col min="4" max="4" width="12.57421875" style="155" customWidth="1"/>
    <col min="5" max="5" width="13.00390625" style="151" customWidth="1"/>
    <col min="6" max="6" width="13.421875" style="151" customWidth="1"/>
    <col min="7" max="7" width="10.140625" style="160" customWidth="1"/>
    <col min="8" max="8" width="9.421875" style="157" customWidth="1"/>
    <col min="9" max="9" width="14.140625" style="151" customWidth="1"/>
    <col min="10" max="10" width="11.57421875" style="152" customWidth="1"/>
    <col min="11" max="12" width="9.140625" style="152" customWidth="1"/>
    <col min="13" max="13" width="18.140625" style="152" customWidth="1"/>
    <col min="14" max="16384" width="9.140625" style="152" customWidth="1"/>
  </cols>
  <sheetData>
    <row r="1" spans="2:8" ht="11.25">
      <c r="B1" s="273" t="s">
        <v>150</v>
      </c>
      <c r="C1" s="273"/>
      <c r="D1" s="273"/>
      <c r="E1" s="273"/>
      <c r="F1" s="273"/>
      <c r="G1" s="273"/>
      <c r="H1" s="273"/>
    </row>
    <row r="2" ht="3" customHeight="1"/>
    <row r="3" spans="1:9" s="158" customFormat="1" ht="11.25">
      <c r="A3" s="153"/>
      <c r="B3" s="154" t="s">
        <v>140</v>
      </c>
      <c r="C3" s="154" t="s">
        <v>141</v>
      </c>
      <c r="D3" s="155" t="s">
        <v>142</v>
      </c>
      <c r="E3" s="154" t="s">
        <v>143</v>
      </c>
      <c r="F3" s="154" t="s">
        <v>144</v>
      </c>
      <c r="G3" s="156" t="s">
        <v>29</v>
      </c>
      <c r="H3" s="157" t="s">
        <v>80</v>
      </c>
      <c r="I3" s="154" t="s">
        <v>145</v>
      </c>
    </row>
    <row r="4" ht="11.25">
      <c r="A4" s="159" t="s">
        <v>33</v>
      </c>
    </row>
    <row r="5" spans="1:26" ht="6" customHeight="1">
      <c r="A5" s="161"/>
      <c r="B5" s="162"/>
      <c r="C5" s="162"/>
      <c r="E5" s="163"/>
      <c r="F5" s="162"/>
      <c r="J5" s="162"/>
      <c r="L5" s="164"/>
      <c r="M5" s="165"/>
      <c r="N5" s="165"/>
      <c r="O5" s="165"/>
      <c r="Z5" s="162"/>
    </row>
    <row r="6" spans="1:9" ht="11.25">
      <c r="A6" s="166">
        <v>40179</v>
      </c>
      <c r="B6" s="151">
        <v>7263301.43</v>
      </c>
      <c r="C6" s="151">
        <v>7269104.21</v>
      </c>
      <c r="D6" s="155">
        <v>0.2177</v>
      </c>
      <c r="E6" s="151">
        <v>131873.67</v>
      </c>
      <c r="F6" s="151">
        <v>7166750.89</v>
      </c>
      <c r="G6" s="160">
        <v>0</v>
      </c>
      <c r="H6" s="157">
        <v>0</v>
      </c>
      <c r="I6" s="151">
        <v>-40752.1</v>
      </c>
    </row>
    <row r="7" spans="1:10" ht="11.25">
      <c r="A7" s="166">
        <v>40210</v>
      </c>
      <c r="B7" s="151">
        <v>7274906.94</v>
      </c>
      <c r="C7" s="151">
        <v>7254474.89</v>
      </c>
      <c r="D7" s="155">
        <v>0.2177</v>
      </c>
      <c r="E7" s="151">
        <v>131608.27</v>
      </c>
      <c r="F7" s="151">
        <v>7231242.73</v>
      </c>
      <c r="G7" s="160">
        <v>0</v>
      </c>
      <c r="H7" s="157">
        <v>0</v>
      </c>
      <c r="I7" s="151">
        <v>-40750.49</v>
      </c>
      <c r="J7" s="151">
        <f>+I7-I6</f>
        <v>1.610000000000582</v>
      </c>
    </row>
    <row r="8" spans="1:10" ht="11.25">
      <c r="A8" s="166">
        <v>40238</v>
      </c>
      <c r="B8" s="151">
        <v>7248086.62</v>
      </c>
      <c r="C8" s="151">
        <v>7271923.43</v>
      </c>
      <c r="D8" s="155">
        <v>0.2177</v>
      </c>
      <c r="E8" s="151">
        <v>131924.81</v>
      </c>
      <c r="F8" s="151">
        <v>7328312.46</v>
      </c>
      <c r="G8" s="160">
        <v>0</v>
      </c>
      <c r="H8" s="157">
        <v>0</v>
      </c>
      <c r="I8" s="151">
        <v>-39244.26</v>
      </c>
      <c r="J8" s="151">
        <f aca="true" t="shared" si="0" ref="J8:J17">+I8-I7</f>
        <v>1506.229999999996</v>
      </c>
    </row>
    <row r="9" spans="1:10" ht="11.25">
      <c r="A9" s="166">
        <v>40269</v>
      </c>
      <c r="B9" s="151">
        <v>7277167.48</v>
      </c>
      <c r="C9" s="151">
        <v>7287944.81</v>
      </c>
      <c r="D9" s="155">
        <v>0.2177</v>
      </c>
      <c r="E9" s="151">
        <v>132215.47</v>
      </c>
      <c r="F9" s="151">
        <v>7436646.68</v>
      </c>
      <c r="G9" s="160">
        <v>0</v>
      </c>
      <c r="H9" s="157">
        <v>0</v>
      </c>
      <c r="I9" s="151">
        <v>-39244.26</v>
      </c>
      <c r="J9" s="151">
        <f t="shared" si="0"/>
        <v>0</v>
      </c>
    </row>
    <row r="10" spans="1:10" ht="11.25">
      <c r="A10" s="166">
        <v>40299</v>
      </c>
      <c r="B10" s="151">
        <v>7301199.53</v>
      </c>
      <c r="C10" s="151">
        <v>7205447.21</v>
      </c>
      <c r="D10" s="155">
        <v>0.2177</v>
      </c>
      <c r="E10" s="151">
        <v>130718.82</v>
      </c>
      <c r="F10" s="151">
        <v>7406513.14</v>
      </c>
      <c r="G10" s="160">
        <v>0</v>
      </c>
      <c r="H10" s="157">
        <v>0</v>
      </c>
      <c r="I10" s="151">
        <v>-40462.22</v>
      </c>
      <c r="J10" s="151">
        <f t="shared" si="0"/>
        <v>-1217.9599999999991</v>
      </c>
    </row>
    <row r="11" spans="1:10" ht="11.25">
      <c r="A11" s="166">
        <v>40330</v>
      </c>
      <c r="B11" s="151">
        <v>7191202.72</v>
      </c>
      <c r="C11" s="151">
        <v>7205195.45</v>
      </c>
      <c r="D11" s="155">
        <v>0.2177</v>
      </c>
      <c r="E11" s="151">
        <v>130714.25</v>
      </c>
      <c r="F11" s="151">
        <v>7495105.68</v>
      </c>
      <c r="G11" s="160">
        <v>0</v>
      </c>
      <c r="H11" s="157">
        <v>0</v>
      </c>
      <c r="I11" s="151">
        <v>-40162.84</v>
      </c>
      <c r="J11" s="151">
        <f t="shared" si="0"/>
        <v>299.38000000000466</v>
      </c>
    </row>
    <row r="12" spans="1:10" ht="11.25">
      <c r="A12" s="166">
        <v>40360</v>
      </c>
      <c r="B12" s="151">
        <v>7190909.03</v>
      </c>
      <c r="C12" s="151">
        <v>7189890.23</v>
      </c>
      <c r="D12" s="155">
        <v>0.2177</v>
      </c>
      <c r="E12" s="151">
        <v>130436.59</v>
      </c>
      <c r="F12" s="151">
        <v>7593173.77</v>
      </c>
      <c r="G12" s="160">
        <v>0</v>
      </c>
      <c r="H12" s="157">
        <v>0</v>
      </c>
      <c r="I12" s="151">
        <v>-40243.64</v>
      </c>
      <c r="J12" s="151">
        <f t="shared" si="0"/>
        <v>-80.80000000000291</v>
      </c>
    </row>
    <row r="13" spans="1:13" ht="12.75">
      <c r="A13" s="166">
        <v>40391</v>
      </c>
      <c r="B13" s="151">
        <v>7175603.8</v>
      </c>
      <c r="C13" s="151">
        <v>7229071.37</v>
      </c>
      <c r="D13" s="155">
        <v>0.2177</v>
      </c>
      <c r="E13" s="151">
        <v>131147.4</v>
      </c>
      <c r="F13" s="151">
        <v>7691842.89</v>
      </c>
      <c r="G13" s="160">
        <v>0</v>
      </c>
      <c r="H13" s="157">
        <v>0</v>
      </c>
      <c r="I13" s="151">
        <v>-40129.78</v>
      </c>
      <c r="J13" s="151">
        <f t="shared" si="0"/>
        <v>113.86000000000058</v>
      </c>
      <c r="M13" s="73"/>
    </row>
    <row r="14" spans="1:13" ht="12.75">
      <c r="A14" s="166">
        <v>40422</v>
      </c>
      <c r="B14" s="151">
        <v>7208254.74</v>
      </c>
      <c r="C14" s="151">
        <v>7244034.11</v>
      </c>
      <c r="D14" s="155">
        <v>0.2177</v>
      </c>
      <c r="E14" s="151">
        <v>131418.85</v>
      </c>
      <c r="F14" s="151">
        <v>7795911.61</v>
      </c>
      <c r="G14" s="160">
        <v>0</v>
      </c>
      <c r="H14" s="157">
        <v>0</v>
      </c>
      <c r="I14" s="151">
        <v>-39461.35</v>
      </c>
      <c r="J14" s="151">
        <f t="shared" si="0"/>
        <v>668.4300000000003</v>
      </c>
      <c r="M14" s="73"/>
    </row>
    <row r="15" spans="1:13" ht="12.75">
      <c r="A15" s="166">
        <v>40452</v>
      </c>
      <c r="B15" s="151">
        <v>7218229.89</v>
      </c>
      <c r="C15" s="151">
        <v>7243407.41</v>
      </c>
      <c r="D15" s="155">
        <v>0.2177</v>
      </c>
      <c r="E15" s="151">
        <v>131407.48</v>
      </c>
      <c r="F15" s="151">
        <v>7920481.56</v>
      </c>
      <c r="G15" s="160">
        <v>0</v>
      </c>
      <c r="H15" s="157">
        <v>0</v>
      </c>
      <c r="I15" s="151">
        <v>-38667.93</v>
      </c>
      <c r="J15" s="151">
        <f t="shared" si="0"/>
        <v>793.4199999999983</v>
      </c>
      <c r="M15" s="73"/>
    </row>
    <row r="16" spans="1:13" ht="12.75">
      <c r="A16" s="166">
        <v>40483</v>
      </c>
      <c r="B16" s="151">
        <v>7217916.56</v>
      </c>
      <c r="C16" s="151">
        <v>7286229.53</v>
      </c>
      <c r="D16" s="155">
        <v>0.2177</v>
      </c>
      <c r="E16" s="151">
        <v>132184.35</v>
      </c>
      <c r="F16" s="151">
        <v>8027025.16</v>
      </c>
      <c r="G16" s="160">
        <v>0</v>
      </c>
      <c r="H16" s="157">
        <v>0</v>
      </c>
      <c r="I16" s="151">
        <v>-36462.34</v>
      </c>
      <c r="J16" s="151">
        <f t="shared" si="0"/>
        <v>2205.590000000004</v>
      </c>
      <c r="M16" s="73"/>
    </row>
    <row r="17" spans="1:13" ht="12.75">
      <c r="A17" s="166">
        <v>40513</v>
      </c>
      <c r="B17" s="151">
        <v>7232190.6</v>
      </c>
      <c r="C17" s="151">
        <v>7405855.49</v>
      </c>
      <c r="D17" s="155">
        <v>0.2177</v>
      </c>
      <c r="E17" s="151">
        <v>134354.56</v>
      </c>
      <c r="F17" s="151">
        <v>8120354.53</v>
      </c>
      <c r="G17" s="160">
        <v>0</v>
      </c>
      <c r="H17" s="157">
        <v>0</v>
      </c>
      <c r="I17" s="151">
        <v>-36462.34</v>
      </c>
      <c r="J17" s="151">
        <f t="shared" si="0"/>
        <v>0</v>
      </c>
      <c r="M17" s="73">
        <v>7252128</v>
      </c>
    </row>
    <row r="18" spans="1:13" ht="12.75">
      <c r="A18" s="159"/>
      <c r="C18" s="151" t="s">
        <v>146</v>
      </c>
      <c r="E18" s="167">
        <f>SUM(E6:E17)</f>
        <v>1580004.5200000003</v>
      </c>
      <c r="F18" s="167">
        <v>8120354.53</v>
      </c>
      <c r="G18" s="168"/>
      <c r="H18" s="169">
        <v>0</v>
      </c>
      <c r="I18" s="167">
        <v>-36462.34</v>
      </c>
      <c r="J18" s="151">
        <f>SUM(J7:J17)</f>
        <v>4289.760000000002</v>
      </c>
      <c r="M18" s="73"/>
    </row>
    <row r="19" ht="11.25">
      <c r="A19" s="159" t="s">
        <v>35</v>
      </c>
    </row>
    <row r="20" spans="1:9" ht="11.25">
      <c r="A20" s="166">
        <v>40179</v>
      </c>
      <c r="B20" s="151">
        <v>5235260.8</v>
      </c>
      <c r="C20" s="151">
        <v>5232529.72</v>
      </c>
      <c r="D20" s="155">
        <v>0.2177</v>
      </c>
      <c r="E20" s="151">
        <v>94926.81</v>
      </c>
      <c r="F20" s="151">
        <v>10283150.16</v>
      </c>
      <c r="G20" s="160">
        <v>0</v>
      </c>
      <c r="H20" s="157">
        <v>0</v>
      </c>
      <c r="I20" s="151">
        <v>10807.49</v>
      </c>
    </row>
    <row r="21" spans="1:10" ht="11.25">
      <c r="A21" s="166">
        <v>40210</v>
      </c>
      <c r="B21" s="151">
        <v>5229798.69</v>
      </c>
      <c r="C21" s="151">
        <v>5185393.78</v>
      </c>
      <c r="D21" s="155">
        <v>0.2177</v>
      </c>
      <c r="E21" s="151">
        <v>94071.69</v>
      </c>
      <c r="F21" s="151">
        <v>10290805.94</v>
      </c>
      <c r="G21" s="160">
        <v>0</v>
      </c>
      <c r="H21" s="157">
        <v>0</v>
      </c>
      <c r="I21" s="151">
        <v>10943.19</v>
      </c>
      <c r="J21" s="151">
        <f aca="true" t="shared" si="1" ref="J21:J31">+I21-I20</f>
        <v>135.70000000000073</v>
      </c>
    </row>
    <row r="22" spans="1:10" ht="11.25">
      <c r="A22" s="166">
        <v>40238</v>
      </c>
      <c r="B22" s="151">
        <v>5143382.78</v>
      </c>
      <c r="C22" s="151">
        <v>5100549.1</v>
      </c>
      <c r="D22" s="155">
        <v>0.2177</v>
      </c>
      <c r="E22" s="151">
        <v>92532.46</v>
      </c>
      <c r="F22" s="151">
        <v>10241930.54</v>
      </c>
      <c r="G22" s="160">
        <v>0</v>
      </c>
      <c r="H22" s="157">
        <v>0</v>
      </c>
      <c r="I22" s="151">
        <v>11140.84</v>
      </c>
      <c r="J22" s="151">
        <f t="shared" si="1"/>
        <v>197.64999999999964</v>
      </c>
    </row>
    <row r="23" spans="1:10" ht="11.25">
      <c r="A23" s="166">
        <v>40269</v>
      </c>
      <c r="B23" s="151">
        <v>5001974.92</v>
      </c>
      <c r="C23" s="151">
        <v>5074362.46</v>
      </c>
      <c r="D23" s="155">
        <v>0.2177</v>
      </c>
      <c r="E23" s="151">
        <v>92057.39</v>
      </c>
      <c r="F23" s="151">
        <v>10294707.97</v>
      </c>
      <c r="G23" s="160">
        <v>0</v>
      </c>
      <c r="H23" s="157">
        <v>0</v>
      </c>
      <c r="I23" s="151">
        <v>11140.84</v>
      </c>
      <c r="J23" s="151">
        <f t="shared" si="1"/>
        <v>0</v>
      </c>
    </row>
    <row r="24" spans="1:10" ht="11.25">
      <c r="A24" s="166">
        <v>40299</v>
      </c>
      <c r="B24" s="151">
        <v>4962694.96</v>
      </c>
      <c r="C24" s="151">
        <v>5002411.96</v>
      </c>
      <c r="D24" s="155">
        <v>0.2177</v>
      </c>
      <c r="E24" s="151">
        <v>90752.09</v>
      </c>
      <c r="F24" s="151">
        <v>10198773.97</v>
      </c>
      <c r="G24" s="160">
        <v>0</v>
      </c>
      <c r="H24" s="157">
        <v>0</v>
      </c>
      <c r="I24" s="151">
        <v>11190.25</v>
      </c>
      <c r="J24" s="151">
        <f t="shared" si="1"/>
        <v>49.409999999999854</v>
      </c>
    </row>
    <row r="25" spans="1:13" ht="11.25">
      <c r="A25" s="166">
        <v>40330</v>
      </c>
      <c r="B25" s="151">
        <v>4866760.96</v>
      </c>
      <c r="C25" s="151">
        <v>4954278.7</v>
      </c>
      <c r="D25" s="155">
        <v>0.2177</v>
      </c>
      <c r="E25" s="151">
        <v>89878.87</v>
      </c>
      <c r="F25" s="151">
        <v>10323249.52</v>
      </c>
      <c r="G25" s="160">
        <v>0</v>
      </c>
      <c r="H25" s="157">
        <v>0</v>
      </c>
      <c r="I25" s="151">
        <v>12844.5</v>
      </c>
      <c r="J25" s="151">
        <f t="shared" si="1"/>
        <v>1654.25</v>
      </c>
      <c r="M25" s="151"/>
    </row>
    <row r="26" spans="1:10" ht="11.25">
      <c r="A26" s="166">
        <v>40360</v>
      </c>
      <c r="B26" s="151">
        <v>4810605.55</v>
      </c>
      <c r="C26" s="151">
        <v>4858012.3</v>
      </c>
      <c r="D26" s="155">
        <v>0.2177</v>
      </c>
      <c r="E26" s="151">
        <v>88132.44</v>
      </c>
      <c r="F26" s="151">
        <v>10315115.54</v>
      </c>
      <c r="G26" s="160">
        <v>0</v>
      </c>
      <c r="H26" s="157">
        <v>0</v>
      </c>
      <c r="I26" s="151">
        <v>12934.74</v>
      </c>
      <c r="J26" s="151">
        <f t="shared" si="1"/>
        <v>90.23999999999978</v>
      </c>
    </row>
    <row r="27" spans="1:10" ht="11.25">
      <c r="A27" s="166">
        <v>40391</v>
      </c>
      <c r="B27" s="151">
        <v>4714339.13</v>
      </c>
      <c r="C27" s="151">
        <v>4800252.46</v>
      </c>
      <c r="D27" s="155">
        <v>0.2177</v>
      </c>
      <c r="E27" s="151">
        <v>87084.58</v>
      </c>
      <c r="F27" s="151">
        <v>10354066.91</v>
      </c>
      <c r="G27" s="160">
        <v>0</v>
      </c>
      <c r="H27" s="157">
        <v>0</v>
      </c>
      <c r="I27" s="151">
        <v>13049.46</v>
      </c>
      <c r="J27" s="151">
        <f t="shared" si="1"/>
        <v>114.71999999999935</v>
      </c>
    </row>
    <row r="28" spans="1:10" ht="11.25">
      <c r="A28" s="166">
        <v>40422</v>
      </c>
      <c r="B28" s="151">
        <v>4666205.92</v>
      </c>
      <c r="C28" s="151">
        <v>4679919.4</v>
      </c>
      <c r="D28" s="155">
        <v>0.2177</v>
      </c>
      <c r="E28" s="151">
        <v>84901.54</v>
      </c>
      <c r="F28" s="151">
        <v>10358746.43</v>
      </c>
      <c r="G28" s="160">
        <v>0</v>
      </c>
      <c r="H28" s="157">
        <v>0</v>
      </c>
      <c r="I28" s="151">
        <v>13114.18</v>
      </c>
      <c r="J28" s="151">
        <f t="shared" si="1"/>
        <v>64.72000000000116</v>
      </c>
    </row>
    <row r="29" spans="1:10" ht="11.25">
      <c r="A29" s="166">
        <v>40452</v>
      </c>
      <c r="B29" s="151">
        <v>4585983.9</v>
      </c>
      <c r="C29" s="151">
        <v>4631786.2</v>
      </c>
      <c r="D29" s="155">
        <v>0.2177</v>
      </c>
      <c r="E29" s="151">
        <v>84028.32</v>
      </c>
      <c r="F29" s="151">
        <v>10418708.14</v>
      </c>
      <c r="G29" s="160">
        <v>0</v>
      </c>
      <c r="H29" s="157">
        <v>0</v>
      </c>
      <c r="I29" s="151">
        <v>15535.3</v>
      </c>
      <c r="J29" s="151">
        <f t="shared" si="1"/>
        <v>2421.119999999999</v>
      </c>
    </row>
    <row r="30" spans="1:10" ht="11.25">
      <c r="A30" s="166">
        <v>40483</v>
      </c>
      <c r="B30" s="151">
        <v>4561917.29</v>
      </c>
      <c r="C30" s="151">
        <v>4511453.2</v>
      </c>
      <c r="D30" s="155">
        <v>0.2177</v>
      </c>
      <c r="E30" s="151">
        <v>81845.28</v>
      </c>
      <c r="F30" s="151">
        <v>10460442.41</v>
      </c>
      <c r="G30" s="160">
        <v>0</v>
      </c>
      <c r="H30" s="157">
        <v>0</v>
      </c>
      <c r="I30" s="151">
        <v>16523.81</v>
      </c>
      <c r="J30" s="151">
        <f t="shared" si="1"/>
        <v>988.510000000002</v>
      </c>
    </row>
    <row r="31" spans="1:13" ht="12.75">
      <c r="A31" s="166">
        <v>40513</v>
      </c>
      <c r="B31" s="151">
        <v>4521806.28</v>
      </c>
      <c r="C31" s="151">
        <v>3885721.42</v>
      </c>
      <c r="D31" s="155">
        <v>0.2177</v>
      </c>
      <c r="E31" s="151">
        <v>70493.46</v>
      </c>
      <c r="F31" s="151">
        <v>10426647.24</v>
      </c>
      <c r="G31" s="160">
        <v>0</v>
      </c>
      <c r="H31" s="157">
        <v>0</v>
      </c>
      <c r="I31" s="151">
        <v>16523.81</v>
      </c>
      <c r="J31" s="151">
        <f t="shared" si="1"/>
        <v>0</v>
      </c>
      <c r="M31" s="73">
        <v>4417518</v>
      </c>
    </row>
    <row r="32" spans="1:10" ht="11.25">
      <c r="A32" s="166"/>
      <c r="C32" s="151" t="s">
        <v>146</v>
      </c>
      <c r="E32" s="167">
        <f>SUM(E20:E31)</f>
        <v>1050704.93</v>
      </c>
      <c r="F32" s="167">
        <v>10426647.24</v>
      </c>
      <c r="G32" s="168"/>
      <c r="H32" s="169">
        <v>0</v>
      </c>
      <c r="I32" s="167">
        <v>16523.81</v>
      </c>
      <c r="J32" s="151">
        <f>SUM(J21:J31)</f>
        <v>5716.3200000000015</v>
      </c>
    </row>
    <row r="33" ht="11.25">
      <c r="A33" s="159" t="s">
        <v>36</v>
      </c>
    </row>
    <row r="34" spans="1:9" ht="11.25">
      <c r="A34" s="166">
        <v>40179</v>
      </c>
      <c r="B34" s="151">
        <v>17553165.69</v>
      </c>
      <c r="C34" s="151">
        <v>17611651.65</v>
      </c>
      <c r="D34" s="155">
        <v>0.1931</v>
      </c>
      <c r="E34" s="151">
        <v>283400.83</v>
      </c>
      <c r="F34" s="151">
        <v>19574216.99</v>
      </c>
      <c r="G34" s="160">
        <v>0</v>
      </c>
      <c r="H34" s="157">
        <v>0</v>
      </c>
      <c r="I34" s="151">
        <v>-279658.15</v>
      </c>
    </row>
    <row r="35" spans="1:10" ht="11.25">
      <c r="A35" s="166">
        <v>40210</v>
      </c>
      <c r="B35" s="151">
        <v>17670137.61</v>
      </c>
      <c r="C35" s="151">
        <v>17677815.21</v>
      </c>
      <c r="D35" s="155">
        <v>0.1931</v>
      </c>
      <c r="E35" s="151">
        <v>284465.51</v>
      </c>
      <c r="F35" s="151">
        <v>19814638.18</v>
      </c>
      <c r="G35" s="160">
        <v>0</v>
      </c>
      <c r="H35" s="157">
        <v>0</v>
      </c>
      <c r="I35" s="151">
        <v>-272534.49</v>
      </c>
      <c r="J35" s="151">
        <f aca="true" t="shared" si="2" ref="J35:J45">+I35-I34</f>
        <v>7123.660000000033</v>
      </c>
    </row>
    <row r="36" spans="1:10" ht="11.25">
      <c r="A36" s="166">
        <v>40238</v>
      </c>
      <c r="B36" s="151">
        <v>17791437.43</v>
      </c>
      <c r="C36" s="151">
        <v>17755790.73</v>
      </c>
      <c r="D36" s="155">
        <v>0.1931</v>
      </c>
      <c r="E36" s="151">
        <v>285720.27</v>
      </c>
      <c r="F36" s="151">
        <v>20055609.42</v>
      </c>
      <c r="G36" s="160">
        <v>0</v>
      </c>
      <c r="H36" s="157">
        <v>0</v>
      </c>
      <c r="I36" s="151">
        <v>-264726.52</v>
      </c>
      <c r="J36" s="151">
        <f t="shared" si="2"/>
        <v>7807.969999999972</v>
      </c>
    </row>
    <row r="37" spans="1:10" ht="11.25">
      <c r="A37" s="166">
        <v>40269</v>
      </c>
      <c r="B37" s="151">
        <v>17921396.68</v>
      </c>
      <c r="C37" s="151">
        <v>17826256.71</v>
      </c>
      <c r="D37" s="155">
        <v>0.1931</v>
      </c>
      <c r="E37" s="151">
        <v>286854.18</v>
      </c>
      <c r="F37" s="151">
        <v>20309342.27</v>
      </c>
      <c r="G37" s="160">
        <v>0</v>
      </c>
      <c r="H37" s="157">
        <v>0</v>
      </c>
      <c r="I37" s="151">
        <v>-256411.66</v>
      </c>
      <c r="J37" s="151">
        <f t="shared" si="2"/>
        <v>8314.860000000015</v>
      </c>
    </row>
    <row r="38" spans="1:10" ht="11.25">
      <c r="A38" s="166">
        <v>40299</v>
      </c>
      <c r="B38" s="151">
        <v>18027095.6</v>
      </c>
      <c r="C38" s="151">
        <v>17855812.77</v>
      </c>
      <c r="D38" s="155">
        <v>0.1931</v>
      </c>
      <c r="E38" s="151">
        <v>287329.79</v>
      </c>
      <c r="F38" s="151">
        <v>20274811.53</v>
      </c>
      <c r="G38" s="160">
        <v>0</v>
      </c>
      <c r="H38" s="157">
        <v>0</v>
      </c>
      <c r="I38" s="151">
        <v>-240525.67</v>
      </c>
      <c r="J38" s="151">
        <f t="shared" si="2"/>
        <v>15885.98999999999</v>
      </c>
    </row>
    <row r="39" spans="1:10" ht="11.25">
      <c r="A39" s="166">
        <v>40330</v>
      </c>
      <c r="B39" s="151">
        <v>18066503.73</v>
      </c>
      <c r="C39" s="151">
        <v>17943276.75</v>
      </c>
      <c r="D39" s="155">
        <v>0.1931</v>
      </c>
      <c r="E39" s="151">
        <v>288737.23</v>
      </c>
      <c r="F39" s="151">
        <v>20810566.86</v>
      </c>
      <c r="G39" s="160">
        <v>0</v>
      </c>
      <c r="H39" s="157">
        <v>0</v>
      </c>
      <c r="I39" s="151">
        <v>-235065.36</v>
      </c>
      <c r="J39" s="151">
        <f t="shared" si="2"/>
        <v>5460.310000000027</v>
      </c>
    </row>
    <row r="40" spans="1:10" ht="11.25">
      <c r="A40" s="166">
        <v>40360</v>
      </c>
      <c r="B40" s="151">
        <v>18168545.04</v>
      </c>
      <c r="C40" s="151">
        <v>18027576.45</v>
      </c>
      <c r="D40" s="155">
        <v>0.1931</v>
      </c>
      <c r="E40" s="151">
        <v>290093.75</v>
      </c>
      <c r="F40" s="151">
        <v>21038836</v>
      </c>
      <c r="G40" s="160">
        <v>0</v>
      </c>
      <c r="H40" s="157">
        <v>0</v>
      </c>
      <c r="I40" s="151">
        <v>-227006.77</v>
      </c>
      <c r="J40" s="151">
        <f t="shared" si="2"/>
        <v>8058.5899999999965</v>
      </c>
    </row>
    <row r="41" spans="1:10" ht="11.25">
      <c r="A41" s="166">
        <v>40391</v>
      </c>
      <c r="B41" s="151">
        <v>18252844.75</v>
      </c>
      <c r="C41" s="151">
        <v>18210601.29</v>
      </c>
      <c r="D41" s="155">
        <v>0.1931</v>
      </c>
      <c r="E41" s="151">
        <v>293038.93</v>
      </c>
      <c r="F41" s="151">
        <v>21291617.04</v>
      </c>
      <c r="G41" s="160">
        <v>0</v>
      </c>
      <c r="H41" s="157">
        <v>0</v>
      </c>
      <c r="I41" s="151">
        <v>-219916.32</v>
      </c>
      <c r="J41" s="151">
        <f t="shared" si="2"/>
        <v>7090.4499999999825</v>
      </c>
    </row>
    <row r="42" spans="1:10" ht="11.25">
      <c r="A42" s="166">
        <v>40422</v>
      </c>
      <c r="B42" s="151">
        <v>18405365.45</v>
      </c>
      <c r="C42" s="151">
        <v>18221374.77</v>
      </c>
      <c r="D42" s="155">
        <v>0.1931</v>
      </c>
      <c r="E42" s="151">
        <v>293212.29</v>
      </c>
      <c r="F42" s="151">
        <v>21476516.45</v>
      </c>
      <c r="G42" s="160">
        <v>0</v>
      </c>
      <c r="H42" s="157">
        <v>0</v>
      </c>
      <c r="I42" s="151">
        <v>-213076.62</v>
      </c>
      <c r="J42" s="151">
        <f t="shared" si="2"/>
        <v>6839.700000000012</v>
      </c>
    </row>
    <row r="43" spans="1:10" ht="11.25">
      <c r="A43" s="166">
        <v>40452</v>
      </c>
      <c r="B43" s="151">
        <v>18412547.74</v>
      </c>
      <c r="C43" s="151">
        <v>18319570.77</v>
      </c>
      <c r="D43" s="155">
        <v>0.1931</v>
      </c>
      <c r="E43" s="151">
        <v>294792.43</v>
      </c>
      <c r="F43" s="151">
        <v>21742073.99</v>
      </c>
      <c r="G43" s="160">
        <v>0</v>
      </c>
      <c r="H43" s="157">
        <v>0</v>
      </c>
      <c r="I43" s="151">
        <v>-208461.03</v>
      </c>
      <c r="J43" s="151">
        <f t="shared" si="2"/>
        <v>4615.5899999999965</v>
      </c>
    </row>
    <row r="44" spans="1:10" ht="11.25">
      <c r="A44" s="166">
        <v>40483</v>
      </c>
      <c r="B44" s="151">
        <v>18461645.74</v>
      </c>
      <c r="C44" s="151">
        <v>18564871.23</v>
      </c>
      <c r="D44" s="155">
        <v>0.1931</v>
      </c>
      <c r="E44" s="151">
        <v>298739.72</v>
      </c>
      <c r="F44" s="151">
        <v>21983781.7</v>
      </c>
      <c r="G44" s="160">
        <v>0</v>
      </c>
      <c r="H44" s="157">
        <v>0</v>
      </c>
      <c r="I44" s="151">
        <v>-204654.17</v>
      </c>
      <c r="J44" s="151">
        <f t="shared" si="2"/>
        <v>3806.859999999986</v>
      </c>
    </row>
    <row r="45" spans="1:13" ht="12.75">
      <c r="A45" s="166">
        <v>40513</v>
      </c>
      <c r="B45" s="151">
        <v>18543412.56</v>
      </c>
      <c r="C45" s="151">
        <v>19291721.31</v>
      </c>
      <c r="D45" s="155">
        <v>0.1931</v>
      </c>
      <c r="E45" s="151">
        <v>310435.95</v>
      </c>
      <c r="F45" s="151">
        <v>22178562.49</v>
      </c>
      <c r="G45" s="160">
        <v>0</v>
      </c>
      <c r="H45" s="157">
        <v>0</v>
      </c>
      <c r="I45" s="151">
        <v>-201816.46</v>
      </c>
      <c r="J45" s="151">
        <f t="shared" si="2"/>
        <v>2837.710000000021</v>
      </c>
      <c r="M45" s="73">
        <v>18664554</v>
      </c>
    </row>
    <row r="46" spans="1:10" ht="11.25">
      <c r="A46" s="166"/>
      <c r="C46" s="170" t="s">
        <v>146</v>
      </c>
      <c r="E46" s="167">
        <f>SUM(E34:E45)</f>
        <v>3496820.880000001</v>
      </c>
      <c r="F46" s="167">
        <v>22178562.49</v>
      </c>
      <c r="G46" s="168"/>
      <c r="H46" s="169">
        <v>0</v>
      </c>
      <c r="I46" s="167">
        <v>-201816.46</v>
      </c>
      <c r="J46" s="151">
        <f>SUM(J35:J45)</f>
        <v>77841.69000000003</v>
      </c>
    </row>
    <row r="47" ht="11.25">
      <c r="A47" s="159" t="s">
        <v>37</v>
      </c>
    </row>
    <row r="48" spans="1:9" ht="11.25">
      <c r="A48" s="166">
        <v>40179</v>
      </c>
      <c r="B48" s="151">
        <v>4135702.72</v>
      </c>
      <c r="C48" s="151">
        <v>4111706.56</v>
      </c>
      <c r="D48" s="155">
        <v>0.3</v>
      </c>
      <c r="E48" s="151">
        <v>102792.66</v>
      </c>
      <c r="F48" s="151">
        <v>-9920031.15</v>
      </c>
      <c r="G48" s="160">
        <v>0</v>
      </c>
      <c r="H48" s="157">
        <v>0</v>
      </c>
      <c r="I48" s="151">
        <v>-43648.02</v>
      </c>
    </row>
    <row r="49" spans="1:10" ht="11.25">
      <c r="A49" s="166">
        <v>40210</v>
      </c>
      <c r="B49" s="151">
        <v>4087710.39</v>
      </c>
      <c r="C49" s="151">
        <v>4058197.06</v>
      </c>
      <c r="D49" s="155">
        <v>0.3</v>
      </c>
      <c r="E49" s="151">
        <v>101454.93</v>
      </c>
      <c r="F49" s="151">
        <v>-9916676.94</v>
      </c>
      <c r="G49" s="160">
        <v>0</v>
      </c>
      <c r="H49" s="157">
        <v>0</v>
      </c>
      <c r="I49" s="151">
        <v>-40362.99</v>
      </c>
      <c r="J49" s="151">
        <f aca="true" t="shared" si="3" ref="J49:J59">+I49-I48</f>
        <v>3285.029999999999</v>
      </c>
    </row>
    <row r="50" spans="1:10" ht="11.25">
      <c r="A50" s="166">
        <v>40238</v>
      </c>
      <c r="B50" s="151">
        <v>3989609.67</v>
      </c>
      <c r="C50" s="151">
        <v>3994367.92</v>
      </c>
      <c r="D50" s="155">
        <v>0.3</v>
      </c>
      <c r="E50" s="151">
        <v>99859.2</v>
      </c>
      <c r="F50" s="151">
        <v>-9923199.7</v>
      </c>
      <c r="G50" s="160">
        <v>0</v>
      </c>
      <c r="H50" s="157">
        <v>0</v>
      </c>
      <c r="I50" s="151">
        <v>-29892.79</v>
      </c>
      <c r="J50" s="151">
        <f t="shared" si="3"/>
        <v>10470.199999999997</v>
      </c>
    </row>
    <row r="51" spans="1:10" ht="11.25">
      <c r="A51" s="166">
        <v>40269</v>
      </c>
      <c r="B51" s="151">
        <v>3883227.71</v>
      </c>
      <c r="C51" s="151">
        <v>3936611.62</v>
      </c>
      <c r="D51" s="155">
        <v>0.35</v>
      </c>
      <c r="E51" s="151">
        <v>114817.84</v>
      </c>
      <c r="F51" s="151">
        <v>-9895016.27</v>
      </c>
      <c r="G51" s="160">
        <v>0</v>
      </c>
      <c r="H51" s="157">
        <v>0</v>
      </c>
      <c r="I51" s="151">
        <v>-18742.86</v>
      </c>
      <c r="J51" s="151">
        <f t="shared" si="3"/>
        <v>11149.93</v>
      </c>
    </row>
    <row r="52" spans="1:10" ht="11.25">
      <c r="A52" s="166">
        <v>40299</v>
      </c>
      <c r="B52" s="151">
        <v>3796593.3</v>
      </c>
      <c r="C52" s="151">
        <v>3874980.16</v>
      </c>
      <c r="D52" s="155">
        <v>1.58</v>
      </c>
      <c r="E52" s="151">
        <v>510205.72</v>
      </c>
      <c r="F52" s="151">
        <v>-9466985.83</v>
      </c>
      <c r="G52" s="160">
        <v>0</v>
      </c>
      <c r="H52" s="157">
        <v>0</v>
      </c>
      <c r="I52" s="151">
        <v>-16716.08</v>
      </c>
      <c r="J52" s="151">
        <f t="shared" si="3"/>
        <v>2026.7799999999988</v>
      </c>
    </row>
    <row r="53" spans="1:10" ht="11.25">
      <c r="A53" s="166">
        <v>40330</v>
      </c>
      <c r="B53" s="151">
        <v>3714418.02</v>
      </c>
      <c r="C53" s="151">
        <v>3805090.24</v>
      </c>
      <c r="D53" s="155">
        <v>0.22</v>
      </c>
      <c r="E53" s="151">
        <v>-308321.89</v>
      </c>
      <c r="F53" s="151">
        <v>-9856845.98</v>
      </c>
      <c r="G53" s="160">
        <v>0</v>
      </c>
      <c r="H53" s="157">
        <v>0</v>
      </c>
      <c r="I53" s="151">
        <v>-6380.24</v>
      </c>
      <c r="J53" s="151">
        <f t="shared" si="3"/>
        <v>10335.840000000002</v>
      </c>
    </row>
    <row r="54" spans="1:10" ht="11.25">
      <c r="A54" s="166">
        <v>40360</v>
      </c>
      <c r="B54" s="151">
        <v>3632879.76</v>
      </c>
      <c r="C54" s="151">
        <v>3715907.74</v>
      </c>
      <c r="D54" s="155">
        <v>0.78</v>
      </c>
      <c r="E54" s="151">
        <v>236578.23</v>
      </c>
      <c r="F54" s="151">
        <v>-9709450.23</v>
      </c>
      <c r="G54" s="160">
        <v>0</v>
      </c>
      <c r="H54" s="157">
        <v>0</v>
      </c>
      <c r="I54" s="151">
        <v>2575.23</v>
      </c>
      <c r="J54" s="151">
        <f t="shared" si="3"/>
        <v>8955.47</v>
      </c>
    </row>
    <row r="55" spans="1:10" ht="11.25">
      <c r="A55" s="166">
        <v>40391</v>
      </c>
      <c r="B55" s="151">
        <v>3543697.28</v>
      </c>
      <c r="C55" s="151">
        <v>3618826.24</v>
      </c>
      <c r="D55" s="155">
        <v>0.8</v>
      </c>
      <c r="E55" s="151">
        <v>241255.08</v>
      </c>
      <c r="F55" s="151">
        <v>-9549096.4</v>
      </c>
      <c r="G55" s="160">
        <v>0</v>
      </c>
      <c r="H55" s="157">
        <v>0</v>
      </c>
      <c r="I55" s="151">
        <v>8271.19</v>
      </c>
      <c r="J55" s="151">
        <f t="shared" si="3"/>
        <v>5695.960000000001</v>
      </c>
    </row>
    <row r="56" spans="1:10" ht="11.25">
      <c r="A56" s="166">
        <v>40422</v>
      </c>
      <c r="B56" s="151">
        <v>3462796.03</v>
      </c>
      <c r="C56" s="151">
        <v>3524229.1</v>
      </c>
      <c r="D56" s="155">
        <v>0.28</v>
      </c>
      <c r="E56" s="151">
        <v>82232.01</v>
      </c>
      <c r="F56" s="151">
        <v>-9529929.14</v>
      </c>
      <c r="G56" s="160">
        <v>0</v>
      </c>
      <c r="H56" s="157">
        <v>0</v>
      </c>
      <c r="I56" s="151">
        <v>15509.37</v>
      </c>
      <c r="J56" s="151">
        <f t="shared" si="3"/>
        <v>7238.18</v>
      </c>
    </row>
    <row r="57" spans="1:10" ht="11.25">
      <c r="A57" s="166">
        <v>40452</v>
      </c>
      <c r="B57" s="151">
        <v>3399731.28</v>
      </c>
      <c r="C57" s="151">
        <v>3412114</v>
      </c>
      <c r="D57" s="155">
        <v>0.01</v>
      </c>
      <c r="E57" s="151">
        <v>2843.43</v>
      </c>
      <c r="F57" s="151">
        <v>-9583143.27</v>
      </c>
      <c r="G57" s="160">
        <v>0</v>
      </c>
      <c r="H57" s="157">
        <v>0</v>
      </c>
      <c r="I57" s="151">
        <v>24662.81</v>
      </c>
      <c r="J57" s="151">
        <f t="shared" si="3"/>
        <v>9153.44</v>
      </c>
    </row>
    <row r="58" spans="1:10" ht="11.25">
      <c r="A58" s="166">
        <v>40483</v>
      </c>
      <c r="B58" s="151">
        <v>3343673.72</v>
      </c>
      <c r="C58" s="151">
        <v>3150299.74</v>
      </c>
      <c r="D58" s="155">
        <v>0.01</v>
      </c>
      <c r="E58" s="151">
        <v>2625.25</v>
      </c>
      <c r="F58" s="151">
        <v>-9667789.44</v>
      </c>
      <c r="G58" s="160">
        <v>0</v>
      </c>
      <c r="H58" s="157">
        <v>0</v>
      </c>
      <c r="I58" s="151">
        <v>32324.44</v>
      </c>
      <c r="J58" s="151">
        <f t="shared" si="3"/>
        <v>7661.629999999997</v>
      </c>
    </row>
    <row r="59" spans="1:13" ht="12.75">
      <c r="A59" s="166">
        <v>40513</v>
      </c>
      <c r="B59" s="151">
        <v>3256402.3</v>
      </c>
      <c r="C59" s="151">
        <v>2378004.46</v>
      </c>
      <c r="D59" s="155">
        <v>0</v>
      </c>
      <c r="E59" s="151">
        <v>0</v>
      </c>
      <c r="F59" s="151">
        <v>-9796505.32</v>
      </c>
      <c r="G59" s="160">
        <v>0</v>
      </c>
      <c r="H59" s="157">
        <v>0</v>
      </c>
      <c r="I59" s="151">
        <v>41019.84</v>
      </c>
      <c r="J59" s="151">
        <f t="shared" si="3"/>
        <v>8695.399999999998</v>
      </c>
      <c r="M59" s="73">
        <v>3127686</v>
      </c>
    </row>
    <row r="60" spans="1:10" ht="11.25">
      <c r="A60" s="166"/>
      <c r="C60" s="170" t="s">
        <v>146</v>
      </c>
      <c r="E60" s="167">
        <f>SUM(E48:E59)</f>
        <v>1186342.46</v>
      </c>
      <c r="F60" s="167">
        <v>-9796505.32</v>
      </c>
      <c r="G60" s="168"/>
      <c r="H60" s="169"/>
      <c r="I60" s="167">
        <v>41019.84</v>
      </c>
      <c r="J60" s="151">
        <f>SUM(J49:J59)</f>
        <v>84667.85999999999</v>
      </c>
    </row>
    <row r="61" ht="9.75" customHeight="1">
      <c r="A61" s="159" t="s">
        <v>38</v>
      </c>
    </row>
    <row r="62" spans="1:9" ht="11.25">
      <c r="A62" s="166">
        <v>40179</v>
      </c>
      <c r="B62" s="151">
        <v>1874486.47</v>
      </c>
      <c r="C62" s="151">
        <v>1868905.57</v>
      </c>
      <c r="D62" s="155">
        <v>0.1451</v>
      </c>
      <c r="E62" s="151">
        <v>22598.18</v>
      </c>
      <c r="F62" s="151">
        <v>85229.42</v>
      </c>
      <c r="G62" s="160">
        <v>0</v>
      </c>
      <c r="H62" s="157">
        <v>0</v>
      </c>
      <c r="I62" s="151">
        <v>-85254.69</v>
      </c>
    </row>
    <row r="63" spans="1:10" ht="11.25">
      <c r="A63" s="166">
        <v>40210</v>
      </c>
      <c r="B63" s="151">
        <v>1863324.66</v>
      </c>
      <c r="C63" s="151">
        <v>1862633.05</v>
      </c>
      <c r="D63" s="155">
        <v>0.1451</v>
      </c>
      <c r="E63" s="151">
        <v>22522.34</v>
      </c>
      <c r="F63" s="151">
        <v>96252.18</v>
      </c>
      <c r="G63" s="160">
        <v>0</v>
      </c>
      <c r="H63" s="157">
        <v>0</v>
      </c>
      <c r="I63" s="151">
        <v>-85696.2</v>
      </c>
      <c r="J63" s="151">
        <f aca="true" t="shared" si="4" ref="J63:J73">+I63-I62</f>
        <v>-441.50999999999476</v>
      </c>
    </row>
    <row r="64" spans="1:10" ht="11.25">
      <c r="A64" s="166">
        <v>40238</v>
      </c>
      <c r="B64" s="151">
        <v>1851825.08</v>
      </c>
      <c r="C64" s="151">
        <v>1856699.41</v>
      </c>
      <c r="D64" s="155">
        <v>0.1451</v>
      </c>
      <c r="E64" s="151">
        <v>22450.59</v>
      </c>
      <c r="F64" s="151">
        <v>107274.07</v>
      </c>
      <c r="G64" s="160">
        <v>0</v>
      </c>
      <c r="H64" s="157">
        <v>0</v>
      </c>
      <c r="I64" s="151">
        <v>-86623.87</v>
      </c>
      <c r="J64" s="151">
        <f t="shared" si="4"/>
        <v>-927.6699999999983</v>
      </c>
    </row>
    <row r="65" spans="1:10" ht="11.25">
      <c r="A65" s="166">
        <v>40269</v>
      </c>
      <c r="B65" s="151">
        <v>1841935.65</v>
      </c>
      <c r="C65" s="151">
        <v>1848654.13</v>
      </c>
      <c r="D65" s="155">
        <v>0.1451</v>
      </c>
      <c r="E65" s="151">
        <v>22353.31</v>
      </c>
      <c r="F65" s="151">
        <v>116142.71</v>
      </c>
      <c r="G65" s="160">
        <v>0</v>
      </c>
      <c r="H65" s="157">
        <v>0</v>
      </c>
      <c r="I65" s="151">
        <v>-88110.5</v>
      </c>
      <c r="J65" s="151">
        <f t="shared" si="4"/>
        <v>-1486.6300000000047</v>
      </c>
    </row>
    <row r="66" spans="1:10" ht="11.25">
      <c r="A66" s="166">
        <v>40299</v>
      </c>
      <c r="B66" s="151">
        <v>1829867.72</v>
      </c>
      <c r="C66" s="151">
        <v>1842517.93</v>
      </c>
      <c r="D66" s="155">
        <v>0.1451</v>
      </c>
      <c r="E66" s="151">
        <v>22279.11</v>
      </c>
      <c r="F66" s="151">
        <v>130240.25</v>
      </c>
      <c r="G66" s="160">
        <v>0</v>
      </c>
      <c r="H66" s="157">
        <v>0</v>
      </c>
      <c r="I66" s="151">
        <v>-89092.38</v>
      </c>
      <c r="J66" s="151">
        <f t="shared" si="4"/>
        <v>-981.8800000000047</v>
      </c>
    </row>
    <row r="67" spans="1:10" ht="11.25">
      <c r="A67" s="166">
        <v>40330</v>
      </c>
      <c r="B67" s="151">
        <v>1821686.15</v>
      </c>
      <c r="C67" s="151">
        <v>1832345.17</v>
      </c>
      <c r="D67" s="155">
        <v>0.1451</v>
      </c>
      <c r="E67" s="151">
        <v>22156.11</v>
      </c>
      <c r="F67" s="151">
        <v>140528.11</v>
      </c>
      <c r="G67" s="160">
        <v>0</v>
      </c>
      <c r="H67" s="157">
        <v>0</v>
      </c>
      <c r="I67" s="151">
        <v>-90650.13</v>
      </c>
      <c r="J67" s="151">
        <f t="shared" si="4"/>
        <v>-1557.75</v>
      </c>
    </row>
    <row r="68" spans="1:10" ht="11.25">
      <c r="A68" s="166">
        <v>40360</v>
      </c>
      <c r="B68" s="151">
        <v>1809817.9</v>
      </c>
      <c r="C68" s="151">
        <v>1820022.43</v>
      </c>
      <c r="D68" s="155">
        <v>0.1451</v>
      </c>
      <c r="E68" s="151">
        <v>22007.1</v>
      </c>
      <c r="F68" s="151">
        <v>150000.5</v>
      </c>
      <c r="G68" s="160">
        <v>0</v>
      </c>
      <c r="H68" s="157">
        <v>0</v>
      </c>
      <c r="I68" s="151">
        <v>-92933.62</v>
      </c>
      <c r="J68" s="151">
        <f t="shared" si="4"/>
        <v>-2283.4899999999907</v>
      </c>
    </row>
    <row r="69" spans="1:10" ht="11.25">
      <c r="A69" s="166">
        <v>40391</v>
      </c>
      <c r="B69" s="151">
        <v>1797495.19</v>
      </c>
      <c r="C69" s="151">
        <v>1809064.09</v>
      </c>
      <c r="D69" s="155">
        <v>0.1451</v>
      </c>
      <c r="E69" s="151">
        <v>21874.6</v>
      </c>
      <c r="F69" s="151">
        <v>161923.72</v>
      </c>
      <c r="G69" s="160">
        <v>0</v>
      </c>
      <c r="H69" s="157">
        <v>0</v>
      </c>
      <c r="I69" s="151">
        <v>-93975.96</v>
      </c>
      <c r="J69" s="151">
        <f t="shared" si="4"/>
        <v>-1042.340000000011</v>
      </c>
    </row>
    <row r="70" spans="1:10" ht="11.25">
      <c r="A70" s="166">
        <v>40422</v>
      </c>
      <c r="B70" s="151">
        <v>1788363.22</v>
      </c>
      <c r="C70" s="151">
        <v>1788587.89</v>
      </c>
      <c r="D70" s="155">
        <v>0.1451</v>
      </c>
      <c r="E70" s="151">
        <v>21627.01</v>
      </c>
      <c r="F70" s="151">
        <v>165406.57</v>
      </c>
      <c r="G70" s="160">
        <v>0</v>
      </c>
      <c r="H70" s="157">
        <v>0</v>
      </c>
      <c r="I70" s="151">
        <v>-94750.25</v>
      </c>
      <c r="J70" s="151">
        <f t="shared" si="4"/>
        <v>-774.2899999999936</v>
      </c>
    </row>
    <row r="71" spans="1:10" ht="11.25">
      <c r="A71" s="166">
        <v>40452</v>
      </c>
      <c r="B71" s="151">
        <v>1774712.41</v>
      </c>
      <c r="C71" s="151">
        <v>1766660.83</v>
      </c>
      <c r="D71" s="155">
        <v>0.1451</v>
      </c>
      <c r="E71" s="151">
        <v>21361.87</v>
      </c>
      <c r="F71" s="151">
        <v>172070.49</v>
      </c>
      <c r="G71" s="160">
        <v>0</v>
      </c>
      <c r="H71" s="157">
        <v>0</v>
      </c>
      <c r="I71" s="151">
        <v>-97269.65</v>
      </c>
      <c r="J71" s="151">
        <f t="shared" si="4"/>
        <v>-2519.399999999994</v>
      </c>
    </row>
    <row r="72" spans="1:13" ht="12.75">
      <c r="A72" s="166">
        <v>40483</v>
      </c>
      <c r="B72" s="151">
        <v>1763748.9</v>
      </c>
      <c r="C72" s="151">
        <v>1740822.97</v>
      </c>
      <c r="D72" s="155">
        <v>0.1451</v>
      </c>
      <c r="E72" s="151">
        <v>21049.45</v>
      </c>
      <c r="F72" s="151">
        <v>183486.69</v>
      </c>
      <c r="G72" s="160">
        <v>0</v>
      </c>
      <c r="H72" s="157">
        <v>0</v>
      </c>
      <c r="I72" s="151">
        <v>-98699.86</v>
      </c>
      <c r="J72" s="151">
        <f t="shared" si="4"/>
        <v>-1430.2100000000064</v>
      </c>
      <c r="M72" s="73">
        <v>176112</v>
      </c>
    </row>
    <row r="73" spans="1:13" ht="12.75">
      <c r="A73" s="166">
        <v>40513</v>
      </c>
      <c r="B73" s="151">
        <v>1755136.27</v>
      </c>
      <c r="C73" s="151">
        <v>1688546.47</v>
      </c>
      <c r="D73" s="155">
        <v>0.1451</v>
      </c>
      <c r="E73" s="151">
        <v>20417.34</v>
      </c>
      <c r="F73" s="151">
        <v>193535.21</v>
      </c>
      <c r="G73" s="160">
        <v>0</v>
      </c>
      <c r="H73" s="157">
        <v>0</v>
      </c>
      <c r="I73" s="151">
        <v>-101759.54</v>
      </c>
      <c r="J73" s="151">
        <f t="shared" si="4"/>
        <v>-3059.679999999993</v>
      </c>
      <c r="M73" s="73">
        <v>1570312</v>
      </c>
    </row>
    <row r="74" spans="1:10" ht="11.25">
      <c r="A74" s="166"/>
      <c r="C74" s="170" t="s">
        <v>146</v>
      </c>
      <c r="E74" s="167">
        <f>SUM(E62:E73)</f>
        <v>262697.01000000007</v>
      </c>
      <c r="F74" s="167">
        <v>193535.21</v>
      </c>
      <c r="G74" s="168"/>
      <c r="H74" s="169"/>
      <c r="I74" s="167">
        <v>-101759.54</v>
      </c>
      <c r="J74" s="151">
        <f>SUM(J63:J73)</f>
        <v>-16504.84999999999</v>
      </c>
    </row>
    <row r="75" ht="8.25" customHeight="1">
      <c r="A75" s="159" t="s">
        <v>39</v>
      </c>
    </row>
    <row r="76" spans="1:9" ht="11.25">
      <c r="A76" s="166">
        <v>40179</v>
      </c>
      <c r="B76" s="151">
        <v>254904.44</v>
      </c>
      <c r="C76" s="151">
        <v>254904.44</v>
      </c>
      <c r="D76" s="155">
        <v>0.2333</v>
      </c>
      <c r="E76" s="151">
        <v>4955.77</v>
      </c>
      <c r="F76" s="151">
        <v>667506.14</v>
      </c>
      <c r="G76" s="160">
        <v>0</v>
      </c>
      <c r="H76" s="157">
        <v>0</v>
      </c>
      <c r="I76" s="151">
        <v>-7487.01</v>
      </c>
    </row>
    <row r="77" spans="1:10" ht="11.25">
      <c r="A77" s="166">
        <v>40210</v>
      </c>
      <c r="B77" s="151">
        <v>254904.44</v>
      </c>
      <c r="C77" s="151">
        <v>254904.44</v>
      </c>
      <c r="D77" s="155">
        <v>0.2333</v>
      </c>
      <c r="E77" s="151">
        <v>4955.77</v>
      </c>
      <c r="F77" s="151">
        <v>672461.91</v>
      </c>
      <c r="G77" s="160">
        <v>0</v>
      </c>
      <c r="H77" s="157">
        <v>0</v>
      </c>
      <c r="I77" s="151">
        <v>-7487.01</v>
      </c>
      <c r="J77" s="151">
        <f aca="true" t="shared" si="5" ref="J77:J87">+I77-I76</f>
        <v>0</v>
      </c>
    </row>
    <row r="78" spans="1:10" ht="11.25">
      <c r="A78" s="166">
        <v>40238</v>
      </c>
      <c r="B78" s="151">
        <v>254904.44</v>
      </c>
      <c r="C78" s="151">
        <v>254904.44</v>
      </c>
      <c r="D78" s="155">
        <v>0.2333</v>
      </c>
      <c r="E78" s="151">
        <v>4955.77</v>
      </c>
      <c r="F78" s="151">
        <v>677417.68</v>
      </c>
      <c r="G78" s="160">
        <v>0</v>
      </c>
      <c r="H78" s="157">
        <v>0</v>
      </c>
      <c r="I78" s="151">
        <v>-7487.01</v>
      </c>
      <c r="J78" s="151">
        <f t="shared" si="5"/>
        <v>0</v>
      </c>
    </row>
    <row r="79" spans="1:10" ht="11.25">
      <c r="A79" s="166">
        <v>40269</v>
      </c>
      <c r="B79" s="151">
        <v>254904.44</v>
      </c>
      <c r="C79" s="151">
        <v>254904.44</v>
      </c>
      <c r="D79" s="155">
        <v>0.2333</v>
      </c>
      <c r="E79" s="151">
        <v>4955.77</v>
      </c>
      <c r="F79" s="151">
        <v>682373.45</v>
      </c>
      <c r="G79" s="160">
        <v>0</v>
      </c>
      <c r="H79" s="157">
        <v>0</v>
      </c>
      <c r="I79" s="151">
        <v>-7487.01</v>
      </c>
      <c r="J79" s="151">
        <f t="shared" si="5"/>
        <v>0</v>
      </c>
    </row>
    <row r="80" spans="1:10" ht="11.25">
      <c r="A80" s="166">
        <v>40299</v>
      </c>
      <c r="B80" s="151">
        <v>254904.44</v>
      </c>
      <c r="C80" s="151">
        <v>254904.44</v>
      </c>
      <c r="D80" s="155">
        <v>0.2333</v>
      </c>
      <c r="E80" s="151">
        <v>4955.77</v>
      </c>
      <c r="F80" s="151">
        <v>682373.45</v>
      </c>
      <c r="G80" s="160">
        <v>0</v>
      </c>
      <c r="H80" s="157">
        <v>0</v>
      </c>
      <c r="I80" s="151">
        <v>-9644.28</v>
      </c>
      <c r="J80" s="151">
        <f t="shared" si="5"/>
        <v>-2157.2700000000004</v>
      </c>
    </row>
    <row r="81" spans="1:10" ht="11.25">
      <c r="A81" s="166">
        <v>40330</v>
      </c>
      <c r="B81" s="151">
        <v>254904.44</v>
      </c>
      <c r="C81" s="151">
        <v>254904.44</v>
      </c>
      <c r="D81" s="155">
        <v>0.2333</v>
      </c>
      <c r="E81" s="151">
        <v>4955.77</v>
      </c>
      <c r="F81" s="151">
        <v>687329.22</v>
      </c>
      <c r="G81" s="160">
        <v>0</v>
      </c>
      <c r="H81" s="157">
        <v>0</v>
      </c>
      <c r="I81" s="151">
        <v>-9544.28</v>
      </c>
      <c r="J81" s="151">
        <f t="shared" si="5"/>
        <v>100</v>
      </c>
    </row>
    <row r="82" spans="1:10" ht="11.25">
      <c r="A82" s="166">
        <v>40360</v>
      </c>
      <c r="B82" s="151">
        <v>254904.44</v>
      </c>
      <c r="C82" s="151">
        <v>254904.44</v>
      </c>
      <c r="D82" s="155">
        <v>0.2333</v>
      </c>
      <c r="E82" s="151">
        <v>4955.77</v>
      </c>
      <c r="F82" s="151">
        <v>697240.76</v>
      </c>
      <c r="G82" s="160">
        <v>0</v>
      </c>
      <c r="H82" s="157">
        <v>0</v>
      </c>
      <c r="I82" s="151">
        <v>-9544.28</v>
      </c>
      <c r="J82" s="151">
        <f t="shared" si="5"/>
        <v>0</v>
      </c>
    </row>
    <row r="83" spans="1:10" ht="11.25">
      <c r="A83" s="166">
        <v>40391</v>
      </c>
      <c r="B83" s="151">
        <v>254904.44</v>
      </c>
      <c r="C83" s="151">
        <v>254904.44</v>
      </c>
      <c r="D83" s="155">
        <v>0.2333</v>
      </c>
      <c r="E83" s="151">
        <v>4955.77</v>
      </c>
      <c r="F83" s="151">
        <v>702196.53</v>
      </c>
      <c r="G83" s="160">
        <v>0</v>
      </c>
      <c r="H83" s="157">
        <v>0</v>
      </c>
      <c r="I83" s="151">
        <v>-10108.68</v>
      </c>
      <c r="J83" s="151">
        <f t="shared" si="5"/>
        <v>-564.3999999999996</v>
      </c>
    </row>
    <row r="84" spans="1:10" ht="11.25">
      <c r="A84" s="166">
        <v>40422</v>
      </c>
      <c r="B84" s="151">
        <v>254904.44</v>
      </c>
      <c r="C84" s="151">
        <v>254904.44</v>
      </c>
      <c r="D84" s="155">
        <v>0.2333</v>
      </c>
      <c r="E84" s="151">
        <v>4955.77</v>
      </c>
      <c r="F84" s="151">
        <v>707152.3</v>
      </c>
      <c r="G84" s="160">
        <v>0</v>
      </c>
      <c r="H84" s="157">
        <v>0</v>
      </c>
      <c r="I84" s="151">
        <v>-10108.68</v>
      </c>
      <c r="J84" s="151">
        <f t="shared" si="5"/>
        <v>0</v>
      </c>
    </row>
    <row r="85" spans="1:10" ht="11.25">
      <c r="A85" s="166">
        <v>40452</v>
      </c>
      <c r="B85" s="151">
        <v>254904.44</v>
      </c>
      <c r="C85" s="151">
        <v>254904.44</v>
      </c>
      <c r="D85" s="155">
        <v>0.2333</v>
      </c>
      <c r="E85" s="151">
        <v>4955.77</v>
      </c>
      <c r="F85" s="151">
        <v>712108.07</v>
      </c>
      <c r="G85" s="160">
        <v>0</v>
      </c>
      <c r="H85" s="157">
        <v>0</v>
      </c>
      <c r="I85" s="151">
        <v>-9723.06</v>
      </c>
      <c r="J85" s="151">
        <f t="shared" si="5"/>
        <v>385.6200000000008</v>
      </c>
    </row>
    <row r="86" spans="1:13" ht="12.75">
      <c r="A86" s="166">
        <v>40483</v>
      </c>
      <c r="B86" s="151">
        <v>254904.44</v>
      </c>
      <c r="C86" s="151">
        <v>254904.44</v>
      </c>
      <c r="D86" s="155">
        <v>0.2333</v>
      </c>
      <c r="E86" s="151">
        <v>4955.77</v>
      </c>
      <c r="F86" s="151">
        <v>717063.84</v>
      </c>
      <c r="G86" s="160">
        <v>0</v>
      </c>
      <c r="H86" s="157">
        <v>0</v>
      </c>
      <c r="I86" s="151">
        <v>-9723.06</v>
      </c>
      <c r="J86" s="151">
        <f t="shared" si="5"/>
        <v>0</v>
      </c>
      <c r="M86" s="73">
        <v>235013</v>
      </c>
    </row>
    <row r="87" spans="1:13" ht="12.75">
      <c r="A87" s="166">
        <v>40513</v>
      </c>
      <c r="B87" s="151">
        <v>254904.44</v>
      </c>
      <c r="C87" s="151">
        <v>254904.44</v>
      </c>
      <c r="D87" s="155">
        <v>0.2333</v>
      </c>
      <c r="E87" s="151">
        <v>4955.77</v>
      </c>
      <c r="F87" s="151">
        <v>722019.61</v>
      </c>
      <c r="G87" s="160">
        <v>0</v>
      </c>
      <c r="H87" s="157">
        <v>0</v>
      </c>
      <c r="I87" s="151">
        <v>-9723.06</v>
      </c>
      <c r="J87" s="151">
        <f t="shared" si="5"/>
        <v>0</v>
      </c>
      <c r="M87" s="73">
        <v>19892</v>
      </c>
    </row>
    <row r="88" spans="3:10" ht="11.25">
      <c r="C88" s="170" t="s">
        <v>146</v>
      </c>
      <c r="E88" s="167">
        <f>SUM(E76:E87)</f>
        <v>59469.24000000002</v>
      </c>
      <c r="F88" s="167">
        <v>722019.61</v>
      </c>
      <c r="G88" s="168"/>
      <c r="H88" s="169">
        <v>0</v>
      </c>
      <c r="I88" s="167">
        <v>-9723.06</v>
      </c>
      <c r="J88" s="151">
        <f>SUM(J77:J87)</f>
        <v>-2236.0499999999993</v>
      </c>
    </row>
    <row r="89" ht="6.75" customHeight="1"/>
    <row r="90" spans="3:10" ht="12" thickBot="1">
      <c r="C90" s="170" t="s">
        <v>40</v>
      </c>
      <c r="E90" s="171">
        <f>E88+E74+E60+E46+E32+E18</f>
        <v>7636039.040000001</v>
      </c>
      <c r="F90" s="171">
        <f>F88+F74+F60+F46+F32+F18</f>
        <v>31844613.759999998</v>
      </c>
      <c r="G90" s="172"/>
      <c r="H90" s="173">
        <f>H88+H74+H60+H46+H32+H18</f>
        <v>0</v>
      </c>
      <c r="I90" s="171">
        <f>I88+I74+I60+I46+I32+I18</f>
        <v>-292217.75</v>
      </c>
      <c r="J90" s="171">
        <f>J88+J74+J60+J46+J32+J18</f>
        <v>153774.73000000004</v>
      </c>
    </row>
    <row r="91" ht="12" thickTop="1"/>
  </sheetData>
  <sheetProtection/>
  <mergeCells count="1">
    <mergeCell ref="B1:H1"/>
  </mergeCells>
  <printOptions/>
  <pageMargins left="0.48" right="0.48" top="0.32" bottom="0.45" header="0.17" footer="0.3"/>
  <pageSetup horizontalDpi="600" verticalDpi="600" orientation="landscape" r:id="rId1"/>
  <rowBreaks count="1" manualBreakCount="1">
    <brk id="4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5"/>
  <sheetViews>
    <sheetView zoomScalePageLayoutView="0" workbookViewId="0" topLeftCell="A2">
      <selection activeCell="A53" sqref="A53"/>
    </sheetView>
  </sheetViews>
  <sheetFormatPr defaultColWidth="9.140625" defaultRowHeight="12.75" outlineLevelRow="1"/>
  <cols>
    <col min="1" max="1" width="9.140625" style="36" customWidth="1"/>
    <col min="2" max="2" width="36.140625" style="36" bestFit="1" customWidth="1"/>
    <col min="3" max="3" width="1.7109375" style="36" customWidth="1"/>
    <col min="4" max="4" width="14.00390625" style="36" bestFit="1" customWidth="1"/>
    <col min="5" max="5" width="1.7109375" style="36" customWidth="1"/>
    <col min="6" max="6" width="12.421875" style="36" bestFit="1" customWidth="1"/>
    <col min="7" max="7" width="1.7109375" style="36" customWidth="1"/>
    <col min="8" max="8" width="11.28125" style="36" bestFit="1" customWidth="1"/>
    <col min="9" max="9" width="1.7109375" style="36" customWidth="1"/>
    <col min="10" max="10" width="3.7109375" style="36" customWidth="1"/>
    <col min="11" max="11" width="1.57421875" style="36" bestFit="1" customWidth="1"/>
    <col min="12" max="12" width="5.140625" style="36" bestFit="1" customWidth="1"/>
    <col min="13" max="13" width="1.7109375" style="36" customWidth="1"/>
    <col min="14" max="14" width="9.8515625" style="36" bestFit="1" customWidth="1"/>
    <col min="15" max="15" width="1.7109375" style="36" customWidth="1"/>
    <col min="16" max="16" width="6.00390625" style="36" bestFit="1" customWidth="1"/>
    <col min="17" max="17" width="1.7109375" style="36" customWidth="1"/>
    <col min="18" max="18" width="10.28125" style="36" bestFit="1" customWidth="1"/>
    <col min="19" max="19" width="1.7109375" style="36" customWidth="1"/>
    <col min="20" max="20" width="3.7109375" style="36" customWidth="1"/>
    <col min="21" max="21" width="1.57421875" style="36" bestFit="1" customWidth="1"/>
    <col min="22" max="22" width="5.140625" style="36" bestFit="1" customWidth="1"/>
    <col min="23" max="23" width="1.7109375" style="36" customWidth="1"/>
    <col min="24" max="24" width="9.8515625" style="36" bestFit="1" customWidth="1"/>
    <col min="25" max="25" width="1.7109375" style="36" customWidth="1"/>
    <col min="26" max="26" width="6.57421875" style="36" bestFit="1" customWidth="1"/>
    <col min="27" max="27" width="1.7109375" style="36" customWidth="1"/>
    <col min="28" max="28" width="10.28125" style="36" bestFit="1" customWidth="1"/>
    <col min="29" max="29" width="1.7109375" style="36" customWidth="1"/>
    <col min="30" max="30" width="12.140625" style="36" bestFit="1" customWidth="1"/>
    <col min="31" max="31" width="1.7109375" style="36" customWidth="1"/>
    <col min="32" max="32" width="11.140625" style="36" bestFit="1" customWidth="1"/>
    <col min="33" max="16384" width="9.140625" style="36" customWidth="1"/>
  </cols>
  <sheetData>
    <row r="1" spans="4:30" ht="12.75" hidden="1" outlineLevel="1">
      <c r="D1" s="36">
        <v>6</v>
      </c>
      <c r="F1" s="36">
        <v>7</v>
      </c>
      <c r="H1" s="36">
        <v>8</v>
      </c>
      <c r="J1" s="36">
        <v>3</v>
      </c>
      <c r="L1" s="36">
        <v>4</v>
      </c>
      <c r="N1" s="36">
        <v>5</v>
      </c>
      <c r="P1" s="36">
        <v>10</v>
      </c>
      <c r="R1" s="36">
        <v>9</v>
      </c>
      <c r="T1" s="36">
        <v>3</v>
      </c>
      <c r="V1" s="36">
        <v>4</v>
      </c>
      <c r="X1" s="36">
        <v>5</v>
      </c>
      <c r="Z1" s="36">
        <v>10</v>
      </c>
      <c r="AB1" s="36">
        <v>9</v>
      </c>
      <c r="AD1" s="36">
        <v>11</v>
      </c>
    </row>
    <row r="2" spans="1:32" ht="12.75" collapsed="1">
      <c r="A2" s="37" t="s">
        <v>43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</row>
    <row r="3" spans="1:32" ht="12.75">
      <c r="A3" s="37" t="s">
        <v>44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4" spans="1:32" ht="12.75">
      <c r="A4" s="37" t="s">
        <v>134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</row>
    <row r="6" spans="1:30" ht="12.75">
      <c r="A6" s="38"/>
      <c r="B6" s="38"/>
      <c r="C6" s="38"/>
      <c r="D6" s="38"/>
      <c r="E6" s="38"/>
      <c r="F6" s="38"/>
      <c r="G6" s="38"/>
      <c r="H6" s="38"/>
      <c r="I6" s="38"/>
      <c r="J6" s="39" t="s">
        <v>45</v>
      </c>
      <c r="K6" s="39"/>
      <c r="L6" s="39"/>
      <c r="M6" s="39"/>
      <c r="N6" s="39"/>
      <c r="O6" s="39"/>
      <c r="P6" s="39"/>
      <c r="Q6" s="39"/>
      <c r="R6" s="39"/>
      <c r="T6" s="39" t="s">
        <v>46</v>
      </c>
      <c r="U6" s="39"/>
      <c r="V6" s="39"/>
      <c r="W6" s="39"/>
      <c r="X6" s="39"/>
      <c r="Y6" s="39"/>
      <c r="Z6" s="39"/>
      <c r="AA6" s="39"/>
      <c r="AB6" s="39"/>
      <c r="AC6" s="39"/>
      <c r="AD6" s="39"/>
    </row>
    <row r="7" spans="1:32" ht="12.75">
      <c r="A7" s="38" t="s">
        <v>13</v>
      </c>
      <c r="B7" s="38"/>
      <c r="C7" s="38"/>
      <c r="D7" s="40" t="s">
        <v>47</v>
      </c>
      <c r="E7" s="38"/>
      <c r="F7" s="40" t="s">
        <v>48</v>
      </c>
      <c r="G7" s="40"/>
      <c r="H7" s="40" t="s">
        <v>49</v>
      </c>
      <c r="I7" s="40"/>
      <c r="J7" s="41" t="s">
        <v>50</v>
      </c>
      <c r="K7" s="41"/>
      <c r="L7" s="41"/>
      <c r="M7" s="38"/>
      <c r="N7" s="40" t="s">
        <v>51</v>
      </c>
      <c r="O7" s="38"/>
      <c r="P7" s="39" t="s">
        <v>52</v>
      </c>
      <c r="Q7" s="39"/>
      <c r="R7" s="39"/>
      <c r="T7" s="41" t="s">
        <v>50</v>
      </c>
      <c r="U7" s="41"/>
      <c r="V7" s="41"/>
      <c r="W7" s="38"/>
      <c r="X7" s="40" t="s">
        <v>51</v>
      </c>
      <c r="Y7" s="38"/>
      <c r="Z7" s="39" t="s">
        <v>52</v>
      </c>
      <c r="AA7" s="39"/>
      <c r="AB7" s="39"/>
      <c r="AC7" s="42"/>
      <c r="AD7" s="42" t="s">
        <v>53</v>
      </c>
      <c r="AF7" s="42" t="s">
        <v>54</v>
      </c>
    </row>
    <row r="8" spans="1:32" ht="12.75">
      <c r="A8" s="39" t="s">
        <v>0</v>
      </c>
      <c r="B8" s="39"/>
      <c r="C8" s="38"/>
      <c r="D8" s="43" t="s">
        <v>55</v>
      </c>
      <c r="E8" s="38"/>
      <c r="F8" s="43" t="s">
        <v>56</v>
      </c>
      <c r="G8" s="42"/>
      <c r="H8" s="43" t="s">
        <v>57</v>
      </c>
      <c r="I8" s="42"/>
      <c r="J8" s="39" t="s">
        <v>58</v>
      </c>
      <c r="K8" s="39"/>
      <c r="L8" s="39"/>
      <c r="M8" s="44"/>
      <c r="N8" s="43" t="s">
        <v>59</v>
      </c>
      <c r="O8" s="45"/>
      <c r="P8" s="43" t="s">
        <v>2</v>
      </c>
      <c r="Q8" s="44"/>
      <c r="R8" s="43" t="s">
        <v>60</v>
      </c>
      <c r="S8" s="44"/>
      <c r="T8" s="39" t="s">
        <v>58</v>
      </c>
      <c r="U8" s="39"/>
      <c r="V8" s="39"/>
      <c r="W8" s="44"/>
      <c r="X8" s="43" t="s">
        <v>59</v>
      </c>
      <c r="Y8" s="45"/>
      <c r="Z8" s="43" t="s">
        <v>2</v>
      </c>
      <c r="AA8" s="44"/>
      <c r="AB8" s="43" t="s">
        <v>60</v>
      </c>
      <c r="AC8" s="42"/>
      <c r="AD8" s="43" t="s">
        <v>61</v>
      </c>
      <c r="AF8" s="43" t="s">
        <v>62</v>
      </c>
    </row>
    <row r="9" spans="1:32" ht="12.75">
      <c r="A9" s="46">
        <v>-1</v>
      </c>
      <c r="B9" s="46"/>
      <c r="C9" s="47"/>
      <c r="D9" s="48">
        <f>+A9-1</f>
        <v>-2</v>
      </c>
      <c r="E9" s="47"/>
      <c r="F9" s="48">
        <f>+D9-1</f>
        <v>-3</v>
      </c>
      <c r="G9" s="48"/>
      <c r="H9" s="48">
        <v>-4</v>
      </c>
      <c r="I9" s="48"/>
      <c r="J9" s="46">
        <f>+H9-1</f>
        <v>-5</v>
      </c>
      <c r="K9" s="46"/>
      <c r="L9" s="46"/>
      <c r="M9" s="49"/>
      <c r="N9" s="48">
        <f>+J9-1</f>
        <v>-6</v>
      </c>
      <c r="O9" s="50"/>
      <c r="P9" s="48">
        <f>+N9-1</f>
        <v>-7</v>
      </c>
      <c r="Q9" s="49"/>
      <c r="R9" s="48" t="s">
        <v>63</v>
      </c>
      <c r="S9" s="49"/>
      <c r="T9" s="46">
        <v>-9</v>
      </c>
      <c r="U9" s="46"/>
      <c r="V9" s="46"/>
      <c r="W9" s="49"/>
      <c r="X9" s="48">
        <f>+T9-1</f>
        <v>-10</v>
      </c>
      <c r="Y9" s="50"/>
      <c r="Z9" s="48">
        <f>+X9-1</f>
        <v>-11</v>
      </c>
      <c r="AA9" s="49"/>
      <c r="AB9" s="48">
        <f>+Z9-1</f>
        <v>-12</v>
      </c>
      <c r="AC9" s="48"/>
      <c r="AD9" s="48" t="s">
        <v>64</v>
      </c>
      <c r="AF9" s="48" t="s">
        <v>65</v>
      </c>
    </row>
    <row r="11" ht="12.75">
      <c r="A11" s="51" t="s">
        <v>66</v>
      </c>
    </row>
    <row r="13" spans="1:32" ht="12.75">
      <c r="A13" s="36">
        <v>386.1</v>
      </c>
      <c r="B13" s="36" t="s">
        <v>67</v>
      </c>
      <c r="D13" s="52">
        <v>12279142.4</v>
      </c>
      <c r="F13" s="52">
        <v>10504196</v>
      </c>
      <c r="H13" s="52">
        <v>3002862</v>
      </c>
      <c r="J13" s="36">
        <v>10</v>
      </c>
      <c r="K13" s="36" t="s">
        <v>68</v>
      </c>
      <c r="L13" s="36" t="s">
        <v>76</v>
      </c>
      <c r="N13" s="53">
        <v>0</v>
      </c>
      <c r="P13" s="36">
        <v>21.77</v>
      </c>
      <c r="R13" s="52">
        <f>+D13*P13/100</f>
        <v>2673169.30048</v>
      </c>
      <c r="T13" s="36">
        <v>12</v>
      </c>
      <c r="U13" s="36" t="s">
        <v>68</v>
      </c>
      <c r="V13" s="36" t="s">
        <v>76</v>
      </c>
      <c r="X13" s="53">
        <v>-10</v>
      </c>
      <c r="Z13" s="141">
        <v>0.0255</v>
      </c>
      <c r="AB13" s="52">
        <v>312584</v>
      </c>
      <c r="AC13" s="52"/>
      <c r="AD13" s="55">
        <v>9.6</v>
      </c>
      <c r="AF13" s="52">
        <f>+AB13-R13</f>
        <v>-2360585.30048</v>
      </c>
    </row>
    <row r="14" spans="1:32" ht="12.75">
      <c r="A14" s="36">
        <v>386.2</v>
      </c>
      <c r="B14" s="36" t="s">
        <v>69</v>
      </c>
      <c r="D14" s="52">
        <v>21804624.39</v>
      </c>
      <c r="F14" s="52">
        <v>15537568</v>
      </c>
      <c r="H14" s="52">
        <v>8447519</v>
      </c>
      <c r="J14" s="36">
        <v>10</v>
      </c>
      <c r="K14" s="36" t="s">
        <v>68</v>
      </c>
      <c r="L14" s="36" t="s">
        <v>76</v>
      </c>
      <c r="N14" s="53">
        <v>0</v>
      </c>
      <c r="P14" s="36">
        <v>19.31</v>
      </c>
      <c r="R14" s="52">
        <f>+D14*P14/100</f>
        <v>4210472.969709</v>
      </c>
      <c r="T14" s="36">
        <v>10</v>
      </c>
      <c r="U14" s="36" t="s">
        <v>68</v>
      </c>
      <c r="V14" s="36" t="s">
        <v>76</v>
      </c>
      <c r="X14" s="53">
        <v>-10</v>
      </c>
      <c r="Z14" s="141">
        <v>0.0552</v>
      </c>
      <c r="AB14" s="52">
        <v>1202841</v>
      </c>
      <c r="AC14" s="52"/>
      <c r="AD14" s="55">
        <v>7</v>
      </c>
      <c r="AF14" s="52">
        <f>+AB14-R14</f>
        <v>-3007631.9697089996</v>
      </c>
    </row>
    <row r="15" spans="1:32" ht="12.75">
      <c r="A15" s="36">
        <v>386.3</v>
      </c>
      <c r="B15" s="36" t="s">
        <v>70</v>
      </c>
      <c r="D15" s="52">
        <v>1841935.65</v>
      </c>
      <c r="F15" s="52">
        <v>1773843</v>
      </c>
      <c r="H15" s="52">
        <v>160190</v>
      </c>
      <c r="J15" s="36">
        <v>13</v>
      </c>
      <c r="K15" s="36" t="s">
        <v>68</v>
      </c>
      <c r="L15" s="36" t="s">
        <v>77</v>
      </c>
      <c r="N15" s="53">
        <v>0</v>
      </c>
      <c r="P15" s="36">
        <v>14.51</v>
      </c>
      <c r="R15" s="52">
        <f>+D15*P15/100</f>
        <v>267264.86281499994</v>
      </c>
      <c r="T15" s="36">
        <v>13</v>
      </c>
      <c r="U15" s="36" t="s">
        <v>68</v>
      </c>
      <c r="V15" s="36" t="s">
        <v>77</v>
      </c>
      <c r="X15" s="53">
        <v>-5</v>
      </c>
      <c r="Z15" s="141">
        <v>0.0137</v>
      </c>
      <c r="AB15" s="52">
        <v>25209</v>
      </c>
      <c r="AC15" s="52"/>
      <c r="AD15" s="55">
        <v>6.4</v>
      </c>
      <c r="AF15" s="52">
        <f>+AB15-R15</f>
        <v>-242055.86281499994</v>
      </c>
    </row>
    <row r="16" spans="1:32" ht="12.75">
      <c r="A16" s="36">
        <v>386.5</v>
      </c>
      <c r="B16" s="36" t="s">
        <v>71</v>
      </c>
      <c r="D16" s="56">
        <v>254904.44</v>
      </c>
      <c r="F16" s="56">
        <v>254904</v>
      </c>
      <c r="H16" s="56">
        <v>0</v>
      </c>
      <c r="J16" s="36">
        <v>12</v>
      </c>
      <c r="K16" s="36" t="s">
        <v>68</v>
      </c>
      <c r="L16" s="36" t="s">
        <v>78</v>
      </c>
      <c r="N16" s="53">
        <v>0</v>
      </c>
      <c r="P16" s="36">
        <v>23.33</v>
      </c>
      <c r="R16" s="56">
        <f>+D16*P16/100</f>
        <v>59469.205852</v>
      </c>
      <c r="T16" s="36">
        <v>12</v>
      </c>
      <c r="U16" s="36" t="s">
        <v>68</v>
      </c>
      <c r="V16" s="36" t="s">
        <v>78</v>
      </c>
      <c r="X16" s="53">
        <v>0</v>
      </c>
      <c r="Z16" s="54">
        <v>0</v>
      </c>
      <c r="AB16" s="56">
        <v>0</v>
      </c>
      <c r="AC16" s="57"/>
      <c r="AD16" s="55">
        <v>0</v>
      </c>
      <c r="AF16" s="56">
        <f>+AB16-R16</f>
        <v>-59469.205852</v>
      </c>
    </row>
    <row r="17" ht="12.75">
      <c r="Z17" s="54"/>
    </row>
    <row r="18" spans="1:32" s="51" customFormat="1" ht="12.75">
      <c r="A18" s="51" t="s">
        <v>72</v>
      </c>
      <c r="D18" s="58">
        <f>+SUBTOTAL(9,D13:D17)</f>
        <v>36180606.879999995</v>
      </c>
      <c r="F18" s="58">
        <f>+SUBTOTAL(9,F13:F17)</f>
        <v>28070511</v>
      </c>
      <c r="H18" s="58">
        <f>+SUBTOTAL(9,H13:H17)</f>
        <v>11610571</v>
      </c>
      <c r="R18" s="58">
        <f>+SUBTOTAL(9,R13:R17)</f>
        <v>7210376.338856</v>
      </c>
      <c r="AB18" s="58">
        <f>+SUBTOTAL(9,AB13:AB17)</f>
        <v>1540634</v>
      </c>
      <c r="AC18" s="58"/>
      <c r="AD18" s="58"/>
      <c r="AF18" s="58">
        <f>+SUBTOTAL(9,AF13:AF17)</f>
        <v>-5669742.338856</v>
      </c>
    </row>
    <row r="20" ht="12.75">
      <c r="A20" s="36" t="s">
        <v>73</v>
      </c>
    </row>
    <row r="23" ht="12.75">
      <c r="D23" s="139"/>
    </row>
    <row r="24" spans="1:4" ht="12.75">
      <c r="A24"/>
      <c r="D24" s="140"/>
    </row>
    <row r="25" ht="12.75">
      <c r="A25"/>
    </row>
  </sheetData>
  <sheetProtection/>
  <printOptions/>
  <pageMargins left="0.7" right="0.7" top="0.75" bottom="0.75" header="0.3" footer="0.3"/>
  <pageSetup fitToHeight="0" fitToWidth="1" horizontalDpi="600" verticalDpi="600" orientation="landscape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67"/>
  <sheetViews>
    <sheetView zoomScale="85" zoomScaleNormal="85" zoomScalePageLayoutView="0" workbookViewId="0" topLeftCell="C1">
      <pane ySplit="5" topLeftCell="BM49" activePane="bottomLeft" state="frozen"/>
      <selection pane="topLeft" activeCell="A1" sqref="A1"/>
      <selection pane="bottomLeft" activeCell="Y92" sqref="Y92"/>
    </sheetView>
  </sheetViews>
  <sheetFormatPr defaultColWidth="9.140625" defaultRowHeight="12.75"/>
  <cols>
    <col min="1" max="1" width="4.140625" style="0" hidden="1" customWidth="1"/>
    <col min="2" max="2" width="4.421875" style="0" hidden="1" customWidth="1"/>
    <col min="4" max="4" width="1.1484375" style="0" customWidth="1"/>
    <col min="5" max="5" width="5.140625" style="0" hidden="1" customWidth="1"/>
    <col min="6" max="6" width="18.8515625" style="0" customWidth="1"/>
    <col min="7" max="8" width="2.57421875" style="0" hidden="1" customWidth="1"/>
    <col min="9" max="9" width="1.1484375" style="0" hidden="1" customWidth="1"/>
    <col min="10" max="10" width="6.57421875" style="0" hidden="1" customWidth="1"/>
    <col min="11" max="11" width="13.421875" style="0" customWidth="1"/>
    <col min="12" max="12" width="11.140625" style="0" customWidth="1"/>
    <col min="13" max="13" width="3.7109375" style="0" hidden="1" customWidth="1"/>
    <col min="14" max="14" width="3.57421875" style="0" hidden="1" customWidth="1"/>
    <col min="15" max="15" width="8.421875" style="0" customWidth="1"/>
    <col min="16" max="16" width="17.7109375" style="0" customWidth="1"/>
    <col min="17" max="17" width="3.421875" style="0" customWidth="1"/>
    <col min="18" max="18" width="5.28125" style="0" customWidth="1"/>
    <col min="19" max="19" width="8.28125" style="0" customWidth="1"/>
    <col min="20" max="20" width="3.421875" style="0" customWidth="1"/>
    <col min="21" max="21" width="5.57421875" style="0" customWidth="1"/>
    <col min="22" max="22" width="3.00390625" style="0" customWidth="1"/>
    <col min="23" max="23" width="2.00390625" style="0" hidden="1" customWidth="1"/>
    <col min="24" max="24" width="4.8515625" style="0" customWidth="1"/>
    <col min="25" max="25" width="9.421875" style="0" customWidth="1"/>
    <col min="26" max="26" width="5.28125" style="0" customWidth="1"/>
  </cols>
  <sheetData>
    <row r="1" spans="1:26" ht="25.5" customHeight="1">
      <c r="A1" s="29"/>
      <c r="B1" s="29"/>
      <c r="C1" s="29"/>
      <c r="D1" s="29"/>
      <c r="E1" s="29"/>
      <c r="F1" s="29"/>
      <c r="G1" s="29"/>
      <c r="H1" s="29"/>
      <c r="I1" s="29"/>
      <c r="J1" s="289" t="s">
        <v>15</v>
      </c>
      <c r="K1" s="289"/>
      <c r="L1" s="289"/>
      <c r="M1" s="29"/>
      <c r="N1" s="29"/>
      <c r="O1" s="29"/>
      <c r="P1" s="62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ht="12.75" customHeight="1">
      <c r="A2" s="290"/>
      <c r="B2" s="290"/>
      <c r="C2" s="290"/>
      <c r="D2" s="290"/>
      <c r="E2" s="290"/>
      <c r="F2" s="29"/>
      <c r="G2" s="29"/>
      <c r="H2" s="29"/>
      <c r="I2" s="29"/>
      <c r="J2" s="289" t="s">
        <v>16</v>
      </c>
      <c r="K2" s="289"/>
      <c r="L2" s="289"/>
      <c r="M2" s="29"/>
      <c r="N2" s="29"/>
      <c r="O2" s="29"/>
      <c r="P2" s="29"/>
      <c r="Q2" s="29"/>
      <c r="R2" s="29"/>
      <c r="S2" s="291" t="s">
        <v>17</v>
      </c>
      <c r="T2" s="291"/>
      <c r="U2" s="292">
        <v>39995</v>
      </c>
      <c r="V2" s="292"/>
      <c r="W2" s="292"/>
      <c r="X2" s="292"/>
      <c r="Y2" s="29"/>
      <c r="Z2" s="29"/>
    </row>
    <row r="3" spans="1:26" ht="12.75" customHeight="1">
      <c r="A3" s="290"/>
      <c r="B3" s="290"/>
      <c r="C3" s="290"/>
      <c r="D3" s="290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1" t="s">
        <v>18</v>
      </c>
      <c r="T3" s="291"/>
      <c r="U3" s="292">
        <v>40330</v>
      </c>
      <c r="V3" s="292"/>
      <c r="W3" s="292"/>
      <c r="X3" s="292"/>
      <c r="Y3" s="29"/>
      <c r="Z3" s="29"/>
    </row>
    <row r="4" spans="1:26" ht="25.5">
      <c r="A4" s="29"/>
      <c r="B4" s="29"/>
      <c r="C4" s="29"/>
      <c r="D4" s="29"/>
      <c r="E4" s="289" t="s">
        <v>19</v>
      </c>
      <c r="F4" s="289"/>
      <c r="G4" s="289"/>
      <c r="H4" s="29"/>
      <c r="I4" s="289" t="s">
        <v>20</v>
      </c>
      <c r="J4" s="289"/>
      <c r="K4" s="289"/>
      <c r="L4" s="30" t="s">
        <v>21</v>
      </c>
      <c r="M4" s="29"/>
      <c r="N4" s="289" t="s">
        <v>20</v>
      </c>
      <c r="O4" s="289"/>
      <c r="P4" s="29"/>
      <c r="Q4" s="29"/>
      <c r="R4" s="29"/>
      <c r="S4" s="29"/>
      <c r="T4" s="29"/>
      <c r="U4" s="289" t="s">
        <v>22</v>
      </c>
      <c r="V4" s="289"/>
      <c r="W4" s="29"/>
      <c r="X4" s="29"/>
      <c r="Y4" s="30" t="s">
        <v>23</v>
      </c>
      <c r="Z4" s="29"/>
    </row>
    <row r="5" spans="1:26" ht="25.5">
      <c r="A5" s="29"/>
      <c r="B5" s="29"/>
      <c r="C5" s="29"/>
      <c r="D5" s="29"/>
      <c r="E5" s="289" t="s">
        <v>24</v>
      </c>
      <c r="F5" s="289"/>
      <c r="G5" s="289"/>
      <c r="H5" s="29"/>
      <c r="I5" s="289" t="s">
        <v>25</v>
      </c>
      <c r="J5" s="289"/>
      <c r="K5" s="289"/>
      <c r="L5" s="30" t="s">
        <v>26</v>
      </c>
      <c r="M5" s="29"/>
      <c r="N5" s="289" t="s">
        <v>27</v>
      </c>
      <c r="O5" s="289"/>
      <c r="P5" s="29"/>
      <c r="Q5" s="289" t="s">
        <v>28</v>
      </c>
      <c r="R5" s="289"/>
      <c r="S5" s="289"/>
      <c r="T5" s="289" t="s">
        <v>29</v>
      </c>
      <c r="U5" s="289"/>
      <c r="V5" s="289" t="s">
        <v>30</v>
      </c>
      <c r="W5" s="289"/>
      <c r="X5" s="289"/>
      <c r="Y5" s="30" t="s">
        <v>31</v>
      </c>
      <c r="Z5" s="29"/>
    </row>
    <row r="6" spans="1:26" ht="12.75" customHeight="1" hidden="1">
      <c r="A6" s="274"/>
      <c r="B6" s="274"/>
      <c r="C6" s="274"/>
      <c r="D6" s="274"/>
      <c r="E6" s="274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</row>
    <row r="7" spans="1:26" ht="12.75" customHeight="1">
      <c r="A7" s="274" t="s">
        <v>32</v>
      </c>
      <c r="B7" s="274"/>
      <c r="C7" s="274"/>
      <c r="D7" s="274"/>
      <c r="E7" s="274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ht="12.75" customHeight="1">
      <c r="A8" s="29"/>
      <c r="B8" s="284" t="s">
        <v>33</v>
      </c>
      <c r="C8" s="284"/>
      <c r="D8" s="284"/>
      <c r="E8" s="284"/>
      <c r="F8" s="284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ht="12.75" customHeight="1">
      <c r="A9" s="29"/>
      <c r="B9" s="283">
        <v>39904</v>
      </c>
      <c r="C9" s="283"/>
      <c r="D9" s="279">
        <v>7106533.37</v>
      </c>
      <c r="E9" s="279"/>
      <c r="F9" s="279"/>
      <c r="G9" s="279"/>
      <c r="H9" s="29"/>
      <c r="I9" s="279">
        <v>7060020.68</v>
      </c>
      <c r="J9" s="279"/>
      <c r="K9" s="279"/>
      <c r="L9" s="32">
        <v>0.2177</v>
      </c>
      <c r="M9" s="29"/>
      <c r="N9" s="279">
        <v>128080.54</v>
      </c>
      <c r="O9" s="279"/>
      <c r="P9" s="279"/>
      <c r="Q9" s="279">
        <v>6253994.56</v>
      </c>
      <c r="R9" s="279"/>
      <c r="S9" s="279"/>
      <c r="T9" s="280">
        <v>0</v>
      </c>
      <c r="U9" s="280"/>
      <c r="V9" s="282">
        <v>0</v>
      </c>
      <c r="W9" s="282"/>
      <c r="X9" s="282"/>
      <c r="Y9" s="279">
        <v>-27972.32</v>
      </c>
      <c r="Z9" s="279"/>
    </row>
    <row r="10" spans="1:26" ht="12.7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ht="12.75" customHeight="1">
      <c r="A11" s="29"/>
      <c r="B11" s="283">
        <v>39934</v>
      </c>
      <c r="C11" s="283"/>
      <c r="D11" s="279">
        <v>7148235.63</v>
      </c>
      <c r="E11" s="279"/>
      <c r="F11" s="279"/>
      <c r="G11" s="279"/>
      <c r="H11" s="29"/>
      <c r="I11" s="279">
        <v>7070289.14</v>
      </c>
      <c r="J11" s="279"/>
      <c r="K11" s="279"/>
      <c r="L11" s="32">
        <v>0.2177</v>
      </c>
      <c r="M11" s="29"/>
      <c r="N11" s="279">
        <v>128266.83</v>
      </c>
      <c r="O11" s="279"/>
      <c r="P11" s="279"/>
      <c r="Q11" s="279">
        <v>6363889.82</v>
      </c>
      <c r="R11" s="279"/>
      <c r="S11" s="279"/>
      <c r="T11" s="280">
        <v>0</v>
      </c>
      <c r="U11" s="280"/>
      <c r="V11" s="282">
        <v>0</v>
      </c>
      <c r="W11" s="282"/>
      <c r="X11" s="282"/>
      <c r="Y11" s="279">
        <v>-27972.32</v>
      </c>
      <c r="Z11" s="279"/>
    </row>
    <row r="12" spans="1:26" ht="12.7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12.75" customHeight="1">
      <c r="A13" s="29"/>
      <c r="B13" s="283">
        <v>39965</v>
      </c>
      <c r="C13" s="283"/>
      <c r="D13" s="279">
        <v>7161926.9</v>
      </c>
      <c r="E13" s="279"/>
      <c r="F13" s="279"/>
      <c r="G13" s="279"/>
      <c r="H13" s="29"/>
      <c r="I13" s="279">
        <v>7091166.14</v>
      </c>
      <c r="J13" s="279"/>
      <c r="K13" s="279"/>
      <c r="L13" s="32">
        <v>0.2177</v>
      </c>
      <c r="M13" s="29"/>
      <c r="N13" s="279">
        <v>128645.57</v>
      </c>
      <c r="O13" s="279"/>
      <c r="P13" s="279"/>
      <c r="Q13" s="279">
        <v>6469060.61</v>
      </c>
      <c r="R13" s="279"/>
      <c r="S13" s="279"/>
      <c r="T13" s="280">
        <v>0</v>
      </c>
      <c r="U13" s="280"/>
      <c r="V13" s="282">
        <v>0</v>
      </c>
      <c r="W13" s="282"/>
      <c r="X13" s="282"/>
      <c r="Y13" s="279">
        <v>-45536.66</v>
      </c>
      <c r="Z13" s="279"/>
    </row>
    <row r="14" spans="1:26" ht="12.7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1:26" ht="12.75" customHeight="1">
      <c r="A15" s="29"/>
      <c r="B15" s="283">
        <v>39995</v>
      </c>
      <c r="C15" s="283"/>
      <c r="D15" s="279">
        <v>7186283.42</v>
      </c>
      <c r="E15" s="279"/>
      <c r="F15" s="279"/>
      <c r="G15" s="279"/>
      <c r="H15" s="29"/>
      <c r="I15" s="279">
        <v>7114244.96</v>
      </c>
      <c r="J15" s="279"/>
      <c r="K15" s="279"/>
      <c r="L15" s="32">
        <v>0.2177</v>
      </c>
      <c r="M15" s="29"/>
      <c r="N15" s="279">
        <v>129064.26</v>
      </c>
      <c r="O15" s="279"/>
      <c r="P15" s="279"/>
      <c r="Q15" s="279">
        <v>6581794.59</v>
      </c>
      <c r="R15" s="279"/>
      <c r="S15" s="279"/>
      <c r="T15" s="280">
        <v>0</v>
      </c>
      <c r="U15" s="280"/>
      <c r="V15" s="282">
        <v>0</v>
      </c>
      <c r="W15" s="282"/>
      <c r="X15" s="282"/>
      <c r="Y15" s="279">
        <v>-43747.61</v>
      </c>
      <c r="Z15" s="279"/>
    </row>
    <row r="16" spans="1:26" ht="12.7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1:26" ht="12.75" customHeight="1">
      <c r="A17" s="29"/>
      <c r="B17" s="283">
        <v>40026</v>
      </c>
      <c r="C17" s="283"/>
      <c r="D17" s="279">
        <v>7209362.25</v>
      </c>
      <c r="E17" s="279"/>
      <c r="F17" s="279"/>
      <c r="G17" s="279"/>
      <c r="H17" s="29"/>
      <c r="I17" s="279">
        <v>7208324.48</v>
      </c>
      <c r="J17" s="279"/>
      <c r="K17" s="279"/>
      <c r="L17" s="32">
        <v>0.2177</v>
      </c>
      <c r="M17" s="29"/>
      <c r="N17" s="279">
        <v>130771.02</v>
      </c>
      <c r="O17" s="279"/>
      <c r="P17" s="279"/>
      <c r="Q17" s="279">
        <v>6707462.4</v>
      </c>
      <c r="R17" s="279"/>
      <c r="S17" s="279"/>
      <c r="T17" s="280">
        <v>0</v>
      </c>
      <c r="U17" s="280"/>
      <c r="V17" s="282">
        <v>0</v>
      </c>
      <c r="W17" s="282"/>
      <c r="X17" s="282"/>
      <c r="Y17" s="279">
        <v>-43797.99</v>
      </c>
      <c r="Z17" s="279"/>
    </row>
    <row r="18" spans="1:26" ht="12.7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2.75" customHeight="1">
      <c r="A19" s="29"/>
      <c r="B19" s="283">
        <v>40057</v>
      </c>
      <c r="C19" s="283"/>
      <c r="D19" s="279">
        <v>7287761.85</v>
      </c>
      <c r="E19" s="279"/>
      <c r="F19" s="279"/>
      <c r="G19" s="279"/>
      <c r="H19" s="29"/>
      <c r="I19" s="279">
        <v>7264017.08</v>
      </c>
      <c r="J19" s="279"/>
      <c r="K19" s="279"/>
      <c r="L19" s="32">
        <v>0.2177</v>
      </c>
      <c r="M19" s="29"/>
      <c r="N19" s="279">
        <v>131781.38</v>
      </c>
      <c r="O19" s="279"/>
      <c r="P19" s="279"/>
      <c r="Q19" s="279">
        <v>6839243.78</v>
      </c>
      <c r="R19" s="279"/>
      <c r="S19" s="279"/>
      <c r="T19" s="280">
        <v>0</v>
      </c>
      <c r="U19" s="280"/>
      <c r="V19" s="282">
        <v>0</v>
      </c>
      <c r="W19" s="282"/>
      <c r="X19" s="282"/>
      <c r="Y19" s="279">
        <v>-43212.93</v>
      </c>
      <c r="Z19" s="279"/>
    </row>
    <row r="20" spans="1:26" ht="12.7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2.75" customHeight="1">
      <c r="A21" s="29"/>
      <c r="B21" s="288">
        <v>40087</v>
      </c>
      <c r="C21" s="288"/>
      <c r="D21" s="285">
        <v>7324890.26</v>
      </c>
      <c r="E21" s="285"/>
      <c r="F21" s="285"/>
      <c r="G21" s="285"/>
      <c r="H21" s="29"/>
      <c r="I21" s="285">
        <v>7271122.76</v>
      </c>
      <c r="J21" s="285"/>
      <c r="K21" s="285"/>
      <c r="L21" s="32">
        <v>0.2177</v>
      </c>
      <c r="M21" s="29"/>
      <c r="N21" s="285">
        <v>131910.29</v>
      </c>
      <c r="O21" s="285"/>
      <c r="P21" s="285"/>
      <c r="Q21" s="285">
        <v>6933470.71</v>
      </c>
      <c r="R21" s="285"/>
      <c r="S21" s="285"/>
      <c r="T21" s="286">
        <v>0</v>
      </c>
      <c r="U21" s="286"/>
      <c r="V21" s="287">
        <v>0</v>
      </c>
      <c r="W21" s="287"/>
      <c r="X21" s="287"/>
      <c r="Y21" s="285">
        <v>-42942.65</v>
      </c>
      <c r="Z21" s="285"/>
    </row>
    <row r="22" spans="1:26" ht="12.7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2.75" customHeight="1">
      <c r="A23" s="29"/>
      <c r="B23" s="283">
        <v>40118</v>
      </c>
      <c r="C23" s="283"/>
      <c r="D23" s="279">
        <v>7328443.08</v>
      </c>
      <c r="E23" s="279"/>
      <c r="F23" s="279"/>
      <c r="G23" s="279"/>
      <c r="H23" s="29"/>
      <c r="I23" s="279">
        <v>7124358.68</v>
      </c>
      <c r="J23" s="279"/>
      <c r="K23" s="279"/>
      <c r="L23" s="32">
        <v>0.2177</v>
      </c>
      <c r="M23" s="29"/>
      <c r="N23" s="279">
        <v>129247.74</v>
      </c>
      <c r="O23" s="279"/>
      <c r="P23" s="279"/>
      <c r="Q23" s="279">
        <v>6998587.08</v>
      </c>
      <c r="R23" s="279"/>
      <c r="S23" s="279"/>
      <c r="T23" s="280">
        <v>0</v>
      </c>
      <c r="U23" s="280"/>
      <c r="V23" s="282">
        <v>0</v>
      </c>
      <c r="W23" s="282"/>
      <c r="X23" s="282"/>
      <c r="Y23" s="279">
        <v>-40667.7</v>
      </c>
      <c r="Z23" s="279"/>
    </row>
    <row r="24" spans="1:26" ht="12.7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2.75" customHeight="1">
      <c r="A25" s="29"/>
      <c r="B25" s="283">
        <v>40148</v>
      </c>
      <c r="C25" s="283"/>
      <c r="D25" s="279">
        <v>7279521.73</v>
      </c>
      <c r="E25" s="279"/>
      <c r="F25" s="279"/>
      <c r="G25" s="279"/>
      <c r="H25" s="29"/>
      <c r="I25" s="279">
        <v>7027036.88</v>
      </c>
      <c r="J25" s="279"/>
      <c r="K25" s="279"/>
      <c r="L25" s="32">
        <v>0.2177</v>
      </c>
      <c r="M25" s="29"/>
      <c r="N25" s="279">
        <v>127482.16</v>
      </c>
      <c r="O25" s="279"/>
      <c r="P25" s="279"/>
      <c r="Q25" s="279">
        <v>7075439.21</v>
      </c>
      <c r="R25" s="279"/>
      <c r="S25" s="279"/>
      <c r="T25" s="280">
        <v>0</v>
      </c>
      <c r="U25" s="280"/>
      <c r="V25" s="282">
        <v>0</v>
      </c>
      <c r="W25" s="282"/>
      <c r="X25" s="282"/>
      <c r="Y25" s="279">
        <v>-40754.26</v>
      </c>
      <c r="Z25" s="279"/>
    </row>
    <row r="26" spans="1:26" ht="12.7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2.75" customHeight="1">
      <c r="A27" s="29"/>
      <c r="B27" s="283">
        <v>40179</v>
      </c>
      <c r="C27" s="283"/>
      <c r="D27" s="279">
        <v>7263301.43</v>
      </c>
      <c r="E27" s="279"/>
      <c r="F27" s="279"/>
      <c r="G27" s="279"/>
      <c r="H27" s="29"/>
      <c r="I27" s="279">
        <v>7269104.21</v>
      </c>
      <c r="J27" s="279"/>
      <c r="K27" s="279"/>
      <c r="L27" s="32">
        <v>0.2177</v>
      </c>
      <c r="M27" s="29"/>
      <c r="N27" s="279">
        <v>131873.67</v>
      </c>
      <c r="O27" s="279"/>
      <c r="P27" s="279"/>
      <c r="Q27" s="279">
        <v>7166750.89</v>
      </c>
      <c r="R27" s="279"/>
      <c r="S27" s="279"/>
      <c r="T27" s="280">
        <v>0</v>
      </c>
      <c r="U27" s="280"/>
      <c r="V27" s="282">
        <v>0</v>
      </c>
      <c r="W27" s="282"/>
      <c r="X27" s="282"/>
      <c r="Y27" s="279">
        <v>-40752.1</v>
      </c>
      <c r="Z27" s="279"/>
    </row>
    <row r="28" spans="1:26" ht="12.7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2.75" customHeight="1">
      <c r="A29" s="29"/>
      <c r="B29" s="283">
        <v>40210</v>
      </c>
      <c r="C29" s="283"/>
      <c r="D29" s="279">
        <v>7274906.94</v>
      </c>
      <c r="E29" s="279"/>
      <c r="F29" s="279"/>
      <c r="G29" s="279"/>
      <c r="H29" s="29"/>
      <c r="I29" s="279">
        <v>7254474.89</v>
      </c>
      <c r="J29" s="279"/>
      <c r="K29" s="279"/>
      <c r="L29" s="32">
        <v>0.2177</v>
      </c>
      <c r="M29" s="29"/>
      <c r="N29" s="279">
        <v>131608.27</v>
      </c>
      <c r="O29" s="279"/>
      <c r="P29" s="279"/>
      <c r="Q29" s="279">
        <v>7231242.73</v>
      </c>
      <c r="R29" s="279"/>
      <c r="S29" s="279"/>
      <c r="T29" s="280">
        <v>0</v>
      </c>
      <c r="U29" s="280"/>
      <c r="V29" s="282">
        <v>0</v>
      </c>
      <c r="W29" s="282"/>
      <c r="X29" s="282"/>
      <c r="Y29" s="279">
        <v>-40750.49</v>
      </c>
      <c r="Z29" s="279"/>
    </row>
    <row r="30" spans="1:26" ht="12.7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2.75" customHeight="1">
      <c r="A31" s="29"/>
      <c r="B31" s="283">
        <v>40238</v>
      </c>
      <c r="C31" s="283"/>
      <c r="D31" s="279">
        <v>7248086.62</v>
      </c>
      <c r="E31" s="279"/>
      <c r="F31" s="279"/>
      <c r="G31" s="279"/>
      <c r="H31" s="29"/>
      <c r="I31" s="279">
        <v>7271923.43</v>
      </c>
      <c r="J31" s="279"/>
      <c r="K31" s="279"/>
      <c r="L31" s="32">
        <v>0.2177</v>
      </c>
      <c r="M31" s="29"/>
      <c r="N31" s="279">
        <v>131924.81</v>
      </c>
      <c r="O31" s="279"/>
      <c r="P31" s="279"/>
      <c r="Q31" s="279">
        <v>7328312.46</v>
      </c>
      <c r="R31" s="279"/>
      <c r="S31" s="279"/>
      <c r="T31" s="280">
        <v>0</v>
      </c>
      <c r="U31" s="280"/>
      <c r="V31" s="282">
        <v>0</v>
      </c>
      <c r="W31" s="282"/>
      <c r="X31" s="282"/>
      <c r="Y31" s="279">
        <v>-39244.26</v>
      </c>
      <c r="Z31" s="279"/>
    </row>
    <row r="32" spans="1:26" ht="12.7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33"/>
      <c r="M32" s="33"/>
      <c r="N32" s="33"/>
      <c r="O32" s="33"/>
      <c r="P32" s="281"/>
      <c r="Q32" s="281"/>
      <c r="R32" s="33"/>
      <c r="S32" s="33"/>
      <c r="T32" s="33"/>
      <c r="U32" s="33"/>
      <c r="V32" s="33"/>
      <c r="W32" s="33"/>
      <c r="X32" s="33"/>
      <c r="Y32" s="33"/>
      <c r="Z32" s="33"/>
    </row>
    <row r="33" spans="1:26" ht="38.2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34" t="s">
        <v>34</v>
      </c>
      <c r="M33" s="31"/>
      <c r="N33" s="278">
        <v>1560656.54</v>
      </c>
      <c r="O33" s="278"/>
      <c r="P33" s="278"/>
      <c r="Q33" s="278">
        <v>7328312.46</v>
      </c>
      <c r="R33" s="278"/>
      <c r="S33" s="278"/>
      <c r="T33" s="31"/>
      <c r="U33" s="31"/>
      <c r="V33" s="277">
        <v>0</v>
      </c>
      <c r="W33" s="277"/>
      <c r="X33" s="277"/>
      <c r="Y33" s="278">
        <v>-39244.26</v>
      </c>
      <c r="Z33" s="278"/>
    </row>
    <row r="34" spans="1:26" ht="12.75" customHeight="1">
      <c r="A34" s="29"/>
      <c r="B34" s="284" t="s">
        <v>35</v>
      </c>
      <c r="C34" s="284"/>
      <c r="D34" s="284"/>
      <c r="E34" s="284"/>
      <c r="F34" s="284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2.75" customHeight="1">
      <c r="A35" s="29"/>
      <c r="B35" s="283">
        <v>39904</v>
      </c>
      <c r="C35" s="283"/>
      <c r="D35" s="279">
        <v>5288061.17</v>
      </c>
      <c r="E35" s="279"/>
      <c r="F35" s="279"/>
      <c r="G35" s="279"/>
      <c r="H35" s="29"/>
      <c r="I35" s="279">
        <v>5295443.3</v>
      </c>
      <c r="J35" s="279"/>
      <c r="K35" s="279"/>
      <c r="L35" s="32">
        <v>0.2177</v>
      </c>
      <c r="M35" s="29"/>
      <c r="N35" s="279">
        <v>96068.17</v>
      </c>
      <c r="O35" s="279"/>
      <c r="P35" s="279"/>
      <c r="Q35" s="279">
        <v>9477631.13</v>
      </c>
      <c r="R35" s="279"/>
      <c r="S35" s="279"/>
      <c r="T35" s="280">
        <v>0</v>
      </c>
      <c r="U35" s="280"/>
      <c r="V35" s="282">
        <v>0</v>
      </c>
      <c r="W35" s="282"/>
      <c r="X35" s="282"/>
      <c r="Y35" s="279">
        <v>16818.66</v>
      </c>
      <c r="Z35" s="279"/>
    </row>
    <row r="36" spans="1:26" ht="12.7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2.75" customHeight="1">
      <c r="A37" s="29"/>
      <c r="B37" s="283">
        <v>39934</v>
      </c>
      <c r="C37" s="283"/>
      <c r="D37" s="279">
        <v>5282599.06</v>
      </c>
      <c r="E37" s="279"/>
      <c r="F37" s="279"/>
      <c r="G37" s="279"/>
      <c r="H37" s="29"/>
      <c r="I37" s="279">
        <v>5289525.98</v>
      </c>
      <c r="J37" s="279"/>
      <c r="K37" s="279"/>
      <c r="L37" s="32">
        <v>0.2177</v>
      </c>
      <c r="M37" s="29"/>
      <c r="N37" s="279">
        <v>95960.82</v>
      </c>
      <c r="O37" s="279"/>
      <c r="P37" s="279"/>
      <c r="Q37" s="279">
        <v>9565702.24</v>
      </c>
      <c r="R37" s="279"/>
      <c r="S37" s="279"/>
      <c r="T37" s="280">
        <v>0</v>
      </c>
      <c r="U37" s="280"/>
      <c r="V37" s="282">
        <v>0</v>
      </c>
      <c r="W37" s="282"/>
      <c r="X37" s="282"/>
      <c r="Y37" s="279">
        <v>16818.66</v>
      </c>
      <c r="Z37" s="279"/>
    </row>
    <row r="38" spans="1:26" ht="12.7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spans="1:26" ht="12.75" customHeight="1">
      <c r="A39" s="29"/>
      <c r="B39" s="283">
        <v>39965</v>
      </c>
      <c r="C39" s="283"/>
      <c r="D39" s="279">
        <v>5274709.35</v>
      </c>
      <c r="E39" s="279"/>
      <c r="F39" s="279"/>
      <c r="G39" s="279"/>
      <c r="H39" s="29"/>
      <c r="I39" s="279">
        <v>5281722.98</v>
      </c>
      <c r="J39" s="279"/>
      <c r="K39" s="279"/>
      <c r="L39" s="32">
        <v>0.2177</v>
      </c>
      <c r="M39" s="29"/>
      <c r="N39" s="279">
        <v>95819.26</v>
      </c>
      <c r="O39" s="279"/>
      <c r="P39" s="279"/>
      <c r="Q39" s="279">
        <v>9652417.99</v>
      </c>
      <c r="R39" s="279"/>
      <c r="S39" s="279"/>
      <c r="T39" s="280">
        <v>0</v>
      </c>
      <c r="U39" s="280"/>
      <c r="V39" s="282">
        <v>0</v>
      </c>
      <c r="W39" s="282"/>
      <c r="X39" s="282"/>
      <c r="Y39" s="279">
        <v>9629.24</v>
      </c>
      <c r="Z39" s="279"/>
    </row>
    <row r="40" spans="1:26" ht="12.7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spans="1:26" ht="12.75" customHeight="1">
      <c r="A41" s="29"/>
      <c r="B41" s="283">
        <v>39995</v>
      </c>
      <c r="C41" s="283"/>
      <c r="D41" s="279">
        <v>5265605.84</v>
      </c>
      <c r="E41" s="279"/>
      <c r="F41" s="279"/>
      <c r="G41" s="279"/>
      <c r="H41" s="29"/>
      <c r="I41" s="279">
        <v>5272619.48</v>
      </c>
      <c r="J41" s="279"/>
      <c r="K41" s="279"/>
      <c r="L41" s="32">
        <v>0.2177</v>
      </c>
      <c r="M41" s="29"/>
      <c r="N41" s="279">
        <v>95654.11</v>
      </c>
      <c r="O41" s="279"/>
      <c r="P41" s="279"/>
      <c r="Q41" s="279">
        <v>9738968.59</v>
      </c>
      <c r="R41" s="279"/>
      <c r="S41" s="279"/>
      <c r="T41" s="280">
        <v>0</v>
      </c>
      <c r="U41" s="280"/>
      <c r="V41" s="282">
        <v>0</v>
      </c>
      <c r="W41" s="282"/>
      <c r="X41" s="282"/>
      <c r="Y41" s="279">
        <v>10361.54</v>
      </c>
      <c r="Z41" s="279"/>
    </row>
    <row r="42" spans="1:26" ht="12.7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spans="1:26" ht="12.75" customHeight="1">
      <c r="A43" s="29"/>
      <c r="B43" s="283">
        <v>40026</v>
      </c>
      <c r="C43" s="283"/>
      <c r="D43" s="279">
        <v>5256502.33</v>
      </c>
      <c r="E43" s="279"/>
      <c r="F43" s="279"/>
      <c r="G43" s="279"/>
      <c r="H43" s="29"/>
      <c r="I43" s="279">
        <v>5269706.36</v>
      </c>
      <c r="J43" s="279"/>
      <c r="K43" s="279"/>
      <c r="L43" s="32">
        <v>0.2177</v>
      </c>
      <c r="M43" s="29"/>
      <c r="N43" s="279">
        <v>95601.26</v>
      </c>
      <c r="O43" s="279"/>
      <c r="P43" s="279"/>
      <c r="Q43" s="279">
        <v>9832142.25</v>
      </c>
      <c r="R43" s="279"/>
      <c r="S43" s="279"/>
      <c r="T43" s="280">
        <v>0</v>
      </c>
      <c r="U43" s="280"/>
      <c r="V43" s="282">
        <v>0</v>
      </c>
      <c r="W43" s="282"/>
      <c r="X43" s="282"/>
      <c r="Y43" s="279">
        <v>10340.92</v>
      </c>
      <c r="Z43" s="279"/>
    </row>
    <row r="44" spans="1:26" ht="12.7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</row>
    <row r="45" spans="1:26" ht="12.75" customHeight="1">
      <c r="A45" s="29"/>
      <c r="B45" s="283">
        <v>40057</v>
      </c>
      <c r="C45" s="283"/>
      <c r="D45" s="279">
        <v>5254074.73</v>
      </c>
      <c r="E45" s="279"/>
      <c r="F45" s="279"/>
      <c r="G45" s="279"/>
      <c r="H45" s="29"/>
      <c r="I45" s="279">
        <v>5269706.36</v>
      </c>
      <c r="J45" s="279"/>
      <c r="K45" s="279"/>
      <c r="L45" s="32">
        <v>0.2177</v>
      </c>
      <c r="M45" s="29"/>
      <c r="N45" s="279">
        <v>95601.26</v>
      </c>
      <c r="O45" s="279"/>
      <c r="P45" s="279"/>
      <c r="Q45" s="279">
        <v>9927743.51</v>
      </c>
      <c r="R45" s="279"/>
      <c r="S45" s="279"/>
      <c r="T45" s="280">
        <v>0</v>
      </c>
      <c r="U45" s="280"/>
      <c r="V45" s="282">
        <v>0</v>
      </c>
      <c r="W45" s="282"/>
      <c r="X45" s="282"/>
      <c r="Y45" s="279">
        <v>10580.4</v>
      </c>
      <c r="Z45" s="279"/>
    </row>
    <row r="46" spans="1:26" ht="12.7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</row>
    <row r="47" spans="1:26" ht="12.75" customHeight="1">
      <c r="A47" s="29"/>
      <c r="B47" s="283">
        <v>40087</v>
      </c>
      <c r="C47" s="283"/>
      <c r="D47" s="279">
        <v>5254074.73</v>
      </c>
      <c r="E47" s="279"/>
      <c r="F47" s="279"/>
      <c r="G47" s="279"/>
      <c r="H47" s="29"/>
      <c r="I47" s="279">
        <v>5252713.16</v>
      </c>
      <c r="J47" s="279"/>
      <c r="K47" s="279"/>
      <c r="L47" s="32">
        <v>0.2177</v>
      </c>
      <c r="M47" s="29"/>
      <c r="N47" s="279">
        <v>95292.97</v>
      </c>
      <c r="O47" s="279"/>
      <c r="P47" s="279"/>
      <c r="Q47" s="279">
        <v>10014539.87</v>
      </c>
      <c r="R47" s="279"/>
      <c r="S47" s="279"/>
      <c r="T47" s="280">
        <v>0</v>
      </c>
      <c r="U47" s="280"/>
      <c r="V47" s="282">
        <v>0</v>
      </c>
      <c r="W47" s="282"/>
      <c r="X47" s="282"/>
      <c r="Y47" s="279">
        <v>10691.02</v>
      </c>
      <c r="Z47" s="279"/>
    </row>
    <row r="48" spans="1:26" ht="12.7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</row>
    <row r="49" spans="1:26" ht="12.75" customHeight="1">
      <c r="A49" s="29"/>
      <c r="B49" s="283">
        <v>40118</v>
      </c>
      <c r="C49" s="283"/>
      <c r="D49" s="279">
        <v>5245578.12</v>
      </c>
      <c r="E49" s="279"/>
      <c r="F49" s="279"/>
      <c r="G49" s="279"/>
      <c r="H49" s="29"/>
      <c r="I49" s="279">
        <v>5236326.8</v>
      </c>
      <c r="J49" s="279"/>
      <c r="K49" s="279"/>
      <c r="L49" s="32">
        <v>0.2177</v>
      </c>
      <c r="M49" s="29"/>
      <c r="N49" s="279">
        <v>94995.7</v>
      </c>
      <c r="O49" s="279"/>
      <c r="P49" s="279"/>
      <c r="Q49" s="279">
        <v>10104073.46</v>
      </c>
      <c r="R49" s="279"/>
      <c r="S49" s="279"/>
      <c r="T49" s="280">
        <v>0</v>
      </c>
      <c r="U49" s="280"/>
      <c r="V49" s="282">
        <v>0</v>
      </c>
      <c r="W49" s="282"/>
      <c r="X49" s="282"/>
      <c r="Y49" s="279">
        <v>10625.95</v>
      </c>
      <c r="Z49" s="279"/>
    </row>
    <row r="50" spans="1:26" ht="12.7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</row>
    <row r="51" spans="1:26" ht="12.75" customHeight="1">
      <c r="A51" s="29"/>
      <c r="B51" s="283">
        <v>40148</v>
      </c>
      <c r="C51" s="283"/>
      <c r="D51" s="279">
        <v>5240116.01</v>
      </c>
      <c r="E51" s="279"/>
      <c r="F51" s="279"/>
      <c r="G51" s="279"/>
      <c r="H51" s="29"/>
      <c r="I51" s="279">
        <v>5207195.54</v>
      </c>
      <c r="J51" s="279"/>
      <c r="K51" s="279"/>
      <c r="L51" s="32">
        <v>0.2177</v>
      </c>
      <c r="M51" s="29"/>
      <c r="N51" s="279">
        <v>94467.21</v>
      </c>
      <c r="O51" s="279"/>
      <c r="P51" s="279"/>
      <c r="Q51" s="279">
        <v>10193685.46</v>
      </c>
      <c r="R51" s="279"/>
      <c r="S51" s="279"/>
      <c r="T51" s="280">
        <v>0</v>
      </c>
      <c r="U51" s="280"/>
      <c r="V51" s="282">
        <v>0</v>
      </c>
      <c r="W51" s="282"/>
      <c r="X51" s="282"/>
      <c r="Y51" s="279">
        <v>10625.95</v>
      </c>
      <c r="Z51" s="279"/>
    </row>
    <row r="52" spans="1:26" ht="12.7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</row>
    <row r="53" spans="1:26" ht="12.75" customHeight="1">
      <c r="A53" s="29"/>
      <c r="B53" s="283">
        <v>40179</v>
      </c>
      <c r="C53" s="283"/>
      <c r="D53" s="279">
        <v>5235260.8</v>
      </c>
      <c r="E53" s="279"/>
      <c r="F53" s="279"/>
      <c r="G53" s="279"/>
      <c r="H53" s="29"/>
      <c r="I53" s="279">
        <v>5232529.72</v>
      </c>
      <c r="J53" s="279"/>
      <c r="K53" s="279"/>
      <c r="L53" s="32">
        <v>0.2177</v>
      </c>
      <c r="M53" s="29"/>
      <c r="N53" s="279">
        <v>94926.81</v>
      </c>
      <c r="O53" s="279"/>
      <c r="P53" s="279"/>
      <c r="Q53" s="279">
        <v>10283150.16</v>
      </c>
      <c r="R53" s="279"/>
      <c r="S53" s="279"/>
      <c r="T53" s="280">
        <v>0</v>
      </c>
      <c r="U53" s="280"/>
      <c r="V53" s="282">
        <v>0</v>
      </c>
      <c r="W53" s="282"/>
      <c r="X53" s="282"/>
      <c r="Y53" s="279">
        <v>10807.49</v>
      </c>
      <c r="Z53" s="279"/>
    </row>
    <row r="54" spans="1:26" ht="12.7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</row>
    <row r="55" spans="1:26" ht="12.75" customHeight="1">
      <c r="A55" s="29"/>
      <c r="B55" s="283">
        <v>40210</v>
      </c>
      <c r="C55" s="283"/>
      <c r="D55" s="279">
        <v>5229798.69</v>
      </c>
      <c r="E55" s="279"/>
      <c r="F55" s="279"/>
      <c r="G55" s="279"/>
      <c r="H55" s="29"/>
      <c r="I55" s="279">
        <v>5185393.78</v>
      </c>
      <c r="J55" s="279"/>
      <c r="K55" s="279"/>
      <c r="L55" s="32">
        <v>0.2177</v>
      </c>
      <c r="M55" s="29"/>
      <c r="N55" s="279">
        <v>94071.69</v>
      </c>
      <c r="O55" s="279"/>
      <c r="P55" s="279"/>
      <c r="Q55" s="279">
        <v>10290805.94</v>
      </c>
      <c r="R55" s="279"/>
      <c r="S55" s="279"/>
      <c r="T55" s="280">
        <v>0</v>
      </c>
      <c r="U55" s="280"/>
      <c r="V55" s="282">
        <v>0</v>
      </c>
      <c r="W55" s="282"/>
      <c r="X55" s="282"/>
      <c r="Y55" s="279">
        <v>10943.19</v>
      </c>
      <c r="Z55" s="279"/>
    </row>
    <row r="56" spans="1:26" ht="12.7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</row>
    <row r="57" spans="1:26" ht="12.75" customHeight="1">
      <c r="A57" s="29"/>
      <c r="B57" s="283">
        <v>40238</v>
      </c>
      <c r="C57" s="283"/>
      <c r="D57" s="279">
        <v>5143382.78</v>
      </c>
      <c r="E57" s="279"/>
      <c r="F57" s="279"/>
      <c r="G57" s="279"/>
      <c r="H57" s="29"/>
      <c r="I57" s="279">
        <v>5100549.1</v>
      </c>
      <c r="J57" s="279"/>
      <c r="K57" s="279"/>
      <c r="L57" s="32">
        <v>0.2177</v>
      </c>
      <c r="M57" s="29"/>
      <c r="N57" s="279">
        <v>92532.46</v>
      </c>
      <c r="O57" s="279"/>
      <c r="P57" s="279"/>
      <c r="Q57" s="279">
        <v>10241930.54</v>
      </c>
      <c r="R57" s="279"/>
      <c r="S57" s="279"/>
      <c r="T57" s="280">
        <v>0</v>
      </c>
      <c r="U57" s="280"/>
      <c r="V57" s="282">
        <v>0</v>
      </c>
      <c r="W57" s="282"/>
      <c r="X57" s="282"/>
      <c r="Y57" s="279">
        <v>11140.84</v>
      </c>
      <c r="Z57" s="279"/>
    </row>
    <row r="58" spans="1:26" ht="12.7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33"/>
      <c r="M58" s="33"/>
      <c r="N58" s="33"/>
      <c r="O58" s="33"/>
      <c r="P58" s="281"/>
      <c r="Q58" s="281"/>
      <c r="R58" s="33"/>
      <c r="S58" s="33"/>
      <c r="T58" s="33"/>
      <c r="U58" s="33"/>
      <c r="V58" s="33"/>
      <c r="W58" s="33"/>
      <c r="X58" s="33"/>
      <c r="Y58" s="33"/>
      <c r="Z58" s="33"/>
    </row>
    <row r="59" spans="1:26" ht="38.2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34" t="s">
        <v>34</v>
      </c>
      <c r="M59" s="31"/>
      <c r="N59" s="278">
        <v>1140991.72</v>
      </c>
      <c r="O59" s="278"/>
      <c r="P59" s="278"/>
      <c r="Q59" s="278">
        <v>10241930.54</v>
      </c>
      <c r="R59" s="278"/>
      <c r="S59" s="278"/>
      <c r="T59" s="31"/>
      <c r="U59" s="31"/>
      <c r="V59" s="277">
        <v>0</v>
      </c>
      <c r="W59" s="277"/>
      <c r="X59" s="277"/>
      <c r="Y59" s="278">
        <v>11140.84</v>
      </c>
      <c r="Z59" s="278"/>
    </row>
    <row r="60" spans="1:26" ht="12.75" customHeight="1">
      <c r="A60" s="29"/>
      <c r="B60" s="284" t="s">
        <v>36</v>
      </c>
      <c r="C60" s="284"/>
      <c r="D60" s="284"/>
      <c r="E60" s="284"/>
      <c r="F60" s="284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</row>
    <row r="61" spans="1:26" ht="12.75" customHeight="1">
      <c r="A61" s="29"/>
      <c r="B61" s="283">
        <v>39904</v>
      </c>
      <c r="C61" s="283"/>
      <c r="D61" s="279">
        <v>16588634.87</v>
      </c>
      <c r="E61" s="279"/>
      <c r="F61" s="279"/>
      <c r="G61" s="279"/>
      <c r="H61" s="29"/>
      <c r="I61" s="279">
        <v>16572698.59</v>
      </c>
      <c r="J61" s="279"/>
      <c r="K61" s="279"/>
      <c r="L61" s="32">
        <v>0.1931</v>
      </c>
      <c r="M61" s="29"/>
      <c r="N61" s="279">
        <v>266682.34</v>
      </c>
      <c r="O61" s="279"/>
      <c r="P61" s="279"/>
      <c r="Q61" s="279">
        <v>17605848.67</v>
      </c>
      <c r="R61" s="279"/>
      <c r="S61" s="279"/>
      <c r="T61" s="280">
        <v>0</v>
      </c>
      <c r="U61" s="280"/>
      <c r="V61" s="282">
        <v>0</v>
      </c>
      <c r="W61" s="282"/>
      <c r="X61" s="282"/>
      <c r="Y61" s="279">
        <v>-254440.74</v>
      </c>
      <c r="Z61" s="279"/>
    </row>
    <row r="62" spans="1:26" ht="12.7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</row>
    <row r="63" spans="1:26" ht="12.75" customHeight="1">
      <c r="A63" s="29"/>
      <c r="B63" s="283">
        <v>39934</v>
      </c>
      <c r="C63" s="283"/>
      <c r="D63" s="279">
        <v>16774043.73</v>
      </c>
      <c r="E63" s="279"/>
      <c r="F63" s="279"/>
      <c r="G63" s="279"/>
      <c r="H63" s="29"/>
      <c r="I63" s="279">
        <v>16562178.61</v>
      </c>
      <c r="J63" s="279"/>
      <c r="K63" s="279"/>
      <c r="L63" s="32">
        <v>0.1931</v>
      </c>
      <c r="M63" s="29"/>
      <c r="N63" s="279">
        <v>266513.06</v>
      </c>
      <c r="O63" s="279"/>
      <c r="P63" s="279"/>
      <c r="Q63" s="279">
        <v>17827313.53</v>
      </c>
      <c r="R63" s="279"/>
      <c r="S63" s="279"/>
      <c r="T63" s="280">
        <v>0</v>
      </c>
      <c r="U63" s="280"/>
      <c r="V63" s="282">
        <v>0</v>
      </c>
      <c r="W63" s="282"/>
      <c r="X63" s="282"/>
      <c r="Y63" s="279">
        <v>-254440.74</v>
      </c>
      <c r="Z63" s="279"/>
    </row>
    <row r="64" spans="1:26" ht="12.7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</row>
    <row r="65" spans="1:26" ht="12.75" customHeight="1">
      <c r="A65" s="29"/>
      <c r="B65" s="283">
        <v>39965</v>
      </c>
      <c r="C65" s="283"/>
      <c r="D65" s="279">
        <v>16760017.13</v>
      </c>
      <c r="E65" s="279"/>
      <c r="F65" s="279"/>
      <c r="G65" s="279"/>
      <c r="H65" s="29"/>
      <c r="I65" s="279">
        <v>16625520.07</v>
      </c>
      <c r="J65" s="279"/>
      <c r="K65" s="279"/>
      <c r="L65" s="32">
        <v>0.1931</v>
      </c>
      <c r="M65" s="29"/>
      <c r="N65" s="279">
        <v>267532.33</v>
      </c>
      <c r="O65" s="279"/>
      <c r="P65" s="279"/>
      <c r="Q65" s="279">
        <v>18042723.98</v>
      </c>
      <c r="R65" s="279"/>
      <c r="S65" s="279"/>
      <c r="T65" s="280">
        <v>0</v>
      </c>
      <c r="U65" s="280"/>
      <c r="V65" s="282">
        <v>0</v>
      </c>
      <c r="W65" s="282"/>
      <c r="X65" s="282"/>
      <c r="Y65" s="279">
        <v>-314923.12</v>
      </c>
      <c r="Z65" s="279"/>
    </row>
    <row r="66" spans="1:26" ht="12.7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</row>
    <row r="67" spans="1:26" ht="12.75" customHeight="1">
      <c r="A67" s="29"/>
      <c r="B67" s="283">
        <v>39995</v>
      </c>
      <c r="C67" s="283"/>
      <c r="D67" s="279">
        <v>16833915.46</v>
      </c>
      <c r="E67" s="279"/>
      <c r="F67" s="279"/>
      <c r="G67" s="279"/>
      <c r="H67" s="29"/>
      <c r="I67" s="279">
        <v>16703800.63</v>
      </c>
      <c r="J67" s="279"/>
      <c r="K67" s="279"/>
      <c r="L67" s="32">
        <v>0.1931</v>
      </c>
      <c r="M67" s="29"/>
      <c r="N67" s="279">
        <v>268791.99</v>
      </c>
      <c r="O67" s="279"/>
      <c r="P67" s="279"/>
      <c r="Q67" s="279">
        <v>18254181.9</v>
      </c>
      <c r="R67" s="279"/>
      <c r="S67" s="279"/>
      <c r="T67" s="280">
        <v>0</v>
      </c>
      <c r="U67" s="280"/>
      <c r="V67" s="282">
        <v>0</v>
      </c>
      <c r="W67" s="282"/>
      <c r="X67" s="282"/>
      <c r="Y67" s="279">
        <v>-317787.81</v>
      </c>
      <c r="Z67" s="279"/>
    </row>
    <row r="68" spans="1:26" ht="12.7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</row>
    <row r="69" spans="1:26" ht="12.75" customHeight="1">
      <c r="A69" s="29"/>
      <c r="B69" s="283">
        <v>40026</v>
      </c>
      <c r="C69" s="283"/>
      <c r="D69" s="279">
        <v>16912196.02</v>
      </c>
      <c r="E69" s="279"/>
      <c r="F69" s="279"/>
      <c r="G69" s="279"/>
      <c r="H69" s="29"/>
      <c r="I69" s="279">
        <v>16812152.71</v>
      </c>
      <c r="J69" s="279"/>
      <c r="K69" s="279"/>
      <c r="L69" s="32">
        <v>0.1931</v>
      </c>
      <c r="M69" s="29"/>
      <c r="N69" s="279">
        <v>270535.56</v>
      </c>
      <c r="O69" s="279"/>
      <c r="P69" s="279"/>
      <c r="Q69" s="279">
        <v>18485253.75</v>
      </c>
      <c r="R69" s="279"/>
      <c r="S69" s="279"/>
      <c r="T69" s="280">
        <v>0</v>
      </c>
      <c r="U69" s="280"/>
      <c r="V69" s="282">
        <v>0</v>
      </c>
      <c r="W69" s="282"/>
      <c r="X69" s="282"/>
      <c r="Y69" s="279">
        <v>-318663.14</v>
      </c>
      <c r="Z69" s="279"/>
    </row>
    <row r="70" spans="1:26" ht="12.7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</row>
    <row r="71" spans="1:26" ht="12.75" customHeight="1">
      <c r="A71" s="29"/>
      <c r="B71" s="283">
        <v>40057</v>
      </c>
      <c r="C71" s="283"/>
      <c r="D71" s="279">
        <v>17002489.43</v>
      </c>
      <c r="E71" s="279"/>
      <c r="F71" s="279"/>
      <c r="G71" s="279"/>
      <c r="H71" s="29"/>
      <c r="I71" s="279">
        <v>17173854.49</v>
      </c>
      <c r="J71" s="279"/>
      <c r="K71" s="279"/>
      <c r="L71" s="32">
        <v>0.1931</v>
      </c>
      <c r="M71" s="29"/>
      <c r="N71" s="279">
        <v>276355.94</v>
      </c>
      <c r="O71" s="279"/>
      <c r="P71" s="279"/>
      <c r="Q71" s="279">
        <v>18761609.69</v>
      </c>
      <c r="R71" s="279"/>
      <c r="S71" s="279"/>
      <c r="T71" s="280">
        <v>0</v>
      </c>
      <c r="U71" s="280"/>
      <c r="V71" s="282">
        <v>0</v>
      </c>
      <c r="W71" s="282"/>
      <c r="X71" s="282"/>
      <c r="Y71" s="279">
        <v>-310087.34</v>
      </c>
      <c r="Z71" s="279"/>
    </row>
    <row r="72" spans="1:26" ht="12.7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</row>
    <row r="73" spans="1:26" ht="12.75" customHeight="1">
      <c r="A73" s="29"/>
      <c r="B73" s="283">
        <v>40087</v>
      </c>
      <c r="C73" s="283"/>
      <c r="D73" s="279">
        <v>17243623.94</v>
      </c>
      <c r="E73" s="279"/>
      <c r="F73" s="279"/>
      <c r="G73" s="279"/>
      <c r="H73" s="29"/>
      <c r="I73" s="279">
        <v>17470809.49</v>
      </c>
      <c r="J73" s="279"/>
      <c r="K73" s="279"/>
      <c r="L73" s="32">
        <v>0.1931</v>
      </c>
      <c r="M73" s="29"/>
      <c r="N73" s="279">
        <v>281134.44</v>
      </c>
      <c r="O73" s="279"/>
      <c r="P73" s="279"/>
      <c r="Q73" s="279">
        <v>18936101.37</v>
      </c>
      <c r="R73" s="279"/>
      <c r="S73" s="279"/>
      <c r="T73" s="280">
        <v>0</v>
      </c>
      <c r="U73" s="280"/>
      <c r="V73" s="282">
        <v>0</v>
      </c>
      <c r="W73" s="282"/>
      <c r="X73" s="282"/>
      <c r="Y73" s="279">
        <v>-301412.39</v>
      </c>
      <c r="Z73" s="279"/>
    </row>
    <row r="74" spans="1:26" ht="12.7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</row>
    <row r="75" spans="1:26" ht="12.75" customHeight="1">
      <c r="A75" s="29"/>
      <c r="B75" s="283">
        <v>40118</v>
      </c>
      <c r="C75" s="283"/>
      <c r="D75" s="279">
        <v>17392101.45</v>
      </c>
      <c r="E75" s="279"/>
      <c r="F75" s="279"/>
      <c r="G75" s="279"/>
      <c r="H75" s="29"/>
      <c r="I75" s="279">
        <v>17499037.51</v>
      </c>
      <c r="J75" s="279"/>
      <c r="K75" s="279"/>
      <c r="L75" s="32">
        <v>0.1931</v>
      </c>
      <c r="M75" s="29"/>
      <c r="N75" s="279">
        <v>281588.68</v>
      </c>
      <c r="O75" s="279"/>
      <c r="P75" s="279"/>
      <c r="Q75" s="279">
        <v>19168546.56</v>
      </c>
      <c r="R75" s="279"/>
      <c r="S75" s="279"/>
      <c r="T75" s="280">
        <v>0</v>
      </c>
      <c r="U75" s="280"/>
      <c r="V75" s="282">
        <v>0</v>
      </c>
      <c r="W75" s="282"/>
      <c r="X75" s="282"/>
      <c r="Y75" s="279">
        <v>-294425</v>
      </c>
      <c r="Z75" s="279"/>
    </row>
    <row r="76" spans="1:26" ht="12.7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</row>
    <row r="77" spans="1:26" ht="12.75" customHeight="1">
      <c r="A77" s="29"/>
      <c r="B77" s="283">
        <v>40148</v>
      </c>
      <c r="C77" s="283"/>
      <c r="D77" s="279">
        <v>17401510.8</v>
      </c>
      <c r="E77" s="279"/>
      <c r="F77" s="279"/>
      <c r="G77" s="279"/>
      <c r="H77" s="29"/>
      <c r="I77" s="279">
        <v>18408966.85</v>
      </c>
      <c r="J77" s="279"/>
      <c r="K77" s="279"/>
      <c r="L77" s="32">
        <v>0.1931</v>
      </c>
      <c r="M77" s="29"/>
      <c r="N77" s="279">
        <v>296230.96</v>
      </c>
      <c r="O77" s="279"/>
      <c r="P77" s="279"/>
      <c r="Q77" s="279">
        <v>19402975.86</v>
      </c>
      <c r="R77" s="279"/>
      <c r="S77" s="279"/>
      <c r="T77" s="280">
        <v>0</v>
      </c>
      <c r="U77" s="280"/>
      <c r="V77" s="282">
        <v>0</v>
      </c>
      <c r="W77" s="282"/>
      <c r="X77" s="282"/>
      <c r="Y77" s="279">
        <v>-284466.03</v>
      </c>
      <c r="Z77" s="279"/>
    </row>
    <row r="78" spans="1:26" ht="12.7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</row>
    <row r="79" spans="1:26" ht="12.75" customHeight="1">
      <c r="A79" s="29"/>
      <c r="B79" s="283">
        <v>40179</v>
      </c>
      <c r="C79" s="283"/>
      <c r="D79" s="279">
        <v>17553165.69</v>
      </c>
      <c r="E79" s="279"/>
      <c r="F79" s="279"/>
      <c r="G79" s="279"/>
      <c r="H79" s="29"/>
      <c r="I79" s="279">
        <v>17611651.65</v>
      </c>
      <c r="J79" s="279"/>
      <c r="K79" s="279"/>
      <c r="L79" s="32">
        <v>0.1931</v>
      </c>
      <c r="M79" s="29"/>
      <c r="N79" s="279">
        <v>283400.83</v>
      </c>
      <c r="O79" s="279"/>
      <c r="P79" s="279"/>
      <c r="Q79" s="279">
        <v>19574216.99</v>
      </c>
      <c r="R79" s="279"/>
      <c r="S79" s="279"/>
      <c r="T79" s="280">
        <v>0</v>
      </c>
      <c r="U79" s="280"/>
      <c r="V79" s="282">
        <v>0</v>
      </c>
      <c r="W79" s="282"/>
      <c r="X79" s="282"/>
      <c r="Y79" s="279">
        <v>-279658.15</v>
      </c>
      <c r="Z79" s="279"/>
    </row>
    <row r="80" spans="1:26" ht="12.7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</row>
    <row r="81" spans="1:26" ht="12.75" customHeight="1">
      <c r="A81" s="29"/>
      <c r="B81" s="283">
        <v>40210</v>
      </c>
      <c r="C81" s="283"/>
      <c r="D81" s="279">
        <v>17670137.61</v>
      </c>
      <c r="E81" s="279"/>
      <c r="F81" s="279"/>
      <c r="G81" s="279"/>
      <c r="H81" s="29"/>
      <c r="I81" s="279">
        <v>17677815.21</v>
      </c>
      <c r="J81" s="279"/>
      <c r="K81" s="279"/>
      <c r="L81" s="32">
        <v>0.1931</v>
      </c>
      <c r="M81" s="29"/>
      <c r="N81" s="279">
        <v>284465.51</v>
      </c>
      <c r="O81" s="279"/>
      <c r="P81" s="279"/>
      <c r="Q81" s="279">
        <v>19814638.18</v>
      </c>
      <c r="R81" s="279"/>
      <c r="S81" s="279"/>
      <c r="T81" s="280">
        <v>0</v>
      </c>
      <c r="U81" s="280"/>
      <c r="V81" s="282">
        <v>0</v>
      </c>
      <c r="W81" s="282"/>
      <c r="X81" s="282"/>
      <c r="Y81" s="279">
        <v>-272534.49</v>
      </c>
      <c r="Z81" s="279"/>
    </row>
    <row r="82" spans="1:26" ht="12.7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</row>
    <row r="83" spans="1:26" ht="12.75" customHeight="1">
      <c r="A83" s="29"/>
      <c r="B83" s="283">
        <v>40238</v>
      </c>
      <c r="C83" s="283"/>
      <c r="D83" s="279">
        <v>17791437.43</v>
      </c>
      <c r="E83" s="279"/>
      <c r="F83" s="279"/>
      <c r="G83" s="279"/>
      <c r="H83" s="29"/>
      <c r="I83" s="279">
        <v>17755790.73</v>
      </c>
      <c r="J83" s="279"/>
      <c r="K83" s="279"/>
      <c r="L83" s="32">
        <v>0.1931</v>
      </c>
      <c r="M83" s="29"/>
      <c r="N83" s="279">
        <v>285720.27</v>
      </c>
      <c r="O83" s="279"/>
      <c r="P83" s="279"/>
      <c r="Q83" s="279">
        <v>20055609.42</v>
      </c>
      <c r="R83" s="279"/>
      <c r="S83" s="279"/>
      <c r="T83" s="280">
        <v>0</v>
      </c>
      <c r="U83" s="280"/>
      <c r="V83" s="282">
        <v>0</v>
      </c>
      <c r="W83" s="282"/>
      <c r="X83" s="282"/>
      <c r="Y83" s="279">
        <v>-264726.52</v>
      </c>
      <c r="Z83" s="279"/>
    </row>
    <row r="84" spans="1:26" ht="12.7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33"/>
      <c r="M84" s="33"/>
      <c r="N84" s="33"/>
      <c r="O84" s="33"/>
      <c r="P84" s="281"/>
      <c r="Q84" s="281"/>
      <c r="R84" s="33"/>
      <c r="S84" s="33"/>
      <c r="T84" s="33"/>
      <c r="U84" s="33"/>
      <c r="V84" s="33"/>
      <c r="W84" s="33"/>
      <c r="X84" s="33"/>
      <c r="Y84" s="33"/>
      <c r="Z84" s="33"/>
    </row>
    <row r="85" spans="1:26" ht="38.2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34" t="s">
        <v>34</v>
      </c>
      <c r="M85" s="31"/>
      <c r="N85" s="278">
        <v>3328951.91</v>
      </c>
      <c r="O85" s="278"/>
      <c r="P85" s="278"/>
      <c r="Q85" s="278">
        <v>20055609.42</v>
      </c>
      <c r="R85" s="278"/>
      <c r="S85" s="278"/>
      <c r="T85" s="31"/>
      <c r="U85" s="31"/>
      <c r="V85" s="277">
        <v>0</v>
      </c>
      <c r="W85" s="277"/>
      <c r="X85" s="277"/>
      <c r="Y85" s="278">
        <v>-264726.52</v>
      </c>
      <c r="Z85" s="278"/>
    </row>
    <row r="86" spans="1:26" ht="12.75" customHeight="1">
      <c r="A86" s="29"/>
      <c r="B86" s="284" t="s">
        <v>37</v>
      </c>
      <c r="C86" s="284"/>
      <c r="D86" s="284"/>
      <c r="E86" s="284"/>
      <c r="F86" s="284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</row>
    <row r="87" spans="1:26" ht="12.75" customHeight="1">
      <c r="A87" s="29"/>
      <c r="B87" s="283">
        <v>39904</v>
      </c>
      <c r="C87" s="283"/>
      <c r="D87" s="279">
        <v>4700339.75</v>
      </c>
      <c r="E87" s="279"/>
      <c r="F87" s="279"/>
      <c r="G87" s="279"/>
      <c r="H87" s="29"/>
      <c r="I87" s="279">
        <v>4744921.07</v>
      </c>
      <c r="J87" s="279"/>
      <c r="K87" s="279"/>
      <c r="L87" s="32">
        <v>0.41</v>
      </c>
      <c r="M87" s="29"/>
      <c r="N87" s="279">
        <v>162118.14</v>
      </c>
      <c r="O87" s="279"/>
      <c r="P87" s="279"/>
      <c r="Q87" s="279">
        <v>-10402005.29</v>
      </c>
      <c r="R87" s="279"/>
      <c r="S87" s="279"/>
      <c r="T87" s="280">
        <v>0</v>
      </c>
      <c r="U87" s="280"/>
      <c r="V87" s="282">
        <v>0</v>
      </c>
      <c r="W87" s="282"/>
      <c r="X87" s="282"/>
      <c r="Y87" s="279">
        <v>-10742.5</v>
      </c>
      <c r="Z87" s="279"/>
    </row>
    <row r="88" spans="1:26" ht="12.7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</row>
    <row r="89" spans="1:26" ht="12.75" customHeight="1">
      <c r="A89" s="29"/>
      <c r="B89" s="283">
        <v>39934</v>
      </c>
      <c r="C89" s="283"/>
      <c r="D89" s="279">
        <v>4629441.99</v>
      </c>
      <c r="E89" s="279"/>
      <c r="F89" s="279"/>
      <c r="G89" s="279"/>
      <c r="H89" s="29"/>
      <c r="I89" s="279">
        <v>4700473.61</v>
      </c>
      <c r="J89" s="279"/>
      <c r="K89" s="279"/>
      <c r="L89" s="32">
        <v>0.41</v>
      </c>
      <c r="M89" s="29"/>
      <c r="N89" s="279">
        <v>160599.52</v>
      </c>
      <c r="O89" s="279"/>
      <c r="P89" s="279"/>
      <c r="Q89" s="279">
        <v>-10300669.03</v>
      </c>
      <c r="R89" s="279"/>
      <c r="S89" s="279"/>
      <c r="T89" s="280">
        <v>0</v>
      </c>
      <c r="U89" s="280"/>
      <c r="V89" s="282">
        <v>0</v>
      </c>
      <c r="W89" s="282"/>
      <c r="X89" s="282"/>
      <c r="Y89" s="279">
        <v>-10742.5</v>
      </c>
      <c r="Z89" s="279"/>
    </row>
    <row r="90" spans="1:26" ht="12.7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</row>
    <row r="91" spans="1:26" ht="12.75" customHeight="1">
      <c r="A91" s="29"/>
      <c r="B91" s="283">
        <v>39965</v>
      </c>
      <c r="C91" s="283"/>
      <c r="D91" s="279">
        <v>4570178.73</v>
      </c>
      <c r="E91" s="279"/>
      <c r="F91" s="279"/>
      <c r="G91" s="279"/>
      <c r="H91" s="29"/>
      <c r="I91" s="279">
        <v>4652792.93</v>
      </c>
      <c r="J91" s="279"/>
      <c r="K91" s="279"/>
      <c r="L91" s="32">
        <v>0.72</v>
      </c>
      <c r="M91" s="29"/>
      <c r="N91" s="279">
        <v>279167.58</v>
      </c>
      <c r="O91" s="279"/>
      <c r="P91" s="279"/>
      <c r="Q91" s="279">
        <v>-10077128.92</v>
      </c>
      <c r="R91" s="279"/>
      <c r="S91" s="279"/>
      <c r="T91" s="280">
        <v>0</v>
      </c>
      <c r="U91" s="280"/>
      <c r="V91" s="282">
        <v>0</v>
      </c>
      <c r="W91" s="282"/>
      <c r="X91" s="282"/>
      <c r="Y91" s="279">
        <v>-91847.11</v>
      </c>
      <c r="Z91" s="279"/>
    </row>
    <row r="92" spans="1:26" ht="12.7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</row>
    <row r="93" spans="1:26" ht="12.75" customHeight="1">
      <c r="A93" s="29"/>
      <c r="B93" s="283">
        <v>39995</v>
      </c>
      <c r="C93" s="283"/>
      <c r="D93" s="279">
        <v>4514551.26</v>
      </c>
      <c r="E93" s="279"/>
      <c r="F93" s="279"/>
      <c r="G93" s="279"/>
      <c r="H93" s="29"/>
      <c r="I93" s="279">
        <v>4586621.69</v>
      </c>
      <c r="J93" s="279"/>
      <c r="K93" s="279"/>
      <c r="L93" s="32">
        <v>0.72</v>
      </c>
      <c r="M93" s="29"/>
      <c r="N93" s="279">
        <v>275197.3</v>
      </c>
      <c r="O93" s="279"/>
      <c r="P93" s="279"/>
      <c r="Q93" s="279">
        <v>-9868102.86</v>
      </c>
      <c r="R93" s="279"/>
      <c r="S93" s="279"/>
      <c r="T93" s="280">
        <v>0</v>
      </c>
      <c r="U93" s="280"/>
      <c r="V93" s="282">
        <v>0</v>
      </c>
      <c r="W93" s="282"/>
      <c r="X93" s="282"/>
      <c r="Y93" s="279">
        <v>-95688.59</v>
      </c>
      <c r="Z93" s="279"/>
    </row>
    <row r="94" spans="1:26" ht="12.7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</row>
    <row r="95" spans="1:26" ht="12.75" customHeight="1">
      <c r="A95" s="29"/>
      <c r="B95" s="283">
        <v>40026</v>
      </c>
      <c r="C95" s="283"/>
      <c r="D95" s="279">
        <v>4448380.02</v>
      </c>
      <c r="E95" s="279"/>
      <c r="F95" s="279"/>
      <c r="G95" s="279"/>
      <c r="H95" s="29"/>
      <c r="I95" s="279">
        <v>4512015.41</v>
      </c>
      <c r="J95" s="279"/>
      <c r="K95" s="279"/>
      <c r="L95" s="32">
        <v>0.72</v>
      </c>
      <c r="M95" s="29"/>
      <c r="N95" s="279">
        <v>270720.92</v>
      </c>
      <c r="O95" s="279"/>
      <c r="P95" s="279"/>
      <c r="Q95" s="279">
        <v>-9659553.82</v>
      </c>
      <c r="R95" s="279"/>
      <c r="S95" s="279"/>
      <c r="T95" s="280">
        <v>0</v>
      </c>
      <c r="U95" s="280"/>
      <c r="V95" s="282">
        <v>0</v>
      </c>
      <c r="W95" s="282"/>
      <c r="X95" s="282"/>
      <c r="Y95" s="279">
        <v>-96862.33</v>
      </c>
      <c r="Z95" s="279"/>
    </row>
    <row r="96" spans="1:26" ht="12.7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</row>
    <row r="97" spans="1:26" ht="12.75" customHeight="1">
      <c r="A97" s="29"/>
      <c r="B97" s="283">
        <v>40057</v>
      </c>
      <c r="C97" s="283"/>
      <c r="D97" s="279">
        <v>4386208.14</v>
      </c>
      <c r="E97" s="279"/>
      <c r="F97" s="279"/>
      <c r="G97" s="279"/>
      <c r="H97" s="29"/>
      <c r="I97" s="279">
        <v>4512015.41</v>
      </c>
      <c r="J97" s="279"/>
      <c r="K97" s="279"/>
      <c r="L97" s="32">
        <v>0.2</v>
      </c>
      <c r="M97" s="29"/>
      <c r="N97" s="279">
        <v>75200.26</v>
      </c>
      <c r="O97" s="279"/>
      <c r="P97" s="279"/>
      <c r="Q97" s="279">
        <v>-9584353.56</v>
      </c>
      <c r="R97" s="279"/>
      <c r="S97" s="279"/>
      <c r="T97" s="280">
        <v>0</v>
      </c>
      <c r="U97" s="280"/>
      <c r="V97" s="282">
        <v>0</v>
      </c>
      <c r="W97" s="282"/>
      <c r="X97" s="282"/>
      <c r="Y97" s="279">
        <v>-85362.54</v>
      </c>
      <c r="Z97" s="279"/>
    </row>
    <row r="98" spans="1:26" ht="12.7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</row>
    <row r="99" spans="1:26" ht="12.75" customHeight="1">
      <c r="A99" s="29"/>
      <c r="B99" s="283">
        <v>40087</v>
      </c>
      <c r="C99" s="283"/>
      <c r="D99" s="279">
        <v>4386208.14</v>
      </c>
      <c r="E99" s="279"/>
      <c r="F99" s="279"/>
      <c r="G99" s="279"/>
      <c r="H99" s="29"/>
      <c r="I99" s="279">
        <v>4250966.27</v>
      </c>
      <c r="J99" s="279"/>
      <c r="K99" s="279"/>
      <c r="L99" s="32">
        <v>0.01</v>
      </c>
      <c r="M99" s="29"/>
      <c r="N99" s="279">
        <v>3542.47</v>
      </c>
      <c r="O99" s="279"/>
      <c r="P99" s="279"/>
      <c r="Q99" s="279">
        <v>-9711335.68</v>
      </c>
      <c r="R99" s="279"/>
      <c r="S99" s="279"/>
      <c r="T99" s="280">
        <v>0</v>
      </c>
      <c r="U99" s="280"/>
      <c r="V99" s="282">
        <v>0</v>
      </c>
      <c r="W99" s="282"/>
      <c r="X99" s="282"/>
      <c r="Y99" s="279">
        <v>-73729.73</v>
      </c>
      <c r="Z99" s="279"/>
    </row>
    <row r="100" spans="1:26" ht="12.7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</row>
    <row r="101" spans="1:26" ht="12.75" customHeight="1">
      <c r="A101" s="29"/>
      <c r="B101" s="283">
        <v>40118</v>
      </c>
      <c r="C101" s="283"/>
      <c r="D101" s="279">
        <v>4255683.55</v>
      </c>
      <c r="E101" s="279"/>
      <c r="F101" s="279"/>
      <c r="G101" s="279"/>
      <c r="H101" s="29"/>
      <c r="I101" s="279">
        <v>4092809.69</v>
      </c>
      <c r="J101" s="279"/>
      <c r="K101" s="279"/>
      <c r="L101" s="32">
        <v>0.01</v>
      </c>
      <c r="M101" s="29"/>
      <c r="N101" s="279">
        <v>3410.67</v>
      </c>
      <c r="O101" s="279"/>
      <c r="P101" s="279"/>
      <c r="Q101" s="279">
        <v>-9760643.86</v>
      </c>
      <c r="R101" s="279"/>
      <c r="S101" s="279"/>
      <c r="T101" s="280">
        <v>0</v>
      </c>
      <c r="U101" s="280"/>
      <c r="V101" s="282">
        <v>0</v>
      </c>
      <c r="W101" s="282"/>
      <c r="X101" s="282"/>
      <c r="Y101" s="279">
        <v>-64359.88</v>
      </c>
      <c r="Z101" s="279"/>
    </row>
    <row r="102" spans="1:26" ht="12.7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</row>
    <row r="103" spans="1:26" ht="12.75" customHeight="1">
      <c r="A103" s="29"/>
      <c r="B103" s="283">
        <v>40148</v>
      </c>
      <c r="C103" s="283"/>
      <c r="D103" s="279">
        <v>4202964.7</v>
      </c>
      <c r="E103" s="279"/>
      <c r="F103" s="279"/>
      <c r="G103" s="279"/>
      <c r="H103" s="29"/>
      <c r="I103" s="279">
        <v>3689237.81</v>
      </c>
      <c r="J103" s="279"/>
      <c r="K103" s="279"/>
      <c r="L103" s="32">
        <v>0.01</v>
      </c>
      <c r="M103" s="29"/>
      <c r="N103" s="279">
        <v>-146925.64</v>
      </c>
      <c r="O103" s="279"/>
      <c r="P103" s="279"/>
      <c r="Q103" s="279">
        <v>-9974831.48</v>
      </c>
      <c r="R103" s="279"/>
      <c r="S103" s="279"/>
      <c r="T103" s="280">
        <v>0</v>
      </c>
      <c r="U103" s="280"/>
      <c r="V103" s="282">
        <v>0</v>
      </c>
      <c r="W103" s="282"/>
      <c r="X103" s="282"/>
      <c r="Y103" s="279">
        <v>-51005.33</v>
      </c>
      <c r="Z103" s="279"/>
    </row>
    <row r="104" spans="1:26" ht="12.7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</row>
    <row r="105" spans="1:26" ht="12.75" customHeight="1">
      <c r="A105" s="29"/>
      <c r="B105" s="283">
        <v>40179</v>
      </c>
      <c r="C105" s="283"/>
      <c r="D105" s="279">
        <v>4135702.72</v>
      </c>
      <c r="E105" s="279"/>
      <c r="F105" s="279"/>
      <c r="G105" s="279"/>
      <c r="H105" s="29"/>
      <c r="I105" s="279">
        <v>4111706.56</v>
      </c>
      <c r="J105" s="279"/>
      <c r="K105" s="279"/>
      <c r="L105" s="32">
        <v>0.3</v>
      </c>
      <c r="M105" s="29"/>
      <c r="N105" s="279">
        <v>102792.66</v>
      </c>
      <c r="O105" s="279"/>
      <c r="P105" s="279"/>
      <c r="Q105" s="279">
        <v>-9920031.15</v>
      </c>
      <c r="R105" s="279"/>
      <c r="S105" s="279"/>
      <c r="T105" s="280">
        <v>0</v>
      </c>
      <c r="U105" s="280"/>
      <c r="V105" s="282">
        <v>0</v>
      </c>
      <c r="W105" s="282"/>
      <c r="X105" s="282"/>
      <c r="Y105" s="279">
        <v>-43648.02</v>
      </c>
      <c r="Z105" s="279"/>
    </row>
    <row r="106" spans="1:26" ht="12.7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</row>
    <row r="107" spans="1:26" ht="12.75" customHeight="1">
      <c r="A107" s="29"/>
      <c r="B107" s="283">
        <v>40210</v>
      </c>
      <c r="C107" s="283"/>
      <c r="D107" s="279">
        <v>4087710.39</v>
      </c>
      <c r="E107" s="279"/>
      <c r="F107" s="279"/>
      <c r="G107" s="279"/>
      <c r="H107" s="29"/>
      <c r="I107" s="279">
        <v>4058197.06</v>
      </c>
      <c r="J107" s="279"/>
      <c r="K107" s="279"/>
      <c r="L107" s="32">
        <v>0.3</v>
      </c>
      <c r="M107" s="29"/>
      <c r="N107" s="279">
        <v>101454.93</v>
      </c>
      <c r="O107" s="279"/>
      <c r="P107" s="279"/>
      <c r="Q107" s="279">
        <v>-9916676.94</v>
      </c>
      <c r="R107" s="279"/>
      <c r="S107" s="279"/>
      <c r="T107" s="280">
        <v>0</v>
      </c>
      <c r="U107" s="280"/>
      <c r="V107" s="282">
        <v>0</v>
      </c>
      <c r="W107" s="282"/>
      <c r="X107" s="282"/>
      <c r="Y107" s="279">
        <v>-40362.99</v>
      </c>
      <c r="Z107" s="279"/>
    </row>
    <row r="108" spans="1:26" ht="12.7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</row>
    <row r="109" spans="1:26" ht="12.75" customHeight="1">
      <c r="A109" s="29"/>
      <c r="B109" s="283">
        <v>40238</v>
      </c>
      <c r="C109" s="283"/>
      <c r="D109" s="279">
        <v>3989609.67</v>
      </c>
      <c r="E109" s="279"/>
      <c r="F109" s="279"/>
      <c r="G109" s="279"/>
      <c r="H109" s="29"/>
      <c r="I109" s="279">
        <v>3994367.92</v>
      </c>
      <c r="J109" s="279"/>
      <c r="K109" s="279"/>
      <c r="L109" s="32">
        <v>0.3</v>
      </c>
      <c r="M109" s="29"/>
      <c r="N109" s="279">
        <v>99859.2</v>
      </c>
      <c r="O109" s="279"/>
      <c r="P109" s="279"/>
      <c r="Q109" s="279">
        <v>-9923199.7</v>
      </c>
      <c r="R109" s="279"/>
      <c r="S109" s="279"/>
      <c r="T109" s="280">
        <v>0</v>
      </c>
      <c r="U109" s="280"/>
      <c r="V109" s="282">
        <v>0</v>
      </c>
      <c r="W109" s="282"/>
      <c r="X109" s="282"/>
      <c r="Y109" s="279">
        <v>-29892.79</v>
      </c>
      <c r="Z109" s="279"/>
    </row>
    <row r="110" spans="1:26" ht="12.7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33"/>
      <c r="M110" s="33"/>
      <c r="N110" s="33"/>
      <c r="O110" s="33"/>
      <c r="P110" s="281"/>
      <c r="Q110" s="281"/>
      <c r="R110" s="33"/>
      <c r="S110" s="33"/>
      <c r="T110" s="33"/>
      <c r="U110" s="33"/>
      <c r="V110" s="33"/>
      <c r="W110" s="33"/>
      <c r="X110" s="33"/>
      <c r="Y110" s="33"/>
      <c r="Z110" s="33"/>
    </row>
    <row r="111" spans="1:26" ht="38.2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34" t="s">
        <v>34</v>
      </c>
      <c r="M111" s="31"/>
      <c r="N111" s="278">
        <v>1387138.01</v>
      </c>
      <c r="O111" s="278"/>
      <c r="P111" s="278"/>
      <c r="Q111" s="278">
        <v>-9923199.7</v>
      </c>
      <c r="R111" s="278"/>
      <c r="S111" s="278"/>
      <c r="T111" s="31"/>
      <c r="U111" s="31"/>
      <c r="V111" s="277">
        <v>0</v>
      </c>
      <c r="W111" s="277"/>
      <c r="X111" s="277"/>
      <c r="Y111" s="278">
        <v>-29892.79</v>
      </c>
      <c r="Z111" s="278"/>
    </row>
    <row r="112" spans="1:26" ht="12.75" customHeight="1">
      <c r="A112" s="29"/>
      <c r="B112" s="284" t="s">
        <v>38</v>
      </c>
      <c r="C112" s="284"/>
      <c r="D112" s="284"/>
      <c r="E112" s="284"/>
      <c r="F112" s="284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</row>
    <row r="113" spans="1:26" ht="12.75" customHeight="1">
      <c r="A113" s="29"/>
      <c r="B113" s="283">
        <v>39904</v>
      </c>
      <c r="C113" s="283"/>
      <c r="D113" s="279">
        <v>2016202.79</v>
      </c>
      <c r="E113" s="279"/>
      <c r="F113" s="279"/>
      <c r="G113" s="279"/>
      <c r="H113" s="29"/>
      <c r="I113" s="279">
        <v>2027313.14</v>
      </c>
      <c r="J113" s="279"/>
      <c r="K113" s="279"/>
      <c r="L113" s="32">
        <v>0.1451</v>
      </c>
      <c r="M113" s="29"/>
      <c r="N113" s="279">
        <v>24513.59</v>
      </c>
      <c r="O113" s="279"/>
      <c r="P113" s="279"/>
      <c r="Q113" s="279">
        <v>24740.82</v>
      </c>
      <c r="R113" s="279"/>
      <c r="S113" s="279"/>
      <c r="T113" s="280">
        <v>0</v>
      </c>
      <c r="U113" s="280"/>
      <c r="V113" s="282">
        <v>0</v>
      </c>
      <c r="W113" s="282"/>
      <c r="X113" s="282"/>
      <c r="Y113" s="279">
        <v>-58996.83</v>
      </c>
      <c r="Z113" s="279"/>
    </row>
    <row r="114" spans="1:26" ht="12.7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</row>
    <row r="115" spans="1:26" ht="12.75" customHeight="1">
      <c r="A115" s="29"/>
      <c r="B115" s="283">
        <v>39934</v>
      </c>
      <c r="C115" s="283"/>
      <c r="D115" s="279">
        <v>2003515.4</v>
      </c>
      <c r="E115" s="279"/>
      <c r="F115" s="279"/>
      <c r="G115" s="279"/>
      <c r="H115" s="29"/>
      <c r="I115" s="279">
        <v>2017478.42</v>
      </c>
      <c r="J115" s="279"/>
      <c r="K115" s="279"/>
      <c r="L115" s="32">
        <v>0.1451</v>
      </c>
      <c r="M115" s="29"/>
      <c r="N115" s="279">
        <v>24394.68</v>
      </c>
      <c r="O115" s="279"/>
      <c r="P115" s="279"/>
      <c r="Q115" s="279">
        <v>35938.87</v>
      </c>
      <c r="R115" s="279"/>
      <c r="S115" s="279"/>
      <c r="T115" s="280">
        <v>0</v>
      </c>
      <c r="U115" s="280"/>
      <c r="V115" s="282">
        <v>0</v>
      </c>
      <c r="W115" s="282"/>
      <c r="X115" s="282"/>
      <c r="Y115" s="279">
        <v>-58996.83</v>
      </c>
      <c r="Z115" s="279"/>
    </row>
    <row r="116" spans="1:26" ht="12.75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</row>
    <row r="117" spans="1:26" ht="12.75" customHeight="1">
      <c r="A117" s="29"/>
      <c r="B117" s="283">
        <v>39965</v>
      </c>
      <c r="C117" s="283"/>
      <c r="D117" s="279">
        <v>1990402.43</v>
      </c>
      <c r="E117" s="279"/>
      <c r="F117" s="279"/>
      <c r="G117" s="279"/>
      <c r="H117" s="29"/>
      <c r="I117" s="279">
        <v>2006397.86</v>
      </c>
      <c r="J117" s="279"/>
      <c r="K117" s="279"/>
      <c r="L117" s="32">
        <v>0.1451</v>
      </c>
      <c r="M117" s="29"/>
      <c r="N117" s="279">
        <v>24260.69</v>
      </c>
      <c r="O117" s="279"/>
      <c r="P117" s="279"/>
      <c r="Q117" s="279">
        <v>46460.52</v>
      </c>
      <c r="R117" s="279"/>
      <c r="S117" s="279"/>
      <c r="T117" s="280">
        <v>0</v>
      </c>
      <c r="U117" s="280"/>
      <c r="V117" s="282">
        <v>0</v>
      </c>
      <c r="W117" s="282"/>
      <c r="X117" s="282"/>
      <c r="Y117" s="279">
        <v>-68706.97</v>
      </c>
      <c r="Z117" s="279"/>
    </row>
    <row r="118" spans="1:26" ht="12.75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</row>
    <row r="119" spans="1:26" ht="12.75" customHeight="1">
      <c r="A119" s="29"/>
      <c r="B119" s="283">
        <v>39995</v>
      </c>
      <c r="C119" s="283"/>
      <c r="D119" s="279">
        <v>1977475.11</v>
      </c>
      <c r="E119" s="279"/>
      <c r="F119" s="279"/>
      <c r="G119" s="279"/>
      <c r="H119" s="29"/>
      <c r="I119" s="279">
        <v>1993081.16</v>
      </c>
      <c r="J119" s="279"/>
      <c r="K119" s="279"/>
      <c r="L119" s="32">
        <v>0.1451</v>
      </c>
      <c r="M119" s="29"/>
      <c r="N119" s="279">
        <v>24099.67</v>
      </c>
      <c r="O119" s="279"/>
      <c r="P119" s="279"/>
      <c r="Q119" s="279">
        <v>56923.67</v>
      </c>
      <c r="R119" s="279"/>
      <c r="S119" s="279"/>
      <c r="T119" s="280">
        <v>0</v>
      </c>
      <c r="U119" s="280"/>
      <c r="V119" s="282">
        <v>0</v>
      </c>
      <c r="W119" s="282"/>
      <c r="X119" s="282"/>
      <c r="Y119" s="279">
        <v>-70733.5</v>
      </c>
      <c r="Z119" s="279"/>
    </row>
    <row r="120" spans="1:26" ht="12.75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</row>
    <row r="121" spans="1:26" ht="12.75" customHeight="1">
      <c r="A121" s="29"/>
      <c r="B121" s="283">
        <v>40026</v>
      </c>
      <c r="C121" s="283"/>
      <c r="D121" s="279">
        <v>1964158.4</v>
      </c>
      <c r="E121" s="279"/>
      <c r="F121" s="279"/>
      <c r="G121" s="279"/>
      <c r="H121" s="29"/>
      <c r="I121" s="279">
        <v>1975789.16</v>
      </c>
      <c r="J121" s="279"/>
      <c r="K121" s="279"/>
      <c r="L121" s="32">
        <v>0.1451</v>
      </c>
      <c r="M121" s="29"/>
      <c r="N121" s="279">
        <v>23890.58</v>
      </c>
      <c r="O121" s="279"/>
      <c r="P121" s="279"/>
      <c r="Q121" s="279">
        <v>66297.96</v>
      </c>
      <c r="R121" s="279"/>
      <c r="S121" s="279"/>
      <c r="T121" s="280">
        <v>0</v>
      </c>
      <c r="U121" s="280"/>
      <c r="V121" s="282">
        <v>0</v>
      </c>
      <c r="W121" s="282"/>
      <c r="X121" s="282"/>
      <c r="Y121" s="279">
        <v>-73763.4</v>
      </c>
      <c r="Z121" s="279"/>
    </row>
    <row r="122" spans="1:26" ht="12.75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</row>
    <row r="123" spans="1:26" ht="12.75" customHeight="1">
      <c r="A123" s="29"/>
      <c r="B123" s="283">
        <v>40057</v>
      </c>
      <c r="C123" s="283"/>
      <c r="D123" s="279">
        <v>1949748.44</v>
      </c>
      <c r="E123" s="279"/>
      <c r="F123" s="279"/>
      <c r="G123" s="279"/>
      <c r="H123" s="29"/>
      <c r="I123" s="279">
        <v>1977422.18</v>
      </c>
      <c r="J123" s="279"/>
      <c r="K123" s="279"/>
      <c r="L123" s="32">
        <v>0.1451</v>
      </c>
      <c r="M123" s="29"/>
      <c r="N123" s="279">
        <v>23910.33</v>
      </c>
      <c r="O123" s="279"/>
      <c r="P123" s="279"/>
      <c r="Q123" s="279">
        <v>90208.29</v>
      </c>
      <c r="R123" s="279"/>
      <c r="S123" s="279"/>
      <c r="T123" s="280">
        <v>0</v>
      </c>
      <c r="U123" s="280"/>
      <c r="V123" s="282">
        <v>0</v>
      </c>
      <c r="W123" s="282"/>
      <c r="X123" s="282"/>
      <c r="Y123" s="279">
        <v>-76089.37</v>
      </c>
      <c r="Z123" s="279"/>
    </row>
    <row r="124" spans="1:26" ht="12.75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</row>
    <row r="125" spans="1:26" ht="12.75" customHeight="1">
      <c r="A125" s="29"/>
      <c r="B125" s="283">
        <v>40087</v>
      </c>
      <c r="C125" s="283"/>
      <c r="D125" s="279">
        <v>1950837.12</v>
      </c>
      <c r="E125" s="279"/>
      <c r="F125" s="279"/>
      <c r="G125" s="279"/>
      <c r="H125" s="29"/>
      <c r="I125" s="279">
        <v>1893800.12</v>
      </c>
      <c r="J125" s="279"/>
      <c r="K125" s="279"/>
      <c r="L125" s="32">
        <v>0.1451</v>
      </c>
      <c r="M125" s="29"/>
      <c r="N125" s="279">
        <v>22899.2</v>
      </c>
      <c r="O125" s="279"/>
      <c r="P125" s="279"/>
      <c r="Q125" s="279">
        <v>70673.23</v>
      </c>
      <c r="R125" s="279"/>
      <c r="S125" s="279"/>
      <c r="T125" s="280">
        <v>0</v>
      </c>
      <c r="U125" s="280"/>
      <c r="V125" s="282">
        <v>0</v>
      </c>
      <c r="W125" s="282"/>
      <c r="X125" s="282"/>
      <c r="Y125" s="279">
        <v>-79795.7</v>
      </c>
      <c r="Z125" s="279"/>
    </row>
    <row r="126" spans="1:26" ht="12.7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</row>
    <row r="127" spans="1:26" ht="12.75" customHeight="1">
      <c r="A127" s="29"/>
      <c r="B127" s="283">
        <v>40118</v>
      </c>
      <c r="C127" s="283"/>
      <c r="D127" s="279">
        <v>1909026.07</v>
      </c>
      <c r="E127" s="279"/>
      <c r="F127" s="279"/>
      <c r="G127" s="279"/>
      <c r="H127" s="29"/>
      <c r="I127" s="279">
        <v>1836687.08</v>
      </c>
      <c r="J127" s="279"/>
      <c r="K127" s="279"/>
      <c r="L127" s="32">
        <v>0.1451</v>
      </c>
      <c r="M127" s="29"/>
      <c r="N127" s="279">
        <v>22208.61</v>
      </c>
      <c r="O127" s="279"/>
      <c r="P127" s="279"/>
      <c r="Q127" s="279">
        <v>71122.3</v>
      </c>
      <c r="R127" s="279"/>
      <c r="S127" s="279"/>
      <c r="T127" s="280">
        <v>0</v>
      </c>
      <c r="U127" s="280"/>
      <c r="V127" s="282">
        <v>0</v>
      </c>
      <c r="W127" s="282"/>
      <c r="X127" s="282"/>
      <c r="Y127" s="279">
        <v>-81515.06</v>
      </c>
      <c r="Z127" s="279"/>
    </row>
    <row r="128" spans="1:26" ht="12.7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</row>
    <row r="129" spans="1:26" ht="12.75" customHeight="1">
      <c r="A129" s="29"/>
      <c r="B129" s="283">
        <v>40148</v>
      </c>
      <c r="C129" s="283"/>
      <c r="D129" s="279">
        <v>1889988.4</v>
      </c>
      <c r="E129" s="279"/>
      <c r="F129" s="279"/>
      <c r="G129" s="279"/>
      <c r="H129" s="29"/>
      <c r="I129" s="279">
        <v>1743675.5</v>
      </c>
      <c r="J129" s="279"/>
      <c r="K129" s="279"/>
      <c r="L129" s="32">
        <v>0.1451</v>
      </c>
      <c r="M129" s="29"/>
      <c r="N129" s="279">
        <v>21083.94</v>
      </c>
      <c r="O129" s="279"/>
      <c r="P129" s="279"/>
      <c r="Q129" s="279">
        <v>76267.76</v>
      </c>
      <c r="R129" s="279"/>
      <c r="S129" s="279"/>
      <c r="T129" s="280">
        <v>0</v>
      </c>
      <c r="U129" s="280"/>
      <c r="V129" s="282">
        <v>0</v>
      </c>
      <c r="W129" s="282"/>
      <c r="X129" s="282"/>
      <c r="Y129" s="279">
        <v>-82081.94</v>
      </c>
      <c r="Z129" s="279"/>
    </row>
    <row r="130" spans="1:26" ht="12.75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</row>
    <row r="131" spans="1:26" ht="12.75" customHeight="1">
      <c r="A131" s="29"/>
      <c r="B131" s="283">
        <v>40179</v>
      </c>
      <c r="C131" s="283"/>
      <c r="D131" s="279">
        <v>1874486.47</v>
      </c>
      <c r="E131" s="279"/>
      <c r="F131" s="279"/>
      <c r="G131" s="279"/>
      <c r="H131" s="29"/>
      <c r="I131" s="279">
        <v>1868905.57</v>
      </c>
      <c r="J131" s="279"/>
      <c r="K131" s="279"/>
      <c r="L131" s="32">
        <v>0.1451</v>
      </c>
      <c r="M131" s="29"/>
      <c r="N131" s="279">
        <v>22598.18</v>
      </c>
      <c r="O131" s="279"/>
      <c r="P131" s="279"/>
      <c r="Q131" s="279">
        <v>85229.42</v>
      </c>
      <c r="R131" s="279"/>
      <c r="S131" s="279"/>
      <c r="T131" s="280">
        <v>0</v>
      </c>
      <c r="U131" s="280"/>
      <c r="V131" s="282">
        <v>0</v>
      </c>
      <c r="W131" s="282"/>
      <c r="X131" s="282"/>
      <c r="Y131" s="279">
        <v>-85254.69</v>
      </c>
      <c r="Z131" s="279"/>
    </row>
    <row r="132" spans="1:26" ht="12.75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</row>
    <row r="133" spans="1:26" ht="12.75" customHeight="1">
      <c r="A133" s="29"/>
      <c r="B133" s="283">
        <v>40210</v>
      </c>
      <c r="C133" s="283"/>
      <c r="D133" s="279">
        <v>1863324.66</v>
      </c>
      <c r="E133" s="279"/>
      <c r="F133" s="279"/>
      <c r="G133" s="279"/>
      <c r="H133" s="29"/>
      <c r="I133" s="279">
        <v>1862633.05</v>
      </c>
      <c r="J133" s="279"/>
      <c r="K133" s="279"/>
      <c r="L133" s="32">
        <v>0.1451</v>
      </c>
      <c r="M133" s="29"/>
      <c r="N133" s="279">
        <v>22522.34</v>
      </c>
      <c r="O133" s="279"/>
      <c r="P133" s="279"/>
      <c r="Q133" s="279">
        <v>96252.18</v>
      </c>
      <c r="R133" s="279"/>
      <c r="S133" s="279"/>
      <c r="T133" s="280">
        <v>0</v>
      </c>
      <c r="U133" s="280"/>
      <c r="V133" s="282">
        <v>0</v>
      </c>
      <c r="W133" s="282"/>
      <c r="X133" s="282"/>
      <c r="Y133" s="279">
        <v>-85696.2</v>
      </c>
      <c r="Z133" s="279"/>
    </row>
    <row r="134" spans="1:26" ht="12.75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</row>
    <row r="135" spans="1:26" ht="12.75" customHeight="1">
      <c r="A135" s="29"/>
      <c r="B135" s="283">
        <v>40238</v>
      </c>
      <c r="C135" s="283"/>
      <c r="D135" s="279">
        <v>1851825.08</v>
      </c>
      <c r="E135" s="279"/>
      <c r="F135" s="279"/>
      <c r="G135" s="279"/>
      <c r="H135" s="29"/>
      <c r="I135" s="279">
        <v>1856699.41</v>
      </c>
      <c r="J135" s="279"/>
      <c r="K135" s="279"/>
      <c r="L135" s="32">
        <v>0.1451</v>
      </c>
      <c r="M135" s="29"/>
      <c r="N135" s="279">
        <v>22450.59</v>
      </c>
      <c r="O135" s="279"/>
      <c r="P135" s="279"/>
      <c r="Q135" s="279">
        <v>107274.07</v>
      </c>
      <c r="R135" s="279"/>
      <c r="S135" s="279"/>
      <c r="T135" s="280">
        <v>0</v>
      </c>
      <c r="U135" s="280"/>
      <c r="V135" s="282">
        <v>0</v>
      </c>
      <c r="W135" s="282"/>
      <c r="X135" s="282"/>
      <c r="Y135" s="279">
        <v>-86623.87</v>
      </c>
      <c r="Z135" s="279"/>
    </row>
    <row r="136" spans="1:26" ht="12.75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33"/>
      <c r="M136" s="33"/>
      <c r="N136" s="33"/>
      <c r="O136" s="33"/>
      <c r="P136" s="281"/>
      <c r="Q136" s="281"/>
      <c r="R136" s="33"/>
      <c r="S136" s="33"/>
      <c r="T136" s="33"/>
      <c r="U136" s="33"/>
      <c r="V136" s="33"/>
      <c r="W136" s="33"/>
      <c r="X136" s="33"/>
      <c r="Y136" s="33"/>
      <c r="Z136" s="33"/>
    </row>
    <row r="137" spans="1:26" ht="38.25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34" t="s">
        <v>34</v>
      </c>
      <c r="M137" s="31"/>
      <c r="N137" s="278">
        <v>278832.4</v>
      </c>
      <c r="O137" s="278"/>
      <c r="P137" s="278"/>
      <c r="Q137" s="278">
        <v>107274.07</v>
      </c>
      <c r="R137" s="278"/>
      <c r="S137" s="278"/>
      <c r="T137" s="31"/>
      <c r="U137" s="31"/>
      <c r="V137" s="277">
        <v>0</v>
      </c>
      <c r="W137" s="277"/>
      <c r="X137" s="277"/>
      <c r="Y137" s="278">
        <v>-86623.87</v>
      </c>
      <c r="Z137" s="278"/>
    </row>
    <row r="138" spans="1:26" ht="12.75" customHeight="1">
      <c r="A138" s="29"/>
      <c r="B138" s="284" t="s">
        <v>39</v>
      </c>
      <c r="C138" s="284"/>
      <c r="D138" s="284"/>
      <c r="E138" s="284"/>
      <c r="F138" s="284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</row>
    <row r="139" spans="1:26" ht="12.75" customHeight="1">
      <c r="A139" s="29"/>
      <c r="B139" s="283">
        <v>39904</v>
      </c>
      <c r="C139" s="283"/>
      <c r="D139" s="279">
        <v>253595.36</v>
      </c>
      <c r="E139" s="279"/>
      <c r="F139" s="279"/>
      <c r="G139" s="279"/>
      <c r="H139" s="29"/>
      <c r="I139" s="279">
        <v>253595.36</v>
      </c>
      <c r="J139" s="279"/>
      <c r="K139" s="279"/>
      <c r="L139" s="32">
        <v>0.2333</v>
      </c>
      <c r="M139" s="29"/>
      <c r="N139" s="279">
        <v>4930.32</v>
      </c>
      <c r="O139" s="279"/>
      <c r="P139" s="279"/>
      <c r="Q139" s="279">
        <v>622955.11</v>
      </c>
      <c r="R139" s="279"/>
      <c r="S139" s="279"/>
      <c r="T139" s="280">
        <v>0</v>
      </c>
      <c r="U139" s="280"/>
      <c r="V139" s="282">
        <v>0</v>
      </c>
      <c r="W139" s="282"/>
      <c r="X139" s="282"/>
      <c r="Y139" s="279">
        <v>-7487.01</v>
      </c>
      <c r="Z139" s="279"/>
    </row>
    <row r="140" spans="1:26" ht="12.75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</row>
    <row r="141" spans="1:26" ht="12.75" customHeight="1">
      <c r="A141" s="29"/>
      <c r="B141" s="283">
        <v>39934</v>
      </c>
      <c r="C141" s="283"/>
      <c r="D141" s="279">
        <v>253595.36</v>
      </c>
      <c r="E141" s="279"/>
      <c r="F141" s="279"/>
      <c r="G141" s="279"/>
      <c r="H141" s="29"/>
      <c r="I141" s="279">
        <v>253595.36</v>
      </c>
      <c r="J141" s="279"/>
      <c r="K141" s="279"/>
      <c r="L141" s="32">
        <v>0.2333</v>
      </c>
      <c r="M141" s="29"/>
      <c r="N141" s="279">
        <v>4930.32</v>
      </c>
      <c r="O141" s="279"/>
      <c r="P141" s="279"/>
      <c r="Q141" s="279">
        <v>627885.43</v>
      </c>
      <c r="R141" s="279"/>
      <c r="S141" s="279"/>
      <c r="T141" s="280">
        <v>0</v>
      </c>
      <c r="U141" s="280"/>
      <c r="V141" s="282">
        <v>0</v>
      </c>
      <c r="W141" s="282"/>
      <c r="X141" s="282"/>
      <c r="Y141" s="279">
        <v>-7487.01</v>
      </c>
      <c r="Z141" s="279"/>
    </row>
    <row r="142" spans="1:26" ht="12.75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</row>
    <row r="143" spans="1:26" ht="12.75" customHeight="1">
      <c r="A143" s="29"/>
      <c r="B143" s="283">
        <v>39965</v>
      </c>
      <c r="C143" s="283"/>
      <c r="D143" s="279">
        <v>253595.36</v>
      </c>
      <c r="E143" s="279"/>
      <c r="F143" s="279"/>
      <c r="G143" s="279"/>
      <c r="H143" s="29"/>
      <c r="I143" s="279">
        <v>253595.36</v>
      </c>
      <c r="J143" s="279"/>
      <c r="K143" s="279"/>
      <c r="L143" s="32">
        <v>0.2333</v>
      </c>
      <c r="M143" s="29"/>
      <c r="N143" s="279">
        <v>4930.32</v>
      </c>
      <c r="O143" s="279"/>
      <c r="P143" s="279"/>
      <c r="Q143" s="279">
        <v>632815.75</v>
      </c>
      <c r="R143" s="279"/>
      <c r="S143" s="279"/>
      <c r="T143" s="280">
        <v>0</v>
      </c>
      <c r="U143" s="280"/>
      <c r="V143" s="282">
        <v>0</v>
      </c>
      <c r="W143" s="282"/>
      <c r="X143" s="282"/>
      <c r="Y143" s="279">
        <v>-7487.01</v>
      </c>
      <c r="Z143" s="279"/>
    </row>
    <row r="144" spans="1:26" ht="12.75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</row>
    <row r="145" spans="1:26" ht="12.75" customHeight="1">
      <c r="A145" s="29"/>
      <c r="B145" s="283">
        <v>39995</v>
      </c>
      <c r="C145" s="283"/>
      <c r="D145" s="279">
        <v>253595.36</v>
      </c>
      <c r="E145" s="279"/>
      <c r="F145" s="279"/>
      <c r="G145" s="279"/>
      <c r="H145" s="29"/>
      <c r="I145" s="279">
        <v>253595.36</v>
      </c>
      <c r="J145" s="279"/>
      <c r="K145" s="279"/>
      <c r="L145" s="32">
        <v>0.2333</v>
      </c>
      <c r="M145" s="29"/>
      <c r="N145" s="279">
        <v>4930.32</v>
      </c>
      <c r="O145" s="279"/>
      <c r="P145" s="279"/>
      <c r="Q145" s="279">
        <v>637746.07</v>
      </c>
      <c r="R145" s="279"/>
      <c r="S145" s="279"/>
      <c r="T145" s="280">
        <v>0</v>
      </c>
      <c r="U145" s="280"/>
      <c r="V145" s="282">
        <v>0</v>
      </c>
      <c r="W145" s="282"/>
      <c r="X145" s="282"/>
      <c r="Y145" s="279">
        <v>-7487.01</v>
      </c>
      <c r="Z145" s="279"/>
    </row>
    <row r="146" spans="1:26" ht="12.75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</row>
    <row r="147" spans="1:26" ht="12.75" customHeight="1">
      <c r="A147" s="29"/>
      <c r="B147" s="283">
        <v>40026</v>
      </c>
      <c r="C147" s="283"/>
      <c r="D147" s="279">
        <v>253595.36</v>
      </c>
      <c r="E147" s="279"/>
      <c r="F147" s="279"/>
      <c r="G147" s="279"/>
      <c r="H147" s="29"/>
      <c r="I147" s="279">
        <v>253595.36</v>
      </c>
      <c r="J147" s="279"/>
      <c r="K147" s="279"/>
      <c r="L147" s="32">
        <v>0.2333</v>
      </c>
      <c r="M147" s="29"/>
      <c r="N147" s="279">
        <v>4930.32</v>
      </c>
      <c r="O147" s="279"/>
      <c r="P147" s="279"/>
      <c r="Q147" s="279">
        <v>642676.39</v>
      </c>
      <c r="R147" s="279"/>
      <c r="S147" s="279"/>
      <c r="T147" s="280">
        <v>0</v>
      </c>
      <c r="U147" s="280"/>
      <c r="V147" s="282">
        <v>0</v>
      </c>
      <c r="W147" s="282"/>
      <c r="X147" s="282"/>
      <c r="Y147" s="279">
        <v>-7487.01</v>
      </c>
      <c r="Z147" s="279"/>
    </row>
    <row r="148" spans="1:26" ht="12.75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</row>
    <row r="149" spans="1:26" ht="12.75" customHeight="1">
      <c r="A149" s="29"/>
      <c r="B149" s="283">
        <v>40057</v>
      </c>
      <c r="C149" s="283"/>
      <c r="D149" s="279">
        <v>253595.36</v>
      </c>
      <c r="E149" s="279"/>
      <c r="F149" s="279"/>
      <c r="G149" s="279"/>
      <c r="H149" s="29"/>
      <c r="I149" s="279">
        <v>253595.36</v>
      </c>
      <c r="J149" s="279"/>
      <c r="K149" s="279"/>
      <c r="L149" s="32">
        <v>0.2333</v>
      </c>
      <c r="M149" s="29"/>
      <c r="N149" s="279">
        <v>4930.32</v>
      </c>
      <c r="O149" s="279"/>
      <c r="P149" s="279"/>
      <c r="Q149" s="279">
        <v>647606.71</v>
      </c>
      <c r="R149" s="279"/>
      <c r="S149" s="279"/>
      <c r="T149" s="280">
        <v>0</v>
      </c>
      <c r="U149" s="280"/>
      <c r="V149" s="282">
        <v>0</v>
      </c>
      <c r="W149" s="282"/>
      <c r="X149" s="282"/>
      <c r="Y149" s="279">
        <v>-7487.01</v>
      </c>
      <c r="Z149" s="279"/>
    </row>
    <row r="150" spans="1:26" ht="12.75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</row>
    <row r="151" spans="1:26" ht="12.75" customHeight="1">
      <c r="A151" s="29"/>
      <c r="B151" s="283">
        <v>40087</v>
      </c>
      <c r="C151" s="283"/>
      <c r="D151" s="279">
        <v>253595.36</v>
      </c>
      <c r="E151" s="279"/>
      <c r="F151" s="279"/>
      <c r="G151" s="279"/>
      <c r="H151" s="29"/>
      <c r="I151" s="279">
        <v>253595.36</v>
      </c>
      <c r="J151" s="279"/>
      <c r="K151" s="279"/>
      <c r="L151" s="32">
        <v>0.2333</v>
      </c>
      <c r="M151" s="29"/>
      <c r="N151" s="279">
        <v>4930.32</v>
      </c>
      <c r="O151" s="279"/>
      <c r="P151" s="279"/>
      <c r="Q151" s="279">
        <v>652537.03</v>
      </c>
      <c r="R151" s="279"/>
      <c r="S151" s="279"/>
      <c r="T151" s="280">
        <v>0</v>
      </c>
      <c r="U151" s="280"/>
      <c r="V151" s="282">
        <v>0</v>
      </c>
      <c r="W151" s="282"/>
      <c r="X151" s="282"/>
      <c r="Y151" s="279">
        <v>-7487.01</v>
      </c>
      <c r="Z151" s="279"/>
    </row>
    <row r="152" spans="1:26" ht="12.75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</row>
    <row r="153" spans="1:26" ht="12.75" customHeight="1">
      <c r="A153" s="29"/>
      <c r="B153" s="283">
        <v>40118</v>
      </c>
      <c r="C153" s="283"/>
      <c r="D153" s="279">
        <v>253595.36</v>
      </c>
      <c r="E153" s="279"/>
      <c r="F153" s="279"/>
      <c r="G153" s="279"/>
      <c r="H153" s="29"/>
      <c r="I153" s="279">
        <v>253595.36</v>
      </c>
      <c r="J153" s="279"/>
      <c r="K153" s="279"/>
      <c r="L153" s="32">
        <v>0.2333</v>
      </c>
      <c r="M153" s="29"/>
      <c r="N153" s="279">
        <v>4930.32</v>
      </c>
      <c r="O153" s="279"/>
      <c r="P153" s="279"/>
      <c r="Q153" s="279">
        <v>657467.35</v>
      </c>
      <c r="R153" s="279"/>
      <c r="S153" s="279"/>
      <c r="T153" s="280">
        <v>0</v>
      </c>
      <c r="U153" s="280"/>
      <c r="V153" s="282">
        <v>0</v>
      </c>
      <c r="W153" s="282"/>
      <c r="X153" s="282"/>
      <c r="Y153" s="279">
        <v>-7487.01</v>
      </c>
      <c r="Z153" s="279"/>
    </row>
    <row r="154" spans="1:26" ht="12.75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</row>
    <row r="155" spans="1:26" ht="12.75" customHeight="1">
      <c r="A155" s="29"/>
      <c r="B155" s="283">
        <v>40148</v>
      </c>
      <c r="C155" s="283"/>
      <c r="D155" s="279">
        <v>253595.36</v>
      </c>
      <c r="E155" s="279"/>
      <c r="F155" s="279"/>
      <c r="G155" s="279"/>
      <c r="H155" s="29"/>
      <c r="I155" s="279">
        <v>261449.84</v>
      </c>
      <c r="J155" s="279"/>
      <c r="K155" s="279"/>
      <c r="L155" s="32">
        <v>0.2333</v>
      </c>
      <c r="M155" s="29"/>
      <c r="N155" s="279">
        <v>5083.02</v>
      </c>
      <c r="O155" s="279"/>
      <c r="P155" s="279"/>
      <c r="Q155" s="279">
        <v>662550.37</v>
      </c>
      <c r="R155" s="279"/>
      <c r="S155" s="279"/>
      <c r="T155" s="280">
        <v>0</v>
      </c>
      <c r="U155" s="280"/>
      <c r="V155" s="282">
        <v>0</v>
      </c>
      <c r="W155" s="282"/>
      <c r="X155" s="282"/>
      <c r="Y155" s="279">
        <v>-7487.01</v>
      </c>
      <c r="Z155" s="279"/>
    </row>
    <row r="156" spans="1:26" ht="12.75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</row>
    <row r="157" spans="1:26" ht="12.75" customHeight="1">
      <c r="A157" s="29"/>
      <c r="B157" s="283">
        <v>40179</v>
      </c>
      <c r="C157" s="283"/>
      <c r="D157" s="279">
        <v>254904.44</v>
      </c>
      <c r="E157" s="279"/>
      <c r="F157" s="279"/>
      <c r="G157" s="279"/>
      <c r="H157" s="29"/>
      <c r="I157" s="279">
        <v>254904.44</v>
      </c>
      <c r="J157" s="279"/>
      <c r="K157" s="279"/>
      <c r="L157" s="32">
        <v>0.2333</v>
      </c>
      <c r="M157" s="29"/>
      <c r="N157" s="279">
        <v>4955.77</v>
      </c>
      <c r="O157" s="279"/>
      <c r="P157" s="279"/>
      <c r="Q157" s="279">
        <v>667506.14</v>
      </c>
      <c r="R157" s="279"/>
      <c r="S157" s="279"/>
      <c r="T157" s="280">
        <v>0</v>
      </c>
      <c r="U157" s="280"/>
      <c r="V157" s="282">
        <v>0</v>
      </c>
      <c r="W157" s="282"/>
      <c r="X157" s="282"/>
      <c r="Y157" s="279">
        <v>-7487.01</v>
      </c>
      <c r="Z157" s="279"/>
    </row>
    <row r="158" spans="1:26" ht="12.75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</row>
    <row r="159" spans="1:26" ht="12.75" customHeight="1">
      <c r="A159" s="29"/>
      <c r="B159" s="283">
        <v>40210</v>
      </c>
      <c r="C159" s="283"/>
      <c r="D159" s="279">
        <v>254904.44</v>
      </c>
      <c r="E159" s="279"/>
      <c r="F159" s="279"/>
      <c r="G159" s="279"/>
      <c r="H159" s="29"/>
      <c r="I159" s="279">
        <v>254904.44</v>
      </c>
      <c r="J159" s="279"/>
      <c r="K159" s="279"/>
      <c r="L159" s="32">
        <v>0.2333</v>
      </c>
      <c r="M159" s="29"/>
      <c r="N159" s="279">
        <v>4955.77</v>
      </c>
      <c r="O159" s="279"/>
      <c r="P159" s="279"/>
      <c r="Q159" s="279">
        <v>672461.91</v>
      </c>
      <c r="R159" s="279"/>
      <c r="S159" s="279"/>
      <c r="T159" s="280">
        <v>0</v>
      </c>
      <c r="U159" s="280"/>
      <c r="V159" s="282">
        <v>0</v>
      </c>
      <c r="W159" s="282"/>
      <c r="X159" s="282"/>
      <c r="Y159" s="279">
        <v>-7487.01</v>
      </c>
      <c r="Z159" s="279"/>
    </row>
    <row r="160" spans="1:26" ht="12.75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</row>
    <row r="161" spans="1:26" ht="12.75" customHeight="1">
      <c r="A161" s="29"/>
      <c r="B161" s="283">
        <v>40238</v>
      </c>
      <c r="C161" s="283"/>
      <c r="D161" s="279">
        <v>254904.44</v>
      </c>
      <c r="E161" s="279"/>
      <c r="F161" s="279"/>
      <c r="G161" s="279"/>
      <c r="H161" s="29"/>
      <c r="I161" s="279">
        <v>254904.44</v>
      </c>
      <c r="J161" s="279"/>
      <c r="K161" s="279"/>
      <c r="L161" s="32">
        <v>0.2333</v>
      </c>
      <c r="M161" s="29"/>
      <c r="N161" s="279">
        <v>4955.77</v>
      </c>
      <c r="O161" s="279"/>
      <c r="P161" s="279"/>
      <c r="Q161" s="279">
        <v>677417.68</v>
      </c>
      <c r="R161" s="279"/>
      <c r="S161" s="279"/>
      <c r="T161" s="280">
        <v>0</v>
      </c>
      <c r="U161" s="280"/>
      <c r="V161" s="282">
        <v>0</v>
      </c>
      <c r="W161" s="282"/>
      <c r="X161" s="282"/>
      <c r="Y161" s="279">
        <v>-7487.01</v>
      </c>
      <c r="Z161" s="279"/>
    </row>
    <row r="162" spans="1:26" ht="12.75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33"/>
      <c r="M162" s="33"/>
      <c r="N162" s="33"/>
      <c r="O162" s="33"/>
      <c r="P162" s="281"/>
      <c r="Q162" s="281"/>
      <c r="R162" s="33"/>
      <c r="S162" s="33"/>
      <c r="T162" s="33"/>
      <c r="U162" s="33"/>
      <c r="V162" s="33"/>
      <c r="W162" s="33"/>
      <c r="X162" s="33"/>
      <c r="Y162" s="33"/>
      <c r="Z162" s="33"/>
    </row>
    <row r="163" spans="1:26" ht="38.25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34" t="s">
        <v>34</v>
      </c>
      <c r="M163" s="31"/>
      <c r="N163" s="278">
        <v>59392.89</v>
      </c>
      <c r="O163" s="278"/>
      <c r="P163" s="278"/>
      <c r="Q163" s="278">
        <v>677417.68</v>
      </c>
      <c r="R163" s="278"/>
      <c r="S163" s="278"/>
      <c r="T163" s="31"/>
      <c r="U163" s="31"/>
      <c r="V163" s="277">
        <v>0</v>
      </c>
      <c r="W163" s="277"/>
      <c r="X163" s="277"/>
      <c r="Y163" s="278">
        <v>-7487.01</v>
      </c>
      <c r="Z163" s="278"/>
    </row>
    <row r="164" spans="1:26" ht="12.75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</row>
    <row r="165" spans="1:26" ht="13.5" thickBot="1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</row>
    <row r="166" spans="1:26" ht="25.5" customHeight="1" thickTop="1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77" t="s">
        <v>40</v>
      </c>
      <c r="L166" s="277"/>
      <c r="M166" s="31"/>
      <c r="N166" s="278">
        <v>7755963.47</v>
      </c>
      <c r="O166" s="278"/>
      <c r="P166" s="278"/>
      <c r="Q166" s="278">
        <v>28487344.47</v>
      </c>
      <c r="R166" s="278"/>
      <c r="S166" s="278"/>
      <c r="T166" s="31"/>
      <c r="U166" s="31"/>
      <c r="V166" s="277">
        <v>0</v>
      </c>
      <c r="W166" s="277"/>
      <c r="X166" s="277"/>
      <c r="Y166" s="278">
        <v>-416833.61</v>
      </c>
      <c r="Z166" s="278"/>
    </row>
    <row r="167" spans="1:26" ht="12.75" customHeight="1" hidden="1">
      <c r="A167" s="274" t="s">
        <v>41</v>
      </c>
      <c r="B167" s="274"/>
      <c r="C167" s="274"/>
      <c r="D167" s="29"/>
      <c r="E167" s="29"/>
      <c r="F167" s="29"/>
      <c r="G167" s="29"/>
      <c r="H167" s="29"/>
      <c r="I167" s="275" t="s">
        <v>42</v>
      </c>
      <c r="J167" s="275"/>
      <c r="K167" s="275"/>
      <c r="L167" s="275"/>
      <c r="M167" s="275"/>
      <c r="N167" s="29"/>
      <c r="O167" s="29"/>
      <c r="P167" s="29"/>
      <c r="Q167" s="29"/>
      <c r="R167" s="29"/>
      <c r="S167" s="29"/>
      <c r="T167" s="276">
        <v>40331</v>
      </c>
      <c r="U167" s="276"/>
      <c r="V167" s="276"/>
      <c r="W167" s="276"/>
      <c r="X167" s="29"/>
      <c r="Y167" s="29"/>
      <c r="Z167" s="29"/>
    </row>
  </sheetData>
  <sheetProtection/>
  <mergeCells count="641">
    <mergeCell ref="U2:X2"/>
    <mergeCell ref="A3:B3"/>
    <mergeCell ref="S3:T3"/>
    <mergeCell ref="U3:X3"/>
    <mergeCell ref="C3:D3"/>
    <mergeCell ref="J1:L1"/>
    <mergeCell ref="A2:E2"/>
    <mergeCell ref="J2:L2"/>
    <mergeCell ref="S2:T2"/>
    <mergeCell ref="N4:O4"/>
    <mergeCell ref="N5:O5"/>
    <mergeCell ref="A6:E6"/>
    <mergeCell ref="A7:E7"/>
    <mergeCell ref="E4:G4"/>
    <mergeCell ref="E5:G5"/>
    <mergeCell ref="I4:K4"/>
    <mergeCell ref="I5:K5"/>
    <mergeCell ref="U4:V4"/>
    <mergeCell ref="Q5:S5"/>
    <mergeCell ref="T5:U5"/>
    <mergeCell ref="V5:X5"/>
    <mergeCell ref="Y11:Z11"/>
    <mergeCell ref="B8:F8"/>
    <mergeCell ref="B9:C9"/>
    <mergeCell ref="D9:G9"/>
    <mergeCell ref="N9:P9"/>
    <mergeCell ref="V9:X9"/>
    <mergeCell ref="Q9:S9"/>
    <mergeCell ref="T9:U9"/>
    <mergeCell ref="N13:P13"/>
    <mergeCell ref="Y9:Z9"/>
    <mergeCell ref="B11:C11"/>
    <mergeCell ref="D11:G11"/>
    <mergeCell ref="I11:K11"/>
    <mergeCell ref="N11:P11"/>
    <mergeCell ref="Q11:S11"/>
    <mergeCell ref="T11:U11"/>
    <mergeCell ref="V11:X11"/>
    <mergeCell ref="I9:K9"/>
    <mergeCell ref="Q15:S15"/>
    <mergeCell ref="Q19:S19"/>
    <mergeCell ref="Q13:S13"/>
    <mergeCell ref="B15:C15"/>
    <mergeCell ref="D15:G15"/>
    <mergeCell ref="I15:K15"/>
    <mergeCell ref="N15:P15"/>
    <mergeCell ref="B13:C13"/>
    <mergeCell ref="D13:G13"/>
    <mergeCell ref="I13:K13"/>
    <mergeCell ref="V13:X13"/>
    <mergeCell ref="Y13:Z13"/>
    <mergeCell ref="T15:U15"/>
    <mergeCell ref="V15:X15"/>
    <mergeCell ref="Y15:Z15"/>
    <mergeCell ref="T13:U13"/>
    <mergeCell ref="Q17:S17"/>
    <mergeCell ref="B19:C19"/>
    <mergeCell ref="D19:G19"/>
    <mergeCell ref="B21:C21"/>
    <mergeCell ref="I19:K19"/>
    <mergeCell ref="N19:P19"/>
    <mergeCell ref="B17:C17"/>
    <mergeCell ref="D17:G17"/>
    <mergeCell ref="I17:K17"/>
    <mergeCell ref="N17:P17"/>
    <mergeCell ref="V17:X17"/>
    <mergeCell ref="Y17:Z17"/>
    <mergeCell ref="T19:U19"/>
    <mergeCell ref="V19:X19"/>
    <mergeCell ref="Y19:Z19"/>
    <mergeCell ref="T17:U17"/>
    <mergeCell ref="D21:G21"/>
    <mergeCell ref="I21:K21"/>
    <mergeCell ref="N21:P21"/>
    <mergeCell ref="B23:C23"/>
    <mergeCell ref="D23:G23"/>
    <mergeCell ref="I23:K23"/>
    <mergeCell ref="N23:P23"/>
    <mergeCell ref="B25:C25"/>
    <mergeCell ref="V25:X25"/>
    <mergeCell ref="D25:G25"/>
    <mergeCell ref="Q27:S27"/>
    <mergeCell ref="Q25:S25"/>
    <mergeCell ref="B27:C27"/>
    <mergeCell ref="D27:G27"/>
    <mergeCell ref="I27:K27"/>
    <mergeCell ref="N27:P27"/>
    <mergeCell ref="I25:K25"/>
    <mergeCell ref="N25:P25"/>
    <mergeCell ref="Y21:Z21"/>
    <mergeCell ref="T23:U23"/>
    <mergeCell ref="V23:X23"/>
    <mergeCell ref="Y23:Z23"/>
    <mergeCell ref="T21:U21"/>
    <mergeCell ref="V21:X21"/>
    <mergeCell ref="Q23:S23"/>
    <mergeCell ref="Q21:S21"/>
    <mergeCell ref="Y29:Z29"/>
    <mergeCell ref="V29:X29"/>
    <mergeCell ref="T29:U29"/>
    <mergeCell ref="Q29:S29"/>
    <mergeCell ref="Y25:Z25"/>
    <mergeCell ref="T27:U27"/>
    <mergeCell ref="V27:X27"/>
    <mergeCell ref="Y27:Z27"/>
    <mergeCell ref="T25:U25"/>
    <mergeCell ref="B31:C31"/>
    <mergeCell ref="D31:G31"/>
    <mergeCell ref="I31:K31"/>
    <mergeCell ref="N31:P31"/>
    <mergeCell ref="B29:C29"/>
    <mergeCell ref="D29:G29"/>
    <mergeCell ref="I29:K29"/>
    <mergeCell ref="N29:P29"/>
    <mergeCell ref="Q37:S37"/>
    <mergeCell ref="N33:P33"/>
    <mergeCell ref="Q33:S33"/>
    <mergeCell ref="Y31:Z31"/>
    <mergeCell ref="Q31:S31"/>
    <mergeCell ref="V31:X31"/>
    <mergeCell ref="T31:U31"/>
    <mergeCell ref="P32:Q32"/>
    <mergeCell ref="V33:X33"/>
    <mergeCell ref="Y33:Z33"/>
    <mergeCell ref="Q35:S35"/>
    <mergeCell ref="T35:U35"/>
    <mergeCell ref="V35:X35"/>
    <mergeCell ref="B34:F34"/>
    <mergeCell ref="B35:C35"/>
    <mergeCell ref="D35:G35"/>
    <mergeCell ref="I35:K35"/>
    <mergeCell ref="Y35:Z35"/>
    <mergeCell ref="B37:C37"/>
    <mergeCell ref="D37:G37"/>
    <mergeCell ref="Y41:Z41"/>
    <mergeCell ref="I39:K39"/>
    <mergeCell ref="N39:P39"/>
    <mergeCell ref="T39:U39"/>
    <mergeCell ref="V39:X39"/>
    <mergeCell ref="T37:U37"/>
    <mergeCell ref="V37:X37"/>
    <mergeCell ref="Y39:Z39"/>
    <mergeCell ref="I43:K43"/>
    <mergeCell ref="N43:P43"/>
    <mergeCell ref="Y37:Z37"/>
    <mergeCell ref="T43:U43"/>
    <mergeCell ref="V43:X43"/>
    <mergeCell ref="Y43:Z43"/>
    <mergeCell ref="T41:U41"/>
    <mergeCell ref="V41:X41"/>
    <mergeCell ref="I37:K37"/>
    <mergeCell ref="N35:P35"/>
    <mergeCell ref="Q39:S39"/>
    <mergeCell ref="B41:C41"/>
    <mergeCell ref="D41:G41"/>
    <mergeCell ref="I41:K41"/>
    <mergeCell ref="N41:P41"/>
    <mergeCell ref="Q41:S41"/>
    <mergeCell ref="B39:C39"/>
    <mergeCell ref="D39:G39"/>
    <mergeCell ref="N37:P37"/>
    <mergeCell ref="Q43:S43"/>
    <mergeCell ref="B45:C45"/>
    <mergeCell ref="D45:G45"/>
    <mergeCell ref="I45:K45"/>
    <mergeCell ref="N45:P45"/>
    <mergeCell ref="Q45:S45"/>
    <mergeCell ref="B43:C43"/>
    <mergeCell ref="D43:G43"/>
    <mergeCell ref="Q47:S47"/>
    <mergeCell ref="Y45:Z45"/>
    <mergeCell ref="T47:U47"/>
    <mergeCell ref="V47:X47"/>
    <mergeCell ref="Y47:Z47"/>
    <mergeCell ref="T45:U45"/>
    <mergeCell ref="V45:X45"/>
    <mergeCell ref="B49:C49"/>
    <mergeCell ref="D49:G49"/>
    <mergeCell ref="I49:K49"/>
    <mergeCell ref="N49:P49"/>
    <mergeCell ref="B47:C47"/>
    <mergeCell ref="D47:G47"/>
    <mergeCell ref="I47:K47"/>
    <mergeCell ref="N47:P47"/>
    <mergeCell ref="B53:C53"/>
    <mergeCell ref="D53:G53"/>
    <mergeCell ref="I53:K53"/>
    <mergeCell ref="N53:P53"/>
    <mergeCell ref="B51:C51"/>
    <mergeCell ref="D51:G51"/>
    <mergeCell ref="I51:K51"/>
    <mergeCell ref="N51:P51"/>
    <mergeCell ref="Q51:S51"/>
    <mergeCell ref="V53:X53"/>
    <mergeCell ref="Q49:S49"/>
    <mergeCell ref="Q53:S53"/>
    <mergeCell ref="Y49:Z49"/>
    <mergeCell ref="T51:U51"/>
    <mergeCell ref="V51:X51"/>
    <mergeCell ref="Y51:Z51"/>
    <mergeCell ref="T49:U49"/>
    <mergeCell ref="V49:X49"/>
    <mergeCell ref="Q55:S55"/>
    <mergeCell ref="B57:C57"/>
    <mergeCell ref="D57:G57"/>
    <mergeCell ref="I57:K57"/>
    <mergeCell ref="N57:P57"/>
    <mergeCell ref="Q57:S57"/>
    <mergeCell ref="B55:C55"/>
    <mergeCell ref="D55:G55"/>
    <mergeCell ref="N55:P55"/>
    <mergeCell ref="I55:K55"/>
    <mergeCell ref="Y57:Z57"/>
    <mergeCell ref="P58:Q58"/>
    <mergeCell ref="T57:U57"/>
    <mergeCell ref="V57:X57"/>
    <mergeCell ref="Y53:Z53"/>
    <mergeCell ref="T55:U55"/>
    <mergeCell ref="V55:X55"/>
    <mergeCell ref="Y55:Z55"/>
    <mergeCell ref="T53:U53"/>
    <mergeCell ref="N59:P59"/>
    <mergeCell ref="Q59:S59"/>
    <mergeCell ref="V59:X59"/>
    <mergeCell ref="Y59:Z59"/>
    <mergeCell ref="N61:P61"/>
    <mergeCell ref="Q61:S61"/>
    <mergeCell ref="T61:U61"/>
    <mergeCell ref="V61:X61"/>
    <mergeCell ref="B60:F60"/>
    <mergeCell ref="B61:C61"/>
    <mergeCell ref="D61:G61"/>
    <mergeCell ref="I61:K61"/>
    <mergeCell ref="Y61:Z61"/>
    <mergeCell ref="T63:U63"/>
    <mergeCell ref="V63:X63"/>
    <mergeCell ref="Y63:Z63"/>
    <mergeCell ref="Q65:S65"/>
    <mergeCell ref="B63:C63"/>
    <mergeCell ref="D63:G63"/>
    <mergeCell ref="I63:K63"/>
    <mergeCell ref="N63:P63"/>
    <mergeCell ref="Q63:S63"/>
    <mergeCell ref="B65:C65"/>
    <mergeCell ref="D65:G65"/>
    <mergeCell ref="I65:K65"/>
    <mergeCell ref="N65:P65"/>
    <mergeCell ref="T65:U65"/>
    <mergeCell ref="V65:X65"/>
    <mergeCell ref="Y65:Z65"/>
    <mergeCell ref="T67:U67"/>
    <mergeCell ref="V67:X67"/>
    <mergeCell ref="Y67:Z67"/>
    <mergeCell ref="Q67:S67"/>
    <mergeCell ref="B69:C69"/>
    <mergeCell ref="D69:G69"/>
    <mergeCell ref="I69:K69"/>
    <mergeCell ref="N69:P69"/>
    <mergeCell ref="Q69:S69"/>
    <mergeCell ref="B67:C67"/>
    <mergeCell ref="D67:G67"/>
    <mergeCell ref="I67:K67"/>
    <mergeCell ref="N67:P67"/>
    <mergeCell ref="T69:U69"/>
    <mergeCell ref="V69:X69"/>
    <mergeCell ref="Y69:Z69"/>
    <mergeCell ref="T71:U71"/>
    <mergeCell ref="V71:X71"/>
    <mergeCell ref="Y71:Z71"/>
    <mergeCell ref="Q71:S71"/>
    <mergeCell ref="B73:C73"/>
    <mergeCell ref="D73:G73"/>
    <mergeCell ref="I73:K73"/>
    <mergeCell ref="N73:P73"/>
    <mergeCell ref="Q73:S73"/>
    <mergeCell ref="B71:C71"/>
    <mergeCell ref="D71:G71"/>
    <mergeCell ref="I71:K71"/>
    <mergeCell ref="N71:P71"/>
    <mergeCell ref="T73:U73"/>
    <mergeCell ref="V73:X73"/>
    <mergeCell ref="Y73:Z73"/>
    <mergeCell ref="T75:U75"/>
    <mergeCell ref="V75:X75"/>
    <mergeCell ref="Y75:Z75"/>
    <mergeCell ref="Q75:S75"/>
    <mergeCell ref="B77:C77"/>
    <mergeCell ref="D77:G77"/>
    <mergeCell ref="I77:K77"/>
    <mergeCell ref="N77:P77"/>
    <mergeCell ref="Q77:S77"/>
    <mergeCell ref="B75:C75"/>
    <mergeCell ref="D75:G75"/>
    <mergeCell ref="I75:K75"/>
    <mergeCell ref="N75:P75"/>
    <mergeCell ref="T77:U77"/>
    <mergeCell ref="V77:X77"/>
    <mergeCell ref="Y77:Z77"/>
    <mergeCell ref="T79:U79"/>
    <mergeCell ref="V79:X79"/>
    <mergeCell ref="Y79:Z79"/>
    <mergeCell ref="Q79:S79"/>
    <mergeCell ref="B81:C81"/>
    <mergeCell ref="D81:G81"/>
    <mergeCell ref="I81:K81"/>
    <mergeCell ref="N81:P81"/>
    <mergeCell ref="Q81:S81"/>
    <mergeCell ref="B79:C79"/>
    <mergeCell ref="D79:G79"/>
    <mergeCell ref="I79:K79"/>
    <mergeCell ref="N79:P79"/>
    <mergeCell ref="B83:C83"/>
    <mergeCell ref="D83:G83"/>
    <mergeCell ref="I83:K83"/>
    <mergeCell ref="N83:P83"/>
    <mergeCell ref="V85:X85"/>
    <mergeCell ref="Y85:Z85"/>
    <mergeCell ref="P84:Q84"/>
    <mergeCell ref="Q83:S83"/>
    <mergeCell ref="N85:P85"/>
    <mergeCell ref="Q85:S85"/>
    <mergeCell ref="T81:U81"/>
    <mergeCell ref="V81:X81"/>
    <mergeCell ref="Y81:Z81"/>
    <mergeCell ref="T83:U83"/>
    <mergeCell ref="V83:X83"/>
    <mergeCell ref="Y83:Z83"/>
    <mergeCell ref="Q87:S87"/>
    <mergeCell ref="T87:U87"/>
    <mergeCell ref="V87:X87"/>
    <mergeCell ref="B86:F86"/>
    <mergeCell ref="B87:C87"/>
    <mergeCell ref="D87:G87"/>
    <mergeCell ref="I87:K87"/>
    <mergeCell ref="Y87:Z87"/>
    <mergeCell ref="B89:C89"/>
    <mergeCell ref="D89:G89"/>
    <mergeCell ref="I89:K89"/>
    <mergeCell ref="N89:P89"/>
    <mergeCell ref="Q89:S89"/>
    <mergeCell ref="T89:U89"/>
    <mergeCell ref="V89:X89"/>
    <mergeCell ref="Y89:Z89"/>
    <mergeCell ref="N87:P87"/>
    <mergeCell ref="T91:U91"/>
    <mergeCell ref="V91:X91"/>
    <mergeCell ref="Y91:Z91"/>
    <mergeCell ref="B91:C91"/>
    <mergeCell ref="D91:G91"/>
    <mergeCell ref="I91:K91"/>
    <mergeCell ref="N91:P91"/>
    <mergeCell ref="Q91:S91"/>
    <mergeCell ref="Q95:S95"/>
    <mergeCell ref="B93:C93"/>
    <mergeCell ref="D93:G93"/>
    <mergeCell ref="I93:K93"/>
    <mergeCell ref="N93:P93"/>
    <mergeCell ref="Q93:S93"/>
    <mergeCell ref="B95:C95"/>
    <mergeCell ref="D95:G95"/>
    <mergeCell ref="I95:K95"/>
    <mergeCell ref="N95:P95"/>
    <mergeCell ref="V93:X93"/>
    <mergeCell ref="Y93:Z93"/>
    <mergeCell ref="T95:U95"/>
    <mergeCell ref="V95:X95"/>
    <mergeCell ref="Y95:Z95"/>
    <mergeCell ref="T93:U93"/>
    <mergeCell ref="Q99:S99"/>
    <mergeCell ref="B97:C97"/>
    <mergeCell ref="D97:G97"/>
    <mergeCell ref="I97:K97"/>
    <mergeCell ref="N97:P97"/>
    <mergeCell ref="Q97:S97"/>
    <mergeCell ref="B99:C99"/>
    <mergeCell ref="D99:G99"/>
    <mergeCell ref="I99:K99"/>
    <mergeCell ref="N99:P99"/>
    <mergeCell ref="V97:X97"/>
    <mergeCell ref="Y97:Z97"/>
    <mergeCell ref="T99:U99"/>
    <mergeCell ref="V99:X99"/>
    <mergeCell ref="Y99:Z99"/>
    <mergeCell ref="T97:U97"/>
    <mergeCell ref="Q103:S103"/>
    <mergeCell ref="B101:C101"/>
    <mergeCell ref="D101:G101"/>
    <mergeCell ref="I101:K101"/>
    <mergeCell ref="N101:P101"/>
    <mergeCell ref="Q101:S101"/>
    <mergeCell ref="B103:C103"/>
    <mergeCell ref="D103:G103"/>
    <mergeCell ref="I103:K103"/>
    <mergeCell ref="N103:P103"/>
    <mergeCell ref="V101:X101"/>
    <mergeCell ref="Y101:Z101"/>
    <mergeCell ref="T103:U103"/>
    <mergeCell ref="V103:X103"/>
    <mergeCell ref="Y103:Z103"/>
    <mergeCell ref="T101:U101"/>
    <mergeCell ref="Q107:S107"/>
    <mergeCell ref="B105:C105"/>
    <mergeCell ref="D105:G105"/>
    <mergeCell ref="I105:K105"/>
    <mergeCell ref="N105:P105"/>
    <mergeCell ref="Q105:S105"/>
    <mergeCell ref="B107:C107"/>
    <mergeCell ref="D107:G107"/>
    <mergeCell ref="I107:K107"/>
    <mergeCell ref="N107:P107"/>
    <mergeCell ref="V105:X105"/>
    <mergeCell ref="Y105:Z105"/>
    <mergeCell ref="T107:U107"/>
    <mergeCell ref="V107:X107"/>
    <mergeCell ref="Y107:Z107"/>
    <mergeCell ref="T105:U105"/>
    <mergeCell ref="B109:C109"/>
    <mergeCell ref="D109:G109"/>
    <mergeCell ref="I109:K109"/>
    <mergeCell ref="N109:P109"/>
    <mergeCell ref="B112:F112"/>
    <mergeCell ref="B113:C113"/>
    <mergeCell ref="D113:G113"/>
    <mergeCell ref="I113:K113"/>
    <mergeCell ref="T113:U113"/>
    <mergeCell ref="V113:X113"/>
    <mergeCell ref="Q113:S113"/>
    <mergeCell ref="N113:P113"/>
    <mergeCell ref="Y111:Z111"/>
    <mergeCell ref="Q109:S109"/>
    <mergeCell ref="Y113:Z113"/>
    <mergeCell ref="T109:U109"/>
    <mergeCell ref="V109:X109"/>
    <mergeCell ref="Y109:Z109"/>
    <mergeCell ref="V111:X111"/>
    <mergeCell ref="P110:Q110"/>
    <mergeCell ref="N111:P111"/>
    <mergeCell ref="Q111:S111"/>
    <mergeCell ref="V115:X115"/>
    <mergeCell ref="Y115:Z115"/>
    <mergeCell ref="N117:P117"/>
    <mergeCell ref="Q117:S117"/>
    <mergeCell ref="N115:P115"/>
    <mergeCell ref="Q115:S115"/>
    <mergeCell ref="T117:U117"/>
    <mergeCell ref="V117:X117"/>
    <mergeCell ref="Y117:Z117"/>
    <mergeCell ref="T115:U115"/>
    <mergeCell ref="B121:C121"/>
    <mergeCell ref="D121:G121"/>
    <mergeCell ref="T121:U121"/>
    <mergeCell ref="V121:X121"/>
    <mergeCell ref="I121:K121"/>
    <mergeCell ref="N121:P121"/>
    <mergeCell ref="Y121:Z121"/>
    <mergeCell ref="T119:U119"/>
    <mergeCell ref="V119:X119"/>
    <mergeCell ref="Y119:Z119"/>
    <mergeCell ref="D117:G117"/>
    <mergeCell ref="I117:K117"/>
    <mergeCell ref="B115:C115"/>
    <mergeCell ref="B119:C119"/>
    <mergeCell ref="D115:G115"/>
    <mergeCell ref="I115:K115"/>
    <mergeCell ref="B117:C117"/>
    <mergeCell ref="D119:G119"/>
    <mergeCell ref="I119:K119"/>
    <mergeCell ref="N119:P119"/>
    <mergeCell ref="Q121:S121"/>
    <mergeCell ref="Q119:S119"/>
    <mergeCell ref="T125:U125"/>
    <mergeCell ref="Q123:S123"/>
    <mergeCell ref="Q125:S125"/>
    <mergeCell ref="N123:P123"/>
    <mergeCell ref="N125:P125"/>
    <mergeCell ref="V125:X125"/>
    <mergeCell ref="Y125:Z125"/>
    <mergeCell ref="T123:U123"/>
    <mergeCell ref="V123:X123"/>
    <mergeCell ref="Y123:Z123"/>
    <mergeCell ref="B123:C123"/>
    <mergeCell ref="B127:C127"/>
    <mergeCell ref="D123:G123"/>
    <mergeCell ref="I123:K123"/>
    <mergeCell ref="B125:C125"/>
    <mergeCell ref="D125:G125"/>
    <mergeCell ref="I125:K125"/>
    <mergeCell ref="T129:U129"/>
    <mergeCell ref="V129:X129"/>
    <mergeCell ref="Y129:Z129"/>
    <mergeCell ref="T127:U127"/>
    <mergeCell ref="V127:X127"/>
    <mergeCell ref="Y127:Z127"/>
    <mergeCell ref="B131:C131"/>
    <mergeCell ref="D127:G127"/>
    <mergeCell ref="I127:K127"/>
    <mergeCell ref="N127:P127"/>
    <mergeCell ref="N129:P129"/>
    <mergeCell ref="Q127:S127"/>
    <mergeCell ref="B129:C129"/>
    <mergeCell ref="D129:G129"/>
    <mergeCell ref="I129:K129"/>
    <mergeCell ref="Q129:S129"/>
    <mergeCell ref="T131:U131"/>
    <mergeCell ref="V131:X131"/>
    <mergeCell ref="Y131:Z131"/>
    <mergeCell ref="Q131:S131"/>
    <mergeCell ref="N133:P133"/>
    <mergeCell ref="Q133:S133"/>
    <mergeCell ref="D131:G131"/>
    <mergeCell ref="I131:K131"/>
    <mergeCell ref="N131:P131"/>
    <mergeCell ref="B135:C135"/>
    <mergeCell ref="D135:G135"/>
    <mergeCell ref="I135:K135"/>
    <mergeCell ref="N135:P135"/>
    <mergeCell ref="B133:C133"/>
    <mergeCell ref="D133:G133"/>
    <mergeCell ref="I133:K133"/>
    <mergeCell ref="T139:U139"/>
    <mergeCell ref="B138:F138"/>
    <mergeCell ref="B139:C139"/>
    <mergeCell ref="D139:G139"/>
    <mergeCell ref="I139:K139"/>
    <mergeCell ref="P136:Q136"/>
    <mergeCell ref="Q135:S135"/>
    <mergeCell ref="V137:X137"/>
    <mergeCell ref="Y137:Z137"/>
    <mergeCell ref="T133:U133"/>
    <mergeCell ref="V133:X133"/>
    <mergeCell ref="Y133:Z133"/>
    <mergeCell ref="T135:U135"/>
    <mergeCell ref="V135:X135"/>
    <mergeCell ref="Y135:Z135"/>
    <mergeCell ref="N137:P137"/>
    <mergeCell ref="Q137:S137"/>
    <mergeCell ref="Q139:S139"/>
    <mergeCell ref="Q145:S145"/>
    <mergeCell ref="Q143:S143"/>
    <mergeCell ref="Y141:Z141"/>
    <mergeCell ref="N139:P139"/>
    <mergeCell ref="T143:U143"/>
    <mergeCell ref="V143:X143"/>
    <mergeCell ref="Y143:Z143"/>
    <mergeCell ref="Q141:S141"/>
    <mergeCell ref="T141:U141"/>
    <mergeCell ref="V139:X139"/>
    <mergeCell ref="Y139:Z139"/>
    <mergeCell ref="V141:X141"/>
    <mergeCell ref="B143:C143"/>
    <mergeCell ref="D143:G143"/>
    <mergeCell ref="I143:K143"/>
    <mergeCell ref="N143:P143"/>
    <mergeCell ref="B141:C141"/>
    <mergeCell ref="D141:G141"/>
    <mergeCell ref="I141:K141"/>
    <mergeCell ref="N141:P141"/>
    <mergeCell ref="Q147:S147"/>
    <mergeCell ref="B145:C145"/>
    <mergeCell ref="D145:G145"/>
    <mergeCell ref="I145:K145"/>
    <mergeCell ref="N145:P145"/>
    <mergeCell ref="B147:C147"/>
    <mergeCell ref="D147:G147"/>
    <mergeCell ref="I147:K147"/>
    <mergeCell ref="N147:P147"/>
    <mergeCell ref="V149:X149"/>
    <mergeCell ref="Y149:Z149"/>
    <mergeCell ref="T151:U151"/>
    <mergeCell ref="V151:X151"/>
    <mergeCell ref="Y151:Z151"/>
    <mergeCell ref="T149:U149"/>
    <mergeCell ref="Y145:Z145"/>
    <mergeCell ref="T147:U147"/>
    <mergeCell ref="V147:X147"/>
    <mergeCell ref="Y147:Z147"/>
    <mergeCell ref="T145:U145"/>
    <mergeCell ref="V145:X145"/>
    <mergeCell ref="Q149:S149"/>
    <mergeCell ref="B151:C151"/>
    <mergeCell ref="D151:G151"/>
    <mergeCell ref="I151:K151"/>
    <mergeCell ref="N151:P151"/>
    <mergeCell ref="Q151:S151"/>
    <mergeCell ref="B149:C149"/>
    <mergeCell ref="D149:G149"/>
    <mergeCell ref="I149:K149"/>
    <mergeCell ref="N149:P149"/>
    <mergeCell ref="Q155:S155"/>
    <mergeCell ref="B153:C153"/>
    <mergeCell ref="D153:G153"/>
    <mergeCell ref="I153:K153"/>
    <mergeCell ref="N153:P153"/>
    <mergeCell ref="Q153:S153"/>
    <mergeCell ref="B155:C155"/>
    <mergeCell ref="D155:G155"/>
    <mergeCell ref="I155:K155"/>
    <mergeCell ref="N155:P155"/>
    <mergeCell ref="V153:X153"/>
    <mergeCell ref="Y153:Z153"/>
    <mergeCell ref="T155:U155"/>
    <mergeCell ref="V155:X155"/>
    <mergeCell ref="Y155:Z155"/>
    <mergeCell ref="T153:U153"/>
    <mergeCell ref="Q159:S159"/>
    <mergeCell ref="Q157:S157"/>
    <mergeCell ref="B159:C159"/>
    <mergeCell ref="D159:G159"/>
    <mergeCell ref="I159:K159"/>
    <mergeCell ref="N159:P159"/>
    <mergeCell ref="B157:C157"/>
    <mergeCell ref="D157:G157"/>
    <mergeCell ref="I157:K157"/>
    <mergeCell ref="N157:P157"/>
    <mergeCell ref="V157:X157"/>
    <mergeCell ref="Y157:Z157"/>
    <mergeCell ref="T159:U159"/>
    <mergeCell ref="V159:X159"/>
    <mergeCell ref="Y159:Z159"/>
    <mergeCell ref="T157:U157"/>
    <mergeCell ref="B161:C161"/>
    <mergeCell ref="D161:G161"/>
    <mergeCell ref="I161:K161"/>
    <mergeCell ref="N161:P161"/>
    <mergeCell ref="Y166:Z166"/>
    <mergeCell ref="Y163:Z163"/>
    <mergeCell ref="Q161:S161"/>
    <mergeCell ref="T161:U161"/>
    <mergeCell ref="P162:Q162"/>
    <mergeCell ref="V161:X161"/>
    <mergeCell ref="Y161:Z161"/>
    <mergeCell ref="N163:P163"/>
    <mergeCell ref="Q163:S163"/>
    <mergeCell ref="V163:X163"/>
    <mergeCell ref="A167:C167"/>
    <mergeCell ref="I167:M167"/>
    <mergeCell ref="T167:W167"/>
    <mergeCell ref="K166:L166"/>
    <mergeCell ref="N166:P166"/>
    <mergeCell ref="Q166:S166"/>
    <mergeCell ref="V166:X166"/>
  </mergeCells>
  <printOptions/>
  <pageMargins left="0.75" right="0.75" top="0.8" bottom="1" header="0.5" footer="0.5"/>
  <pageSetup horizontalDpi="600" verticalDpi="600" orientation="portrait" scale="70" r:id="rId1"/>
  <headerFooter alignWithMargins="0">
    <oddHeader>&amp;CGas Water Heater 12ME 3/31/2010</oddHeader>
  </headerFooter>
  <rowBreaks count="2" manualBreakCount="2">
    <brk id="59" max="25" man="1"/>
    <brk id="111" max="2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C35" sqref="C35"/>
    </sheetView>
  </sheetViews>
  <sheetFormatPr defaultColWidth="9.140625" defaultRowHeight="12.75"/>
  <cols>
    <col min="1" max="1" width="10.140625" style="0" bestFit="1" customWidth="1"/>
    <col min="2" max="2" width="11.8515625" style="0" bestFit="1" customWidth="1"/>
    <col min="3" max="3" width="13.57421875" style="0" bestFit="1" customWidth="1"/>
    <col min="5" max="5" width="11.140625" style="0" bestFit="1" customWidth="1"/>
    <col min="6" max="6" width="11.8515625" style="0" bestFit="1" customWidth="1"/>
  </cols>
  <sheetData>
    <row r="1" spans="1:3" ht="12.75">
      <c r="A1" t="s">
        <v>270</v>
      </c>
      <c r="C1" s="206">
        <f>'12.01'!D13</f>
        <v>1535588.9709753334</v>
      </c>
    </row>
    <row r="2" spans="1:3" ht="12.75">
      <c r="A2" t="s">
        <v>271</v>
      </c>
      <c r="C2" s="206">
        <f>C1/12</f>
        <v>127965.74758127778</v>
      </c>
    </row>
    <row r="4" spans="2:6" ht="12.75">
      <c r="B4" s="203" t="s">
        <v>264</v>
      </c>
      <c r="C4" s="202" t="s">
        <v>265</v>
      </c>
      <c r="E4" s="202" t="s">
        <v>264</v>
      </c>
      <c r="F4" s="202" t="s">
        <v>273</v>
      </c>
    </row>
    <row r="5" spans="1:6" ht="12.75">
      <c r="A5" s="204" t="s">
        <v>268</v>
      </c>
      <c r="B5" s="204" t="s">
        <v>265</v>
      </c>
      <c r="C5" s="204" t="s">
        <v>266</v>
      </c>
      <c r="E5" s="204" t="s">
        <v>306</v>
      </c>
      <c r="F5" s="204" t="s">
        <v>272</v>
      </c>
    </row>
    <row r="7" ht="12.75">
      <c r="A7" t="s">
        <v>269</v>
      </c>
    </row>
    <row r="8" spans="1:6" ht="12.75">
      <c r="A8" s="201">
        <v>40633</v>
      </c>
      <c r="B8" s="208">
        <v>0</v>
      </c>
      <c r="C8" s="209">
        <f>B8</f>
        <v>0</v>
      </c>
      <c r="E8" s="208">
        <v>0</v>
      </c>
      <c r="F8" s="209">
        <f>E8</f>
        <v>0</v>
      </c>
    </row>
    <row r="9" spans="1:6" ht="12.75">
      <c r="A9" s="201">
        <v>40663</v>
      </c>
      <c r="B9" s="210">
        <f>-C2</f>
        <v>-127965.74758127778</v>
      </c>
      <c r="C9" s="209">
        <f>C8+B9</f>
        <v>-127965.74758127778</v>
      </c>
      <c r="E9" s="209">
        <f>-B9*0.35</f>
        <v>44788.011653447225</v>
      </c>
      <c r="F9" s="209">
        <f>F8+E9</f>
        <v>44788.011653447225</v>
      </c>
    </row>
    <row r="10" spans="1:6" ht="12.75">
      <c r="A10" s="201">
        <v>40694</v>
      </c>
      <c r="B10" s="210">
        <f>B9</f>
        <v>-127965.74758127778</v>
      </c>
      <c r="C10" s="209">
        <f>C9+B10</f>
        <v>-255931.49516255557</v>
      </c>
      <c r="E10" s="209">
        <f aca="true" t="shared" si="0" ref="E10:E33">-B10*0.35</f>
        <v>44788.011653447225</v>
      </c>
      <c r="F10" s="209">
        <f aca="true" t="shared" si="1" ref="F10:F33">F9+E10</f>
        <v>89576.02330689445</v>
      </c>
    </row>
    <row r="11" spans="1:6" ht="12.75">
      <c r="A11" s="201">
        <v>40724</v>
      </c>
      <c r="B11" s="210">
        <f aca="true" t="shared" si="2" ref="B11:B33">B10</f>
        <v>-127965.74758127778</v>
      </c>
      <c r="C11" s="209">
        <f aca="true" t="shared" si="3" ref="C11:C33">C10+B11</f>
        <v>-383897.24274383334</v>
      </c>
      <c r="E11" s="209">
        <f t="shared" si="0"/>
        <v>44788.011653447225</v>
      </c>
      <c r="F11" s="209">
        <f t="shared" si="1"/>
        <v>134364.03496034167</v>
      </c>
    </row>
    <row r="12" spans="1:6" ht="12.75">
      <c r="A12" s="201">
        <v>40755</v>
      </c>
      <c r="B12" s="210">
        <f t="shared" si="2"/>
        <v>-127965.74758127778</v>
      </c>
      <c r="C12" s="209">
        <f t="shared" si="3"/>
        <v>-511862.99032511114</v>
      </c>
      <c r="E12" s="209">
        <f t="shared" si="0"/>
        <v>44788.011653447225</v>
      </c>
      <c r="F12" s="209">
        <f t="shared" si="1"/>
        <v>179152.0466137889</v>
      </c>
    </row>
    <row r="13" spans="1:6" ht="12.75">
      <c r="A13" s="201">
        <v>40786</v>
      </c>
      <c r="B13" s="210">
        <f t="shared" si="2"/>
        <v>-127965.74758127778</v>
      </c>
      <c r="C13" s="209">
        <f t="shared" si="3"/>
        <v>-639828.7379063889</v>
      </c>
      <c r="E13" s="209">
        <f t="shared" si="0"/>
        <v>44788.011653447225</v>
      </c>
      <c r="F13" s="209">
        <f t="shared" si="1"/>
        <v>223940.05826723613</v>
      </c>
    </row>
    <row r="14" spans="1:6" ht="12.75">
      <c r="A14" s="201">
        <v>40816</v>
      </c>
      <c r="B14" s="210">
        <f t="shared" si="2"/>
        <v>-127965.74758127778</v>
      </c>
      <c r="C14" s="209">
        <f t="shared" si="3"/>
        <v>-767794.4854876667</v>
      </c>
      <c r="E14" s="209">
        <f t="shared" si="0"/>
        <v>44788.011653447225</v>
      </c>
      <c r="F14" s="209">
        <f t="shared" si="1"/>
        <v>268728.06992068334</v>
      </c>
    </row>
    <row r="15" spans="1:6" ht="12.75">
      <c r="A15" s="201">
        <v>40847</v>
      </c>
      <c r="B15" s="210">
        <f t="shared" si="2"/>
        <v>-127965.74758127778</v>
      </c>
      <c r="C15" s="209">
        <f t="shared" si="3"/>
        <v>-895760.2330689444</v>
      </c>
      <c r="E15" s="209">
        <f t="shared" si="0"/>
        <v>44788.011653447225</v>
      </c>
      <c r="F15" s="209">
        <f t="shared" si="1"/>
        <v>313516.08157413057</v>
      </c>
    </row>
    <row r="16" spans="1:6" ht="12.75">
      <c r="A16" s="201">
        <v>40877</v>
      </c>
      <c r="B16" s="210">
        <f t="shared" si="2"/>
        <v>-127965.74758127778</v>
      </c>
      <c r="C16" s="209">
        <f t="shared" si="3"/>
        <v>-1023725.9806502222</v>
      </c>
      <c r="E16" s="209">
        <f t="shared" si="0"/>
        <v>44788.011653447225</v>
      </c>
      <c r="F16" s="209">
        <f t="shared" si="1"/>
        <v>358304.0932275778</v>
      </c>
    </row>
    <row r="17" spans="1:6" ht="12.75">
      <c r="A17" s="201">
        <v>40908</v>
      </c>
      <c r="B17" s="210">
        <f t="shared" si="2"/>
        <v>-127965.74758127778</v>
      </c>
      <c r="C17" s="209">
        <f t="shared" si="3"/>
        <v>-1151691.7282315</v>
      </c>
      <c r="E17" s="209">
        <f t="shared" si="0"/>
        <v>44788.011653447225</v>
      </c>
      <c r="F17" s="209">
        <f t="shared" si="1"/>
        <v>403092.10488102504</v>
      </c>
    </row>
    <row r="18" spans="1:6" ht="12.75">
      <c r="A18" s="201">
        <v>40939</v>
      </c>
      <c r="B18" s="210">
        <f t="shared" si="2"/>
        <v>-127965.74758127778</v>
      </c>
      <c r="C18" s="209">
        <f t="shared" si="3"/>
        <v>-1279657.4758127776</v>
      </c>
      <c r="E18" s="209">
        <f t="shared" si="0"/>
        <v>44788.011653447225</v>
      </c>
      <c r="F18" s="209">
        <f t="shared" si="1"/>
        <v>447880.11653447227</v>
      </c>
    </row>
    <row r="19" spans="1:6" ht="12.75">
      <c r="A19" s="201">
        <v>40968</v>
      </c>
      <c r="B19" s="210">
        <f t="shared" si="2"/>
        <v>-127965.74758127778</v>
      </c>
      <c r="C19" s="209">
        <f t="shared" si="3"/>
        <v>-1407623.2233940554</v>
      </c>
      <c r="E19" s="209">
        <f t="shared" si="0"/>
        <v>44788.011653447225</v>
      </c>
      <c r="F19" s="209">
        <f t="shared" si="1"/>
        <v>492668.1281879195</v>
      </c>
    </row>
    <row r="20" spans="1:6" ht="12.75">
      <c r="A20" s="201">
        <v>40999</v>
      </c>
      <c r="B20" s="210">
        <f t="shared" si="2"/>
        <v>-127965.74758127778</v>
      </c>
      <c r="C20" s="209">
        <f t="shared" si="3"/>
        <v>-1535588.9709753331</v>
      </c>
      <c r="E20" s="209">
        <f t="shared" si="0"/>
        <v>44788.011653447225</v>
      </c>
      <c r="F20" s="209">
        <f t="shared" si="1"/>
        <v>537456.1398413667</v>
      </c>
    </row>
    <row r="21" spans="1:6" ht="12.75">
      <c r="A21" s="201">
        <v>41029</v>
      </c>
      <c r="B21" s="210">
        <f t="shared" si="2"/>
        <v>-127965.74758127778</v>
      </c>
      <c r="C21" s="209">
        <f t="shared" si="3"/>
        <v>-1663554.7185566109</v>
      </c>
      <c r="E21" s="209">
        <f t="shared" si="0"/>
        <v>44788.011653447225</v>
      </c>
      <c r="F21" s="209">
        <f t="shared" si="1"/>
        <v>582244.1514948139</v>
      </c>
    </row>
    <row r="22" spans="1:6" ht="12.75">
      <c r="A22" s="201">
        <v>41060</v>
      </c>
      <c r="B22" s="210">
        <f t="shared" si="2"/>
        <v>-127965.74758127778</v>
      </c>
      <c r="C22" s="209">
        <f t="shared" si="3"/>
        <v>-1791520.4661378886</v>
      </c>
      <c r="E22" s="209">
        <f t="shared" si="0"/>
        <v>44788.011653447225</v>
      </c>
      <c r="F22" s="209">
        <f t="shared" si="1"/>
        <v>627032.163148261</v>
      </c>
    </row>
    <row r="23" spans="1:6" ht="12.75">
      <c r="A23" s="201">
        <v>41090</v>
      </c>
      <c r="B23" s="210">
        <f t="shared" si="2"/>
        <v>-127965.74758127778</v>
      </c>
      <c r="C23" s="209">
        <f t="shared" si="3"/>
        <v>-1919486.2137191663</v>
      </c>
      <c r="E23" s="209">
        <f t="shared" si="0"/>
        <v>44788.011653447225</v>
      </c>
      <c r="F23" s="209">
        <f t="shared" si="1"/>
        <v>671820.1748017082</v>
      </c>
    </row>
    <row r="24" spans="1:6" ht="12.75">
      <c r="A24" s="201">
        <v>41121</v>
      </c>
      <c r="B24" s="210">
        <f t="shared" si="2"/>
        <v>-127965.74758127778</v>
      </c>
      <c r="C24" s="209">
        <f t="shared" si="3"/>
        <v>-2047451.961300444</v>
      </c>
      <c r="E24" s="209">
        <f t="shared" si="0"/>
        <v>44788.011653447225</v>
      </c>
      <c r="F24" s="209">
        <f t="shared" si="1"/>
        <v>716608.1864551554</v>
      </c>
    </row>
    <row r="25" spans="1:6" ht="12.75">
      <c r="A25" s="201">
        <v>41152</v>
      </c>
      <c r="B25" s="210">
        <f t="shared" si="2"/>
        <v>-127965.74758127778</v>
      </c>
      <c r="C25" s="209">
        <f t="shared" si="3"/>
        <v>-2175417.708881722</v>
      </c>
      <c r="E25" s="209">
        <f t="shared" si="0"/>
        <v>44788.011653447225</v>
      </c>
      <c r="F25" s="209">
        <f t="shared" si="1"/>
        <v>761396.1981086025</v>
      </c>
    </row>
    <row r="26" spans="1:6" ht="12.75">
      <c r="A26" s="201">
        <v>41182</v>
      </c>
      <c r="B26" s="210">
        <f t="shared" si="2"/>
        <v>-127965.74758127778</v>
      </c>
      <c r="C26" s="209">
        <f t="shared" si="3"/>
        <v>-2303383.456463</v>
      </c>
      <c r="E26" s="209">
        <f t="shared" si="0"/>
        <v>44788.011653447225</v>
      </c>
      <c r="F26" s="209">
        <f t="shared" si="1"/>
        <v>806184.2097620497</v>
      </c>
    </row>
    <row r="27" spans="1:6" ht="12.75">
      <c r="A27" s="201">
        <v>41213</v>
      </c>
      <c r="B27" s="210">
        <f t="shared" si="2"/>
        <v>-127965.74758127778</v>
      </c>
      <c r="C27" s="209">
        <f t="shared" si="3"/>
        <v>-2431349.204044278</v>
      </c>
      <c r="E27" s="209">
        <f t="shared" si="0"/>
        <v>44788.011653447225</v>
      </c>
      <c r="F27" s="209">
        <f t="shared" si="1"/>
        <v>850972.2214154969</v>
      </c>
    </row>
    <row r="28" spans="1:6" ht="12.75">
      <c r="A28" s="201">
        <v>41243</v>
      </c>
      <c r="B28" s="210">
        <f t="shared" si="2"/>
        <v>-127965.74758127778</v>
      </c>
      <c r="C28" s="209">
        <f t="shared" si="3"/>
        <v>-2559314.9516255558</v>
      </c>
      <c r="E28" s="209">
        <f t="shared" si="0"/>
        <v>44788.011653447225</v>
      </c>
      <c r="F28" s="209">
        <f t="shared" si="1"/>
        <v>895760.2330689441</v>
      </c>
    </row>
    <row r="29" spans="1:6" ht="12.75">
      <c r="A29" s="201">
        <v>41274</v>
      </c>
      <c r="B29" s="210">
        <f t="shared" si="2"/>
        <v>-127965.74758127778</v>
      </c>
      <c r="C29" s="209">
        <f t="shared" si="3"/>
        <v>-2687280.6992068337</v>
      </c>
      <c r="E29" s="209">
        <f t="shared" si="0"/>
        <v>44788.011653447225</v>
      </c>
      <c r="F29" s="209">
        <f t="shared" si="1"/>
        <v>940548.2447223912</v>
      </c>
    </row>
    <row r="30" spans="1:6" ht="12.75">
      <c r="A30" s="201">
        <v>41305</v>
      </c>
      <c r="B30" s="210">
        <f t="shared" si="2"/>
        <v>-127965.74758127778</v>
      </c>
      <c r="C30" s="209">
        <f t="shared" si="3"/>
        <v>-2815246.4467881117</v>
      </c>
      <c r="E30" s="209">
        <f t="shared" si="0"/>
        <v>44788.011653447225</v>
      </c>
      <c r="F30" s="209">
        <f t="shared" si="1"/>
        <v>985336.2563758384</v>
      </c>
    </row>
    <row r="31" spans="1:6" ht="12.75">
      <c r="A31" s="201">
        <v>41333</v>
      </c>
      <c r="B31" s="210">
        <f t="shared" si="2"/>
        <v>-127965.74758127778</v>
      </c>
      <c r="C31" s="209">
        <f t="shared" si="3"/>
        <v>-2943212.1943693897</v>
      </c>
      <c r="E31" s="209">
        <f t="shared" si="0"/>
        <v>44788.011653447225</v>
      </c>
      <c r="F31" s="209">
        <f t="shared" si="1"/>
        <v>1030124.2680292856</v>
      </c>
    </row>
    <row r="32" spans="1:6" ht="12.75">
      <c r="A32" s="201">
        <v>41364</v>
      </c>
      <c r="B32" s="210">
        <f t="shared" si="2"/>
        <v>-127965.74758127778</v>
      </c>
      <c r="C32" s="209">
        <f t="shared" si="3"/>
        <v>-3071177.9419506676</v>
      </c>
      <c r="E32" s="209">
        <f t="shared" si="0"/>
        <v>44788.011653447225</v>
      </c>
      <c r="F32" s="209">
        <f t="shared" si="1"/>
        <v>1074912.279682733</v>
      </c>
    </row>
    <row r="33" spans="1:6" ht="12.75">
      <c r="A33" s="201">
        <v>41394</v>
      </c>
      <c r="B33" s="210">
        <f t="shared" si="2"/>
        <v>-127965.74758127778</v>
      </c>
      <c r="C33" s="209">
        <f t="shared" si="3"/>
        <v>-3199143.6895319456</v>
      </c>
      <c r="E33" s="209">
        <f t="shared" si="0"/>
        <v>44788.011653447225</v>
      </c>
      <c r="F33" s="209">
        <f t="shared" si="1"/>
        <v>1119700.2913361802</v>
      </c>
    </row>
    <row r="34" ht="12.75">
      <c r="B34" s="61"/>
    </row>
    <row r="35" spans="2:3" ht="12.75">
      <c r="B35" s="205" t="s">
        <v>267</v>
      </c>
      <c r="C35" s="207">
        <f>(C21+C33+SUM(C22:C32)*2)/24</f>
        <v>-2431349.2040442782</v>
      </c>
    </row>
    <row r="36" ht="12.75">
      <c r="B36" s="61"/>
    </row>
    <row r="37" ht="12.75">
      <c r="B37" s="61"/>
    </row>
    <row r="38" ht="12.75">
      <c r="B38" s="61"/>
    </row>
    <row r="39" ht="12.75">
      <c r="B39" s="61"/>
    </row>
    <row r="40" ht="12.75">
      <c r="B40" s="61"/>
    </row>
    <row r="41" ht="12.75">
      <c r="B41" s="61"/>
    </row>
    <row r="42" ht="12.75">
      <c r="B42" s="61"/>
    </row>
    <row r="43" ht="12.75">
      <c r="B43" s="61"/>
    </row>
    <row r="44" ht="12.75">
      <c r="B44" s="61"/>
    </row>
    <row r="45" ht="12.75">
      <c r="B45" s="61"/>
    </row>
    <row r="46" ht="12.75">
      <c r="B46" s="61"/>
    </row>
    <row r="47" ht="12.75">
      <c r="B47" s="61"/>
    </row>
    <row r="48" ht="12.75">
      <c r="B48" s="61"/>
    </row>
    <row r="49" ht="12.75">
      <c r="B49" s="61"/>
    </row>
    <row r="50" ht="12.75">
      <c r="B50" s="61"/>
    </row>
    <row r="51" ht="12.75">
      <c r="B51" s="61"/>
    </row>
    <row r="52" ht="12.75">
      <c r="B52" s="61"/>
    </row>
    <row r="53" ht="12.75">
      <c r="B53" s="6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1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1" width="5.7109375" style="212" customWidth="1"/>
    <col min="2" max="2" width="9.140625" style="212" customWidth="1"/>
    <col min="3" max="4" width="12.7109375" style="212" customWidth="1"/>
    <col min="5" max="5" width="14.00390625" style="212" bestFit="1" customWidth="1"/>
    <col min="6" max="6" width="10.8515625" style="212" bestFit="1" customWidth="1"/>
    <col min="7" max="7" width="16.28125" style="212" customWidth="1"/>
    <col min="8" max="8" width="12.7109375" style="212" customWidth="1"/>
    <col min="9" max="9" width="14.00390625" style="212" bestFit="1" customWidth="1"/>
    <col min="10" max="16384" width="9.140625" style="212" customWidth="1"/>
  </cols>
  <sheetData>
    <row r="2" spans="1:9" ht="12.75">
      <c r="A2" s="211" t="s">
        <v>274</v>
      </c>
      <c r="C2" s="213"/>
      <c r="D2" s="213"/>
      <c r="E2" s="213"/>
      <c r="F2" s="213"/>
      <c r="G2" s="213"/>
      <c r="H2" s="213"/>
      <c r="I2" s="213"/>
    </row>
    <row r="3" spans="1:9" ht="12.75">
      <c r="A3" s="211" t="s">
        <v>312</v>
      </c>
      <c r="C3" s="213"/>
      <c r="D3" s="213"/>
      <c r="E3" s="213"/>
      <c r="F3" s="213"/>
      <c r="G3" s="213"/>
      <c r="H3" s="213"/>
      <c r="I3" s="213"/>
    </row>
    <row r="4" spans="1:9" ht="12.75">
      <c r="A4" s="211" t="s">
        <v>275</v>
      </c>
      <c r="C4" s="213"/>
      <c r="D4" s="213"/>
      <c r="E4" s="213"/>
      <c r="F4" s="213"/>
      <c r="G4" s="213"/>
      <c r="H4" s="213"/>
      <c r="I4" s="213"/>
    </row>
    <row r="5" spans="1:9" ht="12.75">
      <c r="A5" s="211" t="s">
        <v>276</v>
      </c>
      <c r="C5" s="213"/>
      <c r="D5" s="213"/>
      <c r="E5" s="213"/>
      <c r="F5" s="213"/>
      <c r="G5" s="213"/>
      <c r="H5" s="213"/>
      <c r="I5" s="213"/>
    </row>
    <row r="6" spans="2:9" ht="12.75">
      <c r="B6" s="214"/>
      <c r="C6" s="213"/>
      <c r="D6" s="213"/>
      <c r="E6" s="213"/>
      <c r="F6" s="213"/>
      <c r="G6" s="213"/>
      <c r="H6" s="213"/>
      <c r="I6" s="213"/>
    </row>
    <row r="7" spans="1:9" ht="12.75">
      <c r="A7" s="215"/>
      <c r="B7" s="216" t="s">
        <v>277</v>
      </c>
      <c r="C7" s="217"/>
      <c r="D7" s="217"/>
      <c r="E7" s="217"/>
      <c r="F7" s="217"/>
      <c r="G7" s="217"/>
      <c r="H7" s="217"/>
      <c r="I7" s="218"/>
    </row>
    <row r="8" spans="1:9" ht="12.75">
      <c r="A8" s="219"/>
      <c r="B8" s="220"/>
      <c r="C8" s="217" t="s">
        <v>278</v>
      </c>
      <c r="D8" s="221"/>
      <c r="E8" s="222"/>
      <c r="F8" s="223" t="s">
        <v>279</v>
      </c>
      <c r="G8" s="221"/>
      <c r="H8" s="221"/>
      <c r="I8" s="224"/>
    </row>
    <row r="9" spans="1:9" ht="12.75">
      <c r="A9" s="219"/>
      <c r="B9" s="225"/>
      <c r="C9" s="226"/>
      <c r="D9" s="226"/>
      <c r="E9" s="227" t="s">
        <v>273</v>
      </c>
      <c r="F9" s="228"/>
      <c r="G9" s="229"/>
      <c r="H9" s="229"/>
      <c r="I9" s="230"/>
    </row>
    <row r="10" spans="1:9" ht="12.75">
      <c r="A10" s="219" t="s">
        <v>280</v>
      </c>
      <c r="B10" s="231" t="s">
        <v>281</v>
      </c>
      <c r="C10" s="232" t="s">
        <v>268</v>
      </c>
      <c r="D10" s="232" t="s">
        <v>282</v>
      </c>
      <c r="E10" s="227" t="s">
        <v>283</v>
      </c>
      <c r="F10" s="231" t="s">
        <v>284</v>
      </c>
      <c r="G10" s="232" t="s">
        <v>285</v>
      </c>
      <c r="H10" s="232" t="s">
        <v>286</v>
      </c>
      <c r="I10" s="227" t="s">
        <v>287</v>
      </c>
    </row>
    <row r="11" spans="1:9" ht="12.75">
      <c r="A11" s="219"/>
      <c r="B11" s="233" t="s">
        <v>268</v>
      </c>
      <c r="C11" s="234" t="s">
        <v>288</v>
      </c>
      <c r="D11" s="234" t="s">
        <v>305</v>
      </c>
      <c r="E11" s="235" t="s">
        <v>289</v>
      </c>
      <c r="F11" s="233" t="s">
        <v>290</v>
      </c>
      <c r="G11" s="234" t="s">
        <v>291</v>
      </c>
      <c r="H11" s="234" t="s">
        <v>292</v>
      </c>
      <c r="I11" s="235" t="s">
        <v>266</v>
      </c>
    </row>
    <row r="12" spans="1:9" ht="12.75">
      <c r="A12" s="219"/>
      <c r="B12" s="236" t="s">
        <v>293</v>
      </c>
      <c r="C12" s="237" t="s">
        <v>294</v>
      </c>
      <c r="D12" s="238" t="s">
        <v>295</v>
      </c>
      <c r="E12" s="239" t="s">
        <v>296</v>
      </c>
      <c r="F12" s="236" t="s">
        <v>297</v>
      </c>
      <c r="G12" s="240" t="s">
        <v>298</v>
      </c>
      <c r="H12" s="241" t="s">
        <v>299</v>
      </c>
      <c r="I12" s="239" t="s">
        <v>300</v>
      </c>
    </row>
    <row r="13" spans="1:9" ht="12.75">
      <c r="A13" s="242"/>
      <c r="B13" s="243"/>
      <c r="C13" s="244"/>
      <c r="D13" s="245"/>
      <c r="E13" s="246" t="s">
        <v>301</v>
      </c>
      <c r="F13" s="243" t="s">
        <v>302</v>
      </c>
      <c r="G13" s="247"/>
      <c r="H13" s="248"/>
      <c r="I13" s="246" t="s">
        <v>303</v>
      </c>
    </row>
    <row r="14" spans="1:9" ht="12.75">
      <c r="A14" s="215">
        <v>14</v>
      </c>
      <c r="B14" s="249"/>
      <c r="C14" s="250"/>
      <c r="D14" s="251"/>
      <c r="E14" s="252"/>
      <c r="F14" s="253"/>
      <c r="G14" s="254"/>
      <c r="H14" s="251"/>
      <c r="I14" s="252"/>
    </row>
    <row r="15" spans="1:9" ht="12.75">
      <c r="A15" s="219">
        <v>15</v>
      </c>
      <c r="B15" s="249"/>
      <c r="C15" s="250">
        <v>41029</v>
      </c>
      <c r="D15" s="251">
        <v>0</v>
      </c>
      <c r="E15" s="255">
        <f>'Accum Dep'!F9</f>
        <v>44788.011653447225</v>
      </c>
      <c r="F15" s="253"/>
      <c r="G15" s="254"/>
      <c r="H15" s="251"/>
      <c r="I15" s="255">
        <f>E15</f>
        <v>44788.011653447225</v>
      </c>
    </row>
    <row r="16" spans="1:9" ht="12.75">
      <c r="A16" s="219">
        <v>16</v>
      </c>
      <c r="B16" s="249">
        <v>31</v>
      </c>
      <c r="C16" s="250">
        <v>41059</v>
      </c>
      <c r="D16" s="251">
        <f>-'Accum Dep'!E22</f>
        <v>-44788.011653447225</v>
      </c>
      <c r="E16" s="255">
        <f>E15-D16</f>
        <v>89576.02330689445</v>
      </c>
      <c r="F16" s="253">
        <v>335</v>
      </c>
      <c r="G16" s="254">
        <v>365</v>
      </c>
      <c r="H16" s="251">
        <f>+F16/G16*D16</f>
        <v>-41106.80521617759</v>
      </c>
      <c r="I16" s="252">
        <f aca="true" t="shared" si="0" ref="I16:I27">+I15-H16</f>
        <v>85894.81686962482</v>
      </c>
    </row>
    <row r="17" spans="1:9" ht="12.75">
      <c r="A17" s="219">
        <v>17</v>
      </c>
      <c r="B17" s="249">
        <v>30</v>
      </c>
      <c r="C17" s="250">
        <v>41090</v>
      </c>
      <c r="D17" s="251">
        <f>-'Accum Dep'!E23</f>
        <v>-44788.011653447225</v>
      </c>
      <c r="E17" s="255">
        <f aca="true" t="shared" si="1" ref="E17:E27">E16-D17</f>
        <v>134364.03496034167</v>
      </c>
      <c r="F17" s="253">
        <v>305</v>
      </c>
      <c r="G17" s="254">
        <v>365</v>
      </c>
      <c r="H17" s="251">
        <f>+F17/G17*D17</f>
        <v>-37425.59877890796</v>
      </c>
      <c r="I17" s="252">
        <f t="shared" si="0"/>
        <v>123320.41564853277</v>
      </c>
    </row>
    <row r="18" spans="1:9" ht="12.75">
      <c r="A18" s="219">
        <v>18</v>
      </c>
      <c r="B18" s="249">
        <v>31</v>
      </c>
      <c r="C18" s="250">
        <v>41121</v>
      </c>
      <c r="D18" s="251">
        <f>-'Accum Dep'!E24</f>
        <v>-44788.011653447225</v>
      </c>
      <c r="E18" s="255">
        <f t="shared" si="1"/>
        <v>179152.0466137889</v>
      </c>
      <c r="F18" s="253">
        <v>274</v>
      </c>
      <c r="G18" s="254">
        <v>365</v>
      </c>
      <c r="H18" s="251">
        <f aca="true" t="shared" si="2" ref="H18:H27">+F18/G18*D18</f>
        <v>-33621.685460396</v>
      </c>
      <c r="I18" s="252">
        <f t="shared" si="0"/>
        <v>156942.10110892876</v>
      </c>
    </row>
    <row r="19" spans="1:9" ht="12.75">
      <c r="A19" s="219">
        <v>19</v>
      </c>
      <c r="B19" s="249">
        <v>31</v>
      </c>
      <c r="C19" s="250">
        <v>41152</v>
      </c>
      <c r="D19" s="251">
        <f>-'Accum Dep'!E25</f>
        <v>-44788.011653447225</v>
      </c>
      <c r="E19" s="255">
        <f t="shared" si="1"/>
        <v>223940.05826723613</v>
      </c>
      <c r="F19" s="253">
        <v>243</v>
      </c>
      <c r="G19" s="254">
        <v>365</v>
      </c>
      <c r="H19" s="251">
        <f t="shared" si="2"/>
        <v>-29817.772141884045</v>
      </c>
      <c r="I19" s="252">
        <f t="shared" si="0"/>
        <v>186759.87325081282</v>
      </c>
    </row>
    <row r="20" spans="1:9" ht="12.75">
      <c r="A20" s="219">
        <v>20</v>
      </c>
      <c r="B20" s="249">
        <v>30</v>
      </c>
      <c r="C20" s="250">
        <v>41182</v>
      </c>
      <c r="D20" s="251">
        <f>-'Accum Dep'!E26</f>
        <v>-44788.011653447225</v>
      </c>
      <c r="E20" s="255">
        <f t="shared" si="1"/>
        <v>268728.06992068334</v>
      </c>
      <c r="F20" s="253">
        <v>213</v>
      </c>
      <c r="G20" s="254">
        <v>365</v>
      </c>
      <c r="H20" s="251">
        <f t="shared" si="2"/>
        <v>-26136.56570461441</v>
      </c>
      <c r="I20" s="252">
        <f t="shared" si="0"/>
        <v>212896.43895542723</v>
      </c>
    </row>
    <row r="21" spans="1:9" ht="12.75">
      <c r="A21" s="219">
        <v>21</v>
      </c>
      <c r="B21" s="249">
        <v>31</v>
      </c>
      <c r="C21" s="250">
        <v>41213</v>
      </c>
      <c r="D21" s="251">
        <f>-'Accum Dep'!E27</f>
        <v>-44788.011653447225</v>
      </c>
      <c r="E21" s="255">
        <f t="shared" si="1"/>
        <v>313516.08157413057</v>
      </c>
      <c r="F21" s="253">
        <v>182</v>
      </c>
      <c r="G21" s="254">
        <v>365</v>
      </c>
      <c r="H21" s="251">
        <f t="shared" si="2"/>
        <v>-22332.65238610245</v>
      </c>
      <c r="I21" s="252">
        <f t="shared" si="0"/>
        <v>235229.09134152968</v>
      </c>
    </row>
    <row r="22" spans="1:9" ht="12.75">
      <c r="A22" s="219">
        <v>22</v>
      </c>
      <c r="B22" s="249">
        <v>30</v>
      </c>
      <c r="C22" s="250">
        <v>41243</v>
      </c>
      <c r="D22" s="251">
        <f>-'Accum Dep'!E28</f>
        <v>-44788.011653447225</v>
      </c>
      <c r="E22" s="255">
        <f t="shared" si="1"/>
        <v>358304.0932275778</v>
      </c>
      <c r="F22" s="253">
        <v>152</v>
      </c>
      <c r="G22" s="254">
        <v>365</v>
      </c>
      <c r="H22" s="251">
        <f t="shared" si="2"/>
        <v>-18651.445948832818</v>
      </c>
      <c r="I22" s="252">
        <f t="shared" si="0"/>
        <v>253880.5372903625</v>
      </c>
    </row>
    <row r="23" spans="1:9" ht="12.75">
      <c r="A23" s="219">
        <v>23</v>
      </c>
      <c r="B23" s="249">
        <v>31</v>
      </c>
      <c r="C23" s="250">
        <v>41274</v>
      </c>
      <c r="D23" s="251">
        <f>-'Accum Dep'!E29</f>
        <v>-44788.011653447225</v>
      </c>
      <c r="E23" s="255">
        <f t="shared" si="1"/>
        <v>403092.10488102504</v>
      </c>
      <c r="F23" s="253">
        <v>121</v>
      </c>
      <c r="G23" s="254">
        <v>365</v>
      </c>
      <c r="H23" s="251">
        <f t="shared" si="2"/>
        <v>-14847.532630320862</v>
      </c>
      <c r="I23" s="252">
        <f t="shared" si="0"/>
        <v>268728.06992068334</v>
      </c>
    </row>
    <row r="24" spans="1:9" ht="12.75">
      <c r="A24" s="219">
        <v>24</v>
      </c>
      <c r="B24" s="249">
        <v>31</v>
      </c>
      <c r="C24" s="250">
        <v>41305</v>
      </c>
      <c r="D24" s="251">
        <f>-'Accum Dep'!E30</f>
        <v>-44788.011653447225</v>
      </c>
      <c r="E24" s="255">
        <f t="shared" si="1"/>
        <v>447880.11653447227</v>
      </c>
      <c r="F24" s="253">
        <v>90</v>
      </c>
      <c r="G24" s="254">
        <v>365</v>
      </c>
      <c r="H24" s="251">
        <f t="shared" si="2"/>
        <v>-11043.619311808905</v>
      </c>
      <c r="I24" s="252">
        <f t="shared" si="0"/>
        <v>279771.68923249224</v>
      </c>
    </row>
    <row r="25" spans="1:9" ht="12.75">
      <c r="A25" s="219">
        <v>25</v>
      </c>
      <c r="B25" s="249">
        <v>28</v>
      </c>
      <c r="C25" s="250">
        <v>41333</v>
      </c>
      <c r="D25" s="251">
        <f>-'Accum Dep'!E31</f>
        <v>-44788.011653447225</v>
      </c>
      <c r="E25" s="255">
        <f t="shared" si="1"/>
        <v>492668.1281879195</v>
      </c>
      <c r="F25" s="253">
        <v>62</v>
      </c>
      <c r="G25" s="254">
        <v>365</v>
      </c>
      <c r="H25" s="251">
        <f t="shared" si="2"/>
        <v>-7607.826637023912</v>
      </c>
      <c r="I25" s="252">
        <f t="shared" si="0"/>
        <v>287379.5158695161</v>
      </c>
    </row>
    <row r="26" spans="1:9" ht="12.75">
      <c r="A26" s="219">
        <v>26</v>
      </c>
      <c r="B26" s="249">
        <v>31</v>
      </c>
      <c r="C26" s="250">
        <v>41363</v>
      </c>
      <c r="D26" s="251">
        <f>-'Accum Dep'!E32</f>
        <v>-44788.011653447225</v>
      </c>
      <c r="E26" s="255">
        <f t="shared" si="1"/>
        <v>537456.1398413667</v>
      </c>
      <c r="F26" s="253">
        <v>31</v>
      </c>
      <c r="G26" s="254">
        <v>365</v>
      </c>
      <c r="H26" s="251">
        <f t="shared" si="2"/>
        <v>-3803.913318511956</v>
      </c>
      <c r="I26" s="252">
        <f t="shared" si="0"/>
        <v>291183.4291880281</v>
      </c>
    </row>
    <row r="27" spans="1:9" ht="12.75">
      <c r="A27" s="219">
        <v>27</v>
      </c>
      <c r="B27" s="249">
        <v>30</v>
      </c>
      <c r="C27" s="250">
        <v>41394</v>
      </c>
      <c r="D27" s="251">
        <f>-'Accum Dep'!E33</f>
        <v>-44788.011653447225</v>
      </c>
      <c r="E27" s="255">
        <f t="shared" si="1"/>
        <v>582244.1514948139</v>
      </c>
      <c r="F27" s="253">
        <v>1</v>
      </c>
      <c r="G27" s="254">
        <v>365</v>
      </c>
      <c r="H27" s="251">
        <f t="shared" si="2"/>
        <v>-122.70688124232116</v>
      </c>
      <c r="I27" s="252">
        <f t="shared" si="0"/>
        <v>291306.13606927043</v>
      </c>
    </row>
    <row r="28" spans="1:9" ht="13.5" thickBot="1">
      <c r="A28" s="219">
        <v>28</v>
      </c>
      <c r="B28" s="256">
        <v>365</v>
      </c>
      <c r="C28" s="226"/>
      <c r="D28" s="257">
        <f>SUM(D16:D27)</f>
        <v>-537456.1398413667</v>
      </c>
      <c r="E28" s="252"/>
      <c r="F28" s="225"/>
      <c r="G28" s="258"/>
      <c r="H28" s="257">
        <f>SUM(H16:H27)</f>
        <v>-246518.12441582323</v>
      </c>
      <c r="I28" s="259"/>
    </row>
    <row r="29" spans="1:9" ht="14.25" thickBot="1" thickTop="1">
      <c r="A29" s="219">
        <v>29</v>
      </c>
      <c r="B29" s="225"/>
      <c r="C29" s="226"/>
      <c r="D29" s="251"/>
      <c r="E29" s="252"/>
      <c r="F29" s="225"/>
      <c r="G29" s="226"/>
      <c r="H29" s="260"/>
      <c r="I29" s="259"/>
    </row>
    <row r="30" spans="1:9" ht="13.5" thickBot="1">
      <c r="A30" s="219">
        <v>30</v>
      </c>
      <c r="B30" s="225" t="s">
        <v>304</v>
      </c>
      <c r="C30" s="226"/>
      <c r="D30" s="251"/>
      <c r="E30" s="261">
        <f>(E15+E27+SUM(E16:E26)*2)/24</f>
        <v>313516.08157413057</v>
      </c>
      <c r="F30" s="225"/>
      <c r="G30" s="226"/>
      <c r="H30" s="226"/>
      <c r="I30" s="262">
        <f>(I15+I27+SUM(I16:I26)*2)/24</f>
        <v>212502.75437810807</v>
      </c>
    </row>
    <row r="31" spans="1:9" ht="13.5" thickTop="1">
      <c r="A31" s="242">
        <v>31</v>
      </c>
      <c r="B31" s="263"/>
      <c r="C31" s="264"/>
      <c r="D31" s="264"/>
      <c r="E31" s="265"/>
      <c r="F31" s="263"/>
      <c r="G31" s="264"/>
      <c r="H31" s="264"/>
      <c r="I31" s="265"/>
    </row>
  </sheetData>
  <sheetProtection/>
  <printOptions/>
  <pageMargins left="0.7" right="0.7" top="0.75" bottom="0.75" header="0.3" footer="0.3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laschu</dc:creator>
  <cp:keywords/>
  <dc:description/>
  <cp:lastModifiedBy>miov</cp:lastModifiedBy>
  <cp:lastPrinted>2011-05-26T22:29:11Z</cp:lastPrinted>
  <dcterms:created xsi:type="dcterms:W3CDTF">2007-01-18T20:59:32Z</dcterms:created>
  <dcterms:modified xsi:type="dcterms:W3CDTF">2012-01-10T17:46:45Z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2012-02-01T00:00:00Z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