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crystal_oliver_utc_wa_gov/Documents/Local Computer Files/Downloads/"/>
    </mc:Choice>
  </mc:AlternateContent>
  <xr:revisionPtr revIDLastSave="0" documentId="8_{681D8287-0A5C-4C86-990D-73D1A9F2FBB1}" xr6:coauthVersionLast="47" xr6:coauthVersionMax="47" xr10:uidLastSave="{00000000-0000-0000-0000-000000000000}"/>
  <bookViews>
    <workbookView xWindow="-120" yWindow="-120" windowWidth="20730" windowHeight="11160" tabRatio="731" activeTab="1" xr2:uid="{00000000-000D-0000-FFFF-FFFF00000000}"/>
  </bookViews>
  <sheets>
    <sheet name="Bonney Lake Calculation" sheetId="24" r:id="rId1"/>
    <sheet name="BAE-2 Staff vs PSE LNG RR" sheetId="3" r:id="rId2"/>
    <sheet name="Plant Additions" sheetId="17" r:id="rId3"/>
    <sheet name="Plant Additions (as filed)" sheetId="29" r:id="rId4"/>
    <sheet name="Gas Quality" sheetId="30" r:id="rId5"/>
    <sheet name="Deferrals ---&gt;" sheetId="15" r:id="rId6"/>
    <sheet name="Total Deferrals" sheetId="22" r:id="rId7"/>
    <sheet name="Total Deferrals (as-filed)" sheetId="28" r:id="rId8"/>
    <sheet name="LNG Return Deferral" sheetId="10" r:id="rId9"/>
    <sheet name="LNG Return Deferral (as-filed)" sheetId="26" r:id="rId10"/>
    <sheet name="LNG O&amp;M Deferral" sheetId="13" r:id="rId11"/>
    <sheet name="LNG Depreciation Deferral" sheetId="8" r:id="rId12"/>
    <sheet name="ROR" sheetId="4" r:id="rId13"/>
    <sheet name="O&amp;M" sheetId="16" r:id="rId14"/>
    <sheet name="Gas Conv Factor" sheetId="5" r:id="rId15"/>
    <sheet name="Summary  (as-filed)" sheetId="25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ECURRENT" localSheetId="2" hidden="1">[3]ConsolidatingPL!#REF!</definedName>
    <definedName name="__123Graph_ECURRENT" localSheetId="3" hidden="1">[3]ConsolidatingPL!#REF!</definedName>
    <definedName name="__123Graph_ECURRENT" hidden="1">[3]ConsolidatingPL!#REF!</definedName>
    <definedName name="__123Graph_F" hidden="1">[2]Input!$D$22:$D$37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[4]RENT!#REF!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Table2_Out" hidden="1">#REF!</definedName>
    <definedName name="_wr1" hidden="1">{"Output-3Column",#N/A,FALSE,"Output"}</definedName>
    <definedName name="_wrn1" hidden="1">{"Inflation-BaseYear",#N/A,FALSE,"Inputs"}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localSheetId="2" hidden="1">"I:\COMTREL\FINICLE\TradeSummary.mdb"</definedName>
    <definedName name="AccessDatabase" localSheetId="3" hidden="1">"I:\COMTREL\FINICLE\TradeSummary.mdb"</definedName>
    <definedName name="AccessDatabase" hidden="1">"C:\ncux\bud\rms_inv.mdb"</definedName>
    <definedName name="ACwvu.allocations." hidden="1">#REF!</definedName>
    <definedName name="ACwvu.annual._.hotel." hidden="1">[5]development!$C$5</definedName>
    <definedName name="ACwvu.bottom._.line." hidden="1">[5]development!#REF!</definedName>
    <definedName name="ACwvu.cash._.flow." hidden="1">#REF!</definedName>
    <definedName name="ACwvu.combo." hidden="1">[5]development!$B$89</definedName>
    <definedName name="ACwvu.full." hidden="1">#REF!</definedName>
    <definedName name="ACwvu.offsite." hidden="1">#REF!</definedName>
    <definedName name="ACwvu.onsite." hidden="1">#REF!</definedName>
    <definedName name="anscount" hidden="1">2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hidden="1">{"One",#N/A,FALSE,"CClub";"Two",#N/A,FALSE,"CClub";"Three",#N/A,FALSE,"CClub";"Four",#N/A,FALSE,"CClub";"Five",#N/A,FALSE,"CClub"}</definedName>
    <definedName name="bi" hidden="1">{#N/A,#N/A,FALSE,"BidCo Assumptions";#N/A,#N/A,FALSE,"Credit Stats";#N/A,#N/A,FALSE,"Bidco Summary";#N/A,#N/A,FALSE,"BIDCO Consolidated"}</definedName>
    <definedName name="BNE_MESSAGES_HIDDEN" hidden="1">#REF!</definedName>
    <definedName name="CBWorkbookPriority" hidden="1">-2060790043</definedName>
    <definedName name="cd" hidden="1">{"annual",#N/A,FALSE,"Pro Forma";#N/A,#N/A,FALSE,"Golf Operations"}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wvu.annual." hidden="1">#REF!,#REF!,#REF!,#REF!,#REF!,#REF!,#REF!,#REF!,#REF!,#REF!,#REF!,#REF!,#REF!,#REF!,#REF!,#REF!,#REF!,#REF!,#REF!,#REF!,#REF!,#REF!,#REF!,#REF!</definedName>
    <definedName name="Cwvu.annual._.hotel." hidden="1">[5]development!$A$16:$IV$16,[5]development!$A$21:$IV$21,[5]development!#REF!,[5]development!#REF!,[5]development!$A$36:$IV$36,[5]development!$A$46:$IV$46,[5]development!#REF!,[5]development!#REF!,[5]development!#REF!,[5]development!#REF!,[5]development!#REF!,[5]development!#REF!,[5]development!#REF!,[5]development!#REF!,[5]development!#REF!,[5]development!$A$89:$IV$89,[5]development!#REF!,[5]development!#REF!,[5]development!#REF!</definedName>
    <definedName name="Cwvu.bottom._.line." hidden="1">[5]development!$A$16:$IV$16,[5]development!$A$21:$IV$21,[5]development!#REF!,[5]development!#REF!,[5]development!$A$36:$IV$36,[5]development!$A$46:$IV$46,[5]development!#REF!,[5]development!#REF!,[5]development!#REF!,[5]development!#REF!,[5]development!#REF!,[5]development!#REF!,[5]development!#REF!,[5]development!#REF!,[5]development!#REF!,[5]development!$A$89:$IV$89,[5]development!#REF!,[5]development!#REF!,[5]development!#REF!,[5]development!#REF!,[5]development!#REF!,[5]development!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[5]development!$A$16:$IV$16,[5]development!$A$21:$IV$21,[5]development!#REF!,[5]development!#REF!,[5]development!$A$36:$IV$36,[5]development!$A$46:$IV$46,[5]development!#REF!,[5]development!#REF!,[5]development!#REF!,[5]development!#REF!,[5]development!#REF!,[5]development!#REF!,[5]development!#REF!,[5]development!#REF!,[5]development!#REF!,[5]development!$A$85:$IV$85,[5]development!$A$89:$IV$89,[5]development!$A$91:$IV$91,[5]development!#REF!,[5]development!#REF!,[5]development!#REF!,[5]development!#REF!</definedName>
    <definedName name="Cwvu.GREY_ALL.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hidden="1">{#N/A,#N/A,FALSE,"Coversheet";#N/A,#N/A,FALSE,"QA"}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hidden="1">{#N/A,#N/A,FALSE,"Summ";#N/A,#N/A,FALSE,"General"}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fffff" hidden="1">{"ALL",#N/A,FALSE,"A"}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gr" hidden="1">{"three",#N/A,FALSE,"Capital";"four",#N/A,FALSE,"Capital"}</definedName>
    <definedName name="help" hidden="1">{"ALL",#N/A,FALSE,"A"}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hidden="1">{#N/A,#N/A,FALSE,"Summ";#N/A,#N/A,FALSE,"General"}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hidden="1">{#N/A,#N/A,FALSE,"Sheet5"}</definedName>
    <definedName name="PricingInfo" hidden="1">[6]Inputs!#REF!</definedName>
    <definedName name="_xlnm.Print_Area" localSheetId="14">'Gas Conv Factor'!$B$4:$F$23</definedName>
    <definedName name="_xlnm.Print_Area" localSheetId="12">ROR!$H$5:$R$23</definedName>
    <definedName name="_xlnm.Print_Area" localSheetId="7">'Total Deferrals (as-filed)'!$A$1:$H$18</definedName>
    <definedName name="_xlnm.Print_Titles" localSheetId="11">'LNG Depreciation Deferral'!$1:$10</definedName>
    <definedName name="_xlnm.Print_Titles" localSheetId="10">'LNG O&amp;M Deferral'!$1:$10</definedName>
    <definedName name="_xlnm.Print_Titles" localSheetId="8">'LNG Return Deferral'!$1:$10</definedName>
    <definedName name="_xlnm.Print_Titles" localSheetId="9">'LNG Return Deferral (as-filed)'!$1:$10</definedName>
    <definedName name="_xlnm.Print_Titles" localSheetId="13">'O&amp;M'!$A:$A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[5]development!#REF!</definedName>
    <definedName name="Rwvu.bottom._.line." hidden="1">[5]development!#REF!</definedName>
    <definedName name="Rwvu.cash._.flow." hidden="1">#REF!</definedName>
    <definedName name="Rwvu.combo." hidden="1">[5]development!#REF!</definedName>
    <definedName name="Rwvu.offsite." hidden="1">#REF!</definedName>
    <definedName name="Rwvu.onsite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ippw" hidden="1">{#N/A,#N/A,FALSE,"Actual";#N/A,#N/A,FALSE,"Normalized";#N/A,#N/A,FALSE,"Electric Actual";#N/A,#N/A,FALSE,"Electric Normalized"}</definedName>
    <definedName name="SpreadsheetBuilder_2" hidden="1">[7]Sheet2!#REF!</definedName>
    <definedName name="SpreadsheetBuilder_3" hidden="1">[8]Sheet2!#REF!</definedName>
    <definedName name="standard1" hidden="1">{"YTD-Total",#N/A,FALSE,"Provision"}</definedName>
    <definedName name="Swvu.allocations." hidden="1">#REF!</definedName>
    <definedName name="Swvu.annual._.hotel." hidden="1">[5]development!$C$5</definedName>
    <definedName name="Swvu.bottom._.line." hidden="1">[5]development!#REF!</definedName>
    <definedName name="Swvu.cash._.flow." hidden="1">#REF!</definedName>
    <definedName name="Swvu.combo." hidden="1">[5]development!$B$89</definedName>
    <definedName name="Swvu.full." hidden="1">#REF!</definedName>
    <definedName name="Swvu.offsite." hidden="1">#REF!</definedName>
    <definedName name="Swvu.onsite." hidden="1">#REF!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P_Footer_User" hidden="1">"Dylan Moser"</definedName>
    <definedName name="TP_Footer_Version" hidden="1">"v4.00"</definedName>
    <definedName name="trth" hidden="1">{"ALL",#N/A,FALSE,"A"}</definedName>
    <definedName name="u" localSheetId="2" hidden="1">{#N/A,#N/A,FALSE,"Summ";#N/A,#N/A,FALSE,"General"}</definedName>
    <definedName name="u" localSheetId="3" hidden="1">{#N/A,#N/A,FALSE,"Summ";#N/A,#N/A,FALSE,"General"}</definedName>
    <definedName name="u" hidden="1">{#N/A,#N/A,FALSE,"Summ";#N/A,#N/A,FALSE,"General"}</definedName>
    <definedName name="vcdv" hidden="1">#REF!</definedName>
    <definedName name="w" hidden="1">[9]Inputs!#REF!</definedName>
    <definedName name="wr" hidden="1">{"Output-3Column",#N/A,FALSE,"Output"}</definedName>
    <definedName name="wrn" hidden="1">{"Inflation-BaseYear",#N/A,FALSE,"Inputs"}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CF._.Valuation." hidden="1">{"value box",#N/A,TRUE,"DPL Inc. Fin Statements";"unlevered free cash flows",#N/A,TRUE,"DPL Inc. Fin Statements"}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hidden="1">{#N/A,#N/A,FALSE,"Summ";#N/A,#N/A,FALSE,"General"}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hidden="1">{#N/A,#N/A,FALSE,"Dec 1999 UK Continuing Ops"}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hidden="1">#REF!</definedName>
    <definedName name="y" hidden="1">#REF!</definedName>
    <definedName name="z" hidden="1">'[1]DSM Output'!$G$21:$G$23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C26" i="3"/>
  <c r="C17" i="3"/>
  <c r="E52" i="17"/>
  <c r="E51" i="17"/>
  <c r="E50" i="17"/>
  <c r="F20" i="3"/>
  <c r="C12" i="24"/>
  <c r="C53" i="17"/>
  <c r="D12" i="17"/>
  <c r="O9" i="25"/>
  <c r="O8" i="25"/>
  <c r="O7" i="25"/>
  <c r="D9" i="30"/>
  <c r="O36" i="25"/>
  <c r="O33" i="25"/>
  <c r="O32" i="25"/>
  <c r="O31" i="25"/>
  <c r="O30" i="25"/>
  <c r="O29" i="25"/>
  <c r="O26" i="25"/>
  <c r="O21" i="25"/>
  <c r="O19" i="25"/>
  <c r="O18" i="25"/>
  <c r="O17" i="25"/>
  <c r="O16" i="25"/>
  <c r="O15" i="25"/>
  <c r="O14" i="25"/>
  <c r="O13" i="25"/>
  <c r="O10" i="25"/>
  <c r="F2" i="29"/>
  <c r="D13" i="30"/>
  <c r="D15" i="30" s="1"/>
  <c r="C13" i="30"/>
  <c r="C9" i="30"/>
  <c r="C27" i="10"/>
  <c r="C28" i="10"/>
  <c r="C29" i="10"/>
  <c r="C30" i="10"/>
  <c r="C31" i="10"/>
  <c r="C32" i="10"/>
  <c r="C33" i="10"/>
  <c r="C34" i="10"/>
  <c r="C35" i="10"/>
  <c r="C36" i="10"/>
  <c r="C37" i="10"/>
  <c r="C26" i="10"/>
  <c r="D27" i="17" l="1"/>
  <c r="D32" i="17"/>
  <c r="D33" i="17"/>
  <c r="D15" i="17"/>
  <c r="D34" i="17"/>
  <c r="D39" i="17"/>
  <c r="D21" i="17"/>
  <c r="D24" i="17"/>
  <c r="D40" i="17"/>
  <c r="D22" i="17"/>
  <c r="D14" i="17"/>
  <c r="D25" i="17"/>
  <c r="D41" i="17"/>
  <c r="D26" i="17"/>
  <c r="D42" i="17"/>
  <c r="D13" i="17"/>
  <c r="D16" i="17"/>
  <c r="D31" i="17"/>
  <c r="D20" i="17"/>
  <c r="D23" i="17"/>
  <c r="D38" i="17"/>
  <c r="D30" i="17"/>
  <c r="D19" i="17"/>
  <c r="D45" i="17"/>
  <c r="D37" i="17"/>
  <c r="D29" i="17"/>
  <c r="D18" i="17"/>
  <c r="D44" i="17"/>
  <c r="D36" i="17"/>
  <c r="D28" i="17"/>
  <c r="D16" i="30"/>
  <c r="D17" i="30" s="1"/>
  <c r="D17" i="17"/>
  <c r="D43" i="17"/>
  <c r="D35" i="17"/>
  <c r="C38" i="10"/>
  <c r="C39" i="10"/>
  <c r="C40" i="10"/>
  <c r="C41" i="10"/>
  <c r="C42" i="10"/>
  <c r="C43" i="10"/>
  <c r="C44" i="10"/>
  <c r="C45" i="10"/>
  <c r="C46" i="10"/>
  <c r="C47" i="10"/>
  <c r="F28" i="17" l="1"/>
  <c r="F36" i="17"/>
  <c r="F44" i="17"/>
  <c r="F19" i="17"/>
  <c r="F29" i="17"/>
  <c r="F37" i="17"/>
  <c r="Q37" i="17" s="1"/>
  <c r="F45" i="17"/>
  <c r="Q45" i="17" s="1"/>
  <c r="F20" i="17"/>
  <c r="Q20" i="17" s="1"/>
  <c r="F25" i="17"/>
  <c r="F12" i="17"/>
  <c r="F43" i="17"/>
  <c r="F30" i="17"/>
  <c r="Q30" i="17" s="1"/>
  <c r="F38" i="17"/>
  <c r="F23" i="17"/>
  <c r="F21" i="17"/>
  <c r="Q21" i="17" s="1"/>
  <c r="F41" i="17"/>
  <c r="F17" i="17"/>
  <c r="Q17" i="17" s="1"/>
  <c r="F18" i="17"/>
  <c r="F31" i="17"/>
  <c r="F39" i="17"/>
  <c r="F14" i="17"/>
  <c r="F22" i="17"/>
  <c r="F34" i="17"/>
  <c r="Q34" i="17" s="1"/>
  <c r="F27" i="17"/>
  <c r="Q27" i="17" s="1"/>
  <c r="F24" i="17"/>
  <c r="Q24" i="17" s="1"/>
  <c r="F32" i="17"/>
  <c r="F40" i="17"/>
  <c r="F15" i="17"/>
  <c r="F13" i="17"/>
  <c r="F33" i="17"/>
  <c r="F16" i="17"/>
  <c r="Q16" i="17" s="1"/>
  <c r="F42" i="17"/>
  <c r="Q42" i="17" s="1"/>
  <c r="F35" i="17"/>
  <c r="F26" i="17"/>
  <c r="L36" i="25"/>
  <c r="L33" i="25"/>
  <c r="L32" i="25"/>
  <c r="L31" i="25"/>
  <c r="L30" i="25"/>
  <c r="L29" i="25"/>
  <c r="L26" i="25"/>
  <c r="L21" i="25"/>
  <c r="L19" i="25"/>
  <c r="L18" i="25"/>
  <c r="L17" i="25"/>
  <c r="L16" i="25"/>
  <c r="L15" i="25"/>
  <c r="L14" i="25"/>
  <c r="L13" i="25"/>
  <c r="L10" i="25"/>
  <c r="L9" i="25"/>
  <c r="L8" i="25"/>
  <c r="L7" i="25"/>
  <c r="I36" i="25"/>
  <c r="I30" i="25"/>
  <c r="I31" i="25"/>
  <c r="I32" i="25"/>
  <c r="I33" i="25"/>
  <c r="I29" i="25"/>
  <c r="I26" i="25"/>
  <c r="I21" i="25"/>
  <c r="I17" i="25"/>
  <c r="I18" i="25"/>
  <c r="I19" i="25"/>
  <c r="I16" i="25"/>
  <c r="I15" i="25"/>
  <c r="I14" i="25"/>
  <c r="I13" i="25"/>
  <c r="I8" i="25"/>
  <c r="I9" i="25"/>
  <c r="I10" i="25"/>
  <c r="I7" i="25"/>
  <c r="F36" i="25"/>
  <c r="F30" i="25"/>
  <c r="F31" i="25"/>
  <c r="F32" i="25"/>
  <c r="F33" i="25"/>
  <c r="F29" i="25"/>
  <c r="F26" i="25"/>
  <c r="F21" i="25"/>
  <c r="F17" i="25"/>
  <c r="F18" i="25"/>
  <c r="F19" i="25"/>
  <c r="F13" i="25"/>
  <c r="F16" i="25"/>
  <c r="F15" i="25"/>
  <c r="F14" i="25"/>
  <c r="F8" i="25"/>
  <c r="F9" i="25"/>
  <c r="F10" i="25"/>
  <c r="F7" i="25"/>
  <c r="G9" i="28"/>
  <c r="H10" i="28"/>
  <c r="H5" i="28"/>
  <c r="G5" i="28"/>
  <c r="Q15" i="17"/>
  <c r="Q14" i="17"/>
  <c r="Q18" i="17"/>
  <c r="Q22" i="17"/>
  <c r="Q29" i="17"/>
  <c r="Q33" i="17"/>
  <c r="Q36" i="17"/>
  <c r="Q38" i="17"/>
  <c r="Q40" i="17"/>
  <c r="Q43" i="17"/>
  <c r="Q32" i="17"/>
  <c r="P16" i="17"/>
  <c r="P20" i="17"/>
  <c r="P24" i="17"/>
  <c r="P28" i="17"/>
  <c r="P32" i="17"/>
  <c r="P36" i="17"/>
  <c r="P40" i="17"/>
  <c r="P44" i="17"/>
  <c r="P12" i="17"/>
  <c r="C3" i="17"/>
  <c r="P14" i="17"/>
  <c r="P15" i="17"/>
  <c r="P18" i="17"/>
  <c r="P19" i="17"/>
  <c r="P22" i="17"/>
  <c r="P23" i="17"/>
  <c r="P26" i="17"/>
  <c r="P27" i="17"/>
  <c r="P30" i="17"/>
  <c r="P31" i="17"/>
  <c r="P34" i="17"/>
  <c r="P35" i="17"/>
  <c r="P38" i="17"/>
  <c r="P39" i="17"/>
  <c r="P42" i="17"/>
  <c r="P43" i="17"/>
  <c r="Q13" i="17"/>
  <c r="Q26" i="17"/>
  <c r="Q31" i="17"/>
  <c r="Q12" i="17"/>
  <c r="Q41" i="17" l="1"/>
  <c r="Q35" i="17"/>
  <c r="Q25" i="17"/>
  <c r="Q19" i="17"/>
  <c r="Q44" i="17"/>
  <c r="Q28" i="17"/>
  <c r="Q39" i="17"/>
  <c r="Q23" i="17"/>
  <c r="P45" i="17"/>
  <c r="P41" i="17"/>
  <c r="P37" i="17"/>
  <c r="P33" i="17"/>
  <c r="P29" i="17"/>
  <c r="P25" i="17"/>
  <c r="P21" i="17"/>
  <c r="P17" i="17"/>
  <c r="P13" i="17"/>
  <c r="A36" i="25"/>
  <c r="A35" i="25"/>
  <c r="A33" i="25"/>
  <c r="A32" i="25"/>
  <c r="A31" i="25"/>
  <c r="A30" i="25"/>
  <c r="A29" i="25"/>
  <c r="A26" i="25"/>
  <c r="A25" i="25"/>
  <c r="A24" i="25"/>
  <c r="A23" i="25"/>
  <c r="A21" i="25"/>
  <c r="A19" i="25"/>
  <c r="A18" i="25"/>
  <c r="A17" i="25"/>
  <c r="A16" i="25"/>
  <c r="A15" i="25"/>
  <c r="A14" i="25"/>
  <c r="A13" i="25"/>
  <c r="A10" i="25"/>
  <c r="A9" i="25"/>
  <c r="A8" i="25"/>
  <c r="A7" i="25"/>
  <c r="A43" i="3"/>
  <c r="A42" i="3"/>
  <c r="A40" i="3"/>
  <c r="A39" i="3"/>
  <c r="A38" i="3"/>
  <c r="A37" i="3"/>
  <c r="A36" i="3"/>
  <c r="A33" i="3"/>
  <c r="A32" i="3"/>
  <c r="A31" i="3"/>
  <c r="A30" i="3"/>
  <c r="A28" i="3"/>
  <c r="A26" i="3"/>
  <c r="A25" i="3"/>
  <c r="A24" i="3"/>
  <c r="A23" i="3"/>
  <c r="A22" i="3"/>
  <c r="A21" i="3"/>
  <c r="A20" i="3"/>
  <c r="A17" i="3"/>
  <c r="A16" i="3"/>
  <c r="A15" i="3"/>
  <c r="A14" i="3"/>
  <c r="F19" i="5" l="1"/>
  <c r="F21" i="5" s="1"/>
  <c r="F22" i="5" s="1"/>
  <c r="F23" i="5" s="1"/>
  <c r="C50" i="17" l="1"/>
  <c r="C14" i="3" s="1"/>
  <c r="F14" i="3" s="1"/>
  <c r="B24" i="16"/>
  <c r="M24" i="16" l="1"/>
  <c r="N24" i="16"/>
  <c r="O24" i="16"/>
  <c r="P24" i="16"/>
  <c r="Q24" i="16"/>
  <c r="R24" i="16"/>
  <c r="S24" i="16"/>
  <c r="T24" i="16"/>
  <c r="U24" i="16"/>
  <c r="L24" i="16"/>
  <c r="C41" i="13"/>
  <c r="C24" i="16"/>
  <c r="C42" i="13" s="1"/>
  <c r="D24" i="16"/>
  <c r="C43" i="13" s="1"/>
  <c r="E24" i="16"/>
  <c r="C44" i="13" s="1"/>
  <c r="F24" i="16"/>
  <c r="C45" i="13" s="1"/>
  <c r="G24" i="16"/>
  <c r="C46" i="13" s="1"/>
  <c r="H24" i="16"/>
  <c r="C47" i="13" s="1"/>
  <c r="I24" i="16"/>
  <c r="J24" i="16"/>
  <c r="U25" i="16" l="1"/>
  <c r="J106" i="10" l="1"/>
  <c r="J107" i="10"/>
  <c r="J97" i="10"/>
  <c r="J98" i="10"/>
  <c r="J99" i="10"/>
  <c r="J100" i="10"/>
  <c r="J101" i="10"/>
  <c r="J102" i="10"/>
  <c r="J103" i="10"/>
  <c r="J104" i="10"/>
  <c r="J105" i="10"/>
  <c r="H11" i="17" l="1"/>
  <c r="J11" i="17" s="1"/>
  <c r="G11" i="17"/>
  <c r="I11" i="17" s="1"/>
  <c r="G12" i="17" l="1"/>
  <c r="K11" i="17"/>
  <c r="L11" i="17" s="1"/>
  <c r="M11" i="17" s="1"/>
  <c r="N11" i="17" l="1"/>
  <c r="I12" i="17"/>
  <c r="G13" i="17"/>
  <c r="J106" i="8"/>
  <c r="J107" i="8"/>
  <c r="J103" i="8"/>
  <c r="J104" i="8"/>
  <c r="J105" i="8"/>
  <c r="J98" i="8"/>
  <c r="J99" i="8"/>
  <c r="J100" i="8"/>
  <c r="J101" i="8"/>
  <c r="J102" i="8"/>
  <c r="D24" i="8"/>
  <c r="E24" i="8" s="1"/>
  <c r="J24" i="8"/>
  <c r="K24" i="8" s="1"/>
  <c r="D25" i="8"/>
  <c r="E25" i="8" s="1"/>
  <c r="J25" i="8"/>
  <c r="J99" i="13"/>
  <c r="J100" i="13"/>
  <c r="J101" i="13"/>
  <c r="J102" i="13"/>
  <c r="J103" i="13"/>
  <c r="J104" i="13"/>
  <c r="J105" i="13"/>
  <c r="J106" i="13"/>
  <c r="J107" i="13"/>
  <c r="K25" i="8" l="1"/>
  <c r="G14" i="17"/>
  <c r="I13" i="17"/>
  <c r="J97" i="13"/>
  <c r="J96" i="13"/>
  <c r="G15" i="17" l="1"/>
  <c r="I14" i="17"/>
  <c r="J98" i="13"/>
  <c r="G16" i="17" l="1"/>
  <c r="I15" i="17"/>
  <c r="G26" i="13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H37" i="13" s="1"/>
  <c r="G26" i="8"/>
  <c r="C42" i="3"/>
  <c r="F42" i="3" s="1"/>
  <c r="G17" i="17" l="1"/>
  <c r="I16" i="17"/>
  <c r="H34" i="13"/>
  <c r="H32" i="13"/>
  <c r="H35" i="13"/>
  <c r="H36" i="13"/>
  <c r="H31" i="13"/>
  <c r="H33" i="13"/>
  <c r="H26" i="13"/>
  <c r="H27" i="13"/>
  <c r="H28" i="13"/>
  <c r="H29" i="13"/>
  <c r="H30" i="13"/>
  <c r="G18" i="17" l="1"/>
  <c r="I17" i="17"/>
  <c r="M23" i="16"/>
  <c r="N23" i="16"/>
  <c r="O23" i="16"/>
  <c r="P23" i="16"/>
  <c r="Q23" i="16"/>
  <c r="R23" i="16"/>
  <c r="S23" i="16"/>
  <c r="T23" i="16"/>
  <c r="U23" i="16"/>
  <c r="L23" i="16"/>
  <c r="B23" i="16"/>
  <c r="C23" i="16"/>
  <c r="D23" i="16"/>
  <c r="E23" i="16"/>
  <c r="F23" i="16"/>
  <c r="G23" i="16"/>
  <c r="H23" i="16"/>
  <c r="I23" i="16"/>
  <c r="J23" i="16"/>
  <c r="G19" i="17" l="1"/>
  <c r="I18" i="17"/>
  <c r="U27" i="16"/>
  <c r="C36" i="3" s="1"/>
  <c r="F36" i="3" s="1"/>
  <c r="C47" i="8"/>
  <c r="C46" i="8"/>
  <c r="C45" i="8"/>
  <c r="C44" i="8"/>
  <c r="C43" i="8"/>
  <c r="C42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6" i="8"/>
  <c r="D26" i="8" s="1"/>
  <c r="G20" i="17" l="1"/>
  <c r="I19" i="17"/>
  <c r="C27" i="8"/>
  <c r="D27" i="8" s="1"/>
  <c r="H12" i="17"/>
  <c r="C37" i="3"/>
  <c r="F37" i="3" s="1"/>
  <c r="C41" i="8"/>
  <c r="G21" i="17" l="1"/>
  <c r="I20" i="17"/>
  <c r="H13" i="17"/>
  <c r="J12" i="17"/>
  <c r="D28" i="8"/>
  <c r="G27" i="8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G22" i="17" l="1"/>
  <c r="I21" i="17"/>
  <c r="K23" i="16"/>
  <c r="H14" i="17"/>
  <c r="J13" i="17"/>
  <c r="K12" i="17"/>
  <c r="L12" i="17" s="1"/>
  <c r="N12" i="17" s="1"/>
  <c r="H27" i="8"/>
  <c r="I27" i="8" s="1"/>
  <c r="D29" i="8"/>
  <c r="G28" i="8"/>
  <c r="R12" i="17" l="1"/>
  <c r="G23" i="17"/>
  <c r="I22" i="17"/>
  <c r="M12" i="17"/>
  <c r="K13" i="17"/>
  <c r="L13" i="17" s="1"/>
  <c r="H15" i="17"/>
  <c r="J14" i="17"/>
  <c r="H28" i="8"/>
  <c r="I28" i="8" s="1"/>
  <c r="D30" i="8"/>
  <c r="G29" i="8"/>
  <c r="G24" i="17" l="1"/>
  <c r="I23" i="17"/>
  <c r="K14" i="17"/>
  <c r="L14" i="17" s="1"/>
  <c r="N14" i="17" s="1"/>
  <c r="H16" i="17"/>
  <c r="J15" i="17"/>
  <c r="M13" i="17"/>
  <c r="N13" i="17"/>
  <c r="H29" i="8"/>
  <c r="I29" i="8" s="1"/>
  <c r="D31" i="8"/>
  <c r="G30" i="8"/>
  <c r="R14" i="17" l="1"/>
  <c r="R13" i="17"/>
  <c r="G25" i="17"/>
  <c r="I24" i="17"/>
  <c r="H17" i="17"/>
  <c r="J16" i="17"/>
  <c r="K15" i="17"/>
  <c r="L15" i="17" s="1"/>
  <c r="M14" i="17"/>
  <c r="H30" i="8"/>
  <c r="I30" i="8" s="1"/>
  <c r="D32" i="8"/>
  <c r="G31" i="8"/>
  <c r="J40" i="13"/>
  <c r="J47" i="13"/>
  <c r="J46" i="13"/>
  <c r="J45" i="13"/>
  <c r="J44" i="13"/>
  <c r="J43" i="13"/>
  <c r="J42" i="13"/>
  <c r="J41" i="13"/>
  <c r="J39" i="13"/>
  <c r="G38" i="13"/>
  <c r="H38" i="13" s="1"/>
  <c r="J25" i="13"/>
  <c r="J24" i="13"/>
  <c r="K24" i="13" s="1"/>
  <c r="D24" i="13"/>
  <c r="E24" i="13" s="1"/>
  <c r="J96" i="10"/>
  <c r="J25" i="10"/>
  <c r="J24" i="10"/>
  <c r="K24" i="10" s="1"/>
  <c r="K25" i="10" s="1"/>
  <c r="D24" i="10"/>
  <c r="J97" i="8"/>
  <c r="J96" i="8"/>
  <c r="K25" i="13" l="1"/>
  <c r="D25" i="13"/>
  <c r="G26" i="17"/>
  <c r="I25" i="17"/>
  <c r="M15" i="17"/>
  <c r="K16" i="17"/>
  <c r="L16" i="17" s="1"/>
  <c r="H18" i="17"/>
  <c r="J17" i="17"/>
  <c r="N15" i="17"/>
  <c r="H31" i="8"/>
  <c r="I31" i="8" s="1"/>
  <c r="D33" i="8"/>
  <c r="G32" i="8"/>
  <c r="E24" i="10"/>
  <c r="D25" i="10"/>
  <c r="E25" i="13"/>
  <c r="G39" i="13"/>
  <c r="R15" i="17" l="1"/>
  <c r="G27" i="17"/>
  <c r="I26" i="17"/>
  <c r="M16" i="17"/>
  <c r="H19" i="17"/>
  <c r="J18" i="17"/>
  <c r="K17" i="17"/>
  <c r="L17" i="17" s="1"/>
  <c r="N17" i="17" s="1"/>
  <c r="N16" i="17"/>
  <c r="H32" i="8"/>
  <c r="I32" i="8" s="1"/>
  <c r="D34" i="8"/>
  <c r="G33" i="8"/>
  <c r="J26" i="8"/>
  <c r="K26" i="8" s="1"/>
  <c r="E25" i="10"/>
  <c r="G40" i="13"/>
  <c r="H39" i="13"/>
  <c r="R17" i="17" l="1"/>
  <c r="R16" i="17"/>
  <c r="G28" i="17"/>
  <c r="I27" i="17"/>
  <c r="K18" i="17"/>
  <c r="L18" i="17" s="1"/>
  <c r="N18" i="17" s="1"/>
  <c r="H20" i="17"/>
  <c r="J19" i="17"/>
  <c r="M17" i="17"/>
  <c r="H33" i="8"/>
  <c r="I33" i="8" s="1"/>
  <c r="D35" i="8"/>
  <c r="G34" i="8"/>
  <c r="H40" i="13"/>
  <c r="G41" i="13"/>
  <c r="J27" i="8"/>
  <c r="K27" i="8" s="1"/>
  <c r="E26" i="8"/>
  <c r="R18" i="17" l="1"/>
  <c r="G29" i="17"/>
  <c r="I28" i="17"/>
  <c r="K19" i="17"/>
  <c r="L19" i="17" s="1"/>
  <c r="N19" i="17" s="1"/>
  <c r="H21" i="17"/>
  <c r="J20" i="17"/>
  <c r="M18" i="17"/>
  <c r="H34" i="8"/>
  <c r="I34" i="8" s="1"/>
  <c r="L27" i="8"/>
  <c r="M27" i="8" s="1"/>
  <c r="N27" i="8"/>
  <c r="D36" i="8"/>
  <c r="G35" i="8"/>
  <c r="E27" i="8"/>
  <c r="J28" i="8"/>
  <c r="K28" i="8" s="1"/>
  <c r="G42" i="13"/>
  <c r="H41" i="13"/>
  <c r="R19" i="17" l="1"/>
  <c r="G30" i="17"/>
  <c r="I29" i="17"/>
  <c r="M19" i="17"/>
  <c r="K20" i="17"/>
  <c r="L20" i="17" s="1"/>
  <c r="N20" i="17" s="1"/>
  <c r="H22" i="17"/>
  <c r="J21" i="17"/>
  <c r="H35" i="8"/>
  <c r="I35" i="8" s="1"/>
  <c r="L28" i="8"/>
  <c r="M28" i="8" s="1"/>
  <c r="N28" i="8"/>
  <c r="D37" i="8"/>
  <c r="G36" i="8"/>
  <c r="J29" i="8"/>
  <c r="K29" i="8" s="1"/>
  <c r="G43" i="13"/>
  <c r="H42" i="13"/>
  <c r="R20" i="17" l="1"/>
  <c r="G31" i="17"/>
  <c r="I30" i="17"/>
  <c r="M20" i="17"/>
  <c r="H23" i="17"/>
  <c r="J22" i="17"/>
  <c r="K21" i="17"/>
  <c r="L21" i="17" s="1"/>
  <c r="H36" i="8"/>
  <c r="I36" i="8" s="1"/>
  <c r="L29" i="8"/>
  <c r="M29" i="8" s="1"/>
  <c r="N29" i="8"/>
  <c r="D38" i="8"/>
  <c r="G37" i="8"/>
  <c r="D26" i="10"/>
  <c r="J30" i="8"/>
  <c r="K30" i="8" s="1"/>
  <c r="H43" i="13"/>
  <c r="G44" i="13"/>
  <c r="E28" i="8"/>
  <c r="G32" i="17" l="1"/>
  <c r="I31" i="17"/>
  <c r="H24" i="17"/>
  <c r="J23" i="17"/>
  <c r="M21" i="17"/>
  <c r="K22" i="17"/>
  <c r="L22" i="17" s="1"/>
  <c r="N21" i="17"/>
  <c r="H37" i="8"/>
  <c r="I37" i="8" s="1"/>
  <c r="L30" i="8"/>
  <c r="M30" i="8" s="1"/>
  <c r="N30" i="8"/>
  <c r="D39" i="8"/>
  <c r="G38" i="8"/>
  <c r="G45" i="13"/>
  <c r="H44" i="13"/>
  <c r="E26" i="10"/>
  <c r="D27" i="10"/>
  <c r="E29" i="8"/>
  <c r="J31" i="8"/>
  <c r="K31" i="8" s="1"/>
  <c r="R21" i="17" l="1"/>
  <c r="G33" i="17"/>
  <c r="I32" i="17"/>
  <c r="M22" i="17"/>
  <c r="K23" i="17"/>
  <c r="L23" i="17" s="1"/>
  <c r="N23" i="17" s="1"/>
  <c r="N22" i="17"/>
  <c r="R22" i="17" s="1"/>
  <c r="H25" i="17"/>
  <c r="J24" i="17"/>
  <c r="H38" i="8"/>
  <c r="D40" i="8"/>
  <c r="G39" i="8"/>
  <c r="L31" i="8"/>
  <c r="M31" i="8" s="1"/>
  <c r="N31" i="8"/>
  <c r="G26" i="10"/>
  <c r="J26" i="10"/>
  <c r="K26" i="10" s="1"/>
  <c r="J27" i="10"/>
  <c r="J32" i="8"/>
  <c r="K32" i="8" s="1"/>
  <c r="D28" i="10"/>
  <c r="E27" i="10"/>
  <c r="H45" i="13"/>
  <c r="G46" i="13"/>
  <c r="E30" i="8"/>
  <c r="R23" i="17" l="1"/>
  <c r="G34" i="17"/>
  <c r="I33" i="17"/>
  <c r="K24" i="17"/>
  <c r="L24" i="17" s="1"/>
  <c r="N24" i="17" s="1"/>
  <c r="M23" i="17"/>
  <c r="H26" i="17"/>
  <c r="J25" i="17"/>
  <c r="H39" i="8"/>
  <c r="L26" i="10"/>
  <c r="K27" i="10"/>
  <c r="G40" i="8"/>
  <c r="D41" i="8"/>
  <c r="G27" i="10"/>
  <c r="H26" i="10"/>
  <c r="I26" i="10" s="1"/>
  <c r="N26" i="10"/>
  <c r="L32" i="8"/>
  <c r="M32" i="8" s="1"/>
  <c r="N32" i="8"/>
  <c r="J28" i="10"/>
  <c r="E31" i="8"/>
  <c r="E28" i="10"/>
  <c r="D29" i="10"/>
  <c r="J33" i="8"/>
  <c r="K33" i="8" s="1"/>
  <c r="H46" i="13"/>
  <c r="G47" i="13"/>
  <c r="R24" i="17" l="1"/>
  <c r="M26" i="10"/>
  <c r="G35" i="17"/>
  <c r="I34" i="17"/>
  <c r="K25" i="17"/>
  <c r="L25" i="17" s="1"/>
  <c r="H27" i="17"/>
  <c r="J26" i="17"/>
  <c r="M24" i="17"/>
  <c r="H40" i="8"/>
  <c r="L33" i="8"/>
  <c r="M33" i="8" s="1"/>
  <c r="N33" i="8"/>
  <c r="J29" i="10"/>
  <c r="G28" i="10"/>
  <c r="H27" i="10"/>
  <c r="I27" i="10" s="1"/>
  <c r="N27" i="10"/>
  <c r="D42" i="8"/>
  <c r="G41" i="8"/>
  <c r="L27" i="10"/>
  <c r="K28" i="10"/>
  <c r="D30" i="10"/>
  <c r="E29" i="10"/>
  <c r="J34" i="8"/>
  <c r="K34" i="8" s="1"/>
  <c r="H47" i="13"/>
  <c r="E32" i="8"/>
  <c r="G36" i="17" l="1"/>
  <c r="I35" i="17"/>
  <c r="M27" i="10"/>
  <c r="M25" i="17"/>
  <c r="H28" i="17"/>
  <c r="J27" i="17"/>
  <c r="N25" i="17"/>
  <c r="K26" i="17"/>
  <c r="L26" i="17" s="1"/>
  <c r="N26" i="17" s="1"/>
  <c r="H41" i="8"/>
  <c r="L28" i="10"/>
  <c r="K29" i="10"/>
  <c r="J30" i="10"/>
  <c r="D43" i="8"/>
  <c r="G42" i="8"/>
  <c r="L34" i="8"/>
  <c r="M34" i="8" s="1"/>
  <c r="N34" i="8"/>
  <c r="G29" i="10"/>
  <c r="H28" i="10"/>
  <c r="I28" i="10" s="1"/>
  <c r="N28" i="10"/>
  <c r="E33" i="8"/>
  <c r="D31" i="10"/>
  <c r="E30" i="10"/>
  <c r="J35" i="8"/>
  <c r="K35" i="8" s="1"/>
  <c r="R26" i="17" l="1"/>
  <c r="R25" i="17"/>
  <c r="G37" i="17"/>
  <c r="I36" i="17"/>
  <c r="H29" i="17"/>
  <c r="J28" i="17"/>
  <c r="M26" i="17"/>
  <c r="K27" i="17"/>
  <c r="L27" i="17" s="1"/>
  <c r="N27" i="17" s="1"/>
  <c r="H42" i="8"/>
  <c r="G30" i="10"/>
  <c r="H29" i="10"/>
  <c r="I29" i="10" s="1"/>
  <c r="N29" i="10"/>
  <c r="J31" i="10"/>
  <c r="L29" i="10"/>
  <c r="K30" i="10"/>
  <c r="D44" i="8"/>
  <c r="G43" i="8"/>
  <c r="L35" i="8"/>
  <c r="M35" i="8" s="1"/>
  <c r="N35" i="8"/>
  <c r="M28" i="10"/>
  <c r="J36" i="8"/>
  <c r="K36" i="8" s="1"/>
  <c r="E34" i="8"/>
  <c r="E31" i="10"/>
  <c r="D32" i="10"/>
  <c r="R27" i="17" l="1"/>
  <c r="G38" i="17"/>
  <c r="I37" i="17"/>
  <c r="M27" i="17"/>
  <c r="K28" i="17"/>
  <c r="L28" i="17" s="1"/>
  <c r="N28" i="17" s="1"/>
  <c r="H30" i="17"/>
  <c r="J29" i="17"/>
  <c r="H43" i="8"/>
  <c r="D45" i="8"/>
  <c r="G44" i="8"/>
  <c r="J32" i="10"/>
  <c r="L36" i="8"/>
  <c r="M36" i="8" s="1"/>
  <c r="N36" i="8"/>
  <c r="G31" i="10"/>
  <c r="H30" i="10"/>
  <c r="I30" i="10" s="1"/>
  <c r="N30" i="10"/>
  <c r="L30" i="10"/>
  <c r="K31" i="10"/>
  <c r="M29" i="10"/>
  <c r="E35" i="8"/>
  <c r="J37" i="8"/>
  <c r="K37" i="8" s="1"/>
  <c r="D33" i="10"/>
  <c r="E32" i="10"/>
  <c r="R28" i="17" l="1"/>
  <c r="G39" i="17"/>
  <c r="I38" i="17"/>
  <c r="K29" i="17"/>
  <c r="L29" i="17" s="1"/>
  <c r="N29" i="17" s="1"/>
  <c r="H31" i="17"/>
  <c r="J30" i="17"/>
  <c r="M28" i="17"/>
  <c r="M30" i="10"/>
  <c r="H44" i="8"/>
  <c r="J33" i="10"/>
  <c r="D46" i="8"/>
  <c r="G45" i="8"/>
  <c r="G32" i="10"/>
  <c r="H31" i="10"/>
  <c r="I31" i="10" s="1"/>
  <c r="N31" i="10"/>
  <c r="L31" i="10"/>
  <c r="K32" i="10"/>
  <c r="L37" i="8"/>
  <c r="M37" i="8" s="1"/>
  <c r="E36" i="8"/>
  <c r="E33" i="10"/>
  <c r="D34" i="10"/>
  <c r="J38" i="8"/>
  <c r="K38" i="8" s="1"/>
  <c r="R29" i="17" l="1"/>
  <c r="G40" i="17"/>
  <c r="I39" i="17"/>
  <c r="H32" i="17"/>
  <c r="J31" i="17"/>
  <c r="K30" i="17"/>
  <c r="L30" i="17" s="1"/>
  <c r="N30" i="17" s="1"/>
  <c r="M29" i="17"/>
  <c r="H45" i="8"/>
  <c r="G33" i="10"/>
  <c r="H32" i="10"/>
  <c r="I32" i="10" s="1"/>
  <c r="N32" i="10"/>
  <c r="D47" i="8"/>
  <c r="G46" i="8"/>
  <c r="J34" i="10"/>
  <c r="M31" i="10"/>
  <c r="L32" i="10"/>
  <c r="K33" i="10"/>
  <c r="L38" i="8"/>
  <c r="N37" i="8"/>
  <c r="E37" i="8"/>
  <c r="E34" i="10"/>
  <c r="D35" i="10"/>
  <c r="J39" i="8"/>
  <c r="K39" i="8" s="1"/>
  <c r="R30" i="17" l="1"/>
  <c r="F111" i="26"/>
  <c r="G41" i="17"/>
  <c r="I40" i="17"/>
  <c r="M32" i="10"/>
  <c r="M30" i="17"/>
  <c r="K31" i="17"/>
  <c r="L31" i="17" s="1"/>
  <c r="H33" i="17"/>
  <c r="J32" i="17"/>
  <c r="H46" i="8"/>
  <c r="J35" i="10"/>
  <c r="D48" i="8"/>
  <c r="D49" i="8" s="1"/>
  <c r="D50" i="8" s="1"/>
  <c r="D51" i="8" s="1"/>
  <c r="D52" i="8" s="1"/>
  <c r="D53" i="8" s="1"/>
  <c r="D54" i="8" s="1"/>
  <c r="D55" i="8" s="1"/>
  <c r="D56" i="8" s="1"/>
  <c r="D57" i="8" s="1"/>
  <c r="D58" i="8" s="1"/>
  <c r="D59" i="8" s="1"/>
  <c r="G47" i="8"/>
  <c r="G34" i="10"/>
  <c r="H33" i="10"/>
  <c r="I33" i="10" s="1"/>
  <c r="N33" i="10"/>
  <c r="L33" i="10"/>
  <c r="K34" i="10"/>
  <c r="L39" i="8"/>
  <c r="N38" i="8"/>
  <c r="E38" i="8"/>
  <c r="I38" i="8" s="1"/>
  <c r="M38" i="8" s="1"/>
  <c r="J40" i="8"/>
  <c r="K40" i="8" s="1"/>
  <c r="D36" i="10"/>
  <c r="E35" i="10"/>
  <c r="G42" i="17" l="1"/>
  <c r="I41" i="17"/>
  <c r="K32" i="17"/>
  <c r="L32" i="17" s="1"/>
  <c r="M31" i="17"/>
  <c r="H34" i="17"/>
  <c r="J33" i="17"/>
  <c r="N31" i="17"/>
  <c r="H47" i="8"/>
  <c r="M33" i="10"/>
  <c r="G35" i="10"/>
  <c r="H34" i="10"/>
  <c r="I34" i="10" s="1"/>
  <c r="N34" i="10"/>
  <c r="J36" i="10"/>
  <c r="L34" i="10"/>
  <c r="K35" i="10"/>
  <c r="L40" i="8"/>
  <c r="J41" i="8"/>
  <c r="K41" i="8" s="1"/>
  <c r="D37" i="10"/>
  <c r="J37" i="10" s="1"/>
  <c r="E36" i="10"/>
  <c r="N39" i="8"/>
  <c r="E39" i="8"/>
  <c r="I39" i="8" s="1"/>
  <c r="M39" i="8" s="1"/>
  <c r="R31" i="17" l="1"/>
  <c r="N32" i="17"/>
  <c r="G43" i="17"/>
  <c r="I42" i="17"/>
  <c r="H35" i="17"/>
  <c r="J34" i="17"/>
  <c r="K33" i="17"/>
  <c r="L33" i="17" s="1"/>
  <c r="N33" i="17" s="1"/>
  <c r="M32" i="17"/>
  <c r="L35" i="10"/>
  <c r="K36" i="10"/>
  <c r="M34" i="10"/>
  <c r="G36" i="10"/>
  <c r="H35" i="10"/>
  <c r="I35" i="10" s="1"/>
  <c r="N35" i="10"/>
  <c r="L41" i="8"/>
  <c r="D38" i="10"/>
  <c r="E37" i="10"/>
  <c r="J42" i="8"/>
  <c r="K42" i="8" s="1"/>
  <c r="N40" i="8"/>
  <c r="E40" i="8"/>
  <c r="I40" i="8" s="1"/>
  <c r="M40" i="8" s="1"/>
  <c r="J38" i="10" l="1"/>
  <c r="G3" i="10"/>
  <c r="R33" i="17"/>
  <c r="R32" i="17"/>
  <c r="G44" i="17"/>
  <c r="I43" i="17"/>
  <c r="K34" i="17"/>
  <c r="L34" i="17" s="1"/>
  <c r="N34" i="17" s="1"/>
  <c r="H36" i="17"/>
  <c r="J35" i="17"/>
  <c r="M33" i="17"/>
  <c r="M35" i="10"/>
  <c r="G37" i="10"/>
  <c r="H36" i="10"/>
  <c r="I36" i="10" s="1"/>
  <c r="N36" i="10"/>
  <c r="L36" i="10"/>
  <c r="K37" i="10"/>
  <c r="L42" i="8"/>
  <c r="J43" i="8"/>
  <c r="K43" i="8" s="1"/>
  <c r="N41" i="8"/>
  <c r="E41" i="8"/>
  <c r="I41" i="8" s="1"/>
  <c r="M41" i="8" s="1"/>
  <c r="D39" i="10"/>
  <c r="J39" i="10" s="1"/>
  <c r="E38" i="10"/>
  <c r="R34" i="17" l="1"/>
  <c r="G45" i="17"/>
  <c r="I45" i="17" s="1"/>
  <c r="I44" i="17"/>
  <c r="H37" i="17"/>
  <c r="J36" i="17"/>
  <c r="K35" i="17"/>
  <c r="L35" i="17" s="1"/>
  <c r="N35" i="17" s="1"/>
  <c r="M34" i="17"/>
  <c r="K38" i="10"/>
  <c r="L37" i="10"/>
  <c r="M36" i="10"/>
  <c r="H37" i="10"/>
  <c r="I37" i="10" s="1"/>
  <c r="G38" i="10"/>
  <c r="N37" i="10"/>
  <c r="L43" i="8"/>
  <c r="J44" i="8"/>
  <c r="K44" i="8" s="1"/>
  <c r="D40" i="10"/>
  <c r="J40" i="10" s="1"/>
  <c r="E39" i="10"/>
  <c r="N42" i="8"/>
  <c r="E42" i="8"/>
  <c r="I42" i="8" s="1"/>
  <c r="M42" i="8" s="1"/>
  <c r="R35" i="17" l="1"/>
  <c r="H38" i="17"/>
  <c r="J37" i="17"/>
  <c r="K36" i="17"/>
  <c r="L36" i="17" s="1"/>
  <c r="M35" i="17"/>
  <c r="G39" i="10"/>
  <c r="H38" i="10"/>
  <c r="I38" i="10" s="1"/>
  <c r="N38" i="10"/>
  <c r="M37" i="10"/>
  <c r="L38" i="10"/>
  <c r="K39" i="10"/>
  <c r="L44" i="8"/>
  <c r="J45" i="8"/>
  <c r="K45" i="8" s="1"/>
  <c r="N43" i="8"/>
  <c r="E43" i="8"/>
  <c r="I43" i="8" s="1"/>
  <c r="M43" i="8" s="1"/>
  <c r="D41" i="10"/>
  <c r="J41" i="10" s="1"/>
  <c r="E40" i="10"/>
  <c r="M38" i="10" l="1"/>
  <c r="M36" i="17"/>
  <c r="H39" i="17"/>
  <c r="J38" i="17"/>
  <c r="N36" i="17"/>
  <c r="K37" i="17"/>
  <c r="L37" i="17" s="1"/>
  <c r="N37" i="17" s="1"/>
  <c r="K40" i="10"/>
  <c r="L39" i="10"/>
  <c r="G40" i="10"/>
  <c r="H39" i="10"/>
  <c r="I39" i="10" s="1"/>
  <c r="N39" i="10"/>
  <c r="L45" i="8"/>
  <c r="N44" i="8"/>
  <c r="E44" i="8"/>
  <c r="I44" i="8" s="1"/>
  <c r="M44" i="8" s="1"/>
  <c r="J46" i="8"/>
  <c r="K46" i="8" s="1"/>
  <c r="D42" i="10"/>
  <c r="J42" i="10" s="1"/>
  <c r="E41" i="10"/>
  <c r="R37" i="17" l="1"/>
  <c r="R36" i="17"/>
  <c r="M37" i="17"/>
  <c r="H40" i="17"/>
  <c r="J39" i="17"/>
  <c r="K38" i="17"/>
  <c r="L38" i="17" s="1"/>
  <c r="G41" i="10"/>
  <c r="H40" i="10"/>
  <c r="I40" i="10" s="1"/>
  <c r="N40" i="10"/>
  <c r="M39" i="10"/>
  <c r="K41" i="10"/>
  <c r="L40" i="10"/>
  <c r="L46" i="8"/>
  <c r="D43" i="10"/>
  <c r="J43" i="10" s="1"/>
  <c r="E42" i="10"/>
  <c r="N45" i="8"/>
  <c r="E45" i="8"/>
  <c r="I45" i="8" s="1"/>
  <c r="M45" i="8" s="1"/>
  <c r="J47" i="8"/>
  <c r="K47" i="8" s="1"/>
  <c r="M40" i="10" l="1"/>
  <c r="K39" i="17"/>
  <c r="L39" i="17" s="1"/>
  <c r="N39" i="17" s="1"/>
  <c r="H41" i="17"/>
  <c r="J40" i="17"/>
  <c r="M38" i="17"/>
  <c r="N38" i="17"/>
  <c r="L41" i="10"/>
  <c r="K42" i="10"/>
  <c r="G42" i="10"/>
  <c r="H41" i="10"/>
  <c r="I41" i="10" s="1"/>
  <c r="N41" i="10"/>
  <c r="L47" i="8"/>
  <c r="N46" i="8"/>
  <c r="E46" i="8"/>
  <c r="I46" i="8" s="1"/>
  <c r="M46" i="8" s="1"/>
  <c r="D44" i="10"/>
  <c r="J44" i="10" s="1"/>
  <c r="E43" i="10"/>
  <c r="R39" i="17" l="1"/>
  <c r="R38" i="17"/>
  <c r="K40" i="17"/>
  <c r="L40" i="17" s="1"/>
  <c r="N40" i="17" s="1"/>
  <c r="H42" i="17"/>
  <c r="J41" i="17"/>
  <c r="M39" i="17"/>
  <c r="G43" i="10"/>
  <c r="H42" i="10"/>
  <c r="I42" i="10" s="1"/>
  <c r="N42" i="10"/>
  <c r="K43" i="10"/>
  <c r="L42" i="10"/>
  <c r="M41" i="10"/>
  <c r="D45" i="10"/>
  <c r="J45" i="10" s="1"/>
  <c r="E44" i="10"/>
  <c r="N47" i="8"/>
  <c r="E47" i="8"/>
  <c r="I47" i="8" s="1"/>
  <c r="M47" i="8" s="1"/>
  <c r="R40" i="17" l="1"/>
  <c r="M42" i="10"/>
  <c r="K41" i="17"/>
  <c r="L41" i="17" s="1"/>
  <c r="N41" i="17" s="1"/>
  <c r="H43" i="17"/>
  <c r="J42" i="17"/>
  <c r="M40" i="17"/>
  <c r="L43" i="10"/>
  <c r="K44" i="10"/>
  <c r="G44" i="10"/>
  <c r="H43" i="10"/>
  <c r="I43" i="10" s="1"/>
  <c r="N43" i="10"/>
  <c r="D46" i="10"/>
  <c r="J46" i="10" s="1"/>
  <c r="E45" i="10"/>
  <c r="F48" i="8"/>
  <c r="E48" i="8"/>
  <c r="R41" i="17" l="1"/>
  <c r="H44" i="17"/>
  <c r="C51" i="17" s="1"/>
  <c r="C15" i="3" s="1"/>
  <c r="F15" i="3" s="1"/>
  <c r="J43" i="17"/>
  <c r="K42" i="17"/>
  <c r="L42" i="17" s="1"/>
  <c r="N42" i="17" s="1"/>
  <c r="M41" i="17"/>
  <c r="G45" i="10"/>
  <c r="H44" i="10"/>
  <c r="I44" i="10" s="1"/>
  <c r="N44" i="10"/>
  <c r="L44" i="10"/>
  <c r="K45" i="10"/>
  <c r="M43" i="10"/>
  <c r="D47" i="10"/>
  <c r="J47" i="10" s="1"/>
  <c r="E46" i="10"/>
  <c r="F49" i="8"/>
  <c r="J49" i="8" s="1"/>
  <c r="E49" i="8"/>
  <c r="J48" i="8"/>
  <c r="K48" i="8" s="1"/>
  <c r="G48" i="8"/>
  <c r="R42" i="17" l="1"/>
  <c r="M44" i="10"/>
  <c r="H45" i="17"/>
  <c r="J44" i="17"/>
  <c r="M42" i="17"/>
  <c r="K43" i="17"/>
  <c r="L43" i="17" s="1"/>
  <c r="N43" i="17" s="1"/>
  <c r="K46" i="10"/>
  <c r="L45" i="10"/>
  <c r="G46" i="10"/>
  <c r="H45" i="10"/>
  <c r="I45" i="10" s="1"/>
  <c r="N45" i="10"/>
  <c r="D48" i="10"/>
  <c r="E47" i="10"/>
  <c r="K49" i="8"/>
  <c r="L48" i="8"/>
  <c r="F50" i="8"/>
  <c r="E50" i="8"/>
  <c r="G49" i="8"/>
  <c r="H48" i="8"/>
  <c r="I48" i="8" s="1"/>
  <c r="N48" i="8"/>
  <c r="R43" i="17" l="1"/>
  <c r="J45" i="17"/>
  <c r="K44" i="17"/>
  <c r="L44" i="17" s="1"/>
  <c r="C52" i="17" s="1"/>
  <c r="C16" i="3" s="1"/>
  <c r="F16" i="3" s="1"/>
  <c r="M43" i="17"/>
  <c r="M45" i="10"/>
  <c r="K47" i="10"/>
  <c r="L47" i="10" s="1"/>
  <c r="L46" i="10"/>
  <c r="G47" i="10"/>
  <c r="H46" i="10"/>
  <c r="I46" i="10" s="1"/>
  <c r="N46" i="10"/>
  <c r="G50" i="8"/>
  <c r="H49" i="8"/>
  <c r="N49" i="8"/>
  <c r="M48" i="8"/>
  <c r="J50" i="8"/>
  <c r="K50" i="8" s="1"/>
  <c r="D49" i="10"/>
  <c r="F48" i="10"/>
  <c r="E48" i="10"/>
  <c r="L49" i="8"/>
  <c r="F51" i="8"/>
  <c r="J51" i="8" s="1"/>
  <c r="E51" i="8"/>
  <c r="M44" i="17" l="1"/>
  <c r="N44" i="17"/>
  <c r="K45" i="17"/>
  <c r="L45" i="17" s="1"/>
  <c r="H47" i="10"/>
  <c r="I47" i="10" s="1"/>
  <c r="M47" i="10" s="1"/>
  <c r="N47" i="10"/>
  <c r="M46" i="10"/>
  <c r="K51" i="8"/>
  <c r="L50" i="8"/>
  <c r="I49" i="8"/>
  <c r="M49" i="8" s="1"/>
  <c r="D50" i="10"/>
  <c r="F49" i="10"/>
  <c r="J49" i="10" s="1"/>
  <c r="E49" i="10"/>
  <c r="F52" i="8"/>
  <c r="E52" i="8"/>
  <c r="J48" i="10"/>
  <c r="K48" i="10" s="1"/>
  <c r="G48" i="10"/>
  <c r="G51" i="8"/>
  <c r="H50" i="8"/>
  <c r="I50" i="8" s="1"/>
  <c r="N50" i="8"/>
  <c r="R44" i="17" l="1"/>
  <c r="M45" i="17"/>
  <c r="F17" i="3"/>
  <c r="N45" i="17"/>
  <c r="R45" i="17" s="1"/>
  <c r="J52" i="8"/>
  <c r="K52" i="8" s="1"/>
  <c r="G49" i="10"/>
  <c r="H48" i="10"/>
  <c r="I48" i="10" s="1"/>
  <c r="N48" i="10"/>
  <c r="F53" i="8"/>
  <c r="E53" i="8"/>
  <c r="F50" i="10"/>
  <c r="D51" i="10"/>
  <c r="E50" i="10"/>
  <c r="G52" i="8"/>
  <c r="H51" i="8"/>
  <c r="I51" i="8" s="1"/>
  <c r="N51" i="8"/>
  <c r="K49" i="10"/>
  <c r="L48" i="10"/>
  <c r="M50" i="8"/>
  <c r="L51" i="8"/>
  <c r="H49" i="10" l="1"/>
  <c r="I49" i="10" s="1"/>
  <c r="G50" i="10"/>
  <c r="N49" i="10"/>
  <c r="F54" i="8"/>
  <c r="J54" i="8" s="1"/>
  <c r="E54" i="8"/>
  <c r="G53" i="8"/>
  <c r="H52" i="8"/>
  <c r="I52" i="8" s="1"/>
  <c r="N52" i="8"/>
  <c r="M51" i="8"/>
  <c r="M48" i="10"/>
  <c r="L49" i="10"/>
  <c r="D52" i="10"/>
  <c r="F51" i="10"/>
  <c r="J51" i="10" s="1"/>
  <c r="E51" i="10"/>
  <c r="J53" i="8"/>
  <c r="K53" i="8" s="1"/>
  <c r="L52" i="8"/>
  <c r="J50" i="10"/>
  <c r="K50" i="10" s="1"/>
  <c r="M52" i="8" l="1"/>
  <c r="K54" i="8"/>
  <c r="L53" i="8"/>
  <c r="F55" i="8"/>
  <c r="E55" i="8"/>
  <c r="G51" i="10"/>
  <c r="H50" i="10"/>
  <c r="I50" i="10" s="1"/>
  <c r="N50" i="10"/>
  <c r="K51" i="10"/>
  <c r="L50" i="10"/>
  <c r="D53" i="10"/>
  <c r="F52" i="10"/>
  <c r="E52" i="10"/>
  <c r="G54" i="8"/>
  <c r="H53" i="8"/>
  <c r="I53" i="8" s="1"/>
  <c r="N53" i="8"/>
  <c r="M49" i="10"/>
  <c r="M50" i="10" l="1"/>
  <c r="J52" i="10"/>
  <c r="K52" i="10" s="1"/>
  <c r="F53" i="10"/>
  <c r="J53" i="10" s="1"/>
  <c r="D54" i="10"/>
  <c r="E53" i="10"/>
  <c r="F56" i="8"/>
  <c r="J56" i="8" s="1"/>
  <c r="E56" i="8"/>
  <c r="J55" i="8"/>
  <c r="K55" i="8" s="1"/>
  <c r="G55" i="8"/>
  <c r="H54" i="8"/>
  <c r="I54" i="8" s="1"/>
  <c r="N54" i="8"/>
  <c r="M53" i="8"/>
  <c r="L51" i="10"/>
  <c r="G52" i="10"/>
  <c r="H51" i="10"/>
  <c r="I51" i="10" s="1"/>
  <c r="N51" i="10"/>
  <c r="L54" i="8"/>
  <c r="M54" i="8" l="1"/>
  <c r="M51" i="10"/>
  <c r="K56" i="8"/>
  <c r="L55" i="8"/>
  <c r="G53" i="10"/>
  <c r="H52" i="10"/>
  <c r="I52" i="10" s="1"/>
  <c r="N52" i="10"/>
  <c r="F57" i="8"/>
  <c r="E57" i="8"/>
  <c r="D55" i="10"/>
  <c r="F54" i="10"/>
  <c r="J54" i="10" s="1"/>
  <c r="E54" i="10"/>
  <c r="K53" i="10"/>
  <c r="L52" i="10"/>
  <c r="G56" i="8"/>
  <c r="H55" i="8"/>
  <c r="I55" i="8" s="1"/>
  <c r="N55" i="8"/>
  <c r="M52" i="10" l="1"/>
  <c r="F58" i="8"/>
  <c r="J58" i="8" s="1"/>
  <c r="E58" i="8"/>
  <c r="G54" i="10"/>
  <c r="H53" i="10"/>
  <c r="I53" i="10" s="1"/>
  <c r="N53" i="10"/>
  <c r="G57" i="8"/>
  <c r="H56" i="8"/>
  <c r="I56" i="8" s="1"/>
  <c r="N56" i="8"/>
  <c r="K54" i="10"/>
  <c r="L53" i="10"/>
  <c r="M55" i="8"/>
  <c r="L56" i="8"/>
  <c r="F55" i="10"/>
  <c r="D56" i="10"/>
  <c r="E55" i="10"/>
  <c r="J57" i="8"/>
  <c r="K57" i="8" s="1"/>
  <c r="M56" i="8" l="1"/>
  <c r="M53" i="10"/>
  <c r="K58" i="8"/>
  <c r="L57" i="8"/>
  <c r="D57" i="10"/>
  <c r="F56" i="10"/>
  <c r="J56" i="10" s="1"/>
  <c r="E56" i="10"/>
  <c r="J55" i="10"/>
  <c r="K55" i="10" s="1"/>
  <c r="L54" i="10"/>
  <c r="G58" i="8"/>
  <c r="H57" i="8"/>
  <c r="I57" i="8" s="1"/>
  <c r="N57" i="8"/>
  <c r="D60" i="8"/>
  <c r="F59" i="8"/>
  <c r="E59" i="8"/>
  <c r="C20" i="3" s="1"/>
  <c r="G55" i="10"/>
  <c r="H54" i="10"/>
  <c r="I54" i="10" s="1"/>
  <c r="N54" i="10"/>
  <c r="J59" i="8" l="1"/>
  <c r="K59" i="8" s="1"/>
  <c r="F109" i="8"/>
  <c r="D6" i="22" s="1"/>
  <c r="G6" i="28" s="1"/>
  <c r="M54" i="10"/>
  <c r="G56" i="10"/>
  <c r="H55" i="10"/>
  <c r="I55" i="10" s="1"/>
  <c r="N55" i="10"/>
  <c r="D58" i="10"/>
  <c r="F57" i="10"/>
  <c r="E57" i="10"/>
  <c r="M57" i="8"/>
  <c r="K56" i="10"/>
  <c r="L55" i="10"/>
  <c r="G59" i="8"/>
  <c r="H59" i="8" s="1"/>
  <c r="C22" i="3" s="1"/>
  <c r="F22" i="3" s="1"/>
  <c r="H58" i="8"/>
  <c r="I58" i="8" s="1"/>
  <c r="N58" i="8"/>
  <c r="D61" i="8"/>
  <c r="F60" i="8"/>
  <c r="J60" i="8" s="1"/>
  <c r="E60" i="8"/>
  <c r="L58" i="8"/>
  <c r="M55" i="10" l="1"/>
  <c r="K60" i="8"/>
  <c r="L59" i="8"/>
  <c r="C24" i="3" s="1"/>
  <c r="F24" i="3" s="1"/>
  <c r="G60" i="8"/>
  <c r="I59" i="8"/>
  <c r="N59" i="8"/>
  <c r="J57" i="10"/>
  <c r="K57" i="10" s="1"/>
  <c r="G57" i="10"/>
  <c r="H56" i="10"/>
  <c r="I56" i="10" s="1"/>
  <c r="N56" i="10"/>
  <c r="L56" i="10"/>
  <c r="F58" i="10"/>
  <c r="J58" i="10" s="1"/>
  <c r="D59" i="10"/>
  <c r="E58" i="10"/>
  <c r="F61" i="8"/>
  <c r="D62" i="8"/>
  <c r="E61" i="8"/>
  <c r="M58" i="8"/>
  <c r="M56" i="10" l="1"/>
  <c r="G61" i="8"/>
  <c r="H60" i="8"/>
  <c r="I60" i="8" s="1"/>
  <c r="N60" i="8"/>
  <c r="G58" i="10"/>
  <c r="H57" i="10"/>
  <c r="I57" i="10" s="1"/>
  <c r="N57" i="10"/>
  <c r="D60" i="10"/>
  <c r="F59" i="10"/>
  <c r="E59" i="10"/>
  <c r="K58" i="10"/>
  <c r="L57" i="10"/>
  <c r="D63" i="8"/>
  <c r="F62" i="8"/>
  <c r="E62" i="8"/>
  <c r="M59" i="8"/>
  <c r="E6" i="22" s="1"/>
  <c r="H6" i="28" s="1"/>
  <c r="J61" i="8"/>
  <c r="K61" i="8" s="1"/>
  <c r="L60" i="8"/>
  <c r="J59" i="10" l="1"/>
  <c r="K59" i="10" s="1"/>
  <c r="F111" i="10"/>
  <c r="M57" i="10"/>
  <c r="L58" i="10"/>
  <c r="G62" i="8"/>
  <c r="H61" i="8"/>
  <c r="N61" i="8"/>
  <c r="G59" i="10"/>
  <c r="H58" i="10"/>
  <c r="I58" i="10" s="1"/>
  <c r="N58" i="10"/>
  <c r="M60" i="8"/>
  <c r="J62" i="8"/>
  <c r="K62" i="8" s="1"/>
  <c r="D61" i="10"/>
  <c r="F60" i="10"/>
  <c r="E60" i="10"/>
  <c r="L61" i="8"/>
  <c r="D64" i="8"/>
  <c r="F63" i="8"/>
  <c r="J63" i="8" s="1"/>
  <c r="E63" i="8"/>
  <c r="D7" i="22" l="1"/>
  <c r="G7" i="28" s="1"/>
  <c r="J60" i="10"/>
  <c r="K60" i="10" s="1"/>
  <c r="K63" i="8"/>
  <c r="L62" i="8"/>
  <c r="I61" i="8"/>
  <c r="M61" i="8" s="1"/>
  <c r="G60" i="10"/>
  <c r="H59" i="10"/>
  <c r="I59" i="10" s="1"/>
  <c r="N59" i="10"/>
  <c r="F64" i="8"/>
  <c r="D65" i="8"/>
  <c r="E64" i="8"/>
  <c r="G63" i="8"/>
  <c r="H62" i="8"/>
  <c r="I62" i="8" s="1"/>
  <c r="N62" i="8"/>
  <c r="M58" i="10"/>
  <c r="D62" i="10"/>
  <c r="F61" i="10"/>
  <c r="E61" i="10"/>
  <c r="L59" i="10"/>
  <c r="M59" i="10" l="1"/>
  <c r="L60" i="10"/>
  <c r="G61" i="10"/>
  <c r="H60" i="10"/>
  <c r="I60" i="10" s="1"/>
  <c r="N60" i="10"/>
  <c r="G64" i="8"/>
  <c r="H63" i="8"/>
  <c r="I63" i="8" s="1"/>
  <c r="N63" i="8"/>
  <c r="J61" i="10"/>
  <c r="K61" i="10" s="1"/>
  <c r="M62" i="8"/>
  <c r="L63" i="8"/>
  <c r="D66" i="8"/>
  <c r="F65" i="8"/>
  <c r="J65" i="8" s="1"/>
  <c r="E65" i="8"/>
  <c r="J64" i="8"/>
  <c r="K64" i="8" s="1"/>
  <c r="D63" i="10"/>
  <c r="F62" i="10"/>
  <c r="E62" i="10"/>
  <c r="E7" i="22" l="1"/>
  <c r="H7" i="28" s="1"/>
  <c r="M60" i="10"/>
  <c r="K65" i="8"/>
  <c r="L64" i="8"/>
  <c r="L61" i="10"/>
  <c r="G62" i="10"/>
  <c r="H61" i="10"/>
  <c r="I61" i="10" s="1"/>
  <c r="N61" i="10"/>
  <c r="G65" i="8"/>
  <c r="H64" i="8"/>
  <c r="I64" i="8" s="1"/>
  <c r="N64" i="8"/>
  <c r="F63" i="10"/>
  <c r="J63" i="10" s="1"/>
  <c r="D64" i="10"/>
  <c r="E63" i="10"/>
  <c r="J62" i="10"/>
  <c r="K62" i="10" s="1"/>
  <c r="M63" i="8"/>
  <c r="D67" i="8"/>
  <c r="F66" i="8"/>
  <c r="E66" i="8"/>
  <c r="E14" i="22" l="1"/>
  <c r="H14" i="28" s="1"/>
  <c r="M61" i="10"/>
  <c r="G63" i="10"/>
  <c r="H62" i="10"/>
  <c r="I62" i="10" s="1"/>
  <c r="N62" i="10"/>
  <c r="K63" i="10"/>
  <c r="L62" i="10"/>
  <c r="D65" i="10"/>
  <c r="F64" i="10"/>
  <c r="E64" i="10"/>
  <c r="M64" i="8"/>
  <c r="G66" i="8"/>
  <c r="H65" i="8"/>
  <c r="I65" i="8" s="1"/>
  <c r="N65" i="8"/>
  <c r="D68" i="8"/>
  <c r="F67" i="8"/>
  <c r="J67" i="8" s="1"/>
  <c r="E67" i="8"/>
  <c r="L65" i="8"/>
  <c r="J66" i="8"/>
  <c r="K66" i="8" s="1"/>
  <c r="K67" i="8" l="1"/>
  <c r="L66" i="8"/>
  <c r="G67" i="8"/>
  <c r="H66" i="8"/>
  <c r="I66" i="8" s="1"/>
  <c r="N66" i="8"/>
  <c r="G64" i="10"/>
  <c r="H63" i="10"/>
  <c r="I63" i="10" s="1"/>
  <c r="N63" i="10"/>
  <c r="M62" i="10"/>
  <c r="D66" i="10"/>
  <c r="F65" i="10"/>
  <c r="J65" i="10" s="1"/>
  <c r="E65" i="10"/>
  <c r="D69" i="8"/>
  <c r="F68" i="8"/>
  <c r="E68" i="8"/>
  <c r="M65" i="8"/>
  <c r="J64" i="10"/>
  <c r="K64" i="10" s="1"/>
  <c r="L63" i="10"/>
  <c r="K65" i="10" l="1"/>
  <c r="L64" i="10"/>
  <c r="F69" i="8"/>
  <c r="J69" i="8" s="1"/>
  <c r="D70" i="8"/>
  <c r="E69" i="8"/>
  <c r="M63" i="10"/>
  <c r="M66" i="8"/>
  <c r="G68" i="8"/>
  <c r="H67" i="8"/>
  <c r="I67" i="8" s="1"/>
  <c r="N67" i="8"/>
  <c r="F66" i="10"/>
  <c r="J66" i="10" s="1"/>
  <c r="D67" i="10"/>
  <c r="E66" i="10"/>
  <c r="G65" i="10"/>
  <c r="H64" i="10"/>
  <c r="I64" i="10" s="1"/>
  <c r="N64" i="10"/>
  <c r="J68" i="8"/>
  <c r="K68" i="8" s="1"/>
  <c r="L67" i="8"/>
  <c r="M64" i="10" l="1"/>
  <c r="K69" i="8"/>
  <c r="L68" i="8"/>
  <c r="G66" i="10"/>
  <c r="H65" i="10"/>
  <c r="I65" i="10" s="1"/>
  <c r="N65" i="10"/>
  <c r="G69" i="8"/>
  <c r="H68" i="8"/>
  <c r="I68" i="8" s="1"/>
  <c r="N68" i="8"/>
  <c r="M67" i="8"/>
  <c r="K66" i="10"/>
  <c r="L65" i="10"/>
  <c r="D68" i="10"/>
  <c r="F67" i="10"/>
  <c r="J67" i="10" s="1"/>
  <c r="E67" i="10"/>
  <c r="D71" i="8"/>
  <c r="F70" i="8"/>
  <c r="E70" i="8"/>
  <c r="M65" i="10" l="1"/>
  <c r="G67" i="10"/>
  <c r="H66" i="10"/>
  <c r="I66" i="10" s="1"/>
  <c r="N66" i="10"/>
  <c r="G70" i="8"/>
  <c r="H69" i="8"/>
  <c r="I69" i="8" s="1"/>
  <c r="N69" i="8"/>
  <c r="J70" i="8"/>
  <c r="K70" i="8" s="1"/>
  <c r="M68" i="8"/>
  <c r="D72" i="8"/>
  <c r="F71" i="8"/>
  <c r="J71" i="8" s="1"/>
  <c r="E71" i="8"/>
  <c r="K67" i="10"/>
  <c r="L66" i="10"/>
  <c r="L69" i="8"/>
  <c r="D69" i="10"/>
  <c r="F68" i="10"/>
  <c r="E68" i="10"/>
  <c r="M66" i="10" l="1"/>
  <c r="K71" i="8"/>
  <c r="L70" i="8"/>
  <c r="F69" i="10"/>
  <c r="J69" i="10" s="1"/>
  <c r="D70" i="10"/>
  <c r="E69" i="10"/>
  <c r="G71" i="8"/>
  <c r="H70" i="8"/>
  <c r="I70" i="8" s="1"/>
  <c r="N70" i="8"/>
  <c r="G68" i="10"/>
  <c r="H67" i="10"/>
  <c r="I67" i="10" s="1"/>
  <c r="N67" i="10"/>
  <c r="F72" i="8"/>
  <c r="J72" i="8" s="1"/>
  <c r="D73" i="8"/>
  <c r="E72" i="8"/>
  <c r="L67" i="10"/>
  <c r="J68" i="10"/>
  <c r="K68" i="10" s="1"/>
  <c r="M69" i="8"/>
  <c r="M70" i="8" l="1"/>
  <c r="M67" i="10"/>
  <c r="D71" i="10"/>
  <c r="F70" i="10"/>
  <c r="J70" i="10" s="1"/>
  <c r="E70" i="10"/>
  <c r="D74" i="8"/>
  <c r="F73" i="8"/>
  <c r="E73" i="8"/>
  <c r="K72" i="8"/>
  <c r="L71" i="8"/>
  <c r="G72" i="8"/>
  <c r="H71" i="8"/>
  <c r="I71" i="8" s="1"/>
  <c r="N71" i="8"/>
  <c r="K69" i="10"/>
  <c r="L68" i="10"/>
  <c r="G69" i="10"/>
  <c r="H68" i="10"/>
  <c r="I68" i="10" s="1"/>
  <c r="N68" i="10"/>
  <c r="M71" i="8" l="1"/>
  <c r="M68" i="10"/>
  <c r="F71" i="10"/>
  <c r="J71" i="10" s="1"/>
  <c r="D72" i="10"/>
  <c r="E71" i="10"/>
  <c r="G73" i="8"/>
  <c r="H72" i="8"/>
  <c r="I72" i="8" s="1"/>
  <c r="N72" i="8"/>
  <c r="L72" i="8"/>
  <c r="G70" i="10"/>
  <c r="H69" i="10"/>
  <c r="I69" i="10" s="1"/>
  <c r="N69" i="10"/>
  <c r="K70" i="10"/>
  <c r="L69" i="10"/>
  <c r="J73" i="8"/>
  <c r="K73" i="8" s="1"/>
  <c r="D75" i="8"/>
  <c r="F74" i="8"/>
  <c r="J74" i="8" s="1"/>
  <c r="E74" i="8"/>
  <c r="M72" i="8" l="1"/>
  <c r="M69" i="10"/>
  <c r="D73" i="10"/>
  <c r="F72" i="10"/>
  <c r="J72" i="10" s="1"/>
  <c r="E72" i="10"/>
  <c r="F75" i="8"/>
  <c r="J75" i="8" s="1"/>
  <c r="D76" i="8"/>
  <c r="E75" i="8"/>
  <c r="G71" i="10"/>
  <c r="H70" i="10"/>
  <c r="I70" i="10" s="1"/>
  <c r="N70" i="10"/>
  <c r="G74" i="8"/>
  <c r="H73" i="8"/>
  <c r="N73" i="8"/>
  <c r="K74" i="8"/>
  <c r="L73" i="8"/>
  <c r="K71" i="10"/>
  <c r="L70" i="10"/>
  <c r="M70" i="10" l="1"/>
  <c r="K72" i="10"/>
  <c r="L71" i="10"/>
  <c r="G72" i="10"/>
  <c r="H71" i="10"/>
  <c r="I71" i="10" s="1"/>
  <c r="N71" i="10"/>
  <c r="G75" i="8"/>
  <c r="H74" i="8"/>
  <c r="I74" i="8" s="1"/>
  <c r="N74" i="8"/>
  <c r="D77" i="8"/>
  <c r="F76" i="8"/>
  <c r="J76" i="8" s="1"/>
  <c r="E76" i="8"/>
  <c r="K75" i="8"/>
  <c r="L74" i="8"/>
  <c r="I73" i="8"/>
  <c r="M73" i="8" s="1"/>
  <c r="D74" i="10"/>
  <c r="F73" i="10"/>
  <c r="E73" i="10"/>
  <c r="M74" i="8" l="1"/>
  <c r="M71" i="10"/>
  <c r="G73" i="10"/>
  <c r="H72" i="10"/>
  <c r="I72" i="10" s="1"/>
  <c r="N72" i="10"/>
  <c r="L72" i="10"/>
  <c r="F77" i="8"/>
  <c r="J77" i="8" s="1"/>
  <c r="D78" i="8"/>
  <c r="E77" i="8"/>
  <c r="J73" i="10"/>
  <c r="K73" i="10" s="1"/>
  <c r="K76" i="8"/>
  <c r="L75" i="8"/>
  <c r="F74" i="10"/>
  <c r="J74" i="10" s="1"/>
  <c r="D75" i="10"/>
  <c r="E74" i="10"/>
  <c r="G76" i="8"/>
  <c r="H75" i="8"/>
  <c r="I75" i="8" s="1"/>
  <c r="N75" i="8"/>
  <c r="M72" i="10" l="1"/>
  <c r="K74" i="10"/>
  <c r="L73" i="10"/>
  <c r="D79" i="8"/>
  <c r="F78" i="8"/>
  <c r="J78" i="8" s="1"/>
  <c r="E78" i="8"/>
  <c r="G74" i="10"/>
  <c r="H73" i="10"/>
  <c r="I73" i="10" s="1"/>
  <c r="N73" i="10"/>
  <c r="M75" i="8"/>
  <c r="G77" i="8"/>
  <c r="H76" i="8"/>
  <c r="I76" i="8" s="1"/>
  <c r="N76" i="8"/>
  <c r="K77" i="8"/>
  <c r="L76" i="8"/>
  <c r="D76" i="10"/>
  <c r="F75" i="10"/>
  <c r="J75" i="10" s="1"/>
  <c r="E75" i="10"/>
  <c r="M76" i="8" l="1"/>
  <c r="M73" i="10"/>
  <c r="D77" i="10"/>
  <c r="F76" i="10"/>
  <c r="J76" i="10" s="1"/>
  <c r="E76" i="10"/>
  <c r="G78" i="8"/>
  <c r="H77" i="8"/>
  <c r="I77" i="8" s="1"/>
  <c r="N77" i="8"/>
  <c r="K78" i="8"/>
  <c r="L77" i="8"/>
  <c r="D80" i="8"/>
  <c r="F79" i="8"/>
  <c r="J79" i="8" s="1"/>
  <c r="E79" i="8"/>
  <c r="G75" i="10"/>
  <c r="H74" i="10"/>
  <c r="I74" i="10" s="1"/>
  <c r="N74" i="10"/>
  <c r="K75" i="10"/>
  <c r="L74" i="10"/>
  <c r="M77" i="8" l="1"/>
  <c r="K76" i="10"/>
  <c r="L75" i="10"/>
  <c r="K79" i="8"/>
  <c r="L78" i="8"/>
  <c r="D81" i="8"/>
  <c r="F80" i="8"/>
  <c r="J80" i="8" s="1"/>
  <c r="E80" i="8"/>
  <c r="D78" i="10"/>
  <c r="F77" i="10"/>
  <c r="J77" i="10" s="1"/>
  <c r="E77" i="10"/>
  <c r="G76" i="10"/>
  <c r="H75" i="10"/>
  <c r="I75" i="10" s="1"/>
  <c r="N75" i="10"/>
  <c r="G79" i="8"/>
  <c r="H78" i="8"/>
  <c r="I78" i="8" s="1"/>
  <c r="N78" i="8"/>
  <c r="M74" i="10"/>
  <c r="K77" i="10" l="1"/>
  <c r="L76" i="10"/>
  <c r="D82" i="8"/>
  <c r="F81" i="8"/>
  <c r="J81" i="8" s="1"/>
  <c r="E81" i="8"/>
  <c r="G77" i="10"/>
  <c r="H76" i="10"/>
  <c r="I76" i="10" s="1"/>
  <c r="N76" i="10"/>
  <c r="M78" i="8"/>
  <c r="G80" i="8"/>
  <c r="H79" i="8"/>
  <c r="I79" i="8" s="1"/>
  <c r="N79" i="8"/>
  <c r="D79" i="10"/>
  <c r="F78" i="10"/>
  <c r="J78" i="10" s="1"/>
  <c r="E78" i="10"/>
  <c r="K80" i="8"/>
  <c r="L79" i="8"/>
  <c r="M75" i="10"/>
  <c r="M79" i="8" l="1"/>
  <c r="G78" i="10"/>
  <c r="H77" i="10"/>
  <c r="I77" i="10" s="1"/>
  <c r="N77" i="10"/>
  <c r="K81" i="8"/>
  <c r="L80" i="8"/>
  <c r="G81" i="8"/>
  <c r="H80" i="8"/>
  <c r="I80" i="8" s="1"/>
  <c r="N80" i="8"/>
  <c r="K78" i="10"/>
  <c r="L77" i="10"/>
  <c r="F79" i="10"/>
  <c r="J79" i="10" s="1"/>
  <c r="D80" i="10"/>
  <c r="E79" i="10"/>
  <c r="M76" i="10"/>
  <c r="D83" i="8"/>
  <c r="F82" i="8"/>
  <c r="J82" i="8" s="1"/>
  <c r="E82" i="8"/>
  <c r="M77" i="10" l="1"/>
  <c r="M80" i="8"/>
  <c r="K79" i="10"/>
  <c r="L78" i="10"/>
  <c r="K82" i="8"/>
  <c r="L81" i="8"/>
  <c r="G79" i="10"/>
  <c r="H78" i="10"/>
  <c r="I78" i="10" s="1"/>
  <c r="N78" i="10"/>
  <c r="D81" i="10"/>
  <c r="F80" i="10"/>
  <c r="J80" i="10" s="1"/>
  <c r="E80" i="10"/>
  <c r="D84" i="8"/>
  <c r="F83" i="8"/>
  <c r="J83" i="8" s="1"/>
  <c r="E83" i="8"/>
  <c r="G82" i="8"/>
  <c r="H81" i="8"/>
  <c r="I81" i="8" s="1"/>
  <c r="N81" i="8"/>
  <c r="M78" i="10" l="1"/>
  <c r="D85" i="8"/>
  <c r="F84" i="8"/>
  <c r="J84" i="8" s="1"/>
  <c r="E84" i="8"/>
  <c r="G80" i="10"/>
  <c r="H79" i="10"/>
  <c r="I79" i="10" s="1"/>
  <c r="N79" i="10"/>
  <c r="M81" i="8"/>
  <c r="K83" i="8"/>
  <c r="L82" i="8"/>
  <c r="G83" i="8"/>
  <c r="H82" i="8"/>
  <c r="I82" i="8" s="1"/>
  <c r="N82" i="8"/>
  <c r="D82" i="10"/>
  <c r="F81" i="10"/>
  <c r="J81" i="10" s="1"/>
  <c r="E81" i="10"/>
  <c r="K80" i="10"/>
  <c r="L79" i="10"/>
  <c r="M82" i="8" l="1"/>
  <c r="M79" i="10"/>
  <c r="G84" i="8"/>
  <c r="H83" i="8"/>
  <c r="I83" i="8" s="1"/>
  <c r="N83" i="8"/>
  <c r="F82" i="10"/>
  <c r="J82" i="10" s="1"/>
  <c r="D83" i="10"/>
  <c r="E82" i="10"/>
  <c r="K84" i="8"/>
  <c r="L83" i="8"/>
  <c r="K81" i="10"/>
  <c r="L80" i="10"/>
  <c r="F85" i="8"/>
  <c r="J85" i="8" s="1"/>
  <c r="D86" i="8"/>
  <c r="E85" i="8"/>
  <c r="G81" i="10"/>
  <c r="H80" i="10"/>
  <c r="I80" i="10" s="1"/>
  <c r="N80" i="10"/>
  <c r="M83" i="8" l="1"/>
  <c r="K85" i="8"/>
  <c r="L84" i="8"/>
  <c r="D87" i="8"/>
  <c r="F86" i="8"/>
  <c r="J86" i="8" s="1"/>
  <c r="E86" i="8"/>
  <c r="M80" i="10"/>
  <c r="G85" i="8"/>
  <c r="H84" i="8"/>
  <c r="I84" i="8" s="1"/>
  <c r="N84" i="8"/>
  <c r="D84" i="10"/>
  <c r="F83" i="10"/>
  <c r="J83" i="10" s="1"/>
  <c r="E83" i="10"/>
  <c r="G82" i="10"/>
  <c r="H81" i="10"/>
  <c r="I81" i="10" s="1"/>
  <c r="N81" i="10"/>
  <c r="K82" i="10"/>
  <c r="L81" i="10"/>
  <c r="M84" i="8" l="1"/>
  <c r="D85" i="10"/>
  <c r="F84" i="10"/>
  <c r="J84" i="10" s="1"/>
  <c r="E84" i="10"/>
  <c r="K83" i="10"/>
  <c r="L82" i="10"/>
  <c r="D88" i="8"/>
  <c r="F87" i="8"/>
  <c r="J87" i="8" s="1"/>
  <c r="E87" i="8"/>
  <c r="K86" i="8"/>
  <c r="L85" i="8"/>
  <c r="G83" i="10"/>
  <c r="H82" i="10"/>
  <c r="I82" i="10" s="1"/>
  <c r="N82" i="10"/>
  <c r="G86" i="8"/>
  <c r="H85" i="8"/>
  <c r="I85" i="8" s="1"/>
  <c r="N85" i="8"/>
  <c r="M81" i="10"/>
  <c r="M85" i="8" l="1"/>
  <c r="D89" i="8"/>
  <c r="F88" i="8"/>
  <c r="J88" i="8" s="1"/>
  <c r="E88" i="8"/>
  <c r="K87" i="8"/>
  <c r="L86" i="8"/>
  <c r="G87" i="8"/>
  <c r="H86" i="8"/>
  <c r="I86" i="8" s="1"/>
  <c r="N86" i="8"/>
  <c r="D86" i="10"/>
  <c r="F85" i="10"/>
  <c r="J85" i="10" s="1"/>
  <c r="E85" i="10"/>
  <c r="K84" i="10"/>
  <c r="L83" i="10"/>
  <c r="G84" i="10"/>
  <c r="H83" i="10"/>
  <c r="I83" i="10" s="1"/>
  <c r="N83" i="10"/>
  <c r="M82" i="10"/>
  <c r="M86" i="8" l="1"/>
  <c r="G88" i="8"/>
  <c r="H87" i="8"/>
  <c r="I87" i="8" s="1"/>
  <c r="N87" i="8"/>
  <c r="G85" i="10"/>
  <c r="H84" i="10"/>
  <c r="I84" i="10" s="1"/>
  <c r="N84" i="10"/>
  <c r="K85" i="10"/>
  <c r="L84" i="10"/>
  <c r="M83" i="10"/>
  <c r="K88" i="8"/>
  <c r="L87" i="8"/>
  <c r="M87" i="8" s="1"/>
  <c r="D87" i="10"/>
  <c r="F86" i="10"/>
  <c r="J86" i="10" s="1"/>
  <c r="E86" i="10"/>
  <c r="D90" i="8"/>
  <c r="F89" i="8"/>
  <c r="J89" i="8" s="1"/>
  <c r="E89" i="8"/>
  <c r="M84" i="10" l="1"/>
  <c r="D91" i="8"/>
  <c r="F90" i="8"/>
  <c r="J90" i="8" s="1"/>
  <c r="E90" i="8"/>
  <c r="G86" i="10"/>
  <c r="H85" i="10"/>
  <c r="I85" i="10" s="1"/>
  <c r="N85" i="10"/>
  <c r="K89" i="8"/>
  <c r="L88" i="8"/>
  <c r="K86" i="10"/>
  <c r="L85" i="10"/>
  <c r="F87" i="10"/>
  <c r="J87" i="10" s="1"/>
  <c r="D88" i="10"/>
  <c r="E87" i="10"/>
  <c r="G89" i="8"/>
  <c r="H88" i="8"/>
  <c r="I88" i="8" s="1"/>
  <c r="N88" i="8"/>
  <c r="M85" i="10" l="1"/>
  <c r="G90" i="8"/>
  <c r="H89" i="8"/>
  <c r="I89" i="8" s="1"/>
  <c r="N89" i="8"/>
  <c r="K87" i="10"/>
  <c r="L86" i="10"/>
  <c r="M88" i="8"/>
  <c r="K90" i="8"/>
  <c r="L89" i="8"/>
  <c r="D92" i="8"/>
  <c r="F91" i="8"/>
  <c r="J91" i="8" s="1"/>
  <c r="E91" i="8"/>
  <c r="D89" i="10"/>
  <c r="F88" i="10"/>
  <c r="J88" i="10" s="1"/>
  <c r="E88" i="10"/>
  <c r="G87" i="10"/>
  <c r="H86" i="10"/>
  <c r="I86" i="10" s="1"/>
  <c r="N86" i="10"/>
  <c r="M89" i="8" l="1"/>
  <c r="D93" i="8"/>
  <c r="F92" i="8"/>
  <c r="J92" i="8" s="1"/>
  <c r="E92" i="8"/>
  <c r="K91" i="8"/>
  <c r="L90" i="8"/>
  <c r="D90" i="10"/>
  <c r="F89" i="10"/>
  <c r="J89" i="10" s="1"/>
  <c r="E89" i="10"/>
  <c r="G88" i="10"/>
  <c r="H87" i="10"/>
  <c r="I87" i="10" s="1"/>
  <c r="N87" i="10"/>
  <c r="M86" i="10"/>
  <c r="K88" i="10"/>
  <c r="L87" i="10"/>
  <c r="G91" i="8"/>
  <c r="H90" i="8"/>
  <c r="I90" i="8" s="1"/>
  <c r="N90" i="8"/>
  <c r="M87" i="10" l="1"/>
  <c r="K89" i="10"/>
  <c r="L88" i="10"/>
  <c r="G89" i="10"/>
  <c r="H88" i="10"/>
  <c r="I88" i="10" s="1"/>
  <c r="N88" i="10"/>
  <c r="G92" i="8"/>
  <c r="H91" i="8"/>
  <c r="I91" i="8" s="1"/>
  <c r="N91" i="8"/>
  <c r="F90" i="10"/>
  <c r="J90" i="10" s="1"/>
  <c r="D91" i="10"/>
  <c r="E90" i="10"/>
  <c r="M90" i="8"/>
  <c r="K92" i="8"/>
  <c r="L91" i="8"/>
  <c r="F93" i="8"/>
  <c r="J93" i="8" s="1"/>
  <c r="D94" i="8"/>
  <c r="E93" i="8"/>
  <c r="M88" i="10" l="1"/>
  <c r="D92" i="10"/>
  <c r="F91" i="10"/>
  <c r="J91" i="10" s="1"/>
  <c r="E91" i="10"/>
  <c r="D95" i="8"/>
  <c r="F94" i="8"/>
  <c r="J94" i="8" s="1"/>
  <c r="E94" i="8"/>
  <c r="M91" i="8"/>
  <c r="G90" i="10"/>
  <c r="H89" i="10"/>
  <c r="I89" i="10" s="1"/>
  <c r="N89" i="10"/>
  <c r="K93" i="8"/>
  <c r="L92" i="8"/>
  <c r="G93" i="8"/>
  <c r="H92" i="8"/>
  <c r="I92" i="8" s="1"/>
  <c r="N92" i="8"/>
  <c r="K90" i="10"/>
  <c r="L89" i="10"/>
  <c r="M89" i="10" l="1"/>
  <c r="K91" i="10"/>
  <c r="L90" i="10"/>
  <c r="G91" i="10"/>
  <c r="H90" i="10"/>
  <c r="I90" i="10" s="1"/>
  <c r="N90" i="10"/>
  <c r="D93" i="10"/>
  <c r="F92" i="10"/>
  <c r="J92" i="10" s="1"/>
  <c r="E92" i="10"/>
  <c r="G94" i="8"/>
  <c r="H93" i="8"/>
  <c r="I93" i="8" s="1"/>
  <c r="N93" i="8"/>
  <c r="M92" i="8"/>
  <c r="D96" i="8"/>
  <c r="F95" i="8"/>
  <c r="J95" i="8" s="1"/>
  <c r="E95" i="8"/>
  <c r="K94" i="8"/>
  <c r="L93" i="8"/>
  <c r="D97" i="8" l="1"/>
  <c r="D98" i="8" s="1"/>
  <c r="E96" i="8"/>
  <c r="M93" i="8"/>
  <c r="M90" i="10"/>
  <c r="D94" i="10"/>
  <c r="F93" i="10"/>
  <c r="J93" i="10" s="1"/>
  <c r="E93" i="10"/>
  <c r="G92" i="10"/>
  <c r="H91" i="10"/>
  <c r="I91" i="10" s="1"/>
  <c r="N91" i="10"/>
  <c r="G95" i="8"/>
  <c r="H94" i="8"/>
  <c r="I94" i="8" s="1"/>
  <c r="N94" i="8"/>
  <c r="K95" i="8"/>
  <c r="L94" i="8"/>
  <c r="K92" i="10"/>
  <c r="L91" i="10"/>
  <c r="E98" i="8" l="1"/>
  <c r="D99" i="8"/>
  <c r="M91" i="10"/>
  <c r="D95" i="10"/>
  <c r="F94" i="10"/>
  <c r="J94" i="10" s="1"/>
  <c r="E94" i="10"/>
  <c r="K93" i="10"/>
  <c r="L92" i="10"/>
  <c r="G96" i="8"/>
  <c r="H95" i="8"/>
  <c r="I95" i="8" s="1"/>
  <c r="N95" i="8"/>
  <c r="E97" i="8"/>
  <c r="M94" i="8"/>
  <c r="G93" i="10"/>
  <c r="H92" i="10"/>
  <c r="I92" i="10" s="1"/>
  <c r="N92" i="10"/>
  <c r="K96" i="8"/>
  <c r="L95" i="8"/>
  <c r="D100" i="8" l="1"/>
  <c r="E99" i="8"/>
  <c r="M95" i="8"/>
  <c r="M92" i="10"/>
  <c r="K94" i="10"/>
  <c r="L93" i="10"/>
  <c r="K97" i="8"/>
  <c r="L96" i="8"/>
  <c r="G94" i="10"/>
  <c r="H93" i="10"/>
  <c r="I93" i="10" s="1"/>
  <c r="N93" i="10"/>
  <c r="G97" i="8"/>
  <c r="G98" i="8" s="1"/>
  <c r="H96" i="8"/>
  <c r="I96" i="8" s="1"/>
  <c r="N96" i="8"/>
  <c r="F95" i="10"/>
  <c r="J95" i="10" s="1"/>
  <c r="D96" i="10"/>
  <c r="D97" i="10" s="1"/>
  <c r="E95" i="10"/>
  <c r="D98" i="10" l="1"/>
  <c r="E97" i="10"/>
  <c r="G99" i="8"/>
  <c r="H98" i="8"/>
  <c r="I98" i="8" s="1"/>
  <c r="D101" i="8"/>
  <c r="E100" i="8"/>
  <c r="L97" i="8"/>
  <c r="K98" i="8"/>
  <c r="N98" i="8" s="1"/>
  <c r="M96" i="8"/>
  <c r="E96" i="10"/>
  <c r="G95" i="10"/>
  <c r="H94" i="10"/>
  <c r="I94" i="10" s="1"/>
  <c r="N94" i="10"/>
  <c r="H97" i="8"/>
  <c r="I97" i="8" s="1"/>
  <c r="N97" i="8"/>
  <c r="M93" i="10"/>
  <c r="K95" i="10"/>
  <c r="L94" i="10"/>
  <c r="M97" i="8" l="1"/>
  <c r="E98" i="10"/>
  <c r="D99" i="10"/>
  <c r="D102" i="8"/>
  <c r="E101" i="8"/>
  <c r="G100" i="8"/>
  <c r="H99" i="8"/>
  <c r="I99" i="8" s="1"/>
  <c r="L98" i="8"/>
  <c r="M98" i="8" s="1"/>
  <c r="K99" i="8"/>
  <c r="N99" i="8" s="1"/>
  <c r="G96" i="10"/>
  <c r="G97" i="10" s="1"/>
  <c r="H95" i="10"/>
  <c r="I95" i="10" s="1"/>
  <c r="N95" i="10"/>
  <c r="M94" i="10"/>
  <c r="K96" i="10"/>
  <c r="K97" i="10" s="1"/>
  <c r="L95" i="10"/>
  <c r="H97" i="10" l="1"/>
  <c r="I97" i="10" s="1"/>
  <c r="G98" i="10"/>
  <c r="N97" i="10"/>
  <c r="D100" i="10"/>
  <c r="E99" i="10"/>
  <c r="K98" i="10"/>
  <c r="L97" i="10"/>
  <c r="M95" i="10"/>
  <c r="G101" i="8"/>
  <c r="H100" i="8"/>
  <c r="I100" i="8" s="1"/>
  <c r="D103" i="8"/>
  <c r="E102" i="8"/>
  <c r="L99" i="8"/>
  <c r="M99" i="8" s="1"/>
  <c r="K100" i="8"/>
  <c r="N100" i="8" s="1"/>
  <c r="L96" i="10"/>
  <c r="H96" i="10"/>
  <c r="I96" i="10" s="1"/>
  <c r="N96" i="10"/>
  <c r="M97" i="10" l="1"/>
  <c r="D101" i="10"/>
  <c r="E100" i="10"/>
  <c r="K99" i="10"/>
  <c r="L98" i="10"/>
  <c r="G99" i="10"/>
  <c r="H98" i="10"/>
  <c r="I98" i="10" s="1"/>
  <c r="N98" i="10"/>
  <c r="E103" i="8"/>
  <c r="D104" i="8"/>
  <c r="G102" i="8"/>
  <c r="H101" i="8"/>
  <c r="I101" i="8" s="1"/>
  <c r="K101" i="8"/>
  <c r="N101" i="8" s="1"/>
  <c r="L100" i="8"/>
  <c r="M100" i="8" s="1"/>
  <c r="M96" i="10"/>
  <c r="M98" i="10" l="1"/>
  <c r="G100" i="10"/>
  <c r="H99" i="10"/>
  <c r="I99" i="10" s="1"/>
  <c r="N99" i="10"/>
  <c r="K100" i="10"/>
  <c r="L99" i="10"/>
  <c r="D102" i="10"/>
  <c r="E101" i="10"/>
  <c r="G103" i="8"/>
  <c r="H102" i="8"/>
  <c r="I102" i="8" s="1"/>
  <c r="D105" i="8"/>
  <c r="E104" i="8"/>
  <c r="K102" i="8"/>
  <c r="L101" i="8"/>
  <c r="M101" i="8" s="1"/>
  <c r="C6" i="4"/>
  <c r="E5" i="4"/>
  <c r="E4" i="4"/>
  <c r="M99" i="10" l="1"/>
  <c r="E6" i="4"/>
  <c r="C30" i="3" s="1"/>
  <c r="C31" i="3"/>
  <c r="D103" i="10"/>
  <c r="E102" i="10"/>
  <c r="K101" i="10"/>
  <c r="L100" i="10"/>
  <c r="G101" i="10"/>
  <c r="H100" i="10"/>
  <c r="I100" i="10" s="1"/>
  <c r="N100" i="10"/>
  <c r="D106" i="8"/>
  <c r="E105" i="8"/>
  <c r="K103" i="8"/>
  <c r="L102" i="8"/>
  <c r="M102" i="8" s="1"/>
  <c r="N102" i="8"/>
  <c r="H103" i="8"/>
  <c r="I103" i="8" s="1"/>
  <c r="G104" i="8"/>
  <c r="D26" i="13"/>
  <c r="J27" i="13"/>
  <c r="J26" i="13"/>
  <c r="K26" i="13" s="1"/>
  <c r="M100" i="10" l="1"/>
  <c r="G102" i="10"/>
  <c r="H101" i="10"/>
  <c r="I101" i="10" s="1"/>
  <c r="N101" i="10"/>
  <c r="K102" i="10"/>
  <c r="L101" i="10"/>
  <c r="D104" i="10"/>
  <c r="E103" i="10"/>
  <c r="E106" i="8"/>
  <c r="D107" i="8"/>
  <c r="L103" i="8"/>
  <c r="M103" i="8" s="1"/>
  <c r="K104" i="8"/>
  <c r="N103" i="8"/>
  <c r="G105" i="8"/>
  <c r="H104" i="8"/>
  <c r="I104" i="8" s="1"/>
  <c r="L26" i="13"/>
  <c r="N26" i="13"/>
  <c r="E26" i="13"/>
  <c r="I26" i="13" s="1"/>
  <c r="K27" i="13"/>
  <c r="J28" i="13"/>
  <c r="D27" i="13"/>
  <c r="O27" i="13" l="1"/>
  <c r="D105" i="10"/>
  <c r="E104" i="10"/>
  <c r="M101" i="10"/>
  <c r="K103" i="10"/>
  <c r="L102" i="10"/>
  <c r="G103" i="10"/>
  <c r="H102" i="10"/>
  <c r="I102" i="10" s="1"/>
  <c r="N102" i="10"/>
  <c r="H105" i="8"/>
  <c r="I105" i="8" s="1"/>
  <c r="G106" i="8"/>
  <c r="K105" i="8"/>
  <c r="N105" i="8" s="1"/>
  <c r="L104" i="8"/>
  <c r="M104" i="8" s="1"/>
  <c r="E107" i="8"/>
  <c r="N104" i="8"/>
  <c r="M26" i="13"/>
  <c r="L27" i="13"/>
  <c r="N27" i="13"/>
  <c r="K28" i="13"/>
  <c r="E27" i="13"/>
  <c r="I27" i="13" s="1"/>
  <c r="D28" i="13"/>
  <c r="E28" i="13" s="1"/>
  <c r="I28" i="13" s="1"/>
  <c r="J29" i="13"/>
  <c r="K29" i="13" l="1"/>
  <c r="O28" i="13"/>
  <c r="N103" i="10"/>
  <c r="G104" i="10"/>
  <c r="H103" i="10"/>
  <c r="I103" i="10" s="1"/>
  <c r="K104" i="10"/>
  <c r="L103" i="10"/>
  <c r="M102" i="10"/>
  <c r="D106" i="10"/>
  <c r="E105" i="10"/>
  <c r="K106" i="8"/>
  <c r="N106" i="8" s="1"/>
  <c r="L105" i="8"/>
  <c r="M105" i="8" s="1"/>
  <c r="G107" i="8"/>
  <c r="H106" i="8"/>
  <c r="I106" i="8" s="1"/>
  <c r="M27" i="13"/>
  <c r="L28" i="13"/>
  <c r="M28" i="13" s="1"/>
  <c r="N28" i="13"/>
  <c r="L29" i="13"/>
  <c r="J30" i="13"/>
  <c r="K30" i="13" s="1"/>
  <c r="D29" i="13"/>
  <c r="E29" i="13" s="1"/>
  <c r="I29" i="13" s="1"/>
  <c r="O29" i="13" l="1"/>
  <c r="E106" i="10"/>
  <c r="D107" i="10"/>
  <c r="K105" i="10"/>
  <c r="L104" i="10"/>
  <c r="G105" i="10"/>
  <c r="H104" i="10"/>
  <c r="I104" i="10" s="1"/>
  <c r="N104" i="10"/>
  <c r="M103" i="10"/>
  <c r="H107" i="8"/>
  <c r="I107" i="8" s="1"/>
  <c r="L106" i="8"/>
  <c r="M106" i="8" s="1"/>
  <c r="K107" i="8"/>
  <c r="L107" i="8" s="1"/>
  <c r="N29" i="13"/>
  <c r="M29" i="13"/>
  <c r="L30" i="13"/>
  <c r="D30" i="13"/>
  <c r="E30" i="13" s="1"/>
  <c r="I30" i="13" s="1"/>
  <c r="J31" i="13"/>
  <c r="K31" i="13" s="1"/>
  <c r="M104" i="10" l="1"/>
  <c r="O30" i="13"/>
  <c r="H105" i="10"/>
  <c r="I105" i="10" s="1"/>
  <c r="G106" i="10"/>
  <c r="N105" i="10"/>
  <c r="L105" i="10"/>
  <c r="K106" i="10"/>
  <c r="E107" i="10"/>
  <c r="N107" i="8"/>
  <c r="M107" i="8"/>
  <c r="M30" i="13"/>
  <c r="N30" i="13"/>
  <c r="L31" i="13"/>
  <c r="J32" i="13"/>
  <c r="K32" i="13" s="1"/>
  <c r="D31" i="13"/>
  <c r="E31" i="13" s="1"/>
  <c r="I31" i="13" s="1"/>
  <c r="O31" i="13" l="1"/>
  <c r="K107" i="10"/>
  <c r="L107" i="10" s="1"/>
  <c r="L106" i="10"/>
  <c r="H106" i="10"/>
  <c r="I106" i="10" s="1"/>
  <c r="G107" i="10"/>
  <c r="N106" i="10"/>
  <c r="M105" i="10"/>
  <c r="N31" i="13"/>
  <c r="M31" i="13"/>
  <c r="L32" i="13"/>
  <c r="D32" i="13"/>
  <c r="E32" i="13" s="1"/>
  <c r="I32" i="13" s="1"/>
  <c r="J33" i="13"/>
  <c r="K33" i="13" s="1"/>
  <c r="O32" i="13" l="1"/>
  <c r="H107" i="10"/>
  <c r="I107" i="10" s="1"/>
  <c r="M107" i="10" s="1"/>
  <c r="N107" i="10"/>
  <c r="M106" i="10"/>
  <c r="N32" i="13"/>
  <c r="M32" i="13"/>
  <c r="L33" i="13"/>
  <c r="J34" i="13"/>
  <c r="K34" i="13" s="1"/>
  <c r="D33" i="13"/>
  <c r="E33" i="13" s="1"/>
  <c r="I33" i="13" s="1"/>
  <c r="O33" i="13" l="1"/>
  <c r="N33" i="13"/>
  <c r="M33" i="13"/>
  <c r="L34" i="13"/>
  <c r="D34" i="13"/>
  <c r="E34" i="13" s="1"/>
  <c r="I34" i="13" s="1"/>
  <c r="J35" i="13"/>
  <c r="K35" i="13" s="1"/>
  <c r="O34" i="13" l="1"/>
  <c r="N34" i="13"/>
  <c r="M34" i="13"/>
  <c r="L35" i="13"/>
  <c r="J36" i="13"/>
  <c r="K36" i="13" s="1"/>
  <c r="D35" i="13"/>
  <c r="E35" i="13" s="1"/>
  <c r="I35" i="13" s="1"/>
  <c r="O35" i="13" l="1"/>
  <c r="N35" i="13"/>
  <c r="M35" i="13"/>
  <c r="L36" i="13"/>
  <c r="D36" i="13"/>
  <c r="E36" i="13" s="1"/>
  <c r="I36" i="13" s="1"/>
  <c r="J37" i="13"/>
  <c r="K37" i="13" s="1"/>
  <c r="J38" i="13"/>
  <c r="O36" i="13" l="1"/>
  <c r="N36" i="13"/>
  <c r="M36" i="13"/>
  <c r="L37" i="13"/>
  <c r="K38" i="13"/>
  <c r="D37" i="13"/>
  <c r="E37" i="13" s="1"/>
  <c r="I37" i="13" s="1"/>
  <c r="O37" i="13" l="1"/>
  <c r="M37" i="13"/>
  <c r="D38" i="13"/>
  <c r="E38" i="13" s="1"/>
  <c r="N37" i="13"/>
  <c r="K39" i="13"/>
  <c r="L38" i="13"/>
  <c r="O38" i="13" l="1"/>
  <c r="K40" i="13"/>
  <c r="L39" i="13"/>
  <c r="N38" i="13"/>
  <c r="D39" i="13"/>
  <c r="E39" i="13" s="1"/>
  <c r="I38" i="13"/>
  <c r="M38" i="13" s="1"/>
  <c r="O39" i="13" l="1"/>
  <c r="N39" i="13"/>
  <c r="D40" i="13"/>
  <c r="O40" i="13" s="1"/>
  <c r="I39" i="13"/>
  <c r="M39" i="13" s="1"/>
  <c r="K41" i="13"/>
  <c r="L40" i="13"/>
  <c r="K42" i="13" l="1"/>
  <c r="L41" i="13"/>
  <c r="D41" i="13"/>
  <c r="O41" i="13" s="1"/>
  <c r="N40" i="13"/>
  <c r="E40" i="13"/>
  <c r="I40" i="13" s="1"/>
  <c r="M40" i="13" s="1"/>
  <c r="N41" i="13" l="1"/>
  <c r="D42" i="13"/>
  <c r="O42" i="13" s="1"/>
  <c r="E41" i="13"/>
  <c r="I41" i="13" s="1"/>
  <c r="M41" i="13" s="1"/>
  <c r="K43" i="13"/>
  <c r="L42" i="13"/>
  <c r="K44" i="13" l="1"/>
  <c r="L43" i="13"/>
  <c r="N42" i="13"/>
  <c r="D43" i="13"/>
  <c r="O43" i="13" s="1"/>
  <c r="E42" i="13"/>
  <c r="I42" i="13" s="1"/>
  <c r="M42" i="13" s="1"/>
  <c r="D44" i="13" l="1"/>
  <c r="O44" i="13" s="1"/>
  <c r="N43" i="13"/>
  <c r="E43" i="13"/>
  <c r="I43" i="13" s="1"/>
  <c r="M43" i="13" s="1"/>
  <c r="K45" i="13"/>
  <c r="L44" i="13"/>
  <c r="K46" i="13" l="1"/>
  <c r="L45" i="13"/>
  <c r="N44" i="13"/>
  <c r="D45" i="13"/>
  <c r="O45" i="13" s="1"/>
  <c r="E44" i="13"/>
  <c r="I44" i="13" s="1"/>
  <c r="M44" i="13" s="1"/>
  <c r="N45" i="13" l="1"/>
  <c r="D46" i="13"/>
  <c r="O46" i="13" s="1"/>
  <c r="E45" i="13"/>
  <c r="I45" i="13" s="1"/>
  <c r="M45" i="13" s="1"/>
  <c r="K47" i="13"/>
  <c r="L46" i="13"/>
  <c r="L47" i="13" l="1"/>
  <c r="N46" i="13"/>
  <c r="D47" i="13"/>
  <c r="O47" i="13" s="1"/>
  <c r="E46" i="13"/>
  <c r="I46" i="13" s="1"/>
  <c r="M46" i="13" s="1"/>
  <c r="N47" i="13" l="1"/>
  <c r="D48" i="13"/>
  <c r="E48" i="13" s="1"/>
  <c r="E47" i="13"/>
  <c r="I47" i="13" s="1"/>
  <c r="M47" i="13" s="1"/>
  <c r="D49" i="13" l="1"/>
  <c r="F48" i="13"/>
  <c r="J48" i="13" l="1"/>
  <c r="K48" i="13" s="1"/>
  <c r="G48" i="13"/>
  <c r="F49" i="13"/>
  <c r="J49" i="13" s="1"/>
  <c r="D50" i="13"/>
  <c r="E49" i="13"/>
  <c r="O48" i="13" l="1"/>
  <c r="F50" i="13"/>
  <c r="D51" i="13"/>
  <c r="E50" i="13"/>
  <c r="G49" i="13"/>
  <c r="H48" i="13"/>
  <c r="I48" i="13" s="1"/>
  <c r="N48" i="13"/>
  <c r="K49" i="13"/>
  <c r="L48" i="13"/>
  <c r="O49" i="13" l="1"/>
  <c r="M48" i="13"/>
  <c r="G50" i="13"/>
  <c r="H49" i="13"/>
  <c r="N49" i="13"/>
  <c r="D52" i="13"/>
  <c r="F51" i="13"/>
  <c r="J51" i="13" s="1"/>
  <c r="E51" i="13"/>
  <c r="J50" i="13"/>
  <c r="K50" i="13" s="1"/>
  <c r="L49" i="13"/>
  <c r="O50" i="13" l="1"/>
  <c r="K51" i="13"/>
  <c r="L50" i="13"/>
  <c r="F52" i="13"/>
  <c r="D53" i="13"/>
  <c r="E52" i="13"/>
  <c r="I49" i="13"/>
  <c r="M49" i="13" s="1"/>
  <c r="H50" i="13"/>
  <c r="I50" i="13" s="1"/>
  <c r="G51" i="13"/>
  <c r="N50" i="13"/>
  <c r="O51" i="13" l="1"/>
  <c r="J52" i="13"/>
  <c r="M50" i="13"/>
  <c r="K52" i="13"/>
  <c r="L51" i="13"/>
  <c r="H51" i="13"/>
  <c r="I51" i="13" s="1"/>
  <c r="G52" i="13"/>
  <c r="N51" i="13"/>
  <c r="F53" i="13"/>
  <c r="J53" i="13" s="1"/>
  <c r="D54" i="13"/>
  <c r="E53" i="13"/>
  <c r="O52" i="13" l="1"/>
  <c r="F54" i="13"/>
  <c r="D55" i="13"/>
  <c r="E54" i="13"/>
  <c r="H52" i="13"/>
  <c r="I52" i="13" s="1"/>
  <c r="G53" i="13"/>
  <c r="N52" i="13"/>
  <c r="M51" i="13"/>
  <c r="K53" i="13"/>
  <c r="L52" i="13"/>
  <c r="O53" i="13" l="1"/>
  <c r="M52" i="13"/>
  <c r="L53" i="13"/>
  <c r="F55" i="13"/>
  <c r="J55" i="13" s="1"/>
  <c r="D56" i="13"/>
  <c r="E55" i="13"/>
  <c r="J54" i="13"/>
  <c r="K54" i="13" s="1"/>
  <c r="H53" i="13"/>
  <c r="I53" i="13" s="1"/>
  <c r="G54" i="13"/>
  <c r="N53" i="13"/>
  <c r="O54" i="13" l="1"/>
  <c r="H54" i="13"/>
  <c r="I54" i="13" s="1"/>
  <c r="G55" i="13"/>
  <c r="N54" i="13"/>
  <c r="M53" i="13"/>
  <c r="K55" i="13"/>
  <c r="O55" i="13" s="1"/>
  <c r="L54" i="13"/>
  <c r="F56" i="13"/>
  <c r="J56" i="13" s="1"/>
  <c r="D57" i="13"/>
  <c r="E56" i="13"/>
  <c r="M54" i="13" l="1"/>
  <c r="H55" i="13"/>
  <c r="I55" i="13" s="1"/>
  <c r="G56" i="13"/>
  <c r="N55" i="13"/>
  <c r="F57" i="13"/>
  <c r="J57" i="13" s="1"/>
  <c r="D58" i="13"/>
  <c r="E57" i="13"/>
  <c r="K56" i="13"/>
  <c r="O56" i="13" s="1"/>
  <c r="L55" i="13"/>
  <c r="M55" i="13" l="1"/>
  <c r="K57" i="13"/>
  <c r="L56" i="13"/>
  <c r="G57" i="13"/>
  <c r="H56" i="13"/>
  <c r="I56" i="13" s="1"/>
  <c r="N56" i="13"/>
  <c r="F58" i="13"/>
  <c r="J58" i="13" s="1"/>
  <c r="D59" i="13"/>
  <c r="E58" i="13"/>
  <c r="O57" i="13" l="1"/>
  <c r="M56" i="13"/>
  <c r="G58" i="13"/>
  <c r="H57" i="13"/>
  <c r="I57" i="13" s="1"/>
  <c r="N57" i="13"/>
  <c r="D60" i="13"/>
  <c r="F59" i="13"/>
  <c r="E59" i="13"/>
  <c r="C21" i="3" s="1"/>
  <c r="F21" i="3" s="1"/>
  <c r="K58" i="13"/>
  <c r="L57" i="13"/>
  <c r="O58" i="13" l="1"/>
  <c r="J59" i="13"/>
  <c r="K59" i="13" s="1"/>
  <c r="F110" i="13"/>
  <c r="M57" i="13"/>
  <c r="H58" i="13"/>
  <c r="I58" i="13" s="1"/>
  <c r="G59" i="13"/>
  <c r="N58" i="13"/>
  <c r="F60" i="13"/>
  <c r="J60" i="13" s="1"/>
  <c r="D61" i="13"/>
  <c r="E60" i="13"/>
  <c r="L58" i="13"/>
  <c r="O59" i="13" l="1"/>
  <c r="D5" i="22"/>
  <c r="D8" i="22" s="1"/>
  <c r="M58" i="13"/>
  <c r="K60" i="13"/>
  <c r="L59" i="13"/>
  <c r="C25" i="3" s="1"/>
  <c r="F25" i="3" s="1"/>
  <c r="D62" i="13"/>
  <c r="F61" i="13"/>
  <c r="E61" i="13"/>
  <c r="G60" i="13"/>
  <c r="H59" i="13"/>
  <c r="N59" i="13"/>
  <c r="D10" i="22" l="1"/>
  <c r="G8" i="28"/>
  <c r="O60" i="13"/>
  <c r="I59" i="13"/>
  <c r="M59" i="13" s="1"/>
  <c r="E5" i="22" s="1"/>
  <c r="C23" i="3"/>
  <c r="F23" i="3" s="1"/>
  <c r="J61" i="13"/>
  <c r="K61" i="13" s="1"/>
  <c r="F62" i="13"/>
  <c r="D63" i="13"/>
  <c r="E62" i="13"/>
  <c r="L60" i="13"/>
  <c r="G61" i="13"/>
  <c r="H60" i="13"/>
  <c r="I60" i="13" s="1"/>
  <c r="N60" i="13"/>
  <c r="C38" i="3" l="1"/>
  <c r="F38" i="3" s="1"/>
  <c r="G10" i="28"/>
  <c r="O61" i="13"/>
  <c r="E13" i="22"/>
  <c r="E8" i="22"/>
  <c r="H8" i="28" s="1"/>
  <c r="G62" i="13"/>
  <c r="H61" i="13"/>
  <c r="N61" i="13"/>
  <c r="F63" i="13"/>
  <c r="J63" i="13" s="1"/>
  <c r="D64" i="13"/>
  <c r="E63" i="13"/>
  <c r="J62" i="13"/>
  <c r="K62" i="13" s="1"/>
  <c r="M60" i="13"/>
  <c r="L61" i="13"/>
  <c r="E15" i="22" l="1"/>
  <c r="H15" i="28" s="1"/>
  <c r="H13" i="28"/>
  <c r="O62" i="13"/>
  <c r="F26" i="3"/>
  <c r="K63" i="13"/>
  <c r="L62" i="13"/>
  <c r="D65" i="13"/>
  <c r="F64" i="13"/>
  <c r="J64" i="13" s="1"/>
  <c r="E64" i="13"/>
  <c r="I61" i="13"/>
  <c r="M61" i="13" s="1"/>
  <c r="G63" i="13"/>
  <c r="H62" i="13"/>
  <c r="I62" i="13" s="1"/>
  <c r="N62" i="13"/>
  <c r="O63" i="13" l="1"/>
  <c r="M62" i="13"/>
  <c r="G64" i="13"/>
  <c r="H63" i="13"/>
  <c r="I63" i="13" s="1"/>
  <c r="N63" i="13"/>
  <c r="F65" i="13"/>
  <c r="J65" i="13" s="1"/>
  <c r="D66" i="13"/>
  <c r="E65" i="13"/>
  <c r="K64" i="13"/>
  <c r="L63" i="13"/>
  <c r="C39" i="3" l="1"/>
  <c r="F39" i="3" s="1"/>
  <c r="F28" i="3"/>
  <c r="C33" i="3"/>
  <c r="O64" i="13"/>
  <c r="M63" i="13"/>
  <c r="F66" i="13"/>
  <c r="J66" i="13" s="1"/>
  <c r="D67" i="13"/>
  <c r="E66" i="13"/>
  <c r="K65" i="13"/>
  <c r="L64" i="13"/>
  <c r="G65" i="13"/>
  <c r="H64" i="13"/>
  <c r="I64" i="13" s="1"/>
  <c r="N64" i="13"/>
  <c r="C40" i="3" l="1"/>
  <c r="F40" i="3" s="1"/>
  <c r="F33" i="3"/>
  <c r="O65" i="13"/>
  <c r="K66" i="13"/>
  <c r="L65" i="13"/>
  <c r="D68" i="13"/>
  <c r="F67" i="13"/>
  <c r="E67" i="13"/>
  <c r="G66" i="13"/>
  <c r="H65" i="13"/>
  <c r="I65" i="13" s="1"/>
  <c r="N65" i="13"/>
  <c r="M64" i="13"/>
  <c r="C43" i="3" l="1"/>
  <c r="F43" i="3" s="1"/>
  <c r="O66" i="13"/>
  <c r="F68" i="13"/>
  <c r="J68" i="13" s="1"/>
  <c r="D69" i="13"/>
  <c r="E68" i="13"/>
  <c r="J67" i="13"/>
  <c r="K67" i="13" s="1"/>
  <c r="M65" i="13"/>
  <c r="G67" i="13"/>
  <c r="H66" i="13"/>
  <c r="I66" i="13" s="1"/>
  <c r="N66" i="13"/>
  <c r="L66" i="13"/>
  <c r="O67" i="13" l="1"/>
  <c r="M66" i="13"/>
  <c r="K68" i="13"/>
  <c r="L67" i="13"/>
  <c r="G68" i="13"/>
  <c r="H67" i="13"/>
  <c r="I67" i="13" s="1"/>
  <c r="N67" i="13"/>
  <c r="D70" i="13"/>
  <c r="F69" i="13"/>
  <c r="J69" i="13" s="1"/>
  <c r="E69" i="13"/>
  <c r="O68" i="13" l="1"/>
  <c r="G69" i="13"/>
  <c r="H68" i="13"/>
  <c r="I68" i="13" s="1"/>
  <c r="N68" i="13"/>
  <c r="M67" i="13"/>
  <c r="F70" i="13"/>
  <c r="J70" i="13" s="1"/>
  <c r="D71" i="13"/>
  <c r="E70" i="13"/>
  <c r="K69" i="13"/>
  <c r="L68" i="13"/>
  <c r="O69" i="13" l="1"/>
  <c r="M68" i="13"/>
  <c r="K70" i="13"/>
  <c r="L69" i="13"/>
  <c r="F71" i="13"/>
  <c r="J71" i="13" s="1"/>
  <c r="D72" i="13"/>
  <c r="E71" i="13"/>
  <c r="G70" i="13"/>
  <c r="H69" i="13"/>
  <c r="I69" i="13" s="1"/>
  <c r="N69" i="13"/>
  <c r="O70" i="13" l="1"/>
  <c r="G71" i="13"/>
  <c r="H70" i="13"/>
  <c r="I70" i="13" s="1"/>
  <c r="N70" i="13"/>
  <c r="D73" i="13"/>
  <c r="F72" i="13"/>
  <c r="J72" i="13" s="1"/>
  <c r="E72" i="13"/>
  <c r="M69" i="13"/>
  <c r="K71" i="13"/>
  <c r="L70" i="13"/>
  <c r="O71" i="13" l="1"/>
  <c r="M70" i="13"/>
  <c r="D74" i="13"/>
  <c r="F73" i="13"/>
  <c r="E73" i="13"/>
  <c r="K72" i="13"/>
  <c r="L71" i="13"/>
  <c r="G72" i="13"/>
  <c r="H71" i="13"/>
  <c r="I71" i="13" s="1"/>
  <c r="N71" i="13"/>
  <c r="O72" i="13" l="1"/>
  <c r="M71" i="13"/>
  <c r="L72" i="13"/>
  <c r="J73" i="13"/>
  <c r="K73" i="13" s="1"/>
  <c r="G73" i="13"/>
  <c r="H72" i="13"/>
  <c r="I72" i="13" s="1"/>
  <c r="N72" i="13"/>
  <c r="F74" i="13"/>
  <c r="J74" i="13" s="1"/>
  <c r="D75" i="13"/>
  <c r="E74" i="13"/>
  <c r="O73" i="13" l="1"/>
  <c r="M72" i="13"/>
  <c r="K74" i="13"/>
  <c r="L73" i="13"/>
  <c r="D76" i="13"/>
  <c r="F75" i="13"/>
  <c r="J75" i="13" s="1"/>
  <c r="E75" i="13"/>
  <c r="G74" i="13"/>
  <c r="H73" i="13"/>
  <c r="N73" i="13"/>
  <c r="O74" i="13" l="1"/>
  <c r="I73" i="13"/>
  <c r="M73" i="13" s="1"/>
  <c r="G75" i="13"/>
  <c r="H74" i="13"/>
  <c r="I74" i="13" s="1"/>
  <c r="N74" i="13"/>
  <c r="K75" i="13"/>
  <c r="O75" i="13" s="1"/>
  <c r="L74" i="13"/>
  <c r="D77" i="13"/>
  <c r="F76" i="13"/>
  <c r="J76" i="13" s="1"/>
  <c r="E76" i="13"/>
  <c r="M74" i="13" l="1"/>
  <c r="K76" i="13"/>
  <c r="L75" i="13"/>
  <c r="G76" i="13"/>
  <c r="H75" i="13"/>
  <c r="I75" i="13" s="1"/>
  <c r="N75" i="13"/>
  <c r="F77" i="13"/>
  <c r="J77" i="13" s="1"/>
  <c r="D78" i="13"/>
  <c r="E77" i="13"/>
  <c r="O76" i="13" l="1"/>
  <c r="F78" i="13"/>
  <c r="J78" i="13" s="1"/>
  <c r="D79" i="13"/>
  <c r="E78" i="13"/>
  <c r="G77" i="13"/>
  <c r="H76" i="13"/>
  <c r="I76" i="13" s="1"/>
  <c r="N76" i="13"/>
  <c r="K77" i="13"/>
  <c r="O77" i="13" s="1"/>
  <c r="L76" i="13"/>
  <c r="M75" i="13"/>
  <c r="M76" i="13" l="1"/>
  <c r="F79" i="13"/>
  <c r="J79" i="13" s="1"/>
  <c r="D80" i="13"/>
  <c r="E79" i="13"/>
  <c r="K78" i="13"/>
  <c r="L77" i="13"/>
  <c r="G78" i="13"/>
  <c r="H77" i="13"/>
  <c r="I77" i="13" s="1"/>
  <c r="N77" i="13"/>
  <c r="O78" i="13" l="1"/>
  <c r="K79" i="13"/>
  <c r="L78" i="13"/>
  <c r="D81" i="13"/>
  <c r="F80" i="13"/>
  <c r="J80" i="13" s="1"/>
  <c r="E80" i="13"/>
  <c r="G79" i="13"/>
  <c r="H78" i="13"/>
  <c r="I78" i="13" s="1"/>
  <c r="N78" i="13"/>
  <c r="M77" i="13"/>
  <c r="O79" i="13" l="1"/>
  <c r="D82" i="13"/>
  <c r="F81" i="13"/>
  <c r="J81" i="13" s="1"/>
  <c r="E81" i="13"/>
  <c r="G80" i="13"/>
  <c r="H79" i="13"/>
  <c r="I79" i="13" s="1"/>
  <c r="N79" i="13"/>
  <c r="M78" i="13"/>
  <c r="K80" i="13"/>
  <c r="L79" i="13"/>
  <c r="O80" i="13" l="1"/>
  <c r="M79" i="13"/>
  <c r="G81" i="13"/>
  <c r="H80" i="13"/>
  <c r="I80" i="13" s="1"/>
  <c r="N80" i="13"/>
  <c r="K81" i="13"/>
  <c r="O81" i="13" s="1"/>
  <c r="L80" i="13"/>
  <c r="D83" i="13"/>
  <c r="F82" i="13"/>
  <c r="J82" i="13" s="1"/>
  <c r="E82" i="13"/>
  <c r="M80" i="13" l="1"/>
  <c r="K82" i="13"/>
  <c r="L81" i="13"/>
  <c r="F83" i="13"/>
  <c r="J83" i="13" s="1"/>
  <c r="D84" i="13"/>
  <c r="E83" i="13"/>
  <c r="G82" i="13"/>
  <c r="H81" i="13"/>
  <c r="I81" i="13" s="1"/>
  <c r="N81" i="13"/>
  <c r="O82" i="13" l="1"/>
  <c r="F84" i="13"/>
  <c r="J84" i="13" s="1"/>
  <c r="D85" i="13"/>
  <c r="E84" i="13"/>
  <c r="M81" i="13"/>
  <c r="G83" i="13"/>
  <c r="H82" i="13"/>
  <c r="I82" i="13" s="1"/>
  <c r="N82" i="13"/>
  <c r="K83" i="13"/>
  <c r="L82" i="13"/>
  <c r="O83" i="13" l="1"/>
  <c r="M82" i="13"/>
  <c r="F85" i="13"/>
  <c r="J85" i="13" s="1"/>
  <c r="D86" i="13"/>
  <c r="E85" i="13"/>
  <c r="G84" i="13"/>
  <c r="H83" i="13"/>
  <c r="I83" i="13" s="1"/>
  <c r="N83" i="13"/>
  <c r="K84" i="13"/>
  <c r="L83" i="13"/>
  <c r="O84" i="13" l="1"/>
  <c r="M83" i="13"/>
  <c r="G85" i="13"/>
  <c r="H84" i="13"/>
  <c r="I84" i="13" s="1"/>
  <c r="N84" i="13"/>
  <c r="K85" i="13"/>
  <c r="O85" i="13" s="1"/>
  <c r="L84" i="13"/>
  <c r="F86" i="13"/>
  <c r="J86" i="13" s="1"/>
  <c r="D87" i="13"/>
  <c r="E86" i="13"/>
  <c r="M84" i="13" l="1"/>
  <c r="F87" i="13"/>
  <c r="J87" i="13" s="1"/>
  <c r="D88" i="13"/>
  <c r="E87" i="13"/>
  <c r="K86" i="13"/>
  <c r="L85" i="13"/>
  <c r="G86" i="13"/>
  <c r="H85" i="13"/>
  <c r="I85" i="13" s="1"/>
  <c r="N85" i="13"/>
  <c r="O86" i="13" l="1"/>
  <c r="M85" i="13"/>
  <c r="K87" i="13"/>
  <c r="L86" i="13"/>
  <c r="D89" i="13"/>
  <c r="F88" i="13"/>
  <c r="J88" i="13" s="1"/>
  <c r="E88" i="13"/>
  <c r="G87" i="13"/>
  <c r="H86" i="13"/>
  <c r="I86" i="13" s="1"/>
  <c r="N86" i="13"/>
  <c r="O87" i="13" l="1"/>
  <c r="M86" i="13"/>
  <c r="G88" i="13"/>
  <c r="H87" i="13"/>
  <c r="I87" i="13" s="1"/>
  <c r="N87" i="13"/>
  <c r="F89" i="13"/>
  <c r="J89" i="13" s="1"/>
  <c r="D90" i="13"/>
  <c r="E89" i="13"/>
  <c r="K88" i="13"/>
  <c r="L87" i="13"/>
  <c r="O88" i="13" l="1"/>
  <c r="M87" i="13"/>
  <c r="F90" i="13"/>
  <c r="J90" i="13" s="1"/>
  <c r="D91" i="13"/>
  <c r="E90" i="13"/>
  <c r="K89" i="13"/>
  <c r="L88" i="13"/>
  <c r="G89" i="13"/>
  <c r="H88" i="13"/>
  <c r="I88" i="13" s="1"/>
  <c r="N88" i="13"/>
  <c r="O89" i="13" l="1"/>
  <c r="M88" i="13"/>
  <c r="G90" i="13"/>
  <c r="H89" i="13"/>
  <c r="I89" i="13" s="1"/>
  <c r="N89" i="13"/>
  <c r="K90" i="13"/>
  <c r="O90" i="13" s="1"/>
  <c r="L89" i="13"/>
  <c r="F91" i="13"/>
  <c r="J91" i="13" s="1"/>
  <c r="D92" i="13"/>
  <c r="E91" i="13"/>
  <c r="M89" i="13" l="1"/>
  <c r="F92" i="13"/>
  <c r="J92" i="13" s="1"/>
  <c r="D93" i="13"/>
  <c r="E92" i="13"/>
  <c r="K91" i="13"/>
  <c r="L90" i="13"/>
  <c r="G91" i="13"/>
  <c r="H90" i="13"/>
  <c r="I90" i="13" s="1"/>
  <c r="N90" i="13"/>
  <c r="O91" i="13" l="1"/>
  <c r="M90" i="13"/>
  <c r="G92" i="13"/>
  <c r="H91" i="13"/>
  <c r="I91" i="13" s="1"/>
  <c r="N91" i="13"/>
  <c r="K92" i="13"/>
  <c r="O92" i="13" s="1"/>
  <c r="L91" i="13"/>
  <c r="F93" i="13"/>
  <c r="J93" i="13" s="1"/>
  <c r="D94" i="13"/>
  <c r="E93" i="13"/>
  <c r="M91" i="13" l="1"/>
  <c r="F94" i="13"/>
  <c r="J94" i="13" s="1"/>
  <c r="D95" i="13"/>
  <c r="E94" i="13"/>
  <c r="K93" i="13"/>
  <c r="L92" i="13"/>
  <c r="G93" i="13"/>
  <c r="H92" i="13"/>
  <c r="I92" i="13" s="1"/>
  <c r="N92" i="13"/>
  <c r="O93" i="13" l="1"/>
  <c r="D96" i="13"/>
  <c r="M92" i="13"/>
  <c r="K94" i="13"/>
  <c r="L93" i="13"/>
  <c r="G94" i="13"/>
  <c r="H93" i="13"/>
  <c r="I93" i="13" s="1"/>
  <c r="N93" i="13"/>
  <c r="F95" i="13"/>
  <c r="J95" i="13" s="1"/>
  <c r="E95" i="13"/>
  <c r="O94" i="13" l="1"/>
  <c r="E96" i="13"/>
  <c r="D97" i="13"/>
  <c r="G95" i="13"/>
  <c r="G96" i="13" s="1"/>
  <c r="H94" i="13"/>
  <c r="I94" i="13" s="1"/>
  <c r="N94" i="13"/>
  <c r="M93" i="13"/>
  <c r="K95" i="13"/>
  <c r="K96" i="13" s="1"/>
  <c r="L94" i="13"/>
  <c r="M94" i="13" l="1"/>
  <c r="G97" i="13"/>
  <c r="H96" i="13"/>
  <c r="I96" i="13" s="1"/>
  <c r="N96" i="13"/>
  <c r="D98" i="13"/>
  <c r="E97" i="13"/>
  <c r="K97" i="13"/>
  <c r="L96" i="13"/>
  <c r="L95" i="13"/>
  <c r="H95" i="13"/>
  <c r="I95" i="13" s="1"/>
  <c r="N95" i="13"/>
  <c r="K98" i="13" l="1"/>
  <c r="L97" i="13"/>
  <c r="N97" i="13"/>
  <c r="D99" i="13"/>
  <c r="E98" i="13"/>
  <c r="G98" i="13"/>
  <c r="H97" i="13"/>
  <c r="I97" i="13" s="1"/>
  <c r="M96" i="13"/>
  <c r="M95" i="13"/>
  <c r="G99" i="13" l="1"/>
  <c r="H98" i="13"/>
  <c r="I98" i="13" s="1"/>
  <c r="N98" i="13"/>
  <c r="D100" i="13"/>
  <c r="E99" i="13"/>
  <c r="M97" i="13"/>
  <c r="L98" i="13"/>
  <c r="K99" i="13"/>
  <c r="N99" i="13" s="1"/>
  <c r="D101" i="13" l="1"/>
  <c r="E100" i="13"/>
  <c r="M98" i="13"/>
  <c r="L99" i="13"/>
  <c r="K100" i="13"/>
  <c r="H99" i="13"/>
  <c r="I99" i="13" s="1"/>
  <c r="G100" i="13"/>
  <c r="K101" i="13" l="1"/>
  <c r="L100" i="13"/>
  <c r="M99" i="13"/>
  <c r="N100" i="13"/>
  <c r="D102" i="13"/>
  <c r="E101" i="13"/>
  <c r="G101" i="13"/>
  <c r="N101" i="13" s="1"/>
  <c r="H100" i="13"/>
  <c r="I100" i="13" s="1"/>
  <c r="M100" i="13" s="1"/>
  <c r="D103" i="13" l="1"/>
  <c r="E102" i="13"/>
  <c r="G102" i="13"/>
  <c r="H101" i="13"/>
  <c r="I101" i="13" s="1"/>
  <c r="K102" i="13"/>
  <c r="L101" i="13"/>
  <c r="M101" i="13" l="1"/>
  <c r="K103" i="13"/>
  <c r="L102" i="13"/>
  <c r="G103" i="13"/>
  <c r="H102" i="13"/>
  <c r="I102" i="13" s="1"/>
  <c r="M102" i="13" s="1"/>
  <c r="N102" i="13"/>
  <c r="D104" i="13"/>
  <c r="N103" i="13"/>
  <c r="E103" i="13"/>
  <c r="D105" i="13" l="1"/>
  <c r="E104" i="13"/>
  <c r="G104" i="13"/>
  <c r="H103" i="13"/>
  <c r="I103" i="13" s="1"/>
  <c r="K104" i="13"/>
  <c r="L103" i="13"/>
  <c r="M103" i="13" l="1"/>
  <c r="K105" i="13"/>
  <c r="L104" i="13"/>
  <c r="G105" i="13"/>
  <c r="H104" i="13"/>
  <c r="I104" i="13" s="1"/>
  <c r="M104" i="13" s="1"/>
  <c r="N104" i="13"/>
  <c r="D106" i="13"/>
  <c r="N105" i="13"/>
  <c r="E105" i="13"/>
  <c r="D107" i="13" l="1"/>
  <c r="E106" i="13"/>
  <c r="G106" i="13"/>
  <c r="H105" i="13"/>
  <c r="I105" i="13" s="1"/>
  <c r="K106" i="13"/>
  <c r="L105" i="13"/>
  <c r="M105" i="13" l="1"/>
  <c r="K107" i="13"/>
  <c r="L107" i="13" s="1"/>
  <c r="L106" i="13"/>
  <c r="G107" i="13"/>
  <c r="H107" i="13" s="1"/>
  <c r="H106" i="13"/>
  <c r="I106" i="13" s="1"/>
  <c r="M106" i="13" s="1"/>
  <c r="N106" i="13"/>
  <c r="N107" i="13"/>
  <c r="E107" i="13"/>
  <c r="I107" i="13" l="1"/>
  <c r="M107" i="13" s="1"/>
</calcChain>
</file>

<file path=xl/sharedStrings.xml><?xml version="1.0" encoding="utf-8"?>
<sst xmlns="http://schemas.openxmlformats.org/spreadsheetml/2006/main" count="757" uniqueCount="234">
  <si>
    <t>W_K.99999.03.33.01 - TLNG Supervision &amp; Support for PSE</t>
  </si>
  <si>
    <t>W_K.99999.03.33.17 - TLNG Power Costs for PSE</t>
  </si>
  <si>
    <t>W_K.99999.03.33.18 - TLNG Insurance for PSE</t>
  </si>
  <si>
    <t>W_K.99999.03.33.02 - TLNG Liquefaction System for PSE</t>
  </si>
  <si>
    <t>W_K.99999.03.33.03 - TLNG LNG Storage System for PSE</t>
  </si>
  <si>
    <t>W_K.99999.03.33.04 - TLNG Truck Loading System for PSE</t>
  </si>
  <si>
    <t>W_K.99999.03.33.06 - TLNG Pre-Treatment System for PSE</t>
  </si>
  <si>
    <t>W_K.99999.03.33.07 - TLNG Plant Utilities System for PSE</t>
  </si>
  <si>
    <t>W_K.99999.03.33.08 - TLNG Fuel System for PSE</t>
  </si>
  <si>
    <t>W_K.99999.03.33.09 - TLNG General Consumables for PSE</t>
  </si>
  <si>
    <t>W_K.99999.03.33.10 - TLNG Outside Util and HouseKeeping PSE</t>
  </si>
  <si>
    <t>W_K.99999.03.33.11 - TLNG Compliance for PSE</t>
  </si>
  <si>
    <t>W_K.99999.03.33.12 - TLNG Balance of Plant for PSE</t>
  </si>
  <si>
    <t>W_K.99999.03.33.13 - TLNG Control System for PSE</t>
  </si>
  <si>
    <t>W_K.99999.03.33.14 - TLNG Mgmt Fee and Incentive for PSE</t>
  </si>
  <si>
    <t>Item</t>
  </si>
  <si>
    <t>Operating and maintenance expenses (O&amp;M)</t>
  </si>
  <si>
    <t>Depreciation expense</t>
  </si>
  <si>
    <t>Conversion Factor</t>
  </si>
  <si>
    <t>weight</t>
  </si>
  <si>
    <t>cost</t>
  </si>
  <si>
    <t>Total</t>
  </si>
  <si>
    <t>debt</t>
  </si>
  <si>
    <t>equity</t>
  </si>
  <si>
    <t>PUGET SOUND ENERGY - GAS</t>
  </si>
  <si>
    <t>GAS RESULTS OF OPERATIONS</t>
  </si>
  <si>
    <t>12 MONTHS ENDED JUNE 30, 2021</t>
  </si>
  <si>
    <t>CONVERSION FACTOR</t>
  </si>
  <si>
    <t>LINE</t>
  </si>
  <si>
    <t>NO.</t>
  </si>
  <si>
    <t>DESCRIPTION</t>
  </si>
  <si>
    <t>BAD DEBTS</t>
  </si>
  <si>
    <t>ANNUAL FILING FEE</t>
  </si>
  <si>
    <t>STATE UTILITY TAX ( 3.8358% - ( LINE 1 * 3.8358% )  )</t>
  </si>
  <si>
    <t>SUM OF TAXES OTHER</t>
  </si>
  <si>
    <t>CONVERSION FACTOR EXCLUDING FEDERAL INCOME TAX ( 1 - LINE 17 )</t>
  </si>
  <si>
    <t>FIT</t>
  </si>
  <si>
    <t xml:space="preserve">CONVERSION FACTOR INCL FEDERAL INCOME TAX ( LINE 18 - LINE 19 ) </t>
  </si>
  <si>
    <t>Net deferral rate base</t>
  </si>
  <si>
    <t>Total rate base</t>
  </si>
  <si>
    <t>Total before revenue sensitive fees and taxes</t>
  </si>
  <si>
    <t>AMA</t>
  </si>
  <si>
    <t>Total revenue requirement</t>
  </si>
  <si>
    <t>Puget Sound Energy</t>
  </si>
  <si>
    <t>LNG Deferred Depreciation</t>
  </si>
  <si>
    <t>Amortization starts January 1, 2023 and ends December 31, 2026 (48 months)</t>
  </si>
  <si>
    <t>Actual Deferral</t>
  </si>
  <si>
    <t xml:space="preserve">Monthly </t>
  </si>
  <si>
    <t>Balance</t>
  </si>
  <si>
    <t>AMA Gross</t>
  </si>
  <si>
    <t>Monthly</t>
  </si>
  <si>
    <t>Accumulated</t>
  </si>
  <si>
    <t>AMA Accum.</t>
  </si>
  <si>
    <t>Accum DFIT</t>
  </si>
  <si>
    <t>AMA net of</t>
  </si>
  <si>
    <t>Month/</t>
  </si>
  <si>
    <t>Activity</t>
  </si>
  <si>
    <t>Amortization</t>
  </si>
  <si>
    <t>Net</t>
  </si>
  <si>
    <t>DFIT</t>
  </si>
  <si>
    <t>net of</t>
  </si>
  <si>
    <t>Period</t>
  </si>
  <si>
    <t xml:space="preserve">(a) </t>
  </si>
  <si>
    <t>(b)</t>
  </si>
  <si>
    <t xml:space="preserve">(c) </t>
  </si>
  <si>
    <t xml:space="preserve">(d) = (b) / </t>
  </si>
  <si>
    <t>(e) = prior mo - (d)</t>
  </si>
  <si>
    <t>(f)</t>
  </si>
  <si>
    <t>(g) = (c) + (f)</t>
  </si>
  <si>
    <t>(h) = (-(a) * 21%)</t>
  </si>
  <si>
    <t xml:space="preserve"> (i) = prior mo - (h) </t>
  </si>
  <si>
    <t>(j)</t>
  </si>
  <si>
    <t>(k) = (g) + (j)</t>
  </si>
  <si>
    <t>AA &amp; ADFIT</t>
  </si>
  <si>
    <t>48mos.(4yrs.)</t>
  </si>
  <si>
    <t>+ ((d) * 21%)</t>
  </si>
  <si>
    <t>Beginning</t>
  </si>
  <si>
    <t>Plant</t>
  </si>
  <si>
    <t>LNG Deferred Return</t>
  </si>
  <si>
    <t>Description</t>
  </si>
  <si>
    <t>Plant Balance</t>
  </si>
  <si>
    <t>Accumulated Depreciation</t>
  </si>
  <si>
    <t>Date</t>
  </si>
  <si>
    <t>Depreciable Plant Balance</t>
  </si>
  <si>
    <t>Depreciation Expense</t>
  </si>
  <si>
    <t>Net Book Value</t>
  </si>
  <si>
    <t>NBV Diff</t>
  </si>
  <si>
    <t>ADFIT</t>
  </si>
  <si>
    <t>Tax</t>
  </si>
  <si>
    <t>Book</t>
  </si>
  <si>
    <t>Tax (c) = (a)</t>
  </si>
  <si>
    <t xml:space="preserve">Book  </t>
  </si>
  <si>
    <t>Book &gt; Tax</t>
  </si>
  <si>
    <t>= - curr mos</t>
  </si>
  <si>
    <t>x Tax Table</t>
  </si>
  <si>
    <t>(e) = prior</t>
  </si>
  <si>
    <t>(f) = prior</t>
  </si>
  <si>
    <t>(j) + prior</t>
  </si>
  <si>
    <t>(a)</t>
  </si>
  <si>
    <t>mos- (c)</t>
  </si>
  <si>
    <t>mos - (d)</t>
  </si>
  <si>
    <t>(g) = (a) + (e)</t>
  </si>
  <si>
    <t>(h) = (b) + (f)</t>
  </si>
  <si>
    <t>(i) = (h) - (g)</t>
  </si>
  <si>
    <t>mos (j)</t>
  </si>
  <si>
    <t>Current Forecast</t>
  </si>
  <si>
    <t>W_K.99999.03.33.05 - TLNG Vaporization for PSE</t>
  </si>
  <si>
    <t>W_K.99999.03.33.15 - TLNG Supplemental Projects for PSE</t>
  </si>
  <si>
    <t>W_K.99999.03.33.16 - TLNG Lease for PSE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</si>
  <si>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</si>
  <si>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</si>
  <si>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</si>
  <si>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</si>
  <si>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</si>
  <si>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</si>
  <si>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</si>
  <si>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</si>
  <si>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</si>
  <si>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</si>
  <si>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</si>
  <si>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</si>
  <si>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</si>
  <si>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</si>
  <si>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</si>
  <si>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</si>
  <si>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</si>
  <si>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</si>
  <si>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</si>
  <si>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Attachment A to LNG Accounting Instructions</t>
  </si>
  <si>
    <t>Book Depr</t>
  </si>
  <si>
    <t>Expense</t>
  </si>
  <si>
    <t>Total Net Plant in Rate Base</t>
  </si>
  <si>
    <t>Rate Base</t>
  </si>
  <si>
    <t>Deferrals</t>
  </si>
  <si>
    <t>O&amp;M</t>
  </si>
  <si>
    <t>Rev Req = First rate year AMA balances as Nov 2023 - Oct 2024</t>
  </si>
  <si>
    <t>Deffered Income Taxes</t>
  </si>
  <si>
    <t>Amortization of deferrals for return, depreciation and O&amp;M</t>
  </si>
  <si>
    <t>Total LNG Depo Amortization Exp. (Nov 2023-Oct-2024</t>
  </si>
  <si>
    <t>Revenue</t>
  </si>
  <si>
    <t>Requirement</t>
  </si>
  <si>
    <t>Approved Rate of Return</t>
  </si>
  <si>
    <t>Approved Weighted Average Cost of Debt</t>
  </si>
  <si>
    <t>Statutory Federal Income Tax Rate</t>
  </si>
  <si>
    <t>Net Operating Income for:</t>
  </si>
  <si>
    <t>Ref #</t>
  </si>
  <si>
    <t>Yr 1</t>
  </si>
  <si>
    <t>Yr 2</t>
  </si>
  <si>
    <t>Yr 3</t>
  </si>
  <si>
    <t>Yr 4</t>
  </si>
  <si>
    <t>Yr 5</t>
  </si>
  <si>
    <t>Accum Amortization on Depreciation Deferral</t>
  </si>
  <si>
    <t>Accum Amortization on O&amp;M Deferral</t>
  </si>
  <si>
    <t>ADFIT on Depreciation Deferral</t>
  </si>
  <si>
    <t>ADFIT on O&amp;M Deferral</t>
  </si>
  <si>
    <t>O&amp;M 12ME Oct 2024</t>
  </si>
  <si>
    <t>FIT Rate</t>
  </si>
  <si>
    <t>NOI</t>
  </si>
  <si>
    <t>Check</t>
  </si>
  <si>
    <t>s/b</t>
  </si>
  <si>
    <t>all</t>
  </si>
  <si>
    <t>From PowerPlant Subsidiary Ledger and Tax Calcs by Depr Group</t>
  </si>
  <si>
    <t>Note: No significant plant additions for Tacoma LNG are forecasted through October 2024.</t>
  </si>
  <si>
    <t>(d)</t>
  </si>
  <si>
    <t>Expense (k)</t>
  </si>
  <si>
    <t>EOP NBV</t>
  </si>
  <si>
    <t>Less ADIT</t>
  </si>
  <si>
    <t>(l) = (h) + (j)</t>
  </si>
  <si>
    <t>Depreciation</t>
  </si>
  <si>
    <t>Return</t>
  </si>
  <si>
    <t>Net Operating Income</t>
  </si>
  <si>
    <t xml:space="preserve">Amortization </t>
  </si>
  <si>
    <t>AMA Balance</t>
  </si>
  <si>
    <t xml:space="preserve"> as of 10/31/2024</t>
  </si>
  <si>
    <t>n/a</t>
  </si>
  <si>
    <t>Not Rate Base</t>
  </si>
  <si>
    <t>Return on rate base</t>
  </si>
  <si>
    <t>Depreciation deferral balances (Account 182.3)</t>
  </si>
  <si>
    <t>O&amp;M deferral balance (Account 182.3)</t>
  </si>
  <si>
    <t>AMA Balances (Oct 2023-Oct 2024)</t>
  </si>
  <si>
    <t>Tacoma LNG O&amp;M Forecast</t>
  </si>
  <si>
    <t>Tax Benefit of Interest (Line 21 x Line 24 x Line 25)</t>
  </si>
  <si>
    <t>2023 SCHEDULE 141LNG FILING</t>
  </si>
  <si>
    <t>Deferral = O&amp;M, Depreciation, and Return for the period Feb 2022 - Oct 2023</t>
  </si>
  <si>
    <t xml:space="preserve">LNG plant, depreciation, taxes - AMA </t>
  </si>
  <si>
    <r>
      <t xml:space="preserve">(Book </t>
    </r>
    <r>
      <rPr>
        <b/>
        <sz val="10"/>
        <rFont val="Calibri"/>
        <family val="2"/>
      </rPr>
      <t>&lt;</t>
    </r>
    <r>
      <rPr>
        <b/>
        <sz val="10"/>
        <rFont val="Arial"/>
        <family val="2"/>
      </rPr>
      <t xml:space="preserve"> Tax)</t>
    </r>
  </si>
  <si>
    <t>Accum Dep</t>
  </si>
  <si>
    <t>O&amp;M Deferral</t>
  </si>
  <si>
    <t>Total LNG O&amp;M Amortization Exp. (Nov 2023-Oct-2024)</t>
  </si>
  <si>
    <t>Total LNG Depo Amortization Exp. (Nov 2023-Oct-2024)</t>
  </si>
  <si>
    <t>Rates from 220066-7 went into effect 1/11/2023</t>
  </si>
  <si>
    <t>TLNG commercial operation Feb 2022</t>
  </si>
  <si>
    <t>Acct petition (210918) filed 11/24/2021</t>
  </si>
  <si>
    <t>Commission approved acct petition (with modifications) 12/22/2022</t>
  </si>
  <si>
    <t>PSE requests 4-year amortization of deferrals</t>
  </si>
  <si>
    <t>Bonney Lake Capacity Limitation:</t>
  </si>
  <si>
    <t>tax depr</t>
  </si>
  <si>
    <t>rate</t>
  </si>
  <si>
    <t>book depr</t>
  </si>
  <si>
    <t>return</t>
  </si>
  <si>
    <t>Used &amp; Useful (Staff)</t>
  </si>
  <si>
    <t>Reduce U&amp;U to 81%</t>
  </si>
  <si>
    <t>Reduce U&amp;U</t>
  </si>
  <si>
    <t>Difference</t>
  </si>
  <si>
    <t>Feb-Dec 2022</t>
  </si>
  <si>
    <t>to 81% for</t>
  </si>
  <si>
    <t>Ret def</t>
  </si>
  <si>
    <t>Remove</t>
  </si>
  <si>
    <t>Ret Def</t>
  </si>
  <si>
    <t>As-Filed</t>
  </si>
  <si>
    <t>(for 2022 only)</t>
  </si>
  <si>
    <t>PLNG</t>
  </si>
  <si>
    <t>PSE</t>
  </si>
  <si>
    <t>PSE proposed allocation</t>
  </si>
  <si>
    <t>Depr. Rate</t>
  </si>
  <si>
    <t>(monthly)</t>
  </si>
  <si>
    <t>(annual)</t>
  </si>
  <si>
    <t>Staff proposed allocation</t>
  </si>
  <si>
    <t>10% due to</t>
  </si>
  <si>
    <t>Gas Quality</t>
  </si>
  <si>
    <t>Revenue Requirement</t>
  </si>
  <si>
    <t xml:space="preserve">Staff </t>
  </si>
  <si>
    <t>Recommended</t>
  </si>
  <si>
    <t>Puget Sound Energy Tacoma Liquefied Natural Gas Tracker</t>
  </si>
  <si>
    <t>Staff Recommended Disallowance of Costs</t>
  </si>
  <si>
    <t>Docket UG-230393</t>
  </si>
  <si>
    <t>Exh. BAE-2</t>
  </si>
  <si>
    <t>Comparison of Staff Recommended Revenue Requirement</t>
  </si>
  <si>
    <t xml:space="preserve">    To PSE's Proposed Revenue Requirement</t>
  </si>
  <si>
    <t>(c)</t>
  </si>
  <si>
    <t>Page 1 of 1</t>
  </si>
  <si>
    <t>Used and Useful %</t>
  </si>
  <si>
    <t>Per PSE</t>
  </si>
  <si>
    <t>BL 81% Used &amp; Useful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</si>
</sst>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0"/>
    <numFmt numFmtId="167" formatCode="[$-409]mmmm\ d\,\ yyyy;@"/>
    <numFmt numFmtId="168" formatCode="0.00000"/>
    <numFmt numFmtId="169" formatCode="0.0000"/>
    <numFmt numFmtId="170" formatCode="_(&quot;$&quot;* #,##0_);_(&quot;$&quot;* \(#,##0\);_(&quot;$&quot;* &quot;-&quot;?_);_(@_)"/>
    <numFmt numFmtId="171" formatCode="_(* #,##0.000000_);_(* \(#,##0.0000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666666"/>
      <name val="Arial"/>
      <family val="2"/>
    </font>
    <font>
      <b/>
      <sz val="11"/>
      <color rgb="FF666666"/>
      <name val="Arial"/>
      <family val="2"/>
    </font>
    <font>
      <b/>
      <sz val="9"/>
      <color rgb="FFFFFFFF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Calibri"/>
      <family val="2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A66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2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0" fontId="2" fillId="0" borderId="0" xfId="0" applyFont="1"/>
    <xf numFmtId="9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10" fontId="0" fillId="0" borderId="1" xfId="2" applyNumberFormat="1" applyFont="1" applyBorder="1"/>
    <xf numFmtId="10" fontId="2" fillId="0" borderId="0" xfId="2" applyNumberFormat="1" applyFont="1"/>
    <xf numFmtId="9" fontId="0" fillId="0" borderId="1" xfId="0" applyNumberFormat="1" applyBorder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6" fontId="3" fillId="0" borderId="0" xfId="0" applyNumberFormat="1" applyFont="1"/>
    <xf numFmtId="166" fontId="3" fillId="0" borderId="1" xfId="0" applyNumberFormat="1" applyFont="1" applyBorder="1"/>
    <xf numFmtId="9" fontId="3" fillId="0" borderId="0" xfId="0" applyNumberFormat="1" applyFont="1"/>
    <xf numFmtId="166" fontId="3" fillId="0" borderId="3" xfId="0" applyNumberFormat="1" applyFont="1" applyBorder="1" applyProtection="1">
      <protection locked="0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Continuous"/>
    </xf>
    <xf numFmtId="14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Continuous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1" xfId="0" applyFont="1" applyBorder="1" applyAlignment="1">
      <alignment horizontal="centerContinuous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/>
    <xf numFmtId="0" fontId="7" fillId="0" borderId="0" xfId="0" applyFont="1" applyAlignment="1">
      <alignment horizontal="right"/>
    </xf>
    <xf numFmtId="6" fontId="7" fillId="0" borderId="0" xfId="0" applyNumberFormat="1" applyFont="1"/>
    <xf numFmtId="6" fontId="7" fillId="0" borderId="0" xfId="0" applyNumberFormat="1" applyFont="1" applyAlignment="1">
      <alignment horizontal="center"/>
    </xf>
    <xf numFmtId="5" fontId="7" fillId="0" borderId="0" xfId="0" applyNumberFormat="1" applyFont="1"/>
    <xf numFmtId="5" fontId="7" fillId="0" borderId="5" xfId="0" applyNumberFormat="1" applyFont="1" applyBorder="1"/>
    <xf numFmtId="0" fontId="7" fillId="0" borderId="8" xfId="0" applyFont="1" applyBorder="1"/>
    <xf numFmtId="17" fontId="7" fillId="0" borderId="0" xfId="0" applyNumberFormat="1" applyFont="1"/>
    <xf numFmtId="38" fontId="7" fillId="0" borderId="0" xfId="0" applyNumberFormat="1" applyFont="1"/>
    <xf numFmtId="165" fontId="7" fillId="0" borderId="0" xfId="0" applyNumberFormat="1" applyFont="1"/>
    <xf numFmtId="165" fontId="7" fillId="0" borderId="8" xfId="0" applyNumberFormat="1" applyFont="1" applyBorder="1"/>
    <xf numFmtId="43" fontId="7" fillId="0" borderId="0" xfId="0" applyNumberFormat="1" applyFont="1"/>
    <xf numFmtId="41" fontId="7" fillId="0" borderId="0" xfId="0" applyNumberFormat="1" applyFont="1"/>
    <xf numFmtId="165" fontId="7" fillId="0" borderId="5" xfId="0" applyNumberFormat="1" applyFont="1" applyBorder="1"/>
    <xf numFmtId="17" fontId="7" fillId="0" borderId="1" xfId="0" applyNumberFormat="1" applyFont="1" applyBorder="1"/>
    <xf numFmtId="0" fontId="7" fillId="0" borderId="1" xfId="0" applyFont="1" applyBorder="1"/>
    <xf numFmtId="165" fontId="7" fillId="0" borderId="1" xfId="0" applyNumberFormat="1" applyFont="1" applyBorder="1"/>
    <xf numFmtId="41" fontId="7" fillId="0" borderId="1" xfId="0" applyNumberFormat="1" applyFont="1" applyBorder="1"/>
    <xf numFmtId="165" fontId="7" fillId="0" borderId="9" xfId="0" applyNumberFormat="1" applyFont="1" applyBorder="1"/>
    <xf numFmtId="43" fontId="7" fillId="0" borderId="1" xfId="0" applyNumberFormat="1" applyFont="1" applyBorder="1"/>
    <xf numFmtId="167" fontId="8" fillId="0" borderId="0" xfId="0" applyNumberFormat="1" applyFont="1" applyAlignment="1">
      <alignment horizontal="right"/>
    </xf>
    <xf numFmtId="40" fontId="7" fillId="0" borderId="0" xfId="0" applyNumberFormat="1" applyFont="1"/>
    <xf numFmtId="49" fontId="0" fillId="0" borderId="0" xfId="0" applyNumberFormat="1"/>
    <xf numFmtId="37" fontId="10" fillId="0" borderId="16" xfId="3" applyNumberFormat="1" applyFont="1" applyFill="1" applyBorder="1" applyAlignment="1" applyProtection="1">
      <alignment vertical="center"/>
      <protection locked="0"/>
    </xf>
    <xf numFmtId="49" fontId="11" fillId="0" borderId="17" xfId="4" applyNumberFormat="1" applyFont="1" applyBorder="1" applyAlignment="1">
      <alignment horizontal="left" indent="1"/>
    </xf>
    <xf numFmtId="49" fontId="12" fillId="2" borderId="18" xfId="0" applyNumberFormat="1" applyFont="1" applyFill="1" applyBorder="1" applyAlignment="1">
      <alignment horizontal="center"/>
    </xf>
    <xf numFmtId="166" fontId="6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 wrapText="1"/>
    </xf>
    <xf numFmtId="43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13" fontId="7" fillId="0" borderId="0" xfId="0" applyNumberFormat="1" applyFont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/>
    </xf>
    <xf numFmtId="166" fontId="6" fillId="0" borderId="19" xfId="0" applyNumberFormat="1" applyFont="1" applyBorder="1" applyAlignment="1">
      <alignment horizontal="center"/>
    </xf>
    <xf numFmtId="166" fontId="6" fillId="0" borderId="22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Continuous" vertical="center"/>
    </xf>
    <xf numFmtId="0" fontId="14" fillId="0" borderId="10" xfId="0" applyFont="1" applyBorder="1" applyAlignment="1">
      <alignment horizontal="right" vertical="center"/>
    </xf>
    <xf numFmtId="10" fontId="15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0" fontId="7" fillId="0" borderId="12" xfId="0" applyFont="1" applyBorder="1"/>
    <xf numFmtId="0" fontId="6" fillId="0" borderId="10" xfId="0" applyFont="1" applyBorder="1" applyAlignment="1">
      <alignment horizontal="center"/>
    </xf>
    <xf numFmtId="9" fontId="6" fillId="0" borderId="11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6" fontId="6" fillId="0" borderId="15" xfId="0" applyNumberFormat="1" applyFont="1" applyBorder="1" applyAlignment="1">
      <alignment horizontal="center"/>
    </xf>
    <xf numFmtId="9" fontId="6" fillId="0" borderId="14" xfId="0" applyNumberFormat="1" applyFont="1" applyBorder="1" applyAlignment="1">
      <alignment horizontal="center"/>
    </xf>
    <xf numFmtId="166" fontId="6" fillId="0" borderId="14" xfId="0" quotePrefix="1" applyNumberFormat="1" applyFont="1" applyBorder="1" applyAlignment="1">
      <alignment horizontal="center"/>
    </xf>
    <xf numFmtId="167" fontId="7" fillId="0" borderId="12" xfId="0" applyNumberFormat="1" applyFont="1" applyBorder="1" applyAlignment="1">
      <alignment horizontal="right"/>
    </xf>
    <xf numFmtId="41" fontId="7" fillId="0" borderId="10" xfId="0" applyNumberFormat="1" applyFont="1" applyBorder="1"/>
    <xf numFmtId="41" fontId="7" fillId="0" borderId="11" xfId="0" applyNumberFormat="1" applyFont="1" applyBorder="1"/>
    <xf numFmtId="41" fontId="7" fillId="0" borderId="10" xfId="0" applyNumberFormat="1" applyFont="1" applyBorder="1" applyAlignment="1">
      <alignment horizontal="center"/>
    </xf>
    <xf numFmtId="41" fontId="7" fillId="0" borderId="11" xfId="0" applyNumberFormat="1" applyFont="1" applyBorder="1" applyAlignment="1">
      <alignment horizontal="left"/>
    </xf>
    <xf numFmtId="41" fontId="7" fillId="0" borderId="12" xfId="0" applyNumberFormat="1" applyFont="1" applyBorder="1"/>
    <xf numFmtId="165" fontId="7" fillId="0" borderId="11" xfId="0" applyNumberFormat="1" applyFont="1" applyBorder="1"/>
    <xf numFmtId="164" fontId="7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/>
    <xf numFmtId="164" fontId="7" fillId="0" borderId="1" xfId="1" applyNumberFormat="1" applyFont="1" applyFill="1" applyBorder="1"/>
    <xf numFmtId="164" fontId="7" fillId="0" borderId="0" xfId="1" applyNumberFormat="1" applyFont="1" applyFill="1" applyBorder="1" applyAlignment="1">
      <alignment horizontal="left" indent="4"/>
    </xf>
    <xf numFmtId="164" fontId="7" fillId="0" borderId="1" xfId="1" applyNumberFormat="1" applyFont="1" applyFill="1" applyBorder="1" applyAlignment="1">
      <alignment horizontal="left" indent="4"/>
    </xf>
    <xf numFmtId="0" fontId="0" fillId="0" borderId="0" xfId="0" applyAlignment="1">
      <alignment wrapText="1"/>
    </xf>
    <xf numFmtId="164" fontId="0" fillId="0" borderId="0" xfId="0" applyNumberFormat="1"/>
    <xf numFmtId="41" fontId="0" fillId="0" borderId="0" xfId="0" applyNumberFormat="1"/>
    <xf numFmtId="164" fontId="7" fillId="0" borderId="0" xfId="0" applyNumberFormat="1" applyFont="1"/>
    <xf numFmtId="0" fontId="16" fillId="0" borderId="0" xfId="0" applyFont="1"/>
    <xf numFmtId="164" fontId="17" fillId="0" borderId="0" xfId="1" applyNumberFormat="1" applyFont="1" applyFill="1" applyBorder="1"/>
    <xf numFmtId="165" fontId="17" fillId="0" borderId="2" xfId="3" applyNumberFormat="1" applyFont="1" applyFill="1" applyBorder="1"/>
    <xf numFmtId="17" fontId="7" fillId="0" borderId="24" xfId="0" applyNumberFormat="1" applyFont="1" applyBorder="1"/>
    <xf numFmtId="38" fontId="7" fillId="0" borderId="24" xfId="0" applyNumberFormat="1" applyFont="1" applyBorder="1"/>
    <xf numFmtId="165" fontId="7" fillId="0" borderId="24" xfId="0" applyNumberFormat="1" applyFont="1" applyBorder="1"/>
    <xf numFmtId="164" fontId="7" fillId="0" borderId="24" xfId="1" applyNumberFormat="1" applyFont="1" applyFill="1" applyBorder="1" applyAlignment="1">
      <alignment horizontal="left" indent="4"/>
    </xf>
    <xf numFmtId="41" fontId="7" fillId="0" borderId="24" xfId="0" applyNumberFormat="1" applyFont="1" applyBorder="1"/>
    <xf numFmtId="165" fontId="7" fillId="0" borderId="23" xfId="0" applyNumberFormat="1" applyFont="1" applyBorder="1"/>
    <xf numFmtId="165" fontId="7" fillId="0" borderId="25" xfId="0" applyNumberFormat="1" applyFont="1" applyBorder="1"/>
    <xf numFmtId="0" fontId="7" fillId="0" borderId="24" xfId="0" applyFont="1" applyBorder="1"/>
    <xf numFmtId="43" fontId="0" fillId="0" borderId="0" xfId="3" applyFont="1"/>
    <xf numFmtId="0" fontId="0" fillId="0" borderId="0" xfId="0" applyAlignment="1">
      <alignment horizontal="right"/>
    </xf>
    <xf numFmtId="164" fontId="0" fillId="0" borderId="3" xfId="0" applyNumberFormat="1" applyBorder="1"/>
    <xf numFmtId="9" fontId="7" fillId="0" borderId="0" xfId="2" applyFont="1" applyFill="1" applyAlignment="1"/>
    <xf numFmtId="9" fontId="7" fillId="0" borderId="0" xfId="0" applyNumberFormat="1" applyFont="1" applyAlignment="1">
      <alignment horizontal="center"/>
    </xf>
    <xf numFmtId="164" fontId="7" fillId="0" borderId="24" xfId="1" applyNumberFormat="1" applyFont="1" applyFill="1" applyBorder="1"/>
    <xf numFmtId="17" fontId="7" fillId="0" borderId="2" xfId="0" applyNumberFormat="1" applyFont="1" applyBorder="1"/>
    <xf numFmtId="165" fontId="7" fillId="0" borderId="2" xfId="0" applyNumberFormat="1" applyFont="1" applyBorder="1"/>
    <xf numFmtId="164" fontId="7" fillId="0" borderId="2" xfId="1" applyNumberFormat="1" applyFont="1" applyFill="1" applyBorder="1"/>
    <xf numFmtId="41" fontId="7" fillId="0" borderId="2" xfId="0" applyNumberFormat="1" applyFont="1" applyBorder="1"/>
    <xf numFmtId="41" fontId="7" fillId="0" borderId="26" xfId="0" applyNumberFormat="1" applyFont="1" applyBorder="1"/>
    <xf numFmtId="41" fontId="7" fillId="0" borderId="22" xfId="0" applyNumberFormat="1" applyFont="1" applyBorder="1"/>
    <xf numFmtId="41" fontId="7" fillId="0" borderId="19" xfId="0" applyNumberFormat="1" applyFont="1" applyBorder="1"/>
    <xf numFmtId="0" fontId="6" fillId="0" borderId="27" xfId="0" applyFont="1" applyBorder="1" applyAlignment="1">
      <alignment horizontal="centerContinuous" vertical="center"/>
    </xf>
    <xf numFmtId="0" fontId="6" fillId="0" borderId="28" xfId="0" applyFont="1" applyBorder="1" applyAlignment="1">
      <alignment horizontal="centerContinuous" vertical="center"/>
    </xf>
    <xf numFmtId="0" fontId="7" fillId="0" borderId="30" xfId="0" applyFont="1" applyBorder="1" applyAlignment="1">
      <alignment horizontal="centerContinuous"/>
    </xf>
    <xf numFmtId="0" fontId="7" fillId="0" borderId="31" xfId="0" applyFont="1" applyBorder="1" applyAlignment="1">
      <alignment horizontal="centerContinuous"/>
    </xf>
    <xf numFmtId="0" fontId="6" fillId="0" borderId="29" xfId="0" applyFont="1" applyBorder="1" applyAlignment="1">
      <alignment horizontal="centerContinuous"/>
    </xf>
    <xf numFmtId="167" fontId="8" fillId="0" borderId="0" xfId="0" applyNumberFormat="1" applyFont="1" applyAlignment="1">
      <alignment horizontal="left"/>
    </xf>
    <xf numFmtId="9" fontId="6" fillId="0" borderId="12" xfId="0" applyNumberFormat="1" applyFont="1" applyBorder="1" applyAlignment="1">
      <alignment horizontal="center"/>
    </xf>
    <xf numFmtId="9" fontId="6" fillId="0" borderId="15" xfId="0" applyNumberFormat="1" applyFont="1" applyBorder="1" applyAlignment="1">
      <alignment horizontal="center"/>
    </xf>
    <xf numFmtId="165" fontId="7" fillId="0" borderId="12" xfId="0" applyNumberFormat="1" applyFont="1" applyBorder="1"/>
    <xf numFmtId="43" fontId="7" fillId="0" borderId="2" xfId="0" applyNumberFormat="1" applyFont="1" applyBorder="1"/>
    <xf numFmtId="43" fontId="7" fillId="0" borderId="24" xfId="0" applyNumberFormat="1" applyFont="1" applyBorder="1"/>
    <xf numFmtId="165" fontId="0" fillId="0" borderId="0" xfId="3" applyNumberFormat="1" applyFont="1"/>
    <xf numFmtId="164" fontId="0" fillId="0" borderId="2" xfId="0" applyNumberFormat="1" applyBorder="1"/>
    <xf numFmtId="9" fontId="0" fillId="0" borderId="0" xfId="2" applyFont="1"/>
    <xf numFmtId="165" fontId="0" fillId="0" borderId="0" xfId="0" applyNumberFormat="1"/>
    <xf numFmtId="37" fontId="0" fillId="0" borderId="0" xfId="0" applyNumberFormat="1"/>
    <xf numFmtId="0" fontId="18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indent="1"/>
    </xf>
    <xf numFmtId="164" fontId="17" fillId="0" borderId="0" xfId="1" applyNumberFormat="1" applyFont="1" applyFill="1"/>
    <xf numFmtId="164" fontId="19" fillId="0" borderId="0" xfId="1" applyNumberFormat="1" applyFont="1" applyFill="1"/>
    <xf numFmtId="164" fontId="19" fillId="0" borderId="0" xfId="0" applyNumberFormat="1" applyFont="1"/>
    <xf numFmtId="165" fontId="17" fillId="0" borderId="0" xfId="3" applyNumberFormat="1" applyFont="1" applyFill="1"/>
    <xf numFmtId="0" fontId="17" fillId="0" borderId="0" xfId="0" applyFont="1" applyAlignment="1">
      <alignment horizontal="left"/>
    </xf>
    <xf numFmtId="10" fontId="17" fillId="0" borderId="0" xfId="2" applyNumberFormat="1" applyFont="1" applyFill="1"/>
    <xf numFmtId="9" fontId="17" fillId="0" borderId="0" xfId="2" applyFont="1" applyFill="1"/>
    <xf numFmtId="164" fontId="17" fillId="0" borderId="2" xfId="1" applyNumberFormat="1" applyFont="1" applyFill="1" applyBorder="1"/>
    <xf numFmtId="166" fontId="17" fillId="0" borderId="0" xfId="1" applyNumberFormat="1" applyFont="1" applyFill="1"/>
    <xf numFmtId="164" fontId="17" fillId="0" borderId="3" xfId="1" applyNumberFormat="1" applyFont="1" applyFill="1" applyBorder="1"/>
    <xf numFmtId="164" fontId="17" fillId="0" borderId="0" xfId="1" applyNumberFormat="1" applyFont="1" applyFill="1" applyAlignment="1">
      <alignment horizontal="right"/>
    </xf>
    <xf numFmtId="42" fontId="17" fillId="0" borderId="0" xfId="0" applyNumberFormat="1" applyFont="1"/>
    <xf numFmtId="0" fontId="13" fillId="0" borderId="0" xfId="0" applyFont="1" applyAlignment="1">
      <alignment horizontal="center"/>
    </xf>
    <xf numFmtId="164" fontId="0" fillId="0" borderId="0" xfId="1" applyNumberFormat="1" applyFont="1" applyFill="1"/>
    <xf numFmtId="165" fontId="6" fillId="0" borderId="0" xfId="0" applyNumberFormat="1" applyFont="1"/>
    <xf numFmtId="164" fontId="17" fillId="0" borderId="0" xfId="1" applyNumberFormat="1" applyFont="1" applyFill="1" applyAlignment="1">
      <alignment horizontal="center"/>
    </xf>
    <xf numFmtId="164" fontId="17" fillId="0" borderId="0" xfId="1" applyNumberFormat="1" applyFont="1" applyFill="1" applyAlignment="1"/>
    <xf numFmtId="164" fontId="17" fillId="0" borderId="2" xfId="1" applyNumberFormat="1" applyFont="1" applyFill="1" applyBorder="1" applyAlignment="1"/>
    <xf numFmtId="165" fontId="17" fillId="0" borderId="0" xfId="3" applyNumberFormat="1" applyFont="1" applyFill="1" applyBorder="1"/>
    <xf numFmtId="164" fontId="17" fillId="0" borderId="0" xfId="1" applyNumberFormat="1" applyFont="1" applyFill="1" applyBorder="1" applyAlignment="1"/>
    <xf numFmtId="167" fontId="8" fillId="0" borderId="12" xfId="0" applyNumberFormat="1" applyFont="1" applyBorder="1" applyAlignment="1">
      <alignment horizontal="right"/>
    </xf>
    <xf numFmtId="167" fontId="8" fillId="0" borderId="19" xfId="0" applyNumberFormat="1" applyFont="1" applyBorder="1" applyAlignment="1">
      <alignment horizontal="right"/>
    </xf>
    <xf numFmtId="167" fontId="8" fillId="0" borderId="32" xfId="0" applyNumberFormat="1" applyFont="1" applyBorder="1" applyAlignment="1">
      <alignment horizontal="right"/>
    </xf>
    <xf numFmtId="41" fontId="7" fillId="0" borderId="29" xfId="0" applyNumberFormat="1" applyFont="1" applyBorder="1"/>
    <xf numFmtId="41" fontId="7" fillId="0" borderId="31" xfId="0" applyNumberFormat="1" applyFont="1" applyBorder="1"/>
    <xf numFmtId="41" fontId="7" fillId="0" borderId="30" xfId="0" applyNumberFormat="1" applyFont="1" applyBorder="1"/>
    <xf numFmtId="41" fontId="7" fillId="0" borderId="32" xfId="0" applyNumberFormat="1" applyFont="1" applyBorder="1"/>
    <xf numFmtId="41" fontId="17" fillId="0" borderId="0" xfId="1" applyNumberFormat="1" applyFont="1" applyFill="1" applyAlignment="1"/>
    <xf numFmtId="41" fontId="17" fillId="0" borderId="0" xfId="1" applyNumberFormat="1" applyFont="1" applyFill="1"/>
    <xf numFmtId="37" fontId="9" fillId="0" borderId="0" xfId="0" applyNumberFormat="1" applyFont="1"/>
    <xf numFmtId="165" fontId="6" fillId="0" borderId="5" xfId="0" applyNumberFormat="1" applyFont="1" applyBorder="1"/>
    <xf numFmtId="165" fontId="7" fillId="0" borderId="0" xfId="3" applyNumberFormat="1" applyFont="1" applyAlignment="1">
      <alignment horizontal="left"/>
    </xf>
    <xf numFmtId="168" fontId="0" fillId="0" borderId="0" xfId="0" applyNumberFormat="1"/>
    <xf numFmtId="169" fontId="0" fillId="4" borderId="32" xfId="0" applyNumberFormat="1" applyFill="1" applyBorder="1" applyAlignment="1">
      <alignment horizontal="center"/>
    </xf>
    <xf numFmtId="41" fontId="7" fillId="4" borderId="10" xfId="0" applyNumberFormat="1" applyFont="1" applyFill="1" applyBorder="1"/>
    <xf numFmtId="41" fontId="7" fillId="3" borderId="10" xfId="0" applyNumberFormat="1" applyFont="1" applyFill="1" applyBorder="1"/>
    <xf numFmtId="0" fontId="21" fillId="0" borderId="0" xfId="0" applyFont="1"/>
    <xf numFmtId="164" fontId="0" fillId="3" borderId="0" xfId="1" applyNumberFormat="1" applyFont="1" applyFill="1"/>
    <xf numFmtId="164" fontId="7" fillId="0" borderId="0" xfId="1" applyNumberFormat="1" applyFont="1" applyAlignment="1">
      <alignment horizontal="left"/>
    </xf>
    <xf numFmtId="38" fontId="7" fillId="4" borderId="0" xfId="0" applyNumberFormat="1" applyFont="1" applyFill="1"/>
    <xf numFmtId="165" fontId="17" fillId="0" borderId="0" xfId="0" applyNumberFormat="1" applyFont="1"/>
    <xf numFmtId="165" fontId="17" fillId="0" borderId="1" xfId="0" applyNumberFormat="1" applyFont="1" applyBorder="1"/>
    <xf numFmtId="41" fontId="7" fillId="5" borderId="10" xfId="0" applyNumberFormat="1" applyFont="1" applyFill="1" applyBorder="1"/>
    <xf numFmtId="0" fontId="0" fillId="0" borderId="1" xfId="0" applyBorder="1"/>
    <xf numFmtId="0" fontId="0" fillId="0" borderId="33" xfId="0" applyBorder="1"/>
    <xf numFmtId="170" fontId="0" fillId="0" borderId="0" xfId="0" applyNumberFormat="1"/>
    <xf numFmtId="171" fontId="7" fillId="0" borderId="0" xfId="0" applyNumberFormat="1" applyFont="1"/>
    <xf numFmtId="41" fontId="7" fillId="6" borderId="10" xfId="0" applyNumberFormat="1" applyFont="1" applyFill="1" applyBorder="1"/>
    <xf numFmtId="41" fontId="7" fillId="4" borderId="35" xfId="0" applyNumberFormat="1" applyFont="1" applyFill="1" applyBorder="1"/>
    <xf numFmtId="41" fontId="7" fillId="6" borderId="35" xfId="0" applyNumberFormat="1" applyFont="1" applyFill="1" applyBorder="1"/>
    <xf numFmtId="41" fontId="7" fillId="6" borderId="34" xfId="0" applyNumberFormat="1" applyFont="1" applyFill="1" applyBorder="1"/>
    <xf numFmtId="41" fontId="7" fillId="4" borderId="29" xfId="0" applyNumberFormat="1" applyFont="1" applyFill="1" applyBorder="1"/>
    <xf numFmtId="41" fontId="7" fillId="6" borderId="29" xfId="0" applyNumberFormat="1" applyFont="1" applyFill="1" applyBorder="1"/>
    <xf numFmtId="41" fontId="7" fillId="6" borderId="32" xfId="0" applyNumberFormat="1" applyFont="1" applyFill="1" applyBorder="1"/>
    <xf numFmtId="164" fontId="0" fillId="0" borderId="36" xfId="1" applyNumberFormat="1" applyFont="1" applyBorder="1"/>
    <xf numFmtId="0" fontId="17" fillId="0" borderId="0" xfId="0" applyFont="1" applyAlignment="1">
      <alignment horizontal="right"/>
    </xf>
    <xf numFmtId="0" fontId="7" fillId="7" borderId="0" xfId="0" applyFont="1" applyFill="1"/>
    <xf numFmtId="0" fontId="17" fillId="7" borderId="0" xfId="0" applyFont="1" applyFill="1"/>
    <xf numFmtId="0" fontId="17" fillId="7" borderId="0" xfId="0" applyFont="1" applyFill="1" applyAlignment="1">
      <alignment horizontal="center"/>
    </xf>
    <xf numFmtId="164" fontId="22" fillId="7" borderId="0" xfId="1" applyNumberFormat="1" applyFont="1" applyFill="1"/>
    <xf numFmtId="164" fontId="22" fillId="7" borderId="0" xfId="0" applyNumberFormat="1" applyFont="1" applyFill="1"/>
    <xf numFmtId="164" fontId="17" fillId="7" borderId="0" xfId="1" applyNumberFormat="1" applyFont="1" applyFill="1"/>
    <xf numFmtId="164" fontId="17" fillId="7" borderId="0" xfId="0" applyNumberFormat="1" applyFont="1" applyFill="1"/>
    <xf numFmtId="10" fontId="17" fillId="7" borderId="0" xfId="2" applyNumberFormat="1" applyFont="1" applyFill="1"/>
    <xf numFmtId="10" fontId="22" fillId="7" borderId="0" xfId="2" applyNumberFormat="1" applyFont="1" applyFill="1"/>
    <xf numFmtId="44" fontId="17" fillId="7" borderId="0" xfId="0" applyNumberFormat="1" applyFont="1" applyFill="1"/>
    <xf numFmtId="166" fontId="17" fillId="7" borderId="0" xfId="1" applyNumberFormat="1" applyFont="1" applyFill="1"/>
    <xf numFmtId="165" fontId="7" fillId="5" borderId="0" xfId="0" applyNumberFormat="1" applyFont="1" applyFill="1"/>
    <xf numFmtId="164" fontId="0" fillId="0" borderId="1" xfId="0" applyNumberFormat="1" applyBorder="1"/>
    <xf numFmtId="165" fontId="0" fillId="0" borderId="1" xfId="3" applyNumberFormat="1" applyFont="1" applyBorder="1"/>
    <xf numFmtId="165" fontId="0" fillId="0" borderId="0" xfId="3" applyNumberFormat="1" applyFont="1" applyBorder="1"/>
    <xf numFmtId="41" fontId="7" fillId="8" borderId="11" xfId="0" applyNumberFormat="1" applyFont="1" applyFill="1" applyBorder="1"/>
    <xf numFmtId="0" fontId="16" fillId="0" borderId="0" xfId="0" applyFont="1" applyAlignment="1">
      <alignment horizontal="center"/>
    </xf>
  </cellXfs>
  <cellStyles count="5">
    <cellStyle name="Comma" xfId="3" builtinId="3"/>
    <cellStyle name="Currency" xfId="1" builtinId="4"/>
    <cellStyle name="Normal" xfId="0" builtinId="0"/>
    <cellStyle name="Normal 5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17</xdr:col>
      <xdr:colOff>189790</xdr:colOff>
      <xdr:row>22</xdr:row>
      <xdr:rowOff>56738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952500"/>
          <a:ext cx="5676190" cy="329523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11</xdr:row>
      <xdr:rowOff>142875</xdr:rowOff>
    </xdr:from>
    <xdr:to>
      <xdr:col>19</xdr:col>
      <xdr:colOff>446777</xdr:colOff>
      <xdr:row>37</xdr:row>
      <xdr:rowOff>85111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0" y="2238375"/>
          <a:ext cx="7180952" cy="491428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.sharepoint.com/REGULATN/PA&amp;D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.sharepoint.com/Documents%20and%20Settings/p70596/Local%20Settings/Temporary%20Internet%20Files/OLK3B/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eweb/office/FINANCIALS/WHITE%20SWAN/2000/JAN_ELECTRONI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.sharepoint.com/REGULATN/PA&amp;D/CASES/Wy0902/EAST%20Blocking%20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tility\Energy%20Rates%20Finance%20and%20Audit\Moya's%20files\Pacificorp%20LT%20debt\PAC%20LT%20Debt%20-%20workin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G22">
            <v>1931963666</v>
          </cell>
        </row>
        <row r="23"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886D7-502C-4AAA-8065-0C8621BA201C}">
  <sheetPr>
    <pageSetUpPr fitToPage="1"/>
  </sheetPr>
  <dimension ref="A2:C12"/>
  <sheetViews>
    <sheetView zoomScale="130" zoomScaleNormal="130" workbookViewId="0">
      <selection activeCell="A10" sqref="A10"/>
    </sheetView>
  </sheetViews>
  <sheetFormatPr defaultRowHeight="15" x14ac:dyDescent="0.25"/>
  <cols>
    <col min="3" max="3" width="11.140625" bestFit="1" customWidth="1"/>
  </cols>
  <sheetData>
    <row r="2" spans="1:3" x14ac:dyDescent="0.25">
      <c r="A2" t="s">
        <v>190</v>
      </c>
    </row>
    <row r="3" spans="1:3" x14ac:dyDescent="0.25">
      <c r="A3" t="s">
        <v>191</v>
      </c>
    </row>
    <row r="4" spans="1:3" x14ac:dyDescent="0.25">
      <c r="A4" t="s">
        <v>192</v>
      </c>
    </row>
    <row r="5" spans="1:3" x14ac:dyDescent="0.25">
      <c r="B5" t="s">
        <v>193</v>
      </c>
    </row>
    <row r="7" spans="1:3" x14ac:dyDescent="0.25">
      <c r="A7" t="s">
        <v>194</v>
      </c>
    </row>
    <row r="9" spans="1:3" x14ac:dyDescent="0.25">
      <c r="A9" t="s">
        <v>195</v>
      </c>
    </row>
    <row r="10" spans="1:3" x14ac:dyDescent="0.25">
      <c r="C10" s="152">
        <v>69000</v>
      </c>
    </row>
    <row r="11" spans="1:3" x14ac:dyDescent="0.25">
      <c r="C11" s="233">
        <v>85000</v>
      </c>
    </row>
    <row r="12" spans="1:3" x14ac:dyDescent="0.25">
      <c r="A12" t="s">
        <v>231</v>
      </c>
      <c r="C12">
        <f>+C10/C11</f>
        <v>0.81176470588235294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0CD0F-068F-4A4C-9CC8-16CD48F984A8}">
  <sheetPr>
    <pageSetUpPr fitToPage="1"/>
  </sheetPr>
  <dimension ref="A1:O111"/>
  <sheetViews>
    <sheetView zoomScale="95" zoomScaleNormal="95" workbookViewId="0">
      <pane xSplit="1" ySplit="9" topLeftCell="B10" activePane="bottomRight" state="frozen"/>
      <selection activeCell="C35" sqref="C35"/>
      <selection pane="topRight" activeCell="C35" sqref="C35"/>
      <selection pane="bottomLeft" activeCell="C35" sqref="C35"/>
      <selection pane="bottomRight" activeCell="D36" sqref="D36"/>
    </sheetView>
  </sheetViews>
  <sheetFormatPr defaultColWidth="9.140625" defaultRowHeight="12.75" outlineLevelRow="1" x14ac:dyDescent="0.2"/>
  <cols>
    <col min="1" max="1" width="17.28515625" style="26" customWidth="1"/>
    <col min="2" max="2" width="8.85546875" style="26" bestFit="1" customWidth="1"/>
    <col min="3" max="3" width="14.7109375" style="26" bestFit="1" customWidth="1"/>
    <col min="4" max="5" width="16.140625" style="26" bestFit="1" customWidth="1"/>
    <col min="6" max="6" width="13.28515625" style="26" bestFit="1" customWidth="1"/>
    <col min="7" max="7" width="17" style="26" bestFit="1" customWidth="1"/>
    <col min="8" max="8" width="12.7109375" style="26" bestFit="1" customWidth="1"/>
    <col min="9" max="9" width="12" style="26" bestFit="1" customWidth="1"/>
    <col min="10" max="10" width="15.7109375" style="26" bestFit="1" customWidth="1"/>
    <col min="11" max="11" width="17.5703125" style="26" bestFit="1" customWidth="1"/>
    <col min="12" max="12" width="11.85546875" style="26" bestFit="1" customWidth="1"/>
    <col min="13" max="13" width="12" style="26" bestFit="1" customWidth="1"/>
    <col min="14" max="14" width="11.85546875" style="26" bestFit="1" customWidth="1"/>
    <col min="15" max="15" width="10.85546875" style="26" bestFit="1" customWidth="1"/>
    <col min="16" max="16" width="9.7109375" style="26" bestFit="1" customWidth="1"/>
    <col min="17" max="16384" width="9.140625" style="26"/>
  </cols>
  <sheetData>
    <row r="1" spans="1:14" x14ac:dyDescent="0.2">
      <c r="A1" s="25" t="s">
        <v>43</v>
      </c>
    </row>
    <row r="2" spans="1:14" x14ac:dyDescent="0.2">
      <c r="A2" s="25" t="s">
        <v>78</v>
      </c>
    </row>
    <row r="3" spans="1:14" x14ac:dyDescent="0.2">
      <c r="A3" s="25" t="s">
        <v>45</v>
      </c>
    </row>
    <row r="4" spans="1:14" x14ac:dyDescent="0.2">
      <c r="C4" s="27"/>
      <c r="D4" s="28"/>
      <c r="E4" s="29"/>
      <c r="F4" s="30"/>
      <c r="G4" s="30"/>
      <c r="H4" s="30"/>
      <c r="I4" s="30"/>
      <c r="J4" s="29"/>
      <c r="K4" s="31"/>
      <c r="L4" s="29"/>
      <c r="M4" s="29"/>
    </row>
    <row r="5" spans="1:14" x14ac:dyDescent="0.2">
      <c r="C5" s="25" t="s">
        <v>46</v>
      </c>
      <c r="D5" s="32"/>
      <c r="E5" s="29"/>
      <c r="F5" s="30"/>
      <c r="G5" s="30"/>
      <c r="H5" s="30"/>
      <c r="I5" s="30"/>
      <c r="J5" s="30"/>
      <c r="K5" s="30"/>
      <c r="L5" s="30"/>
      <c r="M5" s="30"/>
    </row>
    <row r="6" spans="1:14" x14ac:dyDescent="0.2">
      <c r="A6" s="33"/>
      <c r="B6" s="33"/>
      <c r="C6" s="34" t="s">
        <v>47</v>
      </c>
      <c r="D6" s="34" t="s">
        <v>48</v>
      </c>
      <c r="E6" s="34" t="s">
        <v>49</v>
      </c>
      <c r="F6" s="34" t="s">
        <v>50</v>
      </c>
      <c r="G6" s="34" t="s">
        <v>51</v>
      </c>
      <c r="H6" s="34" t="s">
        <v>52</v>
      </c>
      <c r="I6" s="34" t="s">
        <v>41</v>
      </c>
      <c r="J6" s="34" t="s">
        <v>50</v>
      </c>
      <c r="K6" s="34" t="s">
        <v>51</v>
      </c>
      <c r="L6" s="34" t="s">
        <v>53</v>
      </c>
      <c r="M6" s="35" t="s">
        <v>54</v>
      </c>
      <c r="N6" s="36" t="s">
        <v>48</v>
      </c>
    </row>
    <row r="7" spans="1:14" x14ac:dyDescent="0.2">
      <c r="A7" s="30" t="s">
        <v>55</v>
      </c>
      <c r="B7" s="37"/>
      <c r="C7" s="30" t="s">
        <v>56</v>
      </c>
      <c r="D7" s="30"/>
      <c r="E7" s="30" t="s">
        <v>48</v>
      </c>
      <c r="F7" s="30" t="s">
        <v>57</v>
      </c>
      <c r="G7" s="30" t="s">
        <v>57</v>
      </c>
      <c r="H7" s="30" t="s">
        <v>57</v>
      </c>
      <c r="I7" s="30" t="s">
        <v>58</v>
      </c>
      <c r="J7" s="30" t="s">
        <v>59</v>
      </c>
      <c r="K7" s="30" t="s">
        <v>59</v>
      </c>
      <c r="L7" s="30" t="s">
        <v>41</v>
      </c>
      <c r="M7" s="38" t="s">
        <v>53</v>
      </c>
      <c r="N7" s="39" t="s">
        <v>60</v>
      </c>
    </row>
    <row r="8" spans="1:14" x14ac:dyDescent="0.2">
      <c r="A8" s="30" t="s">
        <v>61</v>
      </c>
      <c r="B8" s="37"/>
      <c r="C8" s="30" t="s">
        <v>62</v>
      </c>
      <c r="D8" s="30" t="s">
        <v>63</v>
      </c>
      <c r="E8" s="30" t="s">
        <v>64</v>
      </c>
      <c r="F8" s="30" t="s">
        <v>65</v>
      </c>
      <c r="G8" s="40" t="s">
        <v>66</v>
      </c>
      <c r="H8" s="30" t="s">
        <v>67</v>
      </c>
      <c r="I8" s="30" t="s">
        <v>68</v>
      </c>
      <c r="J8" s="30" t="s">
        <v>69</v>
      </c>
      <c r="K8" s="30" t="s">
        <v>70</v>
      </c>
      <c r="L8" s="30" t="s">
        <v>71</v>
      </c>
      <c r="M8" s="38" t="s">
        <v>72</v>
      </c>
      <c r="N8" s="39" t="s">
        <v>73</v>
      </c>
    </row>
    <row r="9" spans="1:14" x14ac:dyDescent="0.2">
      <c r="A9" s="41"/>
      <c r="B9" s="41"/>
      <c r="C9" s="42"/>
      <c r="D9" s="42"/>
      <c r="E9" s="42"/>
      <c r="F9" s="43" t="s">
        <v>74</v>
      </c>
      <c r="G9" s="42"/>
      <c r="H9" s="42"/>
      <c r="I9" s="42"/>
      <c r="J9" s="42" t="s">
        <v>75</v>
      </c>
      <c r="K9" s="44"/>
      <c r="L9" s="42"/>
      <c r="M9" s="45"/>
      <c r="N9" s="46"/>
    </row>
    <row r="10" spans="1:14" x14ac:dyDescent="0.2">
      <c r="A10" s="47"/>
      <c r="C10" s="30"/>
      <c r="D10" s="48"/>
      <c r="E10" s="49"/>
      <c r="F10" s="30"/>
      <c r="G10" s="30"/>
      <c r="H10" s="48"/>
      <c r="I10" s="48"/>
      <c r="J10" s="50"/>
      <c r="K10" s="50"/>
      <c r="L10" s="50"/>
      <c r="M10" s="51"/>
      <c r="N10" s="52"/>
    </row>
    <row r="11" spans="1:14" x14ac:dyDescent="0.2">
      <c r="A11" s="53" t="s">
        <v>76</v>
      </c>
      <c r="B11" s="53"/>
      <c r="C11" s="54"/>
      <c r="D11" s="48"/>
      <c r="E11" s="55"/>
      <c r="F11" s="48"/>
      <c r="G11" s="48"/>
      <c r="H11" s="48"/>
      <c r="I11" s="48"/>
      <c r="J11" s="55"/>
      <c r="K11" s="55"/>
      <c r="L11" s="55"/>
      <c r="M11" s="51"/>
      <c r="N11" s="56"/>
    </row>
    <row r="12" spans="1:14" hidden="1" outlineLevel="1" x14ac:dyDescent="0.2">
      <c r="A12" s="53">
        <v>44165</v>
      </c>
      <c r="B12" s="53"/>
      <c r="C12" s="54"/>
      <c r="D12" s="48"/>
      <c r="E12" s="55"/>
      <c r="F12" s="48"/>
      <c r="G12" s="48"/>
      <c r="H12" s="48"/>
      <c r="I12" s="48"/>
      <c r="J12" s="55"/>
      <c r="K12" s="55"/>
      <c r="L12" s="55"/>
      <c r="M12" s="50"/>
      <c r="N12" s="56"/>
    </row>
    <row r="13" spans="1:14" hidden="1" outlineLevel="1" x14ac:dyDescent="0.2">
      <c r="A13" s="53">
        <v>44196</v>
      </c>
      <c r="B13" s="53"/>
      <c r="C13" s="54"/>
      <c r="D13" s="48"/>
      <c r="E13" s="55"/>
      <c r="F13" s="48"/>
      <c r="G13" s="48"/>
      <c r="H13" s="48"/>
      <c r="I13" s="48"/>
      <c r="J13" s="55"/>
      <c r="K13" s="55"/>
      <c r="L13" s="55"/>
      <c r="M13" s="50"/>
      <c r="N13" s="56"/>
    </row>
    <row r="14" spans="1:14" hidden="1" outlineLevel="1" x14ac:dyDescent="0.2">
      <c r="A14" s="53">
        <v>44227</v>
      </c>
      <c r="B14" s="53"/>
      <c r="C14" s="54"/>
      <c r="D14" s="48"/>
      <c r="E14" s="55"/>
      <c r="F14" s="48"/>
      <c r="G14" s="48"/>
      <c r="H14" s="48"/>
      <c r="I14" s="48"/>
      <c r="J14" s="55"/>
      <c r="K14" s="55"/>
      <c r="L14" s="55"/>
      <c r="M14" s="50"/>
      <c r="N14" s="56"/>
    </row>
    <row r="15" spans="1:14" hidden="1" outlineLevel="1" x14ac:dyDescent="0.2">
      <c r="A15" s="53">
        <v>44255</v>
      </c>
      <c r="B15" s="53"/>
      <c r="C15" s="54"/>
      <c r="D15" s="48"/>
      <c r="E15" s="55"/>
      <c r="F15" s="48"/>
      <c r="G15" s="48"/>
      <c r="H15" s="48"/>
      <c r="I15" s="48"/>
      <c r="J15" s="55"/>
      <c r="K15" s="55"/>
      <c r="L15" s="55"/>
      <c r="M15" s="50"/>
      <c r="N15" s="56"/>
    </row>
    <row r="16" spans="1:14" hidden="1" outlineLevel="1" x14ac:dyDescent="0.2">
      <c r="A16" s="53">
        <v>44286</v>
      </c>
      <c r="B16" s="53"/>
      <c r="C16" s="54"/>
      <c r="D16" s="48"/>
      <c r="E16" s="55"/>
      <c r="F16" s="48"/>
      <c r="G16" s="48"/>
      <c r="H16" s="48"/>
      <c r="I16" s="48"/>
      <c r="J16" s="55"/>
      <c r="K16" s="55"/>
      <c r="L16" s="55"/>
      <c r="M16" s="50"/>
      <c r="N16" s="56"/>
    </row>
    <row r="17" spans="1:14" hidden="1" outlineLevel="1" x14ac:dyDescent="0.2">
      <c r="A17" s="53">
        <v>44316</v>
      </c>
      <c r="B17" s="53"/>
      <c r="C17" s="54"/>
      <c r="D17" s="48"/>
      <c r="E17" s="55"/>
      <c r="F17" s="48"/>
      <c r="G17" s="48"/>
      <c r="H17" s="48"/>
      <c r="I17" s="48"/>
      <c r="J17" s="55"/>
      <c r="K17" s="55"/>
      <c r="L17" s="55"/>
      <c r="M17" s="50"/>
      <c r="N17" s="56"/>
    </row>
    <row r="18" spans="1:14" hidden="1" outlineLevel="1" x14ac:dyDescent="0.2">
      <c r="A18" s="53">
        <v>44347</v>
      </c>
      <c r="B18" s="53"/>
      <c r="C18" s="54"/>
      <c r="D18" s="48"/>
      <c r="E18" s="55"/>
      <c r="F18" s="48"/>
      <c r="G18" s="48"/>
      <c r="H18" s="48"/>
      <c r="I18" s="48"/>
      <c r="J18" s="55"/>
      <c r="K18" s="55"/>
      <c r="L18" s="55"/>
      <c r="M18" s="50"/>
      <c r="N18" s="56"/>
    </row>
    <row r="19" spans="1:14" hidden="1" outlineLevel="1" x14ac:dyDescent="0.2">
      <c r="A19" s="53">
        <v>44377</v>
      </c>
      <c r="B19" s="53"/>
      <c r="C19" s="54"/>
      <c r="D19" s="48"/>
      <c r="E19" s="55"/>
      <c r="F19" s="48"/>
      <c r="G19" s="48"/>
      <c r="H19" s="48"/>
      <c r="I19" s="48"/>
      <c r="J19" s="55"/>
      <c r="K19" s="55"/>
      <c r="L19" s="55"/>
      <c r="M19" s="50"/>
      <c r="N19" s="56"/>
    </row>
    <row r="20" spans="1:14" hidden="1" outlineLevel="1" x14ac:dyDescent="0.2">
      <c r="A20" s="53">
        <v>44408</v>
      </c>
      <c r="B20" s="53"/>
      <c r="C20" s="54"/>
      <c r="D20" s="48"/>
      <c r="E20" s="55"/>
      <c r="F20" s="48"/>
      <c r="G20" s="48"/>
      <c r="H20" s="48"/>
      <c r="I20" s="48"/>
      <c r="J20" s="55"/>
      <c r="K20" s="55"/>
      <c r="L20" s="55"/>
      <c r="M20" s="50"/>
      <c r="N20" s="56"/>
    </row>
    <row r="21" spans="1:14" hidden="1" outlineLevel="1" x14ac:dyDescent="0.2">
      <c r="A21" s="53">
        <v>44439</v>
      </c>
      <c r="B21" s="53"/>
      <c r="C21" s="54"/>
      <c r="D21" s="48"/>
      <c r="E21" s="55"/>
      <c r="F21" s="48"/>
      <c r="G21" s="48"/>
      <c r="H21" s="48"/>
      <c r="I21" s="48"/>
      <c r="J21" s="55"/>
      <c r="K21" s="55"/>
      <c r="L21" s="55"/>
      <c r="M21" s="50"/>
      <c r="N21" s="56"/>
    </row>
    <row r="22" spans="1:14" hidden="1" outlineLevel="1" x14ac:dyDescent="0.2">
      <c r="A22" s="53">
        <v>44469</v>
      </c>
      <c r="B22" s="53"/>
      <c r="C22" s="54"/>
      <c r="D22" s="48"/>
      <c r="E22" s="55"/>
      <c r="F22" s="48"/>
      <c r="G22" s="48"/>
      <c r="H22" s="48"/>
      <c r="I22" s="48"/>
      <c r="J22" s="55"/>
      <c r="K22" s="55"/>
      <c r="L22" s="55"/>
      <c r="M22" s="50"/>
      <c r="N22" s="56"/>
    </row>
    <row r="23" spans="1:14" hidden="1" outlineLevel="1" x14ac:dyDescent="0.2">
      <c r="A23" s="53">
        <v>44500</v>
      </c>
      <c r="B23" s="53"/>
      <c r="C23" s="54"/>
      <c r="D23" s="48"/>
      <c r="E23" s="55"/>
      <c r="F23" s="48"/>
      <c r="G23" s="48"/>
      <c r="H23" s="48"/>
      <c r="I23" s="48"/>
      <c r="J23" s="55"/>
      <c r="K23" s="55"/>
      <c r="L23" s="55"/>
      <c r="M23" s="50"/>
      <c r="N23" s="56"/>
    </row>
    <row r="24" spans="1:14" collapsed="1" x14ac:dyDescent="0.2">
      <c r="A24" s="53">
        <v>44530</v>
      </c>
      <c r="B24" s="53"/>
      <c r="C24" s="54"/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6">
        <v>0</v>
      </c>
    </row>
    <row r="25" spans="1:14" x14ac:dyDescent="0.2">
      <c r="A25" s="53">
        <v>44561</v>
      </c>
      <c r="B25" s="53"/>
      <c r="C25" s="54"/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6">
        <v>0</v>
      </c>
    </row>
    <row r="26" spans="1:14" x14ac:dyDescent="0.2">
      <c r="A26" s="53">
        <v>44592</v>
      </c>
      <c r="B26" s="53"/>
      <c r="C26" s="54">
        <v>0</v>
      </c>
      <c r="D26" s="55">
        <v>0</v>
      </c>
      <c r="E26" s="55">
        <v>0</v>
      </c>
      <c r="F26" s="109"/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6">
        <v>0</v>
      </c>
    </row>
    <row r="27" spans="1:14" x14ac:dyDescent="0.2">
      <c r="A27" s="53">
        <v>44620</v>
      </c>
      <c r="B27" s="53"/>
      <c r="C27" s="54">
        <v>1732420.3438340204</v>
      </c>
      <c r="D27" s="55">
        <v>1732420.3438340204</v>
      </c>
      <c r="E27" s="55">
        <v>72184.180993084185</v>
      </c>
      <c r="F27" s="109"/>
      <c r="G27" s="55">
        <v>0</v>
      </c>
      <c r="H27" s="55">
        <v>0</v>
      </c>
      <c r="I27" s="55">
        <v>72184.180993084185</v>
      </c>
      <c r="J27" s="55">
        <v>-363808.27220514428</v>
      </c>
      <c r="K27" s="55">
        <v>-363808.27220514428</v>
      </c>
      <c r="L27" s="55">
        <v>-15158.678008547678</v>
      </c>
      <c r="M27" s="55">
        <v>57025.502984536506</v>
      </c>
      <c r="N27" s="56">
        <v>1368612.071628876</v>
      </c>
    </row>
    <row r="28" spans="1:14" x14ac:dyDescent="0.2">
      <c r="A28" s="53">
        <v>44651</v>
      </c>
      <c r="B28" s="53"/>
      <c r="C28" s="54">
        <v>1729657.3789663452</v>
      </c>
      <c r="D28" s="55">
        <v>3462077.7228003656</v>
      </c>
      <c r="E28" s="55">
        <v>288621.60043618362</v>
      </c>
      <c r="F28" s="109"/>
      <c r="G28" s="55">
        <v>0</v>
      </c>
      <c r="H28" s="55">
        <v>0</v>
      </c>
      <c r="I28" s="55">
        <v>288621.60043618362</v>
      </c>
      <c r="J28" s="55">
        <v>-363228.04958293249</v>
      </c>
      <c r="K28" s="55">
        <v>-727036.32178807678</v>
      </c>
      <c r="L28" s="55">
        <v>-60610.536091598558</v>
      </c>
      <c r="M28" s="55">
        <v>228011.06434458506</v>
      </c>
      <c r="N28" s="56">
        <v>2735041.4010122889</v>
      </c>
    </row>
    <row r="29" spans="1:14" x14ac:dyDescent="0.2">
      <c r="A29" s="53">
        <v>44681</v>
      </c>
      <c r="B29" s="53"/>
      <c r="C29" s="54">
        <v>1726047.8595299311</v>
      </c>
      <c r="D29" s="55">
        <v>5188125.5823302967</v>
      </c>
      <c r="E29" s="55">
        <v>649046.73814996111</v>
      </c>
      <c r="F29" s="109"/>
      <c r="G29" s="55">
        <v>0</v>
      </c>
      <c r="H29" s="55">
        <v>0</v>
      </c>
      <c r="I29" s="55">
        <v>649046.73814996111</v>
      </c>
      <c r="J29" s="55">
        <v>-362470.05050128553</v>
      </c>
      <c r="K29" s="55">
        <v>-1089506.3722893624</v>
      </c>
      <c r="L29" s="55">
        <v>-136299.81501149185</v>
      </c>
      <c r="M29" s="55">
        <v>512746.92313846922</v>
      </c>
      <c r="N29" s="56">
        <v>4098619.2100409344</v>
      </c>
    </row>
    <row r="30" spans="1:14" x14ac:dyDescent="0.2">
      <c r="A30" s="53">
        <v>44712</v>
      </c>
      <c r="B30" s="53"/>
      <c r="C30" s="54">
        <v>1722806.0480167251</v>
      </c>
      <c r="D30" s="55">
        <v>6910931.6303470219</v>
      </c>
      <c r="E30" s="55">
        <v>1153174.122011516</v>
      </c>
      <c r="F30" s="109"/>
      <c r="G30" s="55">
        <v>0</v>
      </c>
      <c r="H30" s="55">
        <v>0</v>
      </c>
      <c r="I30" s="55">
        <v>1153174.122011516</v>
      </c>
      <c r="J30" s="55">
        <v>-361789.27008351224</v>
      </c>
      <c r="K30" s="55">
        <v>-1451295.6423728745</v>
      </c>
      <c r="L30" s="55">
        <v>-242166.56562241839</v>
      </c>
      <c r="M30" s="55">
        <v>911007.55638909759</v>
      </c>
      <c r="N30" s="56">
        <v>5459635.9879741473</v>
      </c>
    </row>
    <row r="31" spans="1:14" x14ac:dyDescent="0.2">
      <c r="A31" s="53">
        <v>44742</v>
      </c>
      <c r="B31" s="53"/>
      <c r="C31" s="54">
        <v>1719079.8880587546</v>
      </c>
      <c r="D31" s="55">
        <v>8630011.5184057765</v>
      </c>
      <c r="E31" s="55">
        <v>1800713.419876216</v>
      </c>
      <c r="F31" s="109"/>
      <c r="G31" s="55">
        <v>0</v>
      </c>
      <c r="H31" s="55">
        <v>0</v>
      </c>
      <c r="I31" s="55">
        <v>1800713.419876216</v>
      </c>
      <c r="J31" s="55">
        <v>-361006.77649233845</v>
      </c>
      <c r="K31" s="55">
        <v>-1812302.4188652129</v>
      </c>
      <c r="L31" s="55">
        <v>-378149.81817400531</v>
      </c>
      <c r="M31" s="55">
        <v>1422563.6017022107</v>
      </c>
      <c r="N31" s="56">
        <v>6817709.0995405633</v>
      </c>
    </row>
    <row r="32" spans="1:14" x14ac:dyDescent="0.2">
      <c r="A32" s="53">
        <v>44773</v>
      </c>
      <c r="C32" s="54">
        <v>1715360.6161237105</v>
      </c>
      <c r="D32" s="55">
        <v>10345372.134529486</v>
      </c>
      <c r="E32" s="55">
        <v>2591354.4054151853</v>
      </c>
      <c r="F32" s="109"/>
      <c r="G32" s="55">
        <v>0</v>
      </c>
      <c r="H32" s="55">
        <v>0</v>
      </c>
      <c r="I32" s="55">
        <v>2591354.4054151853</v>
      </c>
      <c r="J32" s="55">
        <v>-360225.72938597918</v>
      </c>
      <c r="K32" s="55">
        <v>-2172528.1482511922</v>
      </c>
      <c r="L32" s="55">
        <v>-544184.42513718887</v>
      </c>
      <c r="M32" s="55">
        <v>2047169.9802779965</v>
      </c>
      <c r="N32" s="56">
        <v>8172843.9862782937</v>
      </c>
    </row>
    <row r="33" spans="1:15" x14ac:dyDescent="0.2">
      <c r="A33" s="53">
        <v>44804</v>
      </c>
      <c r="C33" s="54">
        <v>1711760.1390566528</v>
      </c>
      <c r="D33" s="55">
        <v>12057132.273586139</v>
      </c>
      <c r="E33" s="55">
        <v>3524792.08908667</v>
      </c>
      <c r="F33" s="109"/>
      <c r="G33" s="55">
        <v>0</v>
      </c>
      <c r="H33" s="55">
        <v>0</v>
      </c>
      <c r="I33" s="55">
        <v>3524792.08908667</v>
      </c>
      <c r="J33" s="55">
        <v>-359469.62920189707</v>
      </c>
      <c r="K33" s="55">
        <v>-2531997.7774530891</v>
      </c>
      <c r="L33" s="55">
        <v>-740206.33870820049</v>
      </c>
      <c r="M33" s="55">
        <v>2784585.7503784695</v>
      </c>
      <c r="N33" s="56">
        <v>9525134.49613305</v>
      </c>
    </row>
    <row r="34" spans="1:15" x14ac:dyDescent="0.2">
      <c r="A34" s="53">
        <v>44834</v>
      </c>
      <c r="C34" s="54">
        <v>1708806.0216493914</v>
      </c>
      <c r="D34" s="55">
        <v>13765938.29523553</v>
      </c>
      <c r="E34" s="55">
        <v>4600753.3627875727</v>
      </c>
      <c r="F34" s="109"/>
      <c r="G34" s="55">
        <v>0</v>
      </c>
      <c r="H34" s="55">
        <v>0</v>
      </c>
      <c r="I34" s="55">
        <v>4600753.3627875727</v>
      </c>
      <c r="J34" s="55">
        <v>-358849.26454637217</v>
      </c>
      <c r="K34" s="55">
        <v>-2890847.0419994611</v>
      </c>
      <c r="L34" s="55">
        <v>-966158.20618539024</v>
      </c>
      <c r="M34" s="55">
        <v>3634595.1566021824</v>
      </c>
      <c r="N34" s="56">
        <v>10875091.253236068</v>
      </c>
    </row>
    <row r="35" spans="1:15" x14ac:dyDescent="0.2">
      <c r="A35" s="53">
        <v>44865</v>
      </c>
      <c r="C35" s="54">
        <v>1705050.204729073</v>
      </c>
      <c r="D35" s="55">
        <v>15470988.499964602</v>
      </c>
      <c r="E35" s="55">
        <v>5818958.6459209109</v>
      </c>
      <c r="F35" s="109"/>
      <c r="G35" s="55">
        <v>0</v>
      </c>
      <c r="H35" s="55">
        <v>0</v>
      </c>
      <c r="I35" s="55">
        <v>5818958.6459209109</v>
      </c>
      <c r="J35" s="55">
        <v>-358060.54299310531</v>
      </c>
      <c r="K35" s="55">
        <v>-3248907.5849925666</v>
      </c>
      <c r="L35" s="55">
        <v>-1221981.3156433913</v>
      </c>
      <c r="M35" s="55">
        <v>4596977.3302775193</v>
      </c>
      <c r="N35" s="56">
        <v>12222080.914972035</v>
      </c>
    </row>
    <row r="36" spans="1:15" x14ac:dyDescent="0.2">
      <c r="A36" s="53">
        <v>44895</v>
      </c>
      <c r="C36" s="54">
        <v>1701410.1448160273</v>
      </c>
      <c r="D36" s="55">
        <v>17172398.644780628</v>
      </c>
      <c r="E36" s="55">
        <v>7179099.776951964</v>
      </c>
      <c r="F36" s="109"/>
      <c r="G36" s="55">
        <v>0</v>
      </c>
      <c r="H36" s="55">
        <v>0</v>
      </c>
      <c r="I36" s="55">
        <v>7179099.776951964</v>
      </c>
      <c r="J36" s="55">
        <v>-357296.13041136571</v>
      </c>
      <c r="K36" s="55">
        <v>-3606203.7154039321</v>
      </c>
      <c r="L36" s="55">
        <v>-1507610.9531599123</v>
      </c>
      <c r="M36" s="55">
        <v>5671488.8237920515</v>
      </c>
      <c r="N36" s="56">
        <v>13566194.929376695</v>
      </c>
    </row>
    <row r="37" spans="1:15" x14ac:dyDescent="0.2">
      <c r="A37" s="53">
        <v>44926</v>
      </c>
      <c r="C37" s="54">
        <v>1698010.4384870408</v>
      </c>
      <c r="D37" s="231">
        <v>18870409.08326767</v>
      </c>
      <c r="E37" s="55">
        <v>8680883.4322873093</v>
      </c>
      <c r="F37" s="109"/>
      <c r="G37" s="55">
        <v>0</v>
      </c>
      <c r="H37" s="55">
        <v>0</v>
      </c>
      <c r="I37" s="55">
        <v>8680883.4322873093</v>
      </c>
      <c r="J37" s="55">
        <v>-356582.19208227855</v>
      </c>
      <c r="K37" s="55">
        <v>-3962785.9074862106</v>
      </c>
      <c r="L37" s="55">
        <v>-1822985.5207803345</v>
      </c>
      <c r="M37" s="55">
        <v>6857897.9115069751</v>
      </c>
      <c r="N37" s="56">
        <v>14907623.175781459</v>
      </c>
    </row>
    <row r="38" spans="1:15" x14ac:dyDescent="0.2">
      <c r="A38" s="53">
        <v>44957</v>
      </c>
      <c r="B38" s="53"/>
      <c r="C38" s="54">
        <v>1658331.0333887211</v>
      </c>
      <c r="D38" s="55">
        <v>20528740.116656393</v>
      </c>
      <c r="E38" s="55">
        <v>10322514.648950813</v>
      </c>
      <c r="F38" s="109"/>
      <c r="G38" s="55">
        <v>0</v>
      </c>
      <c r="H38" s="55">
        <v>0</v>
      </c>
      <c r="I38" s="55">
        <v>10322514.648950813</v>
      </c>
      <c r="J38" s="55">
        <v>-348249.5170116314</v>
      </c>
      <c r="K38" s="58">
        <v>-4311035.4244978419</v>
      </c>
      <c r="L38" s="55">
        <v>-2167728.0762796705</v>
      </c>
      <c r="M38" s="59">
        <v>8154786.5726711433</v>
      </c>
      <c r="N38" s="56">
        <v>16217704.69215855</v>
      </c>
    </row>
    <row r="39" spans="1:15" x14ac:dyDescent="0.2">
      <c r="A39" s="53">
        <v>44985</v>
      </c>
      <c r="B39" s="53"/>
      <c r="C39" s="54">
        <v>1645181.6462852815</v>
      </c>
      <c r="D39" s="55">
        <v>22173921.762941673</v>
      </c>
      <c r="E39" s="55">
        <v>12029608.046274312</v>
      </c>
      <c r="F39" s="109"/>
      <c r="G39" s="55">
        <v>0</v>
      </c>
      <c r="H39" s="55">
        <v>0</v>
      </c>
      <c r="I39" s="55">
        <v>12029608.046274312</v>
      </c>
      <c r="J39" s="55">
        <v>-345488.14571990911</v>
      </c>
      <c r="K39" s="58">
        <v>-4656523.570217751</v>
      </c>
      <c r="L39" s="55">
        <v>-2526217.6897176057</v>
      </c>
      <c r="M39" s="59">
        <v>9503390.3565567061</v>
      </c>
      <c r="N39" s="56">
        <v>17517398.192723922</v>
      </c>
    </row>
    <row r="40" spans="1:15" x14ac:dyDescent="0.2">
      <c r="A40" s="53">
        <v>45016</v>
      </c>
      <c r="B40" s="53"/>
      <c r="C40" s="54">
        <v>1640175.3164569223</v>
      </c>
      <c r="D40" s="55">
        <v>23814097.079398595</v>
      </c>
      <c r="E40" s="55">
        <v>13729338.078595392</v>
      </c>
      <c r="F40" s="109"/>
      <c r="G40" s="55">
        <v>0</v>
      </c>
      <c r="H40" s="55">
        <v>0</v>
      </c>
      <c r="I40" s="55">
        <v>13729338.078595392</v>
      </c>
      <c r="J40" s="55">
        <v>-344436.8164559537</v>
      </c>
      <c r="K40" s="58">
        <v>-5000960.3866737047</v>
      </c>
      <c r="L40" s="55">
        <v>-2883160.9965050318</v>
      </c>
      <c r="M40" s="59">
        <v>10846177.082090361</v>
      </c>
      <c r="N40" s="56">
        <v>18813136.692724891</v>
      </c>
    </row>
    <row r="41" spans="1:15" x14ac:dyDescent="0.2">
      <c r="A41" s="53">
        <v>45046</v>
      </c>
      <c r="B41" s="53"/>
      <c r="C41" s="54">
        <v>1635104.7957885899</v>
      </c>
      <c r="D41" s="55">
        <v>25449201.875187185</v>
      </c>
      <c r="E41" s="55">
        <v>15421550.39732269</v>
      </c>
      <c r="F41" s="109"/>
      <c r="G41" s="55">
        <v>0</v>
      </c>
      <c r="H41" s="55">
        <v>0</v>
      </c>
      <c r="I41" s="55">
        <v>15421550.39732269</v>
      </c>
      <c r="J41" s="55">
        <v>-343372.00711560383</v>
      </c>
      <c r="K41" s="58">
        <v>-5344332.3937893081</v>
      </c>
      <c r="L41" s="55">
        <v>-3238525.5834377646</v>
      </c>
      <c r="M41" s="59">
        <v>12183024.813884925</v>
      </c>
      <c r="N41" s="56">
        <v>20104869.481397875</v>
      </c>
    </row>
    <row r="42" spans="1:15" x14ac:dyDescent="0.2">
      <c r="A42" s="53">
        <v>45077</v>
      </c>
      <c r="B42" s="53"/>
      <c r="C42" s="54">
        <v>1630034.2751202572</v>
      </c>
      <c r="D42" s="55">
        <v>27079236.150307443</v>
      </c>
      <c r="E42" s="55">
        <v>17106107.931190077</v>
      </c>
      <c r="F42" s="109"/>
      <c r="G42" s="55">
        <v>0</v>
      </c>
      <c r="H42" s="55">
        <v>0</v>
      </c>
      <c r="I42" s="55">
        <v>17106107.931190077</v>
      </c>
      <c r="J42" s="55">
        <v>-342307.19777525397</v>
      </c>
      <c r="K42" s="58">
        <v>-5686639.5915645622</v>
      </c>
      <c r="L42" s="55">
        <v>-3592282.6655499157</v>
      </c>
      <c r="M42" s="59">
        <v>13513825.265640162</v>
      </c>
      <c r="N42" s="56">
        <v>21392596.558742881</v>
      </c>
    </row>
    <row r="43" spans="1:15" x14ac:dyDescent="0.2">
      <c r="A43" s="53">
        <v>45107</v>
      </c>
      <c r="B43" s="53"/>
      <c r="C43" s="54">
        <v>1624963.754451924</v>
      </c>
      <c r="D43" s="55">
        <v>28704199.904759366</v>
      </c>
      <c r="E43" s="55">
        <v>18782878.468953159</v>
      </c>
      <c r="F43" s="109"/>
      <c r="G43" s="55">
        <v>0</v>
      </c>
      <c r="H43" s="55">
        <v>0</v>
      </c>
      <c r="I43" s="55">
        <v>18782878.468953159</v>
      </c>
      <c r="J43" s="55">
        <v>-341242.38843490405</v>
      </c>
      <c r="K43" s="58">
        <v>-6027881.9799994659</v>
      </c>
      <c r="L43" s="55">
        <v>-3944404.478480164</v>
      </c>
      <c r="M43" s="59">
        <v>14838473.990472995</v>
      </c>
      <c r="N43" s="56">
        <v>22676317.924759902</v>
      </c>
      <c r="O43" s="55"/>
    </row>
    <row r="44" spans="1:15" x14ac:dyDescent="0.2">
      <c r="A44" s="53">
        <v>45138</v>
      </c>
      <c r="B44" s="53"/>
      <c r="C44" s="54">
        <v>1619893.2337835913</v>
      </c>
      <c r="D44" s="55">
        <v>30324093.138542958</v>
      </c>
      <c r="E44" s="55">
        <v>20451749.69355179</v>
      </c>
      <c r="F44" s="109"/>
      <c r="G44" s="55">
        <v>0</v>
      </c>
      <c r="H44" s="55">
        <v>0</v>
      </c>
      <c r="I44" s="55">
        <v>20451749.69355179</v>
      </c>
      <c r="J44" s="55">
        <v>-340177.57909455418</v>
      </c>
      <c r="K44" s="58">
        <v>-6368059.5590940202</v>
      </c>
      <c r="L44" s="55">
        <v>-4294867.4356458755</v>
      </c>
      <c r="M44" s="59">
        <v>16156882.257905915</v>
      </c>
      <c r="N44" s="56">
        <v>23956033.579448938</v>
      </c>
      <c r="O44" s="55"/>
    </row>
    <row r="45" spans="1:15" x14ac:dyDescent="0.2">
      <c r="A45" s="53">
        <v>45169</v>
      </c>
      <c r="B45" s="53"/>
      <c r="C45" s="54">
        <v>1614822.7131152584</v>
      </c>
      <c r="D45" s="55">
        <v>31938915.851658218</v>
      </c>
      <c r="E45" s="55">
        <v>22112604.051138688</v>
      </c>
      <c r="F45" s="109"/>
      <c r="G45" s="55">
        <v>0</v>
      </c>
      <c r="H45" s="55">
        <v>0</v>
      </c>
      <c r="I45" s="55">
        <v>22112604.051138688</v>
      </c>
      <c r="J45" s="55">
        <v>-339112.76975420426</v>
      </c>
      <c r="K45" s="58">
        <v>-6707172.3288482241</v>
      </c>
      <c r="L45" s="55">
        <v>-4643646.8507391233</v>
      </c>
      <c r="M45" s="59">
        <v>17468957.200399563</v>
      </c>
      <c r="N45" s="56">
        <v>25231743.522809993</v>
      </c>
      <c r="O45" s="55"/>
    </row>
    <row r="46" spans="1:15" x14ac:dyDescent="0.2">
      <c r="A46" s="53">
        <v>45199</v>
      </c>
      <c r="B46" s="53"/>
      <c r="C46" s="54">
        <v>1609752.1924469257</v>
      </c>
      <c r="D46" s="55">
        <v>33548668.044105142</v>
      </c>
      <c r="E46" s="55">
        <v>23765292.106427923</v>
      </c>
      <c r="F46" s="109"/>
      <c r="G46" s="55">
        <v>0</v>
      </c>
      <c r="H46" s="55">
        <v>0</v>
      </c>
      <c r="I46" s="55">
        <v>23765292.106427923</v>
      </c>
      <c r="J46" s="55">
        <v>-338047.96041385439</v>
      </c>
      <c r="K46" s="58">
        <v>-7045220.2892620787</v>
      </c>
      <c r="L46" s="55">
        <v>-4990711.3423498636</v>
      </c>
      <c r="M46" s="59">
        <v>18774580.764078058</v>
      </c>
      <c r="N46" s="56">
        <v>26503447.754843064</v>
      </c>
      <c r="O46" s="55"/>
    </row>
    <row r="47" spans="1:15" ht="13.5" thickBot="1" x14ac:dyDescent="0.25">
      <c r="A47" s="53">
        <v>45230</v>
      </c>
      <c r="B47" s="53"/>
      <c r="C47" s="54">
        <v>1604681.671778593</v>
      </c>
      <c r="D47" s="55">
        <v>35153349.715883732</v>
      </c>
      <c r="E47" s="55">
        <v>25409670.896627452</v>
      </c>
      <c r="F47" s="109"/>
      <c r="G47" s="55">
        <v>0</v>
      </c>
      <c r="H47" s="55">
        <v>0</v>
      </c>
      <c r="I47" s="55">
        <v>25409670.896627452</v>
      </c>
      <c r="J47" s="55">
        <v>-336983.15107350453</v>
      </c>
      <c r="K47" s="58">
        <v>-7382203.4403355829</v>
      </c>
      <c r="L47" s="55">
        <v>-5336030.8882917641</v>
      </c>
      <c r="M47" s="59">
        <v>20073640.008335687</v>
      </c>
      <c r="N47" s="56">
        <v>27771146.275548149</v>
      </c>
      <c r="O47" s="55"/>
    </row>
    <row r="48" spans="1:15" x14ac:dyDescent="0.2">
      <c r="A48" s="120">
        <v>45260</v>
      </c>
      <c r="B48" s="120" t="s">
        <v>146</v>
      </c>
      <c r="C48" s="121"/>
      <c r="D48" s="122">
        <v>35153349.715883732</v>
      </c>
      <c r="E48" s="122">
        <v>26978975.575253382</v>
      </c>
      <c r="F48" s="133">
        <v>732361.45241424441</v>
      </c>
      <c r="G48" s="122">
        <v>-732361.45241424441</v>
      </c>
      <c r="H48" s="122">
        <v>-30515.060517260183</v>
      </c>
      <c r="I48" s="122">
        <v>26948460.514736123</v>
      </c>
      <c r="J48" s="122">
        <v>153795.90500699132</v>
      </c>
      <c r="K48" s="124">
        <v>-7228407.5353285912</v>
      </c>
      <c r="L48" s="122">
        <v>-5659176.7080945829</v>
      </c>
      <c r="M48" s="125">
        <v>21289283.806641541</v>
      </c>
      <c r="N48" s="126">
        <v>27192580.728140898</v>
      </c>
      <c r="O48" s="55"/>
    </row>
    <row r="49" spans="1:15" x14ac:dyDescent="0.2">
      <c r="A49" s="53">
        <v>45291</v>
      </c>
      <c r="B49" s="53" t="s">
        <v>146</v>
      </c>
      <c r="C49" s="55"/>
      <c r="D49" s="55">
        <v>35153349.715883732</v>
      </c>
      <c r="E49" s="55">
        <v>28406637.729575012</v>
      </c>
      <c r="F49" s="109">
        <v>732361.45241424441</v>
      </c>
      <c r="G49" s="55">
        <v>-1464722.9048284888</v>
      </c>
      <c r="H49" s="55">
        <v>-122060.24206904073</v>
      </c>
      <c r="I49" s="55">
        <v>28284577.487505972</v>
      </c>
      <c r="J49" s="55">
        <v>153795.90500699132</v>
      </c>
      <c r="K49" s="58">
        <v>-7074611.6303215995</v>
      </c>
      <c r="L49" s="55">
        <v>-5939761.2723762514</v>
      </c>
      <c r="M49" s="59">
        <v>22344816.215129722</v>
      </c>
      <c r="N49" s="56">
        <v>26614015.180733643</v>
      </c>
      <c r="O49" s="55"/>
    </row>
    <row r="50" spans="1:15" x14ac:dyDescent="0.2">
      <c r="A50" s="53">
        <v>45322</v>
      </c>
      <c r="B50" s="53" t="s">
        <v>146</v>
      </c>
      <c r="C50" s="55"/>
      <c r="D50" s="55">
        <v>35153349.715883732</v>
      </c>
      <c r="E50" s="55">
        <v>29694452.322568491</v>
      </c>
      <c r="F50" s="109">
        <v>732361.45241424441</v>
      </c>
      <c r="G50" s="55">
        <v>-2197084.3572427332</v>
      </c>
      <c r="H50" s="55">
        <v>-274635.54465534166</v>
      </c>
      <c r="I50" s="55">
        <v>29419816.777913149</v>
      </c>
      <c r="J50" s="55">
        <v>153795.90500699132</v>
      </c>
      <c r="K50" s="58">
        <v>-6920815.7253146078</v>
      </c>
      <c r="L50" s="55">
        <v>-6178161.5233617602</v>
      </c>
      <c r="M50" s="59">
        <v>23241655.254551388</v>
      </c>
      <c r="N50" s="56">
        <v>26035449.633326389</v>
      </c>
      <c r="O50" s="55"/>
    </row>
    <row r="51" spans="1:15" x14ac:dyDescent="0.2">
      <c r="A51" s="53">
        <v>45351</v>
      </c>
      <c r="B51" s="53" t="s">
        <v>146</v>
      </c>
      <c r="C51" s="55"/>
      <c r="D51" s="55">
        <v>35153349.715883732</v>
      </c>
      <c r="E51" s="55">
        <v>30844620.553908881</v>
      </c>
      <c r="F51" s="109">
        <v>732361.45241424441</v>
      </c>
      <c r="G51" s="55">
        <v>-2929445.8096569777</v>
      </c>
      <c r="H51" s="55">
        <v>-488240.96827616292</v>
      </c>
      <c r="I51" s="55">
        <v>30356379.585632719</v>
      </c>
      <c r="J51" s="55">
        <v>153795.90500699132</v>
      </c>
      <c r="K51" s="58">
        <v>-6767019.8203076161</v>
      </c>
      <c r="L51" s="55">
        <v>-6374839.7129828678</v>
      </c>
      <c r="M51" s="59">
        <v>23981539.872649852</v>
      </c>
      <c r="N51" s="56">
        <v>25456884.085919138</v>
      </c>
    </row>
    <row r="52" spans="1:15" x14ac:dyDescent="0.2">
      <c r="A52" s="53">
        <v>45382</v>
      </c>
      <c r="B52" s="53" t="s">
        <v>146</v>
      </c>
      <c r="C52" s="55"/>
      <c r="D52" s="55">
        <v>35153349.715883732</v>
      </c>
      <c r="E52" s="55">
        <v>31857898.911801681</v>
      </c>
      <c r="F52" s="109">
        <v>732361.45241424441</v>
      </c>
      <c r="G52" s="55">
        <v>-3661807.2620712221</v>
      </c>
      <c r="H52" s="55">
        <v>-762876.51293150464</v>
      </c>
      <c r="I52" s="55">
        <v>31095022.398870178</v>
      </c>
      <c r="J52" s="55">
        <v>153795.90500699132</v>
      </c>
      <c r="K52" s="58">
        <v>-6613223.9153006244</v>
      </c>
      <c r="L52" s="55">
        <v>-6529954.7037627352</v>
      </c>
      <c r="M52" s="59">
        <v>24565067.695107441</v>
      </c>
      <c r="N52" s="56">
        <v>24878318.538511887</v>
      </c>
    </row>
    <row r="53" spans="1:15" x14ac:dyDescent="0.2">
      <c r="A53" s="53">
        <v>45412</v>
      </c>
      <c r="B53" s="53" t="s">
        <v>146</v>
      </c>
      <c r="C53" s="55"/>
      <c r="D53" s="55">
        <v>35153349.715883732</v>
      </c>
      <c r="E53" s="55">
        <v>32734707.26501758</v>
      </c>
      <c r="F53" s="109">
        <v>732361.45241424441</v>
      </c>
      <c r="G53" s="55">
        <v>-4394168.7144854665</v>
      </c>
      <c r="H53" s="55">
        <v>-1098542.1786213666</v>
      </c>
      <c r="I53" s="55">
        <v>31636165.086396214</v>
      </c>
      <c r="J53" s="55">
        <v>153795.90500699132</v>
      </c>
      <c r="K53" s="58">
        <v>-6459428.0102936327</v>
      </c>
      <c r="L53" s="55">
        <v>-6643594.6681432044</v>
      </c>
      <c r="M53" s="59">
        <v>24992570.418253008</v>
      </c>
      <c r="N53" s="56">
        <v>24299752.991104633</v>
      </c>
    </row>
    <row r="54" spans="1:15" x14ac:dyDescent="0.2">
      <c r="A54" s="53">
        <v>45443</v>
      </c>
      <c r="B54" s="53" t="s">
        <v>146</v>
      </c>
      <c r="C54" s="55"/>
      <c r="D54" s="55">
        <v>35153349.715883732</v>
      </c>
      <c r="E54" s="55">
        <v>33475468.156945616</v>
      </c>
      <c r="F54" s="109">
        <v>732361.45241424441</v>
      </c>
      <c r="G54" s="55">
        <v>-5126530.1668997109</v>
      </c>
      <c r="H54" s="55">
        <v>-1495237.9653457489</v>
      </c>
      <c r="I54" s="55">
        <v>31980230.191599868</v>
      </c>
      <c r="J54" s="55">
        <v>153795.90500699132</v>
      </c>
      <c r="K54" s="58">
        <v>-6305632.105286641</v>
      </c>
      <c r="L54" s="55">
        <v>-6715848.34023597</v>
      </c>
      <c r="M54" s="59">
        <v>25264381.851363897</v>
      </c>
      <c r="N54" s="56">
        <v>23721187.443697378</v>
      </c>
    </row>
    <row r="55" spans="1:15" x14ac:dyDescent="0.2">
      <c r="A55" s="53">
        <v>45473</v>
      </c>
      <c r="B55" s="53" t="s">
        <v>146</v>
      </c>
      <c r="C55" s="55"/>
      <c r="D55" s="55">
        <v>35153349.715883732</v>
      </c>
      <c r="E55" s="55">
        <v>34080604.130974807</v>
      </c>
      <c r="F55" s="109">
        <v>732361.45241424441</v>
      </c>
      <c r="G55" s="55">
        <v>-5858891.6193139553</v>
      </c>
      <c r="H55" s="55">
        <v>-1952963.8731046517</v>
      </c>
      <c r="I55" s="55">
        <v>32127640.257870156</v>
      </c>
      <c r="J55" s="55">
        <v>153795.90500699132</v>
      </c>
      <c r="K55" s="58">
        <v>-6151836.2002796493</v>
      </c>
      <c r="L55" s="55">
        <v>-6746804.4541527303</v>
      </c>
      <c r="M55" s="59">
        <v>25380835.803717427</v>
      </c>
      <c r="N55" s="56">
        <v>23142621.896290127</v>
      </c>
    </row>
    <row r="56" spans="1:15" x14ac:dyDescent="0.2">
      <c r="A56" s="53">
        <v>45504</v>
      </c>
      <c r="B56" s="53" t="s">
        <v>146</v>
      </c>
      <c r="C56" s="55"/>
      <c r="D56" s="55">
        <v>35153349.715883732</v>
      </c>
      <c r="E56" s="55">
        <v>34550537.730494194</v>
      </c>
      <c r="F56" s="109">
        <v>732361.45241424441</v>
      </c>
      <c r="G56" s="55">
        <v>-6591253.0717281997</v>
      </c>
      <c r="H56" s="55">
        <v>-2471719.9018980749</v>
      </c>
      <c r="I56" s="55">
        <v>32078817.828596119</v>
      </c>
      <c r="J56" s="55">
        <v>153795.90500699132</v>
      </c>
      <c r="K56" s="58">
        <v>-5998040.2952726576</v>
      </c>
      <c r="L56" s="55">
        <v>-6736551.7440051837</v>
      </c>
      <c r="M56" s="59">
        <v>25342266.084590934</v>
      </c>
      <c r="N56" s="56">
        <v>22564056.348882876</v>
      </c>
    </row>
    <row r="57" spans="1:15" x14ac:dyDescent="0.2">
      <c r="A57" s="53">
        <v>45535</v>
      </c>
      <c r="B57" s="53" t="s">
        <v>146</v>
      </c>
      <c r="C57" s="55"/>
      <c r="D57" s="55">
        <v>35153349.715883732</v>
      </c>
      <c r="E57" s="55">
        <v>34885691.498892792</v>
      </c>
      <c r="F57" s="109">
        <v>732361.45241424441</v>
      </c>
      <c r="G57" s="55">
        <v>-7323614.5241424441</v>
      </c>
      <c r="H57" s="55">
        <v>-3051506.0517260185</v>
      </c>
      <c r="I57" s="55">
        <v>31834185.447166774</v>
      </c>
      <c r="J57" s="55">
        <v>153795.90500699132</v>
      </c>
      <c r="K57" s="58">
        <v>-5844244.3902656659</v>
      </c>
      <c r="L57" s="55">
        <v>-6685178.9439050192</v>
      </c>
      <c r="M57" s="59">
        <v>25149006.503261756</v>
      </c>
      <c r="N57" s="56">
        <v>21985490.801475622</v>
      </c>
    </row>
    <row r="58" spans="1:15" x14ac:dyDescent="0.2">
      <c r="A58" s="53">
        <v>45565</v>
      </c>
      <c r="B58" s="53" t="s">
        <v>146</v>
      </c>
      <c r="C58" s="55"/>
      <c r="D58" s="55">
        <v>35153349.715883732</v>
      </c>
      <c r="E58" s="55">
        <v>35086487.979559623</v>
      </c>
      <c r="F58" s="109">
        <v>732361.45241424441</v>
      </c>
      <c r="G58" s="55">
        <v>-8055975.9765566885</v>
      </c>
      <c r="H58" s="55">
        <v>-3692322.3225884824</v>
      </c>
      <c r="I58" s="55">
        <v>31394165.656971142</v>
      </c>
      <c r="J58" s="55">
        <v>153795.90500699132</v>
      </c>
      <c r="K58" s="58">
        <v>-5690448.4852586742</v>
      </c>
      <c r="L58" s="55">
        <v>-6592774.787963938</v>
      </c>
      <c r="M58" s="59">
        <v>24801390.869007204</v>
      </c>
      <c r="N58" s="56">
        <v>21406925.254068367</v>
      </c>
    </row>
    <row r="59" spans="1:15" ht="13.5" thickBot="1" x14ac:dyDescent="0.25">
      <c r="A59" s="53">
        <v>45596</v>
      </c>
      <c r="B59" s="53" t="s">
        <v>146</v>
      </c>
      <c r="C59" s="55"/>
      <c r="D59" s="55">
        <v>35153349.715883732</v>
      </c>
      <c r="E59" s="55">
        <v>35153349.715883732</v>
      </c>
      <c r="F59" s="109">
        <v>732361.45241424441</v>
      </c>
      <c r="G59" s="55">
        <v>-8788337.428970933</v>
      </c>
      <c r="H59" s="55">
        <v>-4394168.7144854665</v>
      </c>
      <c r="I59" s="55">
        <v>30759181.001398265</v>
      </c>
      <c r="J59" s="55">
        <v>153795.90500699132</v>
      </c>
      <c r="K59" s="58">
        <v>-5536652.5802516825</v>
      </c>
      <c r="L59" s="55">
        <v>-6459428.0102936327</v>
      </c>
      <c r="M59" s="59">
        <v>24299752.991104633</v>
      </c>
      <c r="N59" s="56">
        <v>20828359.706661116</v>
      </c>
    </row>
    <row r="60" spans="1:15" x14ac:dyDescent="0.2">
      <c r="A60" s="120">
        <v>45626</v>
      </c>
      <c r="B60" s="127" t="s">
        <v>147</v>
      </c>
      <c r="C60" s="122"/>
      <c r="D60" s="122">
        <v>35153349.715883732</v>
      </c>
      <c r="E60" s="122">
        <v>35153349.715883732</v>
      </c>
      <c r="F60" s="133">
        <v>732361.45241424441</v>
      </c>
      <c r="G60" s="122">
        <v>-9520698.8813851774</v>
      </c>
      <c r="H60" s="122">
        <v>-5126530.1668997109</v>
      </c>
      <c r="I60" s="122">
        <v>30026819.548984021</v>
      </c>
      <c r="J60" s="122">
        <v>153795.90500699132</v>
      </c>
      <c r="K60" s="124">
        <v>-5382856.6752446909</v>
      </c>
      <c r="L60" s="122">
        <v>-6305632.105286642</v>
      </c>
      <c r="M60" s="125">
        <v>23721187.443697378</v>
      </c>
      <c r="N60" s="126">
        <v>20249794.159253865</v>
      </c>
    </row>
    <row r="61" spans="1:15" x14ac:dyDescent="0.2">
      <c r="A61" s="53">
        <v>45657</v>
      </c>
      <c r="B61" s="26" t="s">
        <v>147</v>
      </c>
      <c r="C61" s="55"/>
      <c r="D61" s="55">
        <v>35153349.715883732</v>
      </c>
      <c r="E61" s="55">
        <v>35153349.715883732</v>
      </c>
      <c r="F61" s="109">
        <v>732361.45241424441</v>
      </c>
      <c r="G61" s="55">
        <v>-10253060.333799422</v>
      </c>
      <c r="H61" s="55">
        <v>-5858891.6193139553</v>
      </c>
      <c r="I61" s="55">
        <v>29294458.096569777</v>
      </c>
      <c r="J61" s="55">
        <v>153795.90500699132</v>
      </c>
      <c r="K61" s="58">
        <v>-5229060.7702376992</v>
      </c>
      <c r="L61" s="55">
        <v>-6151836.2002796493</v>
      </c>
      <c r="M61" s="59">
        <v>23142621.896290127</v>
      </c>
      <c r="N61" s="56">
        <v>19671228.611846611</v>
      </c>
    </row>
    <row r="62" spans="1:15" x14ac:dyDescent="0.2">
      <c r="A62" s="53">
        <v>45688</v>
      </c>
      <c r="B62" s="26" t="s">
        <v>147</v>
      </c>
      <c r="C62" s="55"/>
      <c r="D62" s="55">
        <v>35153349.715883732</v>
      </c>
      <c r="E62" s="55">
        <v>35153349.715883732</v>
      </c>
      <c r="F62" s="109">
        <v>732361.45241424441</v>
      </c>
      <c r="G62" s="55">
        <v>-10985421.786213666</v>
      </c>
      <c r="H62" s="55">
        <v>-6591253.0717281997</v>
      </c>
      <c r="I62" s="55">
        <v>28562096.644155532</v>
      </c>
      <c r="J62" s="55">
        <v>153795.90500699132</v>
      </c>
      <c r="K62" s="58">
        <v>-5075264.8652307075</v>
      </c>
      <c r="L62" s="55">
        <v>-5998040.2952726586</v>
      </c>
      <c r="M62" s="59">
        <v>22564056.348882873</v>
      </c>
      <c r="N62" s="56">
        <v>19092663.064439356</v>
      </c>
    </row>
    <row r="63" spans="1:15" x14ac:dyDescent="0.2">
      <c r="A63" s="53">
        <v>45716</v>
      </c>
      <c r="B63" s="26" t="s">
        <v>147</v>
      </c>
      <c r="C63" s="55"/>
      <c r="D63" s="55">
        <v>35153349.715883732</v>
      </c>
      <c r="E63" s="55">
        <v>35153349.715883732</v>
      </c>
      <c r="F63" s="109">
        <v>732361.45241424441</v>
      </c>
      <c r="G63" s="55">
        <v>-11717783.238627911</v>
      </c>
      <c r="H63" s="55">
        <v>-7323614.5241424441</v>
      </c>
      <c r="I63" s="55">
        <v>27829735.191741288</v>
      </c>
      <c r="J63" s="55">
        <v>153795.90500699132</v>
      </c>
      <c r="K63" s="58">
        <v>-4921468.9602237158</v>
      </c>
      <c r="L63" s="55">
        <v>-5844244.3902656659</v>
      </c>
      <c r="M63" s="59">
        <v>21985490.801475622</v>
      </c>
      <c r="N63" s="56">
        <v>18514097.517032105</v>
      </c>
    </row>
    <row r="64" spans="1:15" x14ac:dyDescent="0.2">
      <c r="A64" s="53">
        <v>45747</v>
      </c>
      <c r="B64" s="26" t="s">
        <v>147</v>
      </c>
      <c r="C64" s="55"/>
      <c r="D64" s="55">
        <v>35153349.715883732</v>
      </c>
      <c r="E64" s="55">
        <v>35153349.715883732</v>
      </c>
      <c r="F64" s="109">
        <v>732361.45241424441</v>
      </c>
      <c r="G64" s="55">
        <v>-12450144.691042155</v>
      </c>
      <c r="H64" s="55">
        <v>-8055975.9765566885</v>
      </c>
      <c r="I64" s="55">
        <v>27097373.739327043</v>
      </c>
      <c r="J64" s="55">
        <v>153795.90500699132</v>
      </c>
      <c r="K64" s="58">
        <v>-4767673.0552167241</v>
      </c>
      <c r="L64" s="55">
        <v>-5690448.4852586733</v>
      </c>
      <c r="M64" s="59">
        <v>21406925.254068371</v>
      </c>
      <c r="N64" s="56">
        <v>17935531.969624855</v>
      </c>
    </row>
    <row r="65" spans="1:14" x14ac:dyDescent="0.2">
      <c r="A65" s="53">
        <v>45777</v>
      </c>
      <c r="B65" s="26" t="s">
        <v>147</v>
      </c>
      <c r="C65" s="55"/>
      <c r="D65" s="55">
        <v>35153349.715883732</v>
      </c>
      <c r="E65" s="55">
        <v>35153349.715883732</v>
      </c>
      <c r="F65" s="109">
        <v>732361.45241424441</v>
      </c>
      <c r="G65" s="55">
        <v>-13182506.143456399</v>
      </c>
      <c r="H65" s="55">
        <v>-8788337.428970933</v>
      </c>
      <c r="I65" s="55">
        <v>26365012.286912799</v>
      </c>
      <c r="J65" s="55">
        <v>153795.90500699132</v>
      </c>
      <c r="K65" s="58">
        <v>-4613877.1502097324</v>
      </c>
      <c r="L65" s="55">
        <v>-5536652.5802516825</v>
      </c>
      <c r="M65" s="59">
        <v>20828359.706661116</v>
      </c>
      <c r="N65" s="56">
        <v>17356966.4222176</v>
      </c>
    </row>
    <row r="66" spans="1:14" x14ac:dyDescent="0.2">
      <c r="A66" s="53">
        <v>45808</v>
      </c>
      <c r="B66" s="26" t="s">
        <v>147</v>
      </c>
      <c r="C66" s="55"/>
      <c r="D66" s="55">
        <v>35153349.715883732</v>
      </c>
      <c r="E66" s="55">
        <v>35153349.715883732</v>
      </c>
      <c r="F66" s="109">
        <v>732361.45241424441</v>
      </c>
      <c r="G66" s="55">
        <v>-13914867.595870644</v>
      </c>
      <c r="H66" s="55">
        <v>-9520698.8813851774</v>
      </c>
      <c r="I66" s="55">
        <v>25632650.834498554</v>
      </c>
      <c r="J66" s="55">
        <v>153795.90500699132</v>
      </c>
      <c r="K66" s="58">
        <v>-4460081.2452027407</v>
      </c>
      <c r="L66" s="55">
        <v>-5382856.6752446918</v>
      </c>
      <c r="M66" s="59">
        <v>20249794.159253862</v>
      </c>
      <c r="N66" s="56">
        <v>16778400.874810345</v>
      </c>
    </row>
    <row r="67" spans="1:14" x14ac:dyDescent="0.2">
      <c r="A67" s="53">
        <v>45838</v>
      </c>
      <c r="B67" s="26" t="s">
        <v>147</v>
      </c>
      <c r="C67" s="55"/>
      <c r="D67" s="55">
        <v>35153349.715883732</v>
      </c>
      <c r="E67" s="55">
        <v>35153349.715883732</v>
      </c>
      <c r="F67" s="109">
        <v>732361.45241424441</v>
      </c>
      <c r="G67" s="55">
        <v>-14647229.048284888</v>
      </c>
      <c r="H67" s="55">
        <v>-10253060.333799422</v>
      </c>
      <c r="I67" s="55">
        <v>24900289.38208431</v>
      </c>
      <c r="J67" s="55">
        <v>153795.90500699132</v>
      </c>
      <c r="K67" s="58">
        <v>-4306285.340195749</v>
      </c>
      <c r="L67" s="55">
        <v>-5229060.7702377001</v>
      </c>
      <c r="M67" s="59">
        <v>19671228.611846611</v>
      </c>
      <c r="N67" s="56">
        <v>16199835.327403095</v>
      </c>
    </row>
    <row r="68" spans="1:14" x14ac:dyDescent="0.2">
      <c r="A68" s="53">
        <v>45869</v>
      </c>
      <c r="B68" s="26" t="s">
        <v>147</v>
      </c>
      <c r="C68" s="55"/>
      <c r="D68" s="55">
        <v>35153349.715883732</v>
      </c>
      <c r="E68" s="55">
        <v>35153349.715883732</v>
      </c>
      <c r="F68" s="109">
        <v>732361.45241424441</v>
      </c>
      <c r="G68" s="55">
        <v>-15379590.500699133</v>
      </c>
      <c r="H68" s="55">
        <v>-10985421.786213666</v>
      </c>
      <c r="I68" s="55">
        <v>24167927.929670066</v>
      </c>
      <c r="J68" s="55">
        <v>153795.90500699132</v>
      </c>
      <c r="K68" s="58">
        <v>-4152489.4351887577</v>
      </c>
      <c r="L68" s="55">
        <v>-5075264.8652307084</v>
      </c>
      <c r="M68" s="59">
        <v>19092663.064439356</v>
      </c>
      <c r="N68" s="56">
        <v>15621269.779995842</v>
      </c>
    </row>
    <row r="69" spans="1:14" x14ac:dyDescent="0.2">
      <c r="A69" s="53">
        <v>45900</v>
      </c>
      <c r="B69" s="26" t="s">
        <v>147</v>
      </c>
      <c r="C69" s="55"/>
      <c r="D69" s="55">
        <v>35153349.715883732</v>
      </c>
      <c r="E69" s="55">
        <v>35153349.715883732</v>
      </c>
      <c r="F69" s="109">
        <v>732361.45241424441</v>
      </c>
      <c r="G69" s="55">
        <v>-16111951.953113377</v>
      </c>
      <c r="H69" s="55">
        <v>-11717783.238627911</v>
      </c>
      <c r="I69" s="55">
        <v>23435566.477255821</v>
      </c>
      <c r="J69" s="55">
        <v>153795.90500699132</v>
      </c>
      <c r="K69" s="58">
        <v>-3998693.5301817665</v>
      </c>
      <c r="L69" s="55">
        <v>-4921468.9602237158</v>
      </c>
      <c r="M69" s="59">
        <v>18514097.517032105</v>
      </c>
      <c r="N69" s="56">
        <v>15042704.232588589</v>
      </c>
    </row>
    <row r="70" spans="1:14" x14ac:dyDescent="0.2">
      <c r="A70" s="53">
        <v>45930</v>
      </c>
      <c r="B70" s="26" t="s">
        <v>147</v>
      </c>
      <c r="C70" s="55"/>
      <c r="D70" s="55">
        <v>35153349.715883732</v>
      </c>
      <c r="E70" s="55">
        <v>35153349.715883732</v>
      </c>
      <c r="F70" s="109">
        <v>732361.45241424441</v>
      </c>
      <c r="G70" s="55">
        <v>-16844313.405527622</v>
      </c>
      <c r="H70" s="55">
        <v>-12450144.691042155</v>
      </c>
      <c r="I70" s="55">
        <v>22703205.024841577</v>
      </c>
      <c r="J70" s="55">
        <v>153795.90500699132</v>
      </c>
      <c r="K70" s="58">
        <v>-3844897.6251747753</v>
      </c>
      <c r="L70" s="55">
        <v>-4767673.0552167241</v>
      </c>
      <c r="M70" s="59">
        <v>17935531.969624855</v>
      </c>
      <c r="N70" s="56">
        <v>14464138.685181335</v>
      </c>
    </row>
    <row r="71" spans="1:14" ht="13.5" thickBot="1" x14ac:dyDescent="0.25">
      <c r="A71" s="53">
        <v>45961</v>
      </c>
      <c r="B71" s="26" t="s">
        <v>147</v>
      </c>
      <c r="C71" s="55"/>
      <c r="D71" s="55">
        <v>35153349.715883732</v>
      </c>
      <c r="E71" s="55">
        <v>35153349.715883732</v>
      </c>
      <c r="F71" s="109">
        <v>732361.45241424441</v>
      </c>
      <c r="G71" s="55">
        <v>-17576674.857941866</v>
      </c>
      <c r="H71" s="55">
        <v>-13182506.143456399</v>
      </c>
      <c r="I71" s="55">
        <v>21970843.572427332</v>
      </c>
      <c r="J71" s="55">
        <v>153795.90500699132</v>
      </c>
      <c r="K71" s="58">
        <v>-3691101.720167784</v>
      </c>
      <c r="L71" s="55">
        <v>-4613877.1502097333</v>
      </c>
      <c r="M71" s="59">
        <v>17356966.4222176</v>
      </c>
      <c r="N71" s="56">
        <v>13885573.137774082</v>
      </c>
    </row>
    <row r="72" spans="1:14" x14ac:dyDescent="0.2">
      <c r="A72" s="120">
        <v>45991</v>
      </c>
      <c r="B72" s="127" t="s">
        <v>148</v>
      </c>
      <c r="C72" s="122"/>
      <c r="D72" s="122">
        <v>35153349.715883732</v>
      </c>
      <c r="E72" s="122">
        <v>35153349.715883732</v>
      </c>
      <c r="F72" s="133">
        <v>732361.45241424441</v>
      </c>
      <c r="G72" s="122">
        <v>-18309036.31035611</v>
      </c>
      <c r="H72" s="122">
        <v>-13914867.595870644</v>
      </c>
      <c r="I72" s="122">
        <v>21238482.120013088</v>
      </c>
      <c r="J72" s="122">
        <v>153795.90500699132</v>
      </c>
      <c r="K72" s="124">
        <v>-3537305.8151607928</v>
      </c>
      <c r="L72" s="122">
        <v>-4460081.2452027416</v>
      </c>
      <c r="M72" s="125">
        <v>16778400.874810345</v>
      </c>
      <c r="N72" s="126">
        <v>13307007.590366829</v>
      </c>
    </row>
    <row r="73" spans="1:14" x14ac:dyDescent="0.2">
      <c r="A73" s="53">
        <v>46022</v>
      </c>
      <c r="B73" s="26" t="s">
        <v>148</v>
      </c>
      <c r="C73" s="55"/>
      <c r="D73" s="55">
        <v>35153349.715883732</v>
      </c>
      <c r="E73" s="55">
        <v>35153349.715883732</v>
      </c>
      <c r="F73" s="109">
        <v>732361.45241424441</v>
      </c>
      <c r="G73" s="55">
        <v>-19041397.762770355</v>
      </c>
      <c r="H73" s="55">
        <v>-14647229.048284888</v>
      </c>
      <c r="I73" s="55">
        <v>20506120.667598844</v>
      </c>
      <c r="J73" s="55">
        <v>153795.90500699132</v>
      </c>
      <c r="K73" s="58">
        <v>-3383509.9101538016</v>
      </c>
      <c r="L73" s="55">
        <v>-4306285.3401957499</v>
      </c>
      <c r="M73" s="59">
        <v>16199835.327403095</v>
      </c>
      <c r="N73" s="56">
        <v>12728442.042959575</v>
      </c>
    </row>
    <row r="74" spans="1:14" x14ac:dyDescent="0.2">
      <c r="A74" s="53">
        <v>46053</v>
      </c>
      <c r="B74" s="26" t="s">
        <v>148</v>
      </c>
      <c r="D74" s="55">
        <v>35153349.715883732</v>
      </c>
      <c r="E74" s="55">
        <v>35153349.715883732</v>
      </c>
      <c r="F74" s="109">
        <v>732361.45241424441</v>
      </c>
      <c r="G74" s="55">
        <v>-19773759.215184599</v>
      </c>
      <c r="H74" s="55">
        <v>-15379590.500699133</v>
      </c>
      <c r="I74" s="55">
        <v>19773759.215184599</v>
      </c>
      <c r="J74" s="55">
        <v>153795.90500699132</v>
      </c>
      <c r="K74" s="58">
        <v>-3229714.0051468103</v>
      </c>
      <c r="L74" s="55">
        <v>-4152489.4351887577</v>
      </c>
      <c r="M74" s="59">
        <v>15621269.779995842</v>
      </c>
      <c r="N74" s="56">
        <v>12149876.495552322</v>
      </c>
    </row>
    <row r="75" spans="1:14" x14ac:dyDescent="0.2">
      <c r="A75" s="53">
        <v>46081</v>
      </c>
      <c r="B75" s="26" t="s">
        <v>148</v>
      </c>
      <c r="D75" s="55">
        <v>35153349.715883732</v>
      </c>
      <c r="E75" s="55">
        <v>35153349.715883732</v>
      </c>
      <c r="F75" s="109">
        <v>732361.45241424441</v>
      </c>
      <c r="G75" s="55">
        <v>-20506120.667598844</v>
      </c>
      <c r="H75" s="55">
        <v>-16111951.953113377</v>
      </c>
      <c r="I75" s="55">
        <v>19041397.762770355</v>
      </c>
      <c r="J75" s="55">
        <v>153795.90500699132</v>
      </c>
      <c r="K75" s="58">
        <v>-3075918.1001398191</v>
      </c>
      <c r="L75" s="55">
        <v>-3998693.530181767</v>
      </c>
      <c r="M75" s="59">
        <v>15042704.232588587</v>
      </c>
      <c r="N75" s="56">
        <v>11571310.948145069</v>
      </c>
    </row>
    <row r="76" spans="1:14" x14ac:dyDescent="0.2">
      <c r="A76" s="53">
        <v>46112</v>
      </c>
      <c r="B76" s="26" t="s">
        <v>148</v>
      </c>
      <c r="D76" s="55">
        <v>35153349.715883732</v>
      </c>
      <c r="E76" s="55">
        <v>35153349.715883732</v>
      </c>
      <c r="F76" s="109">
        <v>732361.45241424441</v>
      </c>
      <c r="G76" s="55">
        <v>-21238482.120013088</v>
      </c>
      <c r="H76" s="55">
        <v>-16844313.405527622</v>
      </c>
      <c r="I76" s="55">
        <v>18309036.31035611</v>
      </c>
      <c r="J76" s="55">
        <v>153795.90500699132</v>
      </c>
      <c r="K76" s="58">
        <v>-2922122.1951328279</v>
      </c>
      <c r="L76" s="55">
        <v>-3844897.6251747753</v>
      </c>
      <c r="M76" s="59">
        <v>14464138.685181335</v>
      </c>
      <c r="N76" s="56">
        <v>10992745.400737816</v>
      </c>
    </row>
    <row r="77" spans="1:14" x14ac:dyDescent="0.2">
      <c r="A77" s="53">
        <v>46142</v>
      </c>
      <c r="B77" s="26" t="s">
        <v>148</v>
      </c>
      <c r="D77" s="55">
        <v>35153349.715883732</v>
      </c>
      <c r="E77" s="55">
        <v>35153349.715883732</v>
      </c>
      <c r="F77" s="109">
        <v>732361.45241424441</v>
      </c>
      <c r="G77" s="55">
        <v>-21970843.572427332</v>
      </c>
      <c r="H77" s="55">
        <v>-17576674.857941866</v>
      </c>
      <c r="I77" s="55">
        <v>17576674.857941866</v>
      </c>
      <c r="J77" s="55">
        <v>153795.90500699132</v>
      </c>
      <c r="K77" s="58">
        <v>-2768326.2901258366</v>
      </c>
      <c r="L77" s="55">
        <v>-3691101.720167784</v>
      </c>
      <c r="M77" s="59">
        <v>13885573.137774082</v>
      </c>
      <c r="N77" s="56">
        <v>10414179.853330564</v>
      </c>
    </row>
    <row r="78" spans="1:14" x14ac:dyDescent="0.2">
      <c r="A78" s="53">
        <v>46173</v>
      </c>
      <c r="B78" s="26" t="s">
        <v>148</v>
      </c>
      <c r="D78" s="55">
        <v>35153349.715883732</v>
      </c>
      <c r="E78" s="55">
        <v>35153349.715883732</v>
      </c>
      <c r="F78" s="109">
        <v>732361.45241424441</v>
      </c>
      <c r="G78" s="55">
        <v>-22703205.024841577</v>
      </c>
      <c r="H78" s="55">
        <v>-18309036.31035611</v>
      </c>
      <c r="I78" s="55">
        <v>16844313.405527622</v>
      </c>
      <c r="J78" s="55">
        <v>153795.90500699132</v>
      </c>
      <c r="K78" s="58">
        <v>-2614530.3851188454</v>
      </c>
      <c r="L78" s="55">
        <v>-3537305.8151607937</v>
      </c>
      <c r="M78" s="59">
        <v>13307007.590366827</v>
      </c>
      <c r="N78" s="56">
        <v>9835614.3059233092</v>
      </c>
    </row>
    <row r="79" spans="1:14" x14ac:dyDescent="0.2">
      <c r="A79" s="53">
        <v>46203</v>
      </c>
      <c r="B79" s="26" t="s">
        <v>148</v>
      </c>
      <c r="D79" s="55">
        <v>35153349.715883732</v>
      </c>
      <c r="E79" s="55">
        <v>35153349.715883732</v>
      </c>
      <c r="F79" s="109">
        <v>732361.45241424441</v>
      </c>
      <c r="G79" s="55">
        <v>-23435566.477255821</v>
      </c>
      <c r="H79" s="55">
        <v>-19041397.762770355</v>
      </c>
      <c r="I79" s="55">
        <v>16111951.953113377</v>
      </c>
      <c r="J79" s="55">
        <v>153795.90500699132</v>
      </c>
      <c r="K79" s="58">
        <v>-2460734.4801118542</v>
      </c>
      <c r="L79" s="55">
        <v>-3383509.9101538011</v>
      </c>
      <c r="M79" s="55">
        <v>12728442.042959576</v>
      </c>
      <c r="N79" s="56">
        <v>9257048.7585160565</v>
      </c>
    </row>
    <row r="80" spans="1:14" x14ac:dyDescent="0.2">
      <c r="A80" s="53">
        <v>46234</v>
      </c>
      <c r="B80" s="26" t="s">
        <v>148</v>
      </c>
      <c r="D80" s="55">
        <v>35153349.715883732</v>
      </c>
      <c r="E80" s="55">
        <v>35153349.715883732</v>
      </c>
      <c r="F80" s="109">
        <v>732361.45241424441</v>
      </c>
      <c r="G80" s="55">
        <v>-24167927.929670066</v>
      </c>
      <c r="H80" s="55">
        <v>-19773759.215184599</v>
      </c>
      <c r="I80" s="55">
        <v>15379590.500699133</v>
      </c>
      <c r="J80" s="55">
        <v>153795.90500699132</v>
      </c>
      <c r="K80" s="58">
        <v>-2306938.5751048629</v>
      </c>
      <c r="L80" s="55">
        <v>-3229714.0051468103</v>
      </c>
      <c r="M80" s="55">
        <v>12149876.495552322</v>
      </c>
      <c r="N80" s="56">
        <v>8678483.2111088037</v>
      </c>
    </row>
    <row r="81" spans="1:14" x14ac:dyDescent="0.2">
      <c r="A81" s="53">
        <v>46265</v>
      </c>
      <c r="B81" s="26" t="s">
        <v>148</v>
      </c>
      <c r="D81" s="55">
        <v>35153349.715883732</v>
      </c>
      <c r="E81" s="55">
        <v>35153349.715883732</v>
      </c>
      <c r="F81" s="109">
        <v>732361.45241424441</v>
      </c>
      <c r="G81" s="55">
        <v>-24900289.38208431</v>
      </c>
      <c r="H81" s="55">
        <v>-20506120.667598844</v>
      </c>
      <c r="I81" s="55">
        <v>14647229.048284888</v>
      </c>
      <c r="J81" s="55">
        <v>153795.90500699132</v>
      </c>
      <c r="K81" s="58">
        <v>-2153142.6700978717</v>
      </c>
      <c r="L81" s="55">
        <v>-3075918.1001398191</v>
      </c>
      <c r="M81" s="55">
        <v>11571310.948145069</v>
      </c>
      <c r="N81" s="56">
        <v>8099917.6637015501</v>
      </c>
    </row>
    <row r="82" spans="1:14" x14ac:dyDescent="0.2">
      <c r="A82" s="53">
        <v>46295</v>
      </c>
      <c r="B82" s="26" t="s">
        <v>148</v>
      </c>
      <c r="D82" s="55">
        <v>35153349.715883732</v>
      </c>
      <c r="E82" s="55">
        <v>35153349.715883732</v>
      </c>
      <c r="F82" s="109">
        <v>732361.45241424441</v>
      </c>
      <c r="G82" s="55">
        <v>-25632650.834498554</v>
      </c>
      <c r="H82" s="55">
        <v>-21238482.120013088</v>
      </c>
      <c r="I82" s="55">
        <v>13914867.595870644</v>
      </c>
      <c r="J82" s="55">
        <v>153795.90500699132</v>
      </c>
      <c r="K82" s="58">
        <v>-1999346.7650908804</v>
      </c>
      <c r="L82" s="55">
        <v>-2922122.1951328279</v>
      </c>
      <c r="M82" s="55">
        <v>10992745.400737816</v>
      </c>
      <c r="N82" s="56">
        <v>7521352.1162942965</v>
      </c>
    </row>
    <row r="83" spans="1:14" ht="13.5" thickBot="1" x14ac:dyDescent="0.25">
      <c r="A83" s="53">
        <v>46326</v>
      </c>
      <c r="B83" s="26" t="s">
        <v>148</v>
      </c>
      <c r="D83" s="55">
        <v>35153349.715883732</v>
      </c>
      <c r="E83" s="55">
        <v>35153349.715883732</v>
      </c>
      <c r="F83" s="109">
        <v>732361.45241424441</v>
      </c>
      <c r="G83" s="55">
        <v>-26365012.286912799</v>
      </c>
      <c r="H83" s="55">
        <v>-21970843.572427332</v>
      </c>
      <c r="I83" s="55">
        <v>13182506.143456399</v>
      </c>
      <c r="J83" s="55">
        <v>153795.90500699132</v>
      </c>
      <c r="K83" s="58">
        <v>-1845550.8600838892</v>
      </c>
      <c r="L83" s="55">
        <v>-2768326.2901258362</v>
      </c>
      <c r="M83" s="55">
        <v>10414179.853330564</v>
      </c>
      <c r="N83" s="56">
        <v>6942786.5688870437</v>
      </c>
    </row>
    <row r="84" spans="1:14" x14ac:dyDescent="0.2">
      <c r="A84" s="120">
        <v>46356</v>
      </c>
      <c r="B84" s="127" t="s">
        <v>149</v>
      </c>
      <c r="C84" s="127"/>
      <c r="D84" s="122">
        <v>35153349.715883732</v>
      </c>
      <c r="E84" s="122">
        <v>35153349.715883732</v>
      </c>
      <c r="F84" s="133">
        <v>732361.45241424441</v>
      </c>
      <c r="G84" s="122">
        <v>-27097373.739327043</v>
      </c>
      <c r="H84" s="122">
        <v>-22703205.024841577</v>
      </c>
      <c r="I84" s="122">
        <v>12450144.691042155</v>
      </c>
      <c r="J84" s="122">
        <v>153795.90500699132</v>
      </c>
      <c r="K84" s="124">
        <v>-1691754.955076898</v>
      </c>
      <c r="L84" s="122">
        <v>-2614530.3851188454</v>
      </c>
      <c r="M84" s="122">
        <v>9835614.3059233092</v>
      </c>
      <c r="N84" s="126">
        <v>6364221.021479791</v>
      </c>
    </row>
    <row r="85" spans="1:14" x14ac:dyDescent="0.2">
      <c r="A85" s="53">
        <v>46387</v>
      </c>
      <c r="B85" s="26" t="s">
        <v>149</v>
      </c>
      <c r="D85" s="55">
        <v>35153349.715883732</v>
      </c>
      <c r="E85" s="55">
        <v>35153349.715883732</v>
      </c>
      <c r="F85" s="109">
        <v>732361.45241424441</v>
      </c>
      <c r="G85" s="55">
        <v>-27829735.191741288</v>
      </c>
      <c r="H85" s="55">
        <v>-23435566.477255821</v>
      </c>
      <c r="I85" s="55">
        <v>11717783.238627911</v>
      </c>
      <c r="J85" s="55">
        <v>153795.90500699132</v>
      </c>
      <c r="K85" s="58">
        <v>-1537959.0500699067</v>
      </c>
      <c r="L85" s="55">
        <v>-2460734.4801118542</v>
      </c>
      <c r="M85" s="55">
        <v>9257048.7585160565</v>
      </c>
      <c r="N85" s="56">
        <v>5785655.4740725374</v>
      </c>
    </row>
    <row r="86" spans="1:14" x14ac:dyDescent="0.2">
      <c r="A86" s="53">
        <v>46418</v>
      </c>
      <c r="B86" s="26" t="s">
        <v>149</v>
      </c>
      <c r="D86" s="55">
        <v>35153349.715883732</v>
      </c>
      <c r="E86" s="55">
        <v>35153349.715883732</v>
      </c>
      <c r="F86" s="109">
        <v>732361.45241424441</v>
      </c>
      <c r="G86" s="55">
        <v>-28562096.644155532</v>
      </c>
      <c r="H86" s="55">
        <v>-24167927.929670066</v>
      </c>
      <c r="I86" s="55">
        <v>10985421.786213666</v>
      </c>
      <c r="J86" s="55">
        <v>153795.90500699132</v>
      </c>
      <c r="K86" s="58">
        <v>-1384163.1450629155</v>
      </c>
      <c r="L86" s="55">
        <v>-2306938.5751048629</v>
      </c>
      <c r="M86" s="55">
        <v>8678483.2111088037</v>
      </c>
      <c r="N86" s="56">
        <v>5207089.9266652837</v>
      </c>
    </row>
    <row r="87" spans="1:14" x14ac:dyDescent="0.2">
      <c r="A87" s="53">
        <v>46446</v>
      </c>
      <c r="B87" s="26" t="s">
        <v>149</v>
      </c>
      <c r="D87" s="55">
        <v>35153349.715883732</v>
      </c>
      <c r="E87" s="55">
        <v>35153349.715883732</v>
      </c>
      <c r="F87" s="109">
        <v>732361.45241424441</v>
      </c>
      <c r="G87" s="55">
        <v>-29294458.096569777</v>
      </c>
      <c r="H87" s="55">
        <v>-24900289.38208431</v>
      </c>
      <c r="I87" s="55">
        <v>10253060.333799422</v>
      </c>
      <c r="J87" s="55">
        <v>153795.90500699132</v>
      </c>
      <c r="K87" s="58">
        <v>-1230367.2400559243</v>
      </c>
      <c r="L87" s="55">
        <v>-2153142.6700978717</v>
      </c>
      <c r="M87" s="55">
        <v>8099917.6637015501</v>
      </c>
      <c r="N87" s="56">
        <v>4628524.379258031</v>
      </c>
    </row>
    <row r="88" spans="1:14" x14ac:dyDescent="0.2">
      <c r="A88" s="53">
        <v>46477</v>
      </c>
      <c r="B88" s="26" t="s">
        <v>149</v>
      </c>
      <c r="D88" s="55">
        <v>35153349.715883732</v>
      </c>
      <c r="E88" s="55">
        <v>35153349.715883732</v>
      </c>
      <c r="F88" s="109">
        <v>732361.45241424441</v>
      </c>
      <c r="G88" s="55">
        <v>-30026819.548984021</v>
      </c>
      <c r="H88" s="55">
        <v>-25632650.834498554</v>
      </c>
      <c r="I88" s="55">
        <v>9520698.8813851774</v>
      </c>
      <c r="J88" s="55">
        <v>153795.90500699132</v>
      </c>
      <c r="K88" s="58">
        <v>-1076571.335048933</v>
      </c>
      <c r="L88" s="55">
        <v>-1999346.76509088</v>
      </c>
      <c r="M88" s="55">
        <v>7521352.1162942974</v>
      </c>
      <c r="N88" s="56">
        <v>4049958.8318507778</v>
      </c>
    </row>
    <row r="89" spans="1:14" x14ac:dyDescent="0.2">
      <c r="A89" s="53">
        <v>46507</v>
      </c>
      <c r="B89" s="26" t="s">
        <v>149</v>
      </c>
      <c r="D89" s="55">
        <v>35153349.715883732</v>
      </c>
      <c r="E89" s="55">
        <v>35153349.715883732</v>
      </c>
      <c r="F89" s="109">
        <v>732361.45241424441</v>
      </c>
      <c r="G89" s="55">
        <v>-30759181.001398265</v>
      </c>
      <c r="H89" s="55">
        <v>-26365012.286912799</v>
      </c>
      <c r="I89" s="55">
        <v>8788337.428970933</v>
      </c>
      <c r="J89" s="55">
        <v>153795.90500699132</v>
      </c>
      <c r="K89" s="58">
        <v>-922775.4300419417</v>
      </c>
      <c r="L89" s="55">
        <v>-1845550.8600838892</v>
      </c>
      <c r="M89" s="55">
        <v>6942786.5688870437</v>
      </c>
      <c r="N89" s="56">
        <v>3471393.2844435247</v>
      </c>
    </row>
    <row r="90" spans="1:14" x14ac:dyDescent="0.2">
      <c r="A90" s="53">
        <v>46538</v>
      </c>
      <c r="B90" s="26" t="s">
        <v>149</v>
      </c>
      <c r="D90" s="55">
        <v>35153349.715883732</v>
      </c>
      <c r="E90" s="55">
        <v>35153349.715883732</v>
      </c>
      <c r="F90" s="109">
        <v>732361.45241424441</v>
      </c>
      <c r="G90" s="55">
        <v>-31491542.45381251</v>
      </c>
      <c r="H90" s="55">
        <v>-27097373.739327043</v>
      </c>
      <c r="I90" s="55">
        <v>8055975.9765566885</v>
      </c>
      <c r="J90" s="55">
        <v>153795.90500699132</v>
      </c>
      <c r="K90" s="58">
        <v>-768979.52503495035</v>
      </c>
      <c r="L90" s="55">
        <v>-1691754.9550768982</v>
      </c>
      <c r="M90" s="55">
        <v>6364221.0214797901</v>
      </c>
      <c r="N90" s="56">
        <v>2892827.737036272</v>
      </c>
    </row>
    <row r="91" spans="1:14" x14ac:dyDescent="0.2">
      <c r="A91" s="53">
        <v>46568</v>
      </c>
      <c r="B91" s="26" t="s">
        <v>149</v>
      </c>
      <c r="D91" s="55">
        <v>35153349.715883732</v>
      </c>
      <c r="E91" s="55">
        <v>35153349.715883732</v>
      </c>
      <c r="F91" s="109">
        <v>732361.45241424441</v>
      </c>
      <c r="G91" s="55">
        <v>-32223903.906226754</v>
      </c>
      <c r="H91" s="55">
        <v>-27829735.191741284</v>
      </c>
      <c r="I91" s="55">
        <v>7323614.5241424479</v>
      </c>
      <c r="J91" s="55">
        <v>153795.90500699132</v>
      </c>
      <c r="K91" s="58">
        <v>-615183.620027959</v>
      </c>
      <c r="L91" s="55">
        <v>-1537959.0500699065</v>
      </c>
      <c r="M91" s="55">
        <v>5785655.4740725411</v>
      </c>
      <c r="N91" s="56">
        <v>2314262.1896290188</v>
      </c>
    </row>
    <row r="92" spans="1:14" x14ac:dyDescent="0.2">
      <c r="A92" s="53">
        <v>46599</v>
      </c>
      <c r="B92" s="26" t="s">
        <v>149</v>
      </c>
      <c r="D92" s="55">
        <v>35153349.715883732</v>
      </c>
      <c r="E92" s="55">
        <v>35153349.715883732</v>
      </c>
      <c r="F92" s="109">
        <v>732361.45241424441</v>
      </c>
      <c r="G92" s="55">
        <v>-32956265.358640999</v>
      </c>
      <c r="H92" s="55">
        <v>-28562096.644155532</v>
      </c>
      <c r="I92" s="55">
        <v>6591253.0717281997</v>
      </c>
      <c r="J92" s="55">
        <v>153795.90500699132</v>
      </c>
      <c r="K92" s="58">
        <v>-461387.71502096765</v>
      </c>
      <c r="L92" s="55">
        <v>-1384163.1450629155</v>
      </c>
      <c r="M92" s="55">
        <v>5207089.9266652837</v>
      </c>
      <c r="N92" s="56">
        <v>1735696.6422217656</v>
      </c>
    </row>
    <row r="93" spans="1:14" x14ac:dyDescent="0.2">
      <c r="A93" s="53">
        <v>46630</v>
      </c>
      <c r="B93" s="26" t="s">
        <v>149</v>
      </c>
      <c r="D93" s="55">
        <v>35153349.715883732</v>
      </c>
      <c r="E93" s="55">
        <v>35153349.715883732</v>
      </c>
      <c r="F93" s="109">
        <v>732361.45241424441</v>
      </c>
      <c r="G93" s="55">
        <v>-33688626.811055243</v>
      </c>
      <c r="H93" s="55">
        <v>-29294458.096569777</v>
      </c>
      <c r="I93" s="55">
        <v>5858891.6193139553</v>
      </c>
      <c r="J93" s="55">
        <v>153795.90500699132</v>
      </c>
      <c r="K93" s="58">
        <v>-307591.8100139763</v>
      </c>
      <c r="L93" s="55">
        <v>-1230367.240055924</v>
      </c>
      <c r="M93" s="55">
        <v>4628524.379258031</v>
      </c>
      <c r="N93" s="56">
        <v>1157131.0948145124</v>
      </c>
    </row>
    <row r="94" spans="1:14" x14ac:dyDescent="0.2">
      <c r="A94" s="53">
        <v>46660</v>
      </c>
      <c r="B94" s="26" t="s">
        <v>149</v>
      </c>
      <c r="D94" s="55">
        <v>35153349.715883732</v>
      </c>
      <c r="E94" s="55">
        <v>35153349.715883732</v>
      </c>
      <c r="F94" s="109">
        <v>732361.45241424441</v>
      </c>
      <c r="G94" s="55">
        <v>-34420988.263469487</v>
      </c>
      <c r="H94" s="55">
        <v>-30026819.548984021</v>
      </c>
      <c r="I94" s="55">
        <v>5126530.1668997109</v>
      </c>
      <c r="J94" s="55">
        <v>153795.90500699132</v>
      </c>
      <c r="K94" s="58">
        <v>-153795.90500698498</v>
      </c>
      <c r="L94" s="55">
        <v>-1076571.3350489328</v>
      </c>
      <c r="M94" s="55">
        <v>4049958.8318507783</v>
      </c>
      <c r="N94" s="56">
        <v>578565.54740725947</v>
      </c>
    </row>
    <row r="95" spans="1:14" ht="13.5" thickBot="1" x14ac:dyDescent="0.25">
      <c r="A95" s="53">
        <v>46691</v>
      </c>
      <c r="B95" s="26" t="s">
        <v>149</v>
      </c>
      <c r="D95" s="55">
        <v>35153349.715883732</v>
      </c>
      <c r="E95" s="55">
        <v>35153349.715883732</v>
      </c>
      <c r="F95" s="109">
        <v>732361.45241424441</v>
      </c>
      <c r="G95" s="55">
        <v>-35153349.715883732</v>
      </c>
      <c r="H95" s="55">
        <v>-30759181.001398269</v>
      </c>
      <c r="I95" s="55">
        <v>4394168.7144854628</v>
      </c>
      <c r="J95" s="55">
        <v>153795.90500699132</v>
      </c>
      <c r="K95" s="58">
        <v>6.3446350395679474E-9</v>
      </c>
      <c r="L95" s="55">
        <v>-922775.43004194146</v>
      </c>
      <c r="M95" s="55">
        <v>3471393.2844435214</v>
      </c>
      <c r="N95" s="56">
        <v>6.3446350395679474E-9</v>
      </c>
    </row>
    <row r="96" spans="1:14" x14ac:dyDescent="0.2">
      <c r="A96" s="120">
        <v>46721</v>
      </c>
      <c r="B96" s="127" t="s">
        <v>150</v>
      </c>
      <c r="C96" s="127"/>
      <c r="D96" s="122">
        <v>35153349.715883732</v>
      </c>
      <c r="E96" s="122">
        <v>35153349.715883732</v>
      </c>
      <c r="F96" s="151"/>
      <c r="G96" s="122">
        <v>-35153349.715883732</v>
      </c>
      <c r="H96" s="122">
        <v>-31461027.393295255</v>
      </c>
      <c r="I96" s="122">
        <v>3692322.3225884773</v>
      </c>
      <c r="J96" s="122">
        <v>0</v>
      </c>
      <c r="K96" s="124">
        <v>6.3446350395679474E-9</v>
      </c>
      <c r="L96" s="122">
        <v>-775387.68774357496</v>
      </c>
      <c r="M96" s="122">
        <v>2916934.6348449024</v>
      </c>
      <c r="N96" s="126">
        <v>6.3446350395679474E-9</v>
      </c>
    </row>
    <row r="97" spans="1:14" x14ac:dyDescent="0.2">
      <c r="A97" s="53">
        <v>46752</v>
      </c>
      <c r="B97" s="26" t="s">
        <v>150</v>
      </c>
      <c r="D97" s="55">
        <v>35153349.715883732</v>
      </c>
      <c r="E97" s="55">
        <v>35153349.715883732</v>
      </c>
      <c r="F97" s="57"/>
      <c r="G97" s="55">
        <v>-35153349.715883732</v>
      </c>
      <c r="H97" s="55">
        <v>-32101843.664157707</v>
      </c>
      <c r="I97" s="55">
        <v>3051506.0517260246</v>
      </c>
      <c r="J97" s="55">
        <v>0</v>
      </c>
      <c r="K97" s="58">
        <v>6.3446350395679474E-9</v>
      </c>
      <c r="L97" s="55">
        <v>-640816.27086245746</v>
      </c>
      <c r="M97" s="55">
        <v>2410689.7808635673</v>
      </c>
      <c r="N97" s="56">
        <v>6.3446350395679474E-9</v>
      </c>
    </row>
    <row r="98" spans="1:14" x14ac:dyDescent="0.2">
      <c r="A98" s="53">
        <v>46783</v>
      </c>
      <c r="B98" s="26" t="s">
        <v>150</v>
      </c>
      <c r="D98" s="55">
        <v>35153349.715883732</v>
      </c>
      <c r="E98" s="55">
        <v>35153349.715883732</v>
      </c>
      <c r="F98" s="57"/>
      <c r="G98" s="55">
        <v>-35153349.715883732</v>
      </c>
      <c r="H98" s="55">
        <v>-32681629.813985657</v>
      </c>
      <c r="I98" s="55">
        <v>2471719.9018980749</v>
      </c>
      <c r="J98" s="55">
        <v>0</v>
      </c>
      <c r="K98" s="58">
        <v>6.3446350395679474E-9</v>
      </c>
      <c r="L98" s="55">
        <v>-519061.17939858936</v>
      </c>
      <c r="M98" s="55">
        <v>1952658.7224994856</v>
      </c>
      <c r="N98" s="56">
        <v>6.3446350395679474E-9</v>
      </c>
    </row>
    <row r="99" spans="1:14" x14ac:dyDescent="0.2">
      <c r="A99" s="53">
        <v>46812</v>
      </c>
      <c r="B99" s="26" t="s">
        <v>150</v>
      </c>
      <c r="D99" s="55">
        <v>35153349.715883732</v>
      </c>
      <c r="E99" s="55">
        <v>35153349.715883732</v>
      </c>
      <c r="F99" s="57"/>
      <c r="G99" s="55">
        <v>-35153349.715883732</v>
      </c>
      <c r="H99" s="55">
        <v>-33200385.842779081</v>
      </c>
      <c r="I99" s="55">
        <v>1952963.8731046505</v>
      </c>
      <c r="J99" s="55">
        <v>0</v>
      </c>
      <c r="K99" s="58">
        <v>6.3446350395679474E-9</v>
      </c>
      <c r="L99" s="55">
        <v>-410122.41335197055</v>
      </c>
      <c r="M99" s="55">
        <v>1542841.45975268</v>
      </c>
      <c r="N99" s="56">
        <v>6.3446350395679474E-9</v>
      </c>
    </row>
    <row r="100" spans="1:14" x14ac:dyDescent="0.2">
      <c r="A100" s="53">
        <v>46843</v>
      </c>
      <c r="B100" s="26" t="s">
        <v>150</v>
      </c>
      <c r="D100" s="55">
        <v>35153349.715883732</v>
      </c>
      <c r="E100" s="55">
        <v>35153349.715883732</v>
      </c>
      <c r="F100" s="57"/>
      <c r="G100" s="55">
        <v>-35153349.715883732</v>
      </c>
      <c r="H100" s="55">
        <v>-33658111.750537984</v>
      </c>
      <c r="I100" s="55">
        <v>1495237.9653457478</v>
      </c>
      <c r="J100" s="55">
        <v>0</v>
      </c>
      <c r="K100" s="58">
        <v>6.3446350395679474E-9</v>
      </c>
      <c r="L100" s="55">
        <v>-313999.97272260091</v>
      </c>
      <c r="M100" s="55">
        <v>1181237.9926231469</v>
      </c>
      <c r="N100" s="56">
        <v>6.3446350395679474E-9</v>
      </c>
    </row>
    <row r="101" spans="1:14" x14ac:dyDescent="0.2">
      <c r="A101" s="53">
        <v>46873</v>
      </c>
      <c r="B101" s="26" t="s">
        <v>150</v>
      </c>
      <c r="D101" s="55">
        <v>35153349.715883732</v>
      </c>
      <c r="E101" s="55">
        <v>35153349.715883732</v>
      </c>
      <c r="F101" s="57"/>
      <c r="G101" s="55">
        <v>-35153349.715883732</v>
      </c>
      <c r="H101" s="55">
        <v>-34054807.537262373</v>
      </c>
      <c r="I101" s="55">
        <v>1098542.1786213592</v>
      </c>
      <c r="J101" s="55">
        <v>0</v>
      </c>
      <c r="K101" s="58">
        <v>6.3446350395679474E-9</v>
      </c>
      <c r="L101" s="55">
        <v>-230693.85751048059</v>
      </c>
      <c r="M101" s="55">
        <v>867848.32111087861</v>
      </c>
      <c r="N101" s="56">
        <v>6.3446350395679474E-9</v>
      </c>
    </row>
    <row r="102" spans="1:14" x14ac:dyDescent="0.2">
      <c r="A102" s="53">
        <v>46904</v>
      </c>
      <c r="B102" s="26" t="s">
        <v>150</v>
      </c>
      <c r="D102" s="55">
        <v>35153349.715883732</v>
      </c>
      <c r="E102" s="55">
        <v>35153349.715883732</v>
      </c>
      <c r="F102" s="57"/>
      <c r="G102" s="55">
        <v>-35153349.715883732</v>
      </c>
      <c r="H102" s="55">
        <v>-34390473.202952228</v>
      </c>
      <c r="I102" s="55">
        <v>762876.51293150336</v>
      </c>
      <c r="J102" s="55">
        <v>0</v>
      </c>
      <c r="K102" s="58">
        <v>6.3446350395679474E-9</v>
      </c>
      <c r="L102" s="55">
        <v>-160204.06771560965</v>
      </c>
      <c r="M102" s="55">
        <v>602672.44521589368</v>
      </c>
      <c r="N102" s="56">
        <v>6.3446350395679474E-9</v>
      </c>
    </row>
    <row r="103" spans="1:14" x14ac:dyDescent="0.2">
      <c r="A103" s="53">
        <v>46934</v>
      </c>
      <c r="B103" s="26" t="s">
        <v>150</v>
      </c>
      <c r="D103" s="55">
        <v>35153349.715883732</v>
      </c>
      <c r="E103" s="55">
        <v>35153349.715883732</v>
      </c>
      <c r="F103" s="57"/>
      <c r="G103" s="55">
        <v>-35153349.715883732</v>
      </c>
      <c r="H103" s="55">
        <v>-34665108.747607566</v>
      </c>
      <c r="I103" s="55">
        <v>488240.96827616543</v>
      </c>
      <c r="J103" s="55">
        <v>0</v>
      </c>
      <c r="K103" s="58">
        <v>6.3446350395679474E-9</v>
      </c>
      <c r="L103" s="55">
        <v>-102530.60333798791</v>
      </c>
      <c r="M103" s="55">
        <v>385710.36493817752</v>
      </c>
      <c r="N103" s="56">
        <v>6.3446350395679474E-9</v>
      </c>
    </row>
    <row r="104" spans="1:14" x14ac:dyDescent="0.2">
      <c r="A104" s="53">
        <v>46965</v>
      </c>
      <c r="B104" s="26" t="s">
        <v>150</v>
      </c>
      <c r="D104" s="55">
        <v>35153349.715883732</v>
      </c>
      <c r="E104" s="55">
        <v>35153349.715883732</v>
      </c>
      <c r="F104" s="57"/>
      <c r="G104" s="55">
        <v>-35153349.715883732</v>
      </c>
      <c r="H104" s="55">
        <v>-34878714.171228394</v>
      </c>
      <c r="I104" s="55">
        <v>274635.54465533793</v>
      </c>
      <c r="J104" s="55">
        <v>0</v>
      </c>
      <c r="K104" s="58">
        <v>6.3446350395679474E-9</v>
      </c>
      <c r="L104" s="55">
        <v>-57673.464377615397</v>
      </c>
      <c r="M104" s="55">
        <v>216962.08027772253</v>
      </c>
      <c r="N104" s="56">
        <v>6.3446350395679474E-9</v>
      </c>
    </row>
    <row r="105" spans="1:14" x14ac:dyDescent="0.2">
      <c r="A105" s="53">
        <v>46996</v>
      </c>
      <c r="B105" s="26" t="s">
        <v>150</v>
      </c>
      <c r="D105" s="55">
        <v>35153349.715883732</v>
      </c>
      <c r="E105" s="55">
        <v>35153349.715883732</v>
      </c>
      <c r="F105" s="57"/>
      <c r="G105" s="55">
        <v>-35153349.715883732</v>
      </c>
      <c r="H105" s="55">
        <v>-35031289.473814689</v>
      </c>
      <c r="I105" s="55">
        <v>122060.24206904322</v>
      </c>
      <c r="J105" s="55">
        <v>0</v>
      </c>
      <c r="K105" s="58">
        <v>6.3446350395679474E-9</v>
      </c>
      <c r="L105" s="55">
        <v>-25632.650834492208</v>
      </c>
      <c r="M105" s="55">
        <v>96427.591234551015</v>
      </c>
      <c r="N105" s="56">
        <v>6.3446350395679474E-9</v>
      </c>
    </row>
    <row r="106" spans="1:14" x14ac:dyDescent="0.2">
      <c r="A106" s="53">
        <v>47026</v>
      </c>
      <c r="B106" s="26" t="s">
        <v>150</v>
      </c>
      <c r="D106" s="55">
        <v>35153349.715883732</v>
      </c>
      <c r="E106" s="55">
        <v>35153349.715883732</v>
      </c>
      <c r="F106" s="57"/>
      <c r="G106" s="55">
        <v>-35153349.715883732</v>
      </c>
      <c r="H106" s="55">
        <v>-35122834.655366473</v>
      </c>
      <c r="I106" s="55">
        <v>30515.060517258942</v>
      </c>
      <c r="J106" s="55">
        <v>0</v>
      </c>
      <c r="K106" s="58">
        <v>6.3446350395679474E-9</v>
      </c>
      <c r="L106" s="55">
        <v>-6408.1627086182934</v>
      </c>
      <c r="M106" s="55">
        <v>24106.89780864065</v>
      </c>
      <c r="N106" s="56">
        <v>6.3446350395679474E-9</v>
      </c>
    </row>
    <row r="107" spans="1:14" x14ac:dyDescent="0.2">
      <c r="A107" s="60">
        <v>47057</v>
      </c>
      <c r="B107" s="61" t="s">
        <v>150</v>
      </c>
      <c r="C107" s="61"/>
      <c r="D107" s="62">
        <v>35153349.715883732</v>
      </c>
      <c r="E107" s="62">
        <v>35153349.715883732</v>
      </c>
      <c r="F107" s="65"/>
      <c r="G107" s="62">
        <v>-35153349.715883732</v>
      </c>
      <c r="H107" s="62">
        <v>-35153349.715883732</v>
      </c>
      <c r="I107" s="62">
        <v>0</v>
      </c>
      <c r="J107" s="62">
        <v>0</v>
      </c>
      <c r="K107" s="63">
        <v>6.3446350395679474E-9</v>
      </c>
      <c r="L107" s="62">
        <v>6.3446350395679474E-9</v>
      </c>
      <c r="M107" s="62">
        <v>6.3446350395679474E-9</v>
      </c>
      <c r="N107" s="64">
        <v>6.3446350395679474E-9</v>
      </c>
    </row>
    <row r="108" spans="1:14" x14ac:dyDescent="0.2">
      <c r="A108" s="134"/>
      <c r="B108" s="33"/>
      <c r="C108" s="33"/>
      <c r="D108" s="135"/>
      <c r="E108" s="135"/>
      <c r="F108" s="150"/>
      <c r="G108" s="135"/>
      <c r="H108" s="135"/>
      <c r="I108" s="135"/>
      <c r="J108" s="135"/>
      <c r="K108" s="137"/>
      <c r="L108" s="135"/>
      <c r="M108" s="135"/>
      <c r="N108" s="135"/>
    </row>
    <row r="109" spans="1:14" x14ac:dyDescent="0.2">
      <c r="A109" s="53"/>
      <c r="D109" s="55"/>
      <c r="E109" s="55"/>
      <c r="F109" s="57"/>
      <c r="G109" s="55"/>
      <c r="H109" s="55"/>
      <c r="I109" s="55"/>
      <c r="J109" s="55"/>
      <c r="K109" s="58"/>
      <c r="L109" s="55"/>
      <c r="M109" s="55"/>
      <c r="N109" s="55"/>
    </row>
    <row r="111" spans="1:14" x14ac:dyDescent="0.2">
      <c r="A111" s="26" t="s">
        <v>138</v>
      </c>
      <c r="F111" s="116">
        <f>SUM(F48:F59)</f>
        <v>8788337.428970933</v>
      </c>
    </row>
  </sheetData>
  <printOptions horizontalCentered="1"/>
  <pageMargins left="0.2" right="0.2" top="0.5" bottom="0.5" header="0.3" footer="0.3"/>
  <pageSetup scale="68" firstPageNumber="8" fitToHeight="0" orientation="landscape" useFirstPageNumber="1" r:id="rId1"/>
  <headerFooter>
    <oddFooter>&amp;R&amp;"Times New Roman,Regular"Exh. SEF-3 page &amp;P of 16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0"/>
  <sheetViews>
    <sheetView workbookViewId="0">
      <pane xSplit="1" ySplit="9" topLeftCell="B10" activePane="bottomRight" state="frozen"/>
      <selection activeCell="C35" sqref="C35"/>
      <selection pane="topRight" activeCell="C35" sqref="C35"/>
      <selection pane="bottomLeft" activeCell="C35" sqref="C35"/>
      <selection pane="bottomRight" activeCell="A110" sqref="A110"/>
    </sheetView>
  </sheetViews>
  <sheetFormatPr defaultColWidth="9.140625" defaultRowHeight="12.75" outlineLevelRow="1" x14ac:dyDescent="0.2"/>
  <cols>
    <col min="1" max="1" width="9.7109375" style="26" customWidth="1"/>
    <col min="2" max="2" width="8.85546875" style="26" bestFit="1" customWidth="1"/>
    <col min="3" max="3" width="11.28515625" style="26" customWidth="1"/>
    <col min="4" max="4" width="10.28515625" style="26" bestFit="1" customWidth="1"/>
    <col min="5" max="5" width="10.7109375" style="26" bestFit="1" customWidth="1"/>
    <col min="6" max="6" width="15" style="26" bestFit="1" customWidth="1"/>
    <col min="7" max="7" width="16.140625" style="26" bestFit="1" customWidth="1"/>
    <col min="8" max="8" width="12.140625" style="26" bestFit="1" customWidth="1"/>
    <col min="9" max="9" width="11.42578125" style="26" bestFit="1" customWidth="1"/>
    <col min="10" max="10" width="15" style="26" bestFit="1" customWidth="1"/>
    <col min="11" max="11" width="16.7109375" style="26" bestFit="1" customWidth="1"/>
    <col min="12" max="12" width="11.28515625" style="26" bestFit="1" customWidth="1"/>
    <col min="13" max="13" width="11.42578125" style="26" bestFit="1" customWidth="1"/>
    <col min="14" max="14" width="11.140625" style="26" bestFit="1" customWidth="1"/>
    <col min="15" max="15" width="6.28515625" style="26" bestFit="1" customWidth="1"/>
    <col min="16" max="16384" width="9.140625" style="26"/>
  </cols>
  <sheetData>
    <row r="1" spans="1:15" x14ac:dyDescent="0.2">
      <c r="A1" s="25" t="s">
        <v>43</v>
      </c>
    </row>
    <row r="2" spans="1:15" x14ac:dyDescent="0.2">
      <c r="A2" s="25" t="s">
        <v>187</v>
      </c>
    </row>
    <row r="3" spans="1:15" x14ac:dyDescent="0.2">
      <c r="A3" s="25" t="s">
        <v>45</v>
      </c>
    </row>
    <row r="4" spans="1:15" x14ac:dyDescent="0.2">
      <c r="C4" s="27"/>
      <c r="D4" s="28"/>
      <c r="E4" s="29"/>
      <c r="F4" s="30"/>
      <c r="G4" s="30"/>
      <c r="H4" s="30"/>
      <c r="I4" s="30"/>
      <c r="J4" s="29"/>
      <c r="K4" s="31"/>
      <c r="L4" s="29"/>
      <c r="M4" s="29"/>
    </row>
    <row r="5" spans="1:15" x14ac:dyDescent="0.2">
      <c r="C5" s="25" t="s">
        <v>46</v>
      </c>
      <c r="D5" s="32"/>
      <c r="E5" s="29"/>
      <c r="F5" s="30"/>
      <c r="G5" s="30"/>
      <c r="H5" s="30"/>
      <c r="I5" s="30"/>
      <c r="J5" s="30"/>
      <c r="K5" s="30"/>
      <c r="L5" s="30"/>
      <c r="M5" s="30"/>
    </row>
    <row r="6" spans="1:15" x14ac:dyDescent="0.2">
      <c r="A6" s="33"/>
      <c r="B6" s="33"/>
      <c r="C6" s="34" t="s">
        <v>47</v>
      </c>
      <c r="D6" s="34" t="s">
        <v>48</v>
      </c>
      <c r="E6" s="34" t="s">
        <v>49</v>
      </c>
      <c r="F6" s="34" t="s">
        <v>50</v>
      </c>
      <c r="G6" s="34" t="s">
        <v>51</v>
      </c>
      <c r="H6" s="34" t="s">
        <v>52</v>
      </c>
      <c r="I6" s="34" t="s">
        <v>41</v>
      </c>
      <c r="J6" s="34" t="s">
        <v>50</v>
      </c>
      <c r="K6" s="34" t="s">
        <v>51</v>
      </c>
      <c r="L6" s="34" t="s">
        <v>53</v>
      </c>
      <c r="M6" s="35" t="s">
        <v>54</v>
      </c>
      <c r="N6" s="36" t="s">
        <v>48</v>
      </c>
      <c r="O6" s="30" t="s">
        <v>158</v>
      </c>
    </row>
    <row r="7" spans="1:15" x14ac:dyDescent="0.2">
      <c r="A7" s="30" t="s">
        <v>55</v>
      </c>
      <c r="B7" s="37"/>
      <c r="C7" s="30" t="s">
        <v>56</v>
      </c>
      <c r="D7" s="30"/>
      <c r="E7" s="30" t="s">
        <v>48</v>
      </c>
      <c r="F7" s="30" t="s">
        <v>57</v>
      </c>
      <c r="G7" s="30" t="s">
        <v>57</v>
      </c>
      <c r="H7" s="30" t="s">
        <v>57</v>
      </c>
      <c r="I7" s="30" t="s">
        <v>58</v>
      </c>
      <c r="J7" s="30" t="s">
        <v>59</v>
      </c>
      <c r="K7" s="30" t="s">
        <v>59</v>
      </c>
      <c r="L7" s="30" t="s">
        <v>41</v>
      </c>
      <c r="M7" s="38" t="s">
        <v>53</v>
      </c>
      <c r="N7" s="39" t="s">
        <v>60</v>
      </c>
      <c r="O7" s="30" t="s">
        <v>160</v>
      </c>
    </row>
    <row r="8" spans="1:15" x14ac:dyDescent="0.2">
      <c r="A8" s="30" t="s">
        <v>61</v>
      </c>
      <c r="B8" s="37"/>
      <c r="C8" s="30" t="s">
        <v>62</v>
      </c>
      <c r="D8" s="30" t="s">
        <v>63</v>
      </c>
      <c r="E8" s="30" t="s">
        <v>64</v>
      </c>
      <c r="F8" s="30" t="s">
        <v>65</v>
      </c>
      <c r="G8" s="40" t="s">
        <v>66</v>
      </c>
      <c r="H8" s="30" t="s">
        <v>67</v>
      </c>
      <c r="I8" s="30" t="s">
        <v>68</v>
      </c>
      <c r="J8" s="30" t="s">
        <v>69</v>
      </c>
      <c r="K8" s="30" t="s">
        <v>70</v>
      </c>
      <c r="L8" s="30" t="s">
        <v>71</v>
      </c>
      <c r="M8" s="38" t="s">
        <v>72</v>
      </c>
      <c r="N8" s="39" t="s">
        <v>73</v>
      </c>
      <c r="O8" s="132" t="s">
        <v>159</v>
      </c>
    </row>
    <row r="9" spans="1:15" x14ac:dyDescent="0.2">
      <c r="A9" s="41"/>
      <c r="B9" s="41"/>
      <c r="C9" s="42"/>
      <c r="D9" s="42"/>
      <c r="E9" s="42"/>
      <c r="F9" s="43" t="s">
        <v>74</v>
      </c>
      <c r="G9" s="42"/>
      <c r="H9" s="42"/>
      <c r="I9" s="42"/>
      <c r="J9" s="42" t="s">
        <v>75</v>
      </c>
      <c r="K9" s="44"/>
      <c r="L9" s="42"/>
      <c r="M9" s="45"/>
      <c r="N9" s="46"/>
      <c r="O9" s="30">
        <v>0.21</v>
      </c>
    </row>
    <row r="10" spans="1:15" x14ac:dyDescent="0.2">
      <c r="A10" s="47"/>
      <c r="C10" s="30"/>
      <c r="D10" s="48"/>
      <c r="E10" s="49"/>
      <c r="F10" s="30"/>
      <c r="G10" s="30"/>
      <c r="H10" s="48"/>
      <c r="I10" s="48"/>
      <c r="J10" s="50"/>
      <c r="K10" s="50"/>
      <c r="L10" s="50"/>
      <c r="M10" s="51"/>
      <c r="N10" s="52"/>
    </row>
    <row r="11" spans="1:15" x14ac:dyDescent="0.2">
      <c r="A11" s="53" t="s">
        <v>76</v>
      </c>
      <c r="B11" s="53"/>
      <c r="C11" s="54"/>
      <c r="D11" s="48"/>
      <c r="E11" s="55"/>
      <c r="F11" s="48"/>
      <c r="G11" s="48"/>
      <c r="H11" s="48"/>
      <c r="I11" s="48"/>
      <c r="J11" s="55"/>
      <c r="K11" s="55"/>
      <c r="L11" s="55"/>
      <c r="M11" s="51"/>
      <c r="N11" s="56"/>
    </row>
    <row r="12" spans="1:15" hidden="1" outlineLevel="1" x14ac:dyDescent="0.2">
      <c r="A12" s="53">
        <v>44165</v>
      </c>
      <c r="B12" s="53"/>
      <c r="C12" s="54"/>
      <c r="D12" s="48"/>
      <c r="E12" s="55"/>
      <c r="F12" s="48"/>
      <c r="G12" s="48"/>
      <c r="H12" s="48"/>
      <c r="I12" s="48"/>
      <c r="J12" s="55"/>
      <c r="K12" s="55"/>
      <c r="L12" s="55"/>
      <c r="M12" s="50"/>
      <c r="N12" s="56"/>
    </row>
    <row r="13" spans="1:15" hidden="1" outlineLevel="1" x14ac:dyDescent="0.2">
      <c r="A13" s="53">
        <v>44196</v>
      </c>
      <c r="B13" s="53"/>
      <c r="C13" s="54"/>
      <c r="D13" s="48"/>
      <c r="E13" s="55"/>
      <c r="F13" s="48"/>
      <c r="G13" s="48"/>
      <c r="H13" s="48"/>
      <c r="I13" s="48"/>
      <c r="J13" s="55"/>
      <c r="K13" s="55"/>
      <c r="L13" s="55"/>
      <c r="M13" s="50"/>
      <c r="N13" s="56"/>
    </row>
    <row r="14" spans="1:15" hidden="1" outlineLevel="1" x14ac:dyDescent="0.2">
      <c r="A14" s="53">
        <v>44227</v>
      </c>
      <c r="B14" s="53"/>
      <c r="C14" s="54"/>
      <c r="D14" s="48"/>
      <c r="E14" s="55"/>
      <c r="F14" s="48"/>
      <c r="G14" s="48"/>
      <c r="H14" s="48"/>
      <c r="I14" s="48"/>
      <c r="J14" s="55"/>
      <c r="K14" s="55"/>
      <c r="L14" s="55"/>
      <c r="M14" s="50"/>
      <c r="N14" s="56"/>
    </row>
    <row r="15" spans="1:15" hidden="1" outlineLevel="1" x14ac:dyDescent="0.2">
      <c r="A15" s="53">
        <v>44255</v>
      </c>
      <c r="B15" s="53"/>
      <c r="C15" s="54"/>
      <c r="D15" s="48"/>
      <c r="E15" s="55"/>
      <c r="F15" s="48"/>
      <c r="G15" s="48"/>
      <c r="H15" s="48"/>
      <c r="I15" s="48"/>
      <c r="J15" s="55"/>
      <c r="K15" s="55"/>
      <c r="L15" s="55"/>
      <c r="M15" s="50"/>
      <c r="N15" s="56"/>
    </row>
    <row r="16" spans="1:15" hidden="1" outlineLevel="1" x14ac:dyDescent="0.2">
      <c r="A16" s="53">
        <v>44286</v>
      </c>
      <c r="B16" s="53"/>
      <c r="C16" s="54"/>
      <c r="D16" s="48"/>
      <c r="E16" s="55"/>
      <c r="F16" s="48"/>
      <c r="G16" s="48"/>
      <c r="H16" s="48"/>
      <c r="I16" s="48"/>
      <c r="J16" s="55"/>
      <c r="K16" s="55"/>
      <c r="L16" s="55"/>
      <c r="M16" s="50"/>
      <c r="N16" s="56"/>
    </row>
    <row r="17" spans="1:15" hidden="1" outlineLevel="1" x14ac:dyDescent="0.2">
      <c r="A17" s="53">
        <v>44316</v>
      </c>
      <c r="B17" s="53"/>
      <c r="C17" s="54"/>
      <c r="D17" s="48"/>
      <c r="E17" s="55"/>
      <c r="F17" s="48"/>
      <c r="G17" s="48"/>
      <c r="H17" s="48"/>
      <c r="I17" s="48"/>
      <c r="J17" s="55"/>
      <c r="K17" s="55"/>
      <c r="L17" s="55"/>
      <c r="M17" s="50"/>
      <c r="N17" s="56"/>
    </row>
    <row r="18" spans="1:15" hidden="1" outlineLevel="1" x14ac:dyDescent="0.2">
      <c r="A18" s="53">
        <v>44347</v>
      </c>
      <c r="B18" s="53"/>
      <c r="C18" s="54"/>
      <c r="D18" s="48"/>
      <c r="E18" s="55"/>
      <c r="F18" s="48"/>
      <c r="G18" s="48"/>
      <c r="H18" s="48"/>
      <c r="I18" s="48"/>
      <c r="J18" s="55"/>
      <c r="K18" s="55"/>
      <c r="L18" s="55"/>
      <c r="M18" s="50"/>
      <c r="N18" s="56"/>
    </row>
    <row r="19" spans="1:15" hidden="1" outlineLevel="1" x14ac:dyDescent="0.2">
      <c r="A19" s="53">
        <v>44377</v>
      </c>
      <c r="B19" s="53"/>
      <c r="C19" s="54"/>
      <c r="D19" s="48"/>
      <c r="E19" s="55"/>
      <c r="F19" s="48"/>
      <c r="G19" s="48"/>
      <c r="H19" s="48"/>
      <c r="I19" s="48"/>
      <c r="J19" s="55"/>
      <c r="K19" s="55"/>
      <c r="L19" s="55"/>
      <c r="M19" s="50"/>
      <c r="N19" s="56"/>
    </row>
    <row r="20" spans="1:15" hidden="1" outlineLevel="1" x14ac:dyDescent="0.2">
      <c r="A20" s="53">
        <v>44408</v>
      </c>
      <c r="B20" s="53"/>
      <c r="C20" s="54"/>
      <c r="D20" s="48"/>
      <c r="E20" s="55"/>
      <c r="F20" s="48"/>
      <c r="G20" s="48"/>
      <c r="H20" s="48"/>
      <c r="I20" s="48"/>
      <c r="J20" s="55"/>
      <c r="K20" s="55"/>
      <c r="L20" s="55"/>
      <c r="M20" s="50"/>
      <c r="N20" s="56"/>
    </row>
    <row r="21" spans="1:15" hidden="1" outlineLevel="1" x14ac:dyDescent="0.2">
      <c r="A21" s="53">
        <v>44439</v>
      </c>
      <c r="B21" s="53"/>
      <c r="C21" s="54"/>
      <c r="D21" s="48"/>
      <c r="E21" s="55"/>
      <c r="F21" s="48"/>
      <c r="G21" s="48"/>
      <c r="H21" s="48"/>
      <c r="I21" s="48"/>
      <c r="J21" s="55"/>
      <c r="K21" s="55"/>
      <c r="L21" s="55"/>
      <c r="M21" s="50"/>
      <c r="N21" s="56"/>
    </row>
    <row r="22" spans="1:15" hidden="1" outlineLevel="1" x14ac:dyDescent="0.2">
      <c r="A22" s="53">
        <v>44469</v>
      </c>
      <c r="B22" s="53"/>
      <c r="C22" s="67"/>
      <c r="D22" s="48"/>
      <c r="E22" s="55"/>
      <c r="F22" s="48"/>
      <c r="G22" s="48"/>
      <c r="H22" s="48"/>
      <c r="I22" s="48"/>
      <c r="J22" s="55"/>
      <c r="K22" s="55"/>
      <c r="L22" s="55"/>
      <c r="M22" s="50"/>
      <c r="N22" s="56"/>
    </row>
    <row r="23" spans="1:15" hidden="1" outlineLevel="1" x14ac:dyDescent="0.2">
      <c r="A23" s="53">
        <v>44500</v>
      </c>
      <c r="B23" s="53"/>
      <c r="C23" s="67"/>
      <c r="D23" s="48"/>
      <c r="E23" s="55"/>
      <c r="F23" s="48"/>
      <c r="G23" s="48"/>
      <c r="H23" s="48"/>
      <c r="I23" s="48"/>
      <c r="J23" s="55"/>
      <c r="K23" s="55"/>
      <c r="L23" s="55"/>
      <c r="M23" s="50"/>
      <c r="N23" s="56"/>
    </row>
    <row r="24" spans="1:15" collapsed="1" x14ac:dyDescent="0.2">
      <c r="A24" s="53">
        <v>44530</v>
      </c>
      <c r="B24" s="53"/>
      <c r="C24" s="54"/>
      <c r="D24" s="55">
        <f>D11+C24</f>
        <v>0</v>
      </c>
      <c r="E24" s="55">
        <f t="shared" ref="E24:E87" si="0">(D12+D24+SUM(D13:D23)*2)/24</f>
        <v>0</v>
      </c>
      <c r="F24" s="55">
        <v>0</v>
      </c>
      <c r="G24" s="55">
        <v>0</v>
      </c>
      <c r="H24" s="55">
        <v>0</v>
      </c>
      <c r="I24" s="55">
        <v>0</v>
      </c>
      <c r="J24" s="55">
        <f t="shared" ref="J24:J87" si="1">(-C24*0.21)+(F24*0.21)</f>
        <v>0</v>
      </c>
      <c r="K24" s="55">
        <f t="shared" ref="K24:K87" si="2">K23+J24</f>
        <v>0</v>
      </c>
      <c r="L24" s="55">
        <v>0</v>
      </c>
      <c r="M24" s="55">
        <v>0</v>
      </c>
      <c r="N24" s="56">
        <v>0</v>
      </c>
    </row>
    <row r="25" spans="1:15" x14ac:dyDescent="0.2">
      <c r="A25" s="53">
        <v>44561</v>
      </c>
      <c r="B25" s="53"/>
      <c r="C25" s="54"/>
      <c r="D25" s="55">
        <f t="shared" ref="D25:D88" si="3">D24+C25</f>
        <v>0</v>
      </c>
      <c r="E25" s="55">
        <f t="shared" si="0"/>
        <v>0</v>
      </c>
      <c r="F25" s="55">
        <v>0</v>
      </c>
      <c r="G25" s="55">
        <v>0</v>
      </c>
      <c r="H25" s="55">
        <v>0</v>
      </c>
      <c r="I25" s="55">
        <v>0</v>
      </c>
      <c r="J25" s="55">
        <f t="shared" si="1"/>
        <v>0</v>
      </c>
      <c r="K25" s="55">
        <f t="shared" si="2"/>
        <v>0</v>
      </c>
      <c r="L25" s="55">
        <v>0</v>
      </c>
      <c r="M25" s="55">
        <v>0</v>
      </c>
      <c r="N25" s="56">
        <v>0</v>
      </c>
    </row>
    <row r="26" spans="1:15" x14ac:dyDescent="0.2">
      <c r="A26" s="53">
        <v>44592</v>
      </c>
      <c r="B26" s="53"/>
      <c r="C26" s="54"/>
      <c r="D26" s="55">
        <f t="shared" si="3"/>
        <v>0</v>
      </c>
      <c r="E26" s="55">
        <f>(D14+D26+SUM(D15:D25)*2)/24</f>
        <v>0</v>
      </c>
      <c r="F26" s="111"/>
      <c r="G26" s="55">
        <f t="shared" ref="G26:G37" si="4">G25-F26</f>
        <v>0</v>
      </c>
      <c r="H26" s="55">
        <f t="shared" ref="H26:H37" si="5">(G14+G26+SUM(G15:G25)*2)/24</f>
        <v>0</v>
      </c>
      <c r="I26" s="55">
        <f>E26+H26</f>
        <v>0</v>
      </c>
      <c r="J26" s="55">
        <f t="shared" si="1"/>
        <v>0</v>
      </c>
      <c r="K26" s="55">
        <f t="shared" si="2"/>
        <v>0</v>
      </c>
      <c r="L26" s="55">
        <f t="shared" ref="L26:L36" si="6">(K14+K26+SUM(K15:K25)*2)/24</f>
        <v>0</v>
      </c>
      <c r="M26" s="55">
        <f>I26+L26</f>
        <v>0</v>
      </c>
      <c r="N26" s="56">
        <f t="shared" ref="N26:N36" si="7">+D26+G26+K26</f>
        <v>0</v>
      </c>
      <c r="O26" s="131"/>
    </row>
    <row r="27" spans="1:15" x14ac:dyDescent="0.2">
      <c r="A27" s="53">
        <v>44620</v>
      </c>
      <c r="B27" s="53"/>
      <c r="C27" s="54">
        <v>343277.89</v>
      </c>
      <c r="D27" s="55">
        <f t="shared" si="3"/>
        <v>343277.89</v>
      </c>
      <c r="E27" s="55">
        <f>(D15+D27+SUM(D16:D26)*2)/24</f>
        <v>14303.245416666667</v>
      </c>
      <c r="F27" s="111"/>
      <c r="G27" s="55">
        <f t="shared" si="4"/>
        <v>0</v>
      </c>
      <c r="H27" s="55">
        <f t="shared" si="5"/>
        <v>0</v>
      </c>
      <c r="I27" s="55">
        <f t="shared" ref="I27:I37" si="8">E27+H27</f>
        <v>14303.245416666667</v>
      </c>
      <c r="J27" s="55">
        <f t="shared" si="1"/>
        <v>-72088.356899999999</v>
      </c>
      <c r="K27" s="55">
        <f t="shared" si="2"/>
        <v>-72088.356899999999</v>
      </c>
      <c r="L27" s="55">
        <f t="shared" si="6"/>
        <v>-3003.6815375000001</v>
      </c>
      <c r="M27" s="55">
        <f t="shared" ref="M27:M36" si="9">I27+L27</f>
        <v>11299.563879166666</v>
      </c>
      <c r="N27" s="56">
        <f t="shared" si="7"/>
        <v>271189.5331</v>
      </c>
      <c r="O27" s="131">
        <f t="shared" ref="O27:O90" si="10">-K27/(D27+G27)</f>
        <v>0.21</v>
      </c>
    </row>
    <row r="28" spans="1:15" x14ac:dyDescent="0.2">
      <c r="A28" s="53">
        <v>44651</v>
      </c>
      <c r="B28" s="53"/>
      <c r="C28" s="54">
        <v>306629.76000000001</v>
      </c>
      <c r="D28" s="55">
        <f t="shared" si="3"/>
        <v>649907.65</v>
      </c>
      <c r="E28" s="55">
        <f t="shared" si="0"/>
        <v>55685.976250000007</v>
      </c>
      <c r="F28" s="111"/>
      <c r="G28" s="55">
        <f t="shared" si="4"/>
        <v>0</v>
      </c>
      <c r="H28" s="55">
        <f t="shared" si="5"/>
        <v>0</v>
      </c>
      <c r="I28" s="55">
        <f t="shared" si="8"/>
        <v>55685.976250000007</v>
      </c>
      <c r="J28" s="55">
        <f t="shared" si="1"/>
        <v>-64392.249600000003</v>
      </c>
      <c r="K28" s="55">
        <f t="shared" si="2"/>
        <v>-136480.60649999999</v>
      </c>
      <c r="L28" s="55">
        <f t="shared" si="6"/>
        <v>-11694.055012500001</v>
      </c>
      <c r="M28" s="55">
        <f t="shared" si="9"/>
        <v>43991.921237500006</v>
      </c>
      <c r="N28" s="56">
        <f t="shared" si="7"/>
        <v>513427.04350000003</v>
      </c>
      <c r="O28" s="131">
        <f t="shared" si="10"/>
        <v>0.21</v>
      </c>
    </row>
    <row r="29" spans="1:15" x14ac:dyDescent="0.2">
      <c r="A29" s="53">
        <v>44681</v>
      </c>
      <c r="B29" s="53"/>
      <c r="C29" s="54">
        <v>603434.99</v>
      </c>
      <c r="D29" s="55">
        <f t="shared" si="3"/>
        <v>1253342.6400000001</v>
      </c>
      <c r="E29" s="55">
        <f t="shared" si="0"/>
        <v>134988.07166666668</v>
      </c>
      <c r="F29" s="111"/>
      <c r="G29" s="55">
        <f t="shared" si="4"/>
        <v>0</v>
      </c>
      <c r="H29" s="55">
        <f t="shared" si="5"/>
        <v>0</v>
      </c>
      <c r="I29" s="55">
        <f t="shared" si="8"/>
        <v>134988.07166666668</v>
      </c>
      <c r="J29" s="55">
        <f t="shared" si="1"/>
        <v>-126721.34789999999</v>
      </c>
      <c r="K29" s="55">
        <f t="shared" si="2"/>
        <v>-263201.95439999999</v>
      </c>
      <c r="L29" s="55">
        <f t="shared" si="6"/>
        <v>-28347.495049999998</v>
      </c>
      <c r="M29" s="55">
        <f t="shared" si="9"/>
        <v>106640.57661666669</v>
      </c>
      <c r="N29" s="56">
        <f t="shared" si="7"/>
        <v>990140.6856000002</v>
      </c>
      <c r="O29" s="131">
        <f t="shared" si="10"/>
        <v>0.20999999999999996</v>
      </c>
    </row>
    <row r="30" spans="1:15" x14ac:dyDescent="0.2">
      <c r="A30" s="53">
        <v>44712</v>
      </c>
      <c r="B30" s="53"/>
      <c r="C30" s="54">
        <v>404337</v>
      </c>
      <c r="D30" s="55">
        <f t="shared" si="3"/>
        <v>1657679.6400000001</v>
      </c>
      <c r="E30" s="55">
        <f t="shared" si="0"/>
        <v>256280.66666666666</v>
      </c>
      <c r="F30" s="111"/>
      <c r="G30" s="55">
        <f t="shared" si="4"/>
        <v>0</v>
      </c>
      <c r="H30" s="55">
        <f t="shared" si="5"/>
        <v>0</v>
      </c>
      <c r="I30" s="55">
        <f t="shared" si="8"/>
        <v>256280.66666666666</v>
      </c>
      <c r="J30" s="55">
        <f t="shared" si="1"/>
        <v>-84910.77</v>
      </c>
      <c r="K30" s="55">
        <f t="shared" si="2"/>
        <v>-348112.72440000001</v>
      </c>
      <c r="L30" s="55">
        <f t="shared" si="6"/>
        <v>-53818.94</v>
      </c>
      <c r="M30" s="55">
        <f t="shared" si="9"/>
        <v>202461.72666666665</v>
      </c>
      <c r="N30" s="56">
        <f t="shared" si="7"/>
        <v>1309566.9156000002</v>
      </c>
      <c r="O30" s="131">
        <f t="shared" si="10"/>
        <v>0.21</v>
      </c>
    </row>
    <row r="31" spans="1:15" x14ac:dyDescent="0.2">
      <c r="A31" s="53">
        <v>44742</v>
      </c>
      <c r="B31" s="53"/>
      <c r="C31" s="54">
        <v>376752.99</v>
      </c>
      <c r="D31" s="55">
        <f t="shared" si="3"/>
        <v>2034432.6300000001</v>
      </c>
      <c r="E31" s="55">
        <f t="shared" si="0"/>
        <v>410118.67791666673</v>
      </c>
      <c r="F31" s="111"/>
      <c r="G31" s="55">
        <f t="shared" si="4"/>
        <v>0</v>
      </c>
      <c r="H31" s="55">
        <f t="shared" si="5"/>
        <v>0</v>
      </c>
      <c r="I31" s="55">
        <f t="shared" si="8"/>
        <v>410118.67791666673</v>
      </c>
      <c r="J31" s="55">
        <f t="shared" si="1"/>
        <v>-79118.127899999992</v>
      </c>
      <c r="K31" s="55">
        <f t="shared" si="2"/>
        <v>-427230.85230000003</v>
      </c>
      <c r="L31" s="55">
        <f t="shared" si="6"/>
        <v>-86124.922362500001</v>
      </c>
      <c r="M31" s="55">
        <f t="shared" si="9"/>
        <v>323993.75555416674</v>
      </c>
      <c r="N31" s="56">
        <f t="shared" si="7"/>
        <v>1607201.7777</v>
      </c>
      <c r="O31" s="131">
        <f t="shared" si="10"/>
        <v>0.21</v>
      </c>
    </row>
    <row r="32" spans="1:15" x14ac:dyDescent="0.2">
      <c r="A32" s="53">
        <v>44773</v>
      </c>
      <c r="C32" s="54">
        <v>355362.34</v>
      </c>
      <c r="D32" s="55">
        <f t="shared" si="3"/>
        <v>2389794.9700000002</v>
      </c>
      <c r="E32" s="55">
        <f t="shared" si="0"/>
        <v>594461.49458333338</v>
      </c>
      <c r="F32" s="111"/>
      <c r="G32" s="55">
        <f t="shared" si="4"/>
        <v>0</v>
      </c>
      <c r="H32" s="55">
        <f t="shared" si="5"/>
        <v>0</v>
      </c>
      <c r="I32" s="55">
        <f t="shared" si="8"/>
        <v>594461.49458333338</v>
      </c>
      <c r="J32" s="55">
        <f t="shared" si="1"/>
        <v>-74626.091400000005</v>
      </c>
      <c r="K32" s="55">
        <f t="shared" si="2"/>
        <v>-501856.94370000006</v>
      </c>
      <c r="L32" s="55">
        <f t="shared" si="6"/>
        <v>-124836.91386250001</v>
      </c>
      <c r="M32" s="55">
        <f t="shared" si="9"/>
        <v>469624.58072083339</v>
      </c>
      <c r="N32" s="56">
        <f t="shared" si="7"/>
        <v>1887938.0263</v>
      </c>
      <c r="O32" s="131">
        <f t="shared" si="10"/>
        <v>0.21000000000000002</v>
      </c>
    </row>
    <row r="33" spans="1:15" x14ac:dyDescent="0.2">
      <c r="A33" s="53">
        <v>44804</v>
      </c>
      <c r="C33" s="54">
        <v>353470.22</v>
      </c>
      <c r="D33" s="55">
        <f t="shared" si="3"/>
        <v>2743265.1900000004</v>
      </c>
      <c r="E33" s="55">
        <f t="shared" si="0"/>
        <v>808339.00125000009</v>
      </c>
      <c r="F33" s="111"/>
      <c r="G33" s="55">
        <f t="shared" si="4"/>
        <v>0</v>
      </c>
      <c r="H33" s="55">
        <f t="shared" si="5"/>
        <v>0</v>
      </c>
      <c r="I33" s="55">
        <f t="shared" si="8"/>
        <v>808339.00125000009</v>
      </c>
      <c r="J33" s="55">
        <f t="shared" si="1"/>
        <v>-74228.746199999994</v>
      </c>
      <c r="K33" s="55">
        <f t="shared" si="2"/>
        <v>-576085.68990000011</v>
      </c>
      <c r="L33" s="55">
        <f t="shared" si="6"/>
        <v>-169751.19026250002</v>
      </c>
      <c r="M33" s="55">
        <f t="shared" si="9"/>
        <v>638587.81098750001</v>
      </c>
      <c r="N33" s="56">
        <f t="shared" si="7"/>
        <v>2167179.5001000003</v>
      </c>
      <c r="O33" s="131">
        <f t="shared" si="10"/>
        <v>0.21000000000000002</v>
      </c>
    </row>
    <row r="34" spans="1:15" x14ac:dyDescent="0.2">
      <c r="A34" s="53">
        <v>44834</v>
      </c>
      <c r="C34" s="54">
        <v>334818.90999999997</v>
      </c>
      <c r="D34" s="55">
        <f t="shared" si="3"/>
        <v>3078084.1000000006</v>
      </c>
      <c r="E34" s="55">
        <f t="shared" si="0"/>
        <v>1050895.2216666667</v>
      </c>
      <c r="F34" s="111"/>
      <c r="G34" s="55">
        <f t="shared" si="4"/>
        <v>0</v>
      </c>
      <c r="H34" s="55">
        <f t="shared" si="5"/>
        <v>0</v>
      </c>
      <c r="I34" s="55">
        <f t="shared" si="8"/>
        <v>1050895.2216666667</v>
      </c>
      <c r="J34" s="55">
        <f t="shared" si="1"/>
        <v>-70311.971099999995</v>
      </c>
      <c r="K34" s="55">
        <f t="shared" si="2"/>
        <v>-646397.66100000008</v>
      </c>
      <c r="L34" s="55">
        <f t="shared" si="6"/>
        <v>-220687.99655000004</v>
      </c>
      <c r="M34" s="55">
        <f t="shared" si="9"/>
        <v>830207.22511666664</v>
      </c>
      <c r="N34" s="56">
        <f t="shared" si="7"/>
        <v>2431686.4390000002</v>
      </c>
      <c r="O34" s="131">
        <f t="shared" si="10"/>
        <v>0.21</v>
      </c>
    </row>
    <row r="35" spans="1:15" x14ac:dyDescent="0.2">
      <c r="A35" s="53">
        <v>44865</v>
      </c>
      <c r="C35" s="54">
        <v>374212.85</v>
      </c>
      <c r="D35" s="55">
        <f t="shared" si="3"/>
        <v>3452296.9500000007</v>
      </c>
      <c r="E35" s="55">
        <f t="shared" si="0"/>
        <v>1322994.4320833334</v>
      </c>
      <c r="F35" s="111"/>
      <c r="G35" s="55">
        <f t="shared" si="4"/>
        <v>0</v>
      </c>
      <c r="H35" s="55">
        <f t="shared" si="5"/>
        <v>0</v>
      </c>
      <c r="I35" s="55">
        <f t="shared" si="8"/>
        <v>1322994.4320833334</v>
      </c>
      <c r="J35" s="55">
        <f t="shared" si="1"/>
        <v>-78584.698499999999</v>
      </c>
      <c r="K35" s="55">
        <f t="shared" si="2"/>
        <v>-724982.35950000002</v>
      </c>
      <c r="L35" s="55">
        <f t="shared" si="6"/>
        <v>-277828.83073750004</v>
      </c>
      <c r="M35" s="55">
        <f t="shared" si="9"/>
        <v>1045165.6013458334</v>
      </c>
      <c r="N35" s="56">
        <f t="shared" si="7"/>
        <v>2727314.5905000009</v>
      </c>
      <c r="O35" s="131">
        <f t="shared" si="10"/>
        <v>0.20999999999999996</v>
      </c>
    </row>
    <row r="36" spans="1:15" x14ac:dyDescent="0.2">
      <c r="A36" s="53">
        <v>44895</v>
      </c>
      <c r="C36" s="54">
        <v>596097.85</v>
      </c>
      <c r="D36" s="55">
        <f t="shared" si="3"/>
        <v>4048394.8000000007</v>
      </c>
      <c r="E36" s="55">
        <f t="shared" si="0"/>
        <v>1635523.2550000001</v>
      </c>
      <c r="F36" s="111"/>
      <c r="G36" s="55">
        <f t="shared" si="4"/>
        <v>0</v>
      </c>
      <c r="H36" s="55">
        <f t="shared" si="5"/>
        <v>0</v>
      </c>
      <c r="I36" s="55">
        <f t="shared" si="8"/>
        <v>1635523.2550000001</v>
      </c>
      <c r="J36" s="55">
        <f t="shared" si="1"/>
        <v>-125180.54849999999</v>
      </c>
      <c r="K36" s="55">
        <f t="shared" si="2"/>
        <v>-850162.90800000005</v>
      </c>
      <c r="L36" s="55">
        <f t="shared" si="6"/>
        <v>-343459.88355000009</v>
      </c>
      <c r="M36" s="55">
        <f t="shared" si="9"/>
        <v>1292063.37145</v>
      </c>
      <c r="N36" s="56">
        <f t="shared" si="7"/>
        <v>3198231.8920000009</v>
      </c>
      <c r="O36" s="131">
        <f t="shared" si="10"/>
        <v>0.20999999999999996</v>
      </c>
    </row>
    <row r="37" spans="1:15" x14ac:dyDescent="0.2">
      <c r="A37" s="53">
        <v>44926</v>
      </c>
      <c r="C37" s="54">
        <v>526798.9</v>
      </c>
      <c r="D37" s="55">
        <f t="shared" si="3"/>
        <v>4575193.7000000011</v>
      </c>
      <c r="E37" s="55">
        <f t="shared" si="0"/>
        <v>1994839.4425000001</v>
      </c>
      <c r="F37" s="111"/>
      <c r="G37" s="55">
        <f t="shared" si="4"/>
        <v>0</v>
      </c>
      <c r="H37" s="55">
        <f t="shared" si="5"/>
        <v>0</v>
      </c>
      <c r="I37" s="55">
        <f t="shared" si="8"/>
        <v>1994839.4425000001</v>
      </c>
      <c r="J37" s="55">
        <f t="shared" si="1"/>
        <v>-110627.769</v>
      </c>
      <c r="K37" s="55">
        <f t="shared" si="2"/>
        <v>-960790.67700000003</v>
      </c>
      <c r="L37" s="55">
        <f t="shared" ref="L37:L95" si="11">(K25+K37+SUM(K26:K36)*2)/24</f>
        <v>-418916.28292500001</v>
      </c>
      <c r="M37" s="55">
        <f t="shared" ref="M37:M95" si="12">L37+I37</f>
        <v>1575923.1595750002</v>
      </c>
      <c r="N37" s="56">
        <f t="shared" ref="N37:N95" si="13">+D37+G37+K37</f>
        <v>3614403.023000001</v>
      </c>
      <c r="O37" s="131">
        <f t="shared" si="10"/>
        <v>0.20999999999999996</v>
      </c>
    </row>
    <row r="38" spans="1:15" x14ac:dyDescent="0.2">
      <c r="A38" s="53">
        <v>44957</v>
      </c>
      <c r="B38" s="53"/>
      <c r="C38" s="54">
        <v>366507.41</v>
      </c>
      <c r="D38" s="55">
        <f t="shared" si="3"/>
        <v>4941701.1100000013</v>
      </c>
      <c r="E38" s="55">
        <f>(D26+D38+SUM(D27:D37)*2)/24</f>
        <v>2391376.7262500003</v>
      </c>
      <c r="F38" s="111"/>
      <c r="G38" s="55">
        <f t="shared" ref="G38:G95" si="14">G37-F38</f>
        <v>0</v>
      </c>
      <c r="H38" s="55">
        <f t="shared" ref="H38:H95" si="15">(G26+G38+SUM(G27:G37)*2)/24</f>
        <v>0</v>
      </c>
      <c r="I38" s="55">
        <f t="shared" ref="I38:I95" si="16">E38+H38</f>
        <v>2391376.7262500003</v>
      </c>
      <c r="J38" s="55">
        <f t="shared" si="1"/>
        <v>-76966.556099999987</v>
      </c>
      <c r="K38" s="58">
        <f t="shared" si="2"/>
        <v>-1037757.2331000001</v>
      </c>
      <c r="L38" s="55">
        <f t="shared" si="11"/>
        <v>-502189.11251250008</v>
      </c>
      <c r="M38" s="59">
        <f t="shared" si="12"/>
        <v>1889187.6137375003</v>
      </c>
      <c r="N38" s="56">
        <f t="shared" si="13"/>
        <v>3903943.8769000014</v>
      </c>
      <c r="O38" s="131">
        <f t="shared" si="10"/>
        <v>0.20999999999999996</v>
      </c>
    </row>
    <row r="39" spans="1:15" x14ac:dyDescent="0.2">
      <c r="A39" s="53">
        <v>44985</v>
      </c>
      <c r="B39" s="53"/>
      <c r="C39" s="54">
        <v>372998.81</v>
      </c>
      <c r="D39" s="55">
        <f t="shared" si="3"/>
        <v>5314699.9200000009</v>
      </c>
      <c r="E39" s="55">
        <f t="shared" si="0"/>
        <v>2804423.5237500002</v>
      </c>
      <c r="F39" s="111"/>
      <c r="G39" s="55">
        <f t="shared" si="14"/>
        <v>0</v>
      </c>
      <c r="H39" s="55">
        <f t="shared" si="15"/>
        <v>0</v>
      </c>
      <c r="I39" s="55">
        <f t="shared" si="16"/>
        <v>2804423.5237500002</v>
      </c>
      <c r="J39" s="55">
        <f t="shared" si="1"/>
        <v>-78329.75009999999</v>
      </c>
      <c r="K39" s="58">
        <f t="shared" si="2"/>
        <v>-1116086.9832000001</v>
      </c>
      <c r="L39" s="55">
        <f t="shared" si="11"/>
        <v>-588928.93998750008</v>
      </c>
      <c r="M39" s="59">
        <f t="shared" si="12"/>
        <v>2215494.5837625</v>
      </c>
      <c r="N39" s="56">
        <f t="shared" si="13"/>
        <v>4198612.9368000012</v>
      </c>
      <c r="O39" s="131">
        <f t="shared" si="10"/>
        <v>0.21</v>
      </c>
    </row>
    <row r="40" spans="1:15" x14ac:dyDescent="0.2">
      <c r="A40" s="53">
        <v>45016</v>
      </c>
      <c r="B40" s="53"/>
      <c r="C40" s="54">
        <v>474539.27</v>
      </c>
      <c r="D40" s="55">
        <f t="shared" si="3"/>
        <v>5789239.1900000013</v>
      </c>
      <c r="E40" s="55">
        <f t="shared" si="0"/>
        <v>3225704.9225000008</v>
      </c>
      <c r="F40" s="111"/>
      <c r="G40" s="55">
        <f t="shared" si="14"/>
        <v>0</v>
      </c>
      <c r="H40" s="55">
        <f t="shared" si="15"/>
        <v>0</v>
      </c>
      <c r="I40" s="55">
        <f t="shared" si="16"/>
        <v>3225704.9225000008</v>
      </c>
      <c r="J40" s="55">
        <f t="shared" si="1"/>
        <v>-99653.246700000003</v>
      </c>
      <c r="K40" s="58">
        <f t="shared" si="2"/>
        <v>-1215740.2299000002</v>
      </c>
      <c r="L40" s="55">
        <f t="shared" si="11"/>
        <v>-677398.0337250001</v>
      </c>
      <c r="M40" s="59">
        <f t="shared" si="12"/>
        <v>2548306.8887750008</v>
      </c>
      <c r="N40" s="56">
        <f t="shared" si="13"/>
        <v>4573498.9601000007</v>
      </c>
      <c r="O40" s="131">
        <f t="shared" si="10"/>
        <v>0.20999999999999996</v>
      </c>
    </row>
    <row r="41" spans="1:15" x14ac:dyDescent="0.2">
      <c r="A41" s="53">
        <v>45046</v>
      </c>
      <c r="B41" s="53"/>
      <c r="C41" s="54">
        <f>'O&amp;M'!B24</f>
        <v>508765.00945010001</v>
      </c>
      <c r="D41" s="55">
        <f t="shared" si="3"/>
        <v>6298004.1994501017</v>
      </c>
      <c r="E41" s="55">
        <f t="shared" si="0"/>
        <v>3650037.9683104213</v>
      </c>
      <c r="F41" s="111"/>
      <c r="G41" s="55">
        <f t="shared" si="14"/>
        <v>0</v>
      </c>
      <c r="H41" s="55">
        <f t="shared" si="15"/>
        <v>0</v>
      </c>
      <c r="I41" s="55">
        <f t="shared" si="16"/>
        <v>3650037.9683104213</v>
      </c>
      <c r="J41" s="55">
        <f t="shared" si="1"/>
        <v>-106840.651984521</v>
      </c>
      <c r="K41" s="58">
        <f t="shared" si="2"/>
        <v>-1322580.8818845211</v>
      </c>
      <c r="L41" s="55">
        <f t="shared" si="11"/>
        <v>-766507.97334518854</v>
      </c>
      <c r="M41" s="59">
        <f t="shared" si="12"/>
        <v>2883529.9949652329</v>
      </c>
      <c r="N41" s="56">
        <f t="shared" si="13"/>
        <v>4975423.3175655808</v>
      </c>
      <c r="O41" s="131">
        <f t="shared" si="10"/>
        <v>0.20999999999999996</v>
      </c>
    </row>
    <row r="42" spans="1:15" x14ac:dyDescent="0.2">
      <c r="A42" s="53">
        <v>45077</v>
      </c>
      <c r="B42" s="53"/>
      <c r="C42" s="54">
        <f>'O&amp;M'!C24</f>
        <v>501022.18247479998</v>
      </c>
      <c r="D42" s="55">
        <f t="shared" si="3"/>
        <v>6799026.3819249021</v>
      </c>
      <c r="E42" s="55">
        <f t="shared" si="0"/>
        <v>4074454.9808677132</v>
      </c>
      <c r="F42" s="111"/>
      <c r="G42" s="55">
        <f t="shared" si="14"/>
        <v>0</v>
      </c>
      <c r="H42" s="55">
        <f t="shared" si="15"/>
        <v>0</v>
      </c>
      <c r="I42" s="55">
        <f t="shared" si="16"/>
        <v>4074454.9808677132</v>
      </c>
      <c r="J42" s="55">
        <f t="shared" si="1"/>
        <v>-105214.65831970799</v>
      </c>
      <c r="K42" s="58">
        <f t="shared" si="2"/>
        <v>-1427795.5402042291</v>
      </c>
      <c r="L42" s="55">
        <f t="shared" si="11"/>
        <v>-855635.54598221974</v>
      </c>
      <c r="M42" s="59">
        <f t="shared" si="12"/>
        <v>3218819.4348854935</v>
      </c>
      <c r="N42" s="56">
        <f t="shared" si="13"/>
        <v>5371230.8417206733</v>
      </c>
      <c r="O42" s="131">
        <f t="shared" si="10"/>
        <v>0.20999999999999994</v>
      </c>
    </row>
    <row r="43" spans="1:15" x14ac:dyDescent="0.2">
      <c r="A43" s="53">
        <v>45107</v>
      </c>
      <c r="B43" s="53"/>
      <c r="C43" s="54">
        <f>'O&amp;M'!D24</f>
        <v>477335.35295129998</v>
      </c>
      <c r="D43" s="55">
        <f t="shared" si="3"/>
        <v>7276361.7348762024</v>
      </c>
      <c r="E43" s="55">
        <f t="shared" si="0"/>
        <v>4507091.474484426</v>
      </c>
      <c r="F43" s="111"/>
      <c r="G43" s="55">
        <f t="shared" si="14"/>
        <v>0</v>
      </c>
      <c r="H43" s="55">
        <f t="shared" si="15"/>
        <v>0</v>
      </c>
      <c r="I43" s="55">
        <f t="shared" si="16"/>
        <v>4507091.474484426</v>
      </c>
      <c r="J43" s="55">
        <f t="shared" si="1"/>
        <v>-100240.42411977299</v>
      </c>
      <c r="K43" s="58">
        <f t="shared" si="2"/>
        <v>-1528035.9643240022</v>
      </c>
      <c r="L43" s="55">
        <f t="shared" si="11"/>
        <v>-946489.20964172937</v>
      </c>
      <c r="M43" s="59">
        <f t="shared" si="12"/>
        <v>3560602.2648426965</v>
      </c>
      <c r="N43" s="56">
        <f t="shared" si="13"/>
        <v>5748325.7705522003</v>
      </c>
      <c r="O43" s="131">
        <f t="shared" si="10"/>
        <v>0.20999999999999996</v>
      </c>
    </row>
    <row r="44" spans="1:15" x14ac:dyDescent="0.2">
      <c r="A44" s="53">
        <v>45138</v>
      </c>
      <c r="B44" s="53"/>
      <c r="C44" s="54">
        <f>'O&amp;M'!E24</f>
        <v>369609.2918378</v>
      </c>
      <c r="D44" s="55">
        <f t="shared" si="3"/>
        <v>7645971.0267140027</v>
      </c>
      <c r="E44" s="55">
        <f t="shared" si="0"/>
        <v>4944512.5228840187</v>
      </c>
      <c r="F44" s="111"/>
      <c r="G44" s="55">
        <f t="shared" si="14"/>
        <v>0</v>
      </c>
      <c r="H44" s="55">
        <f t="shared" si="15"/>
        <v>0</v>
      </c>
      <c r="I44" s="55">
        <f t="shared" si="16"/>
        <v>4944512.5228840187</v>
      </c>
      <c r="J44" s="55">
        <f t="shared" si="1"/>
        <v>-77617.951285938005</v>
      </c>
      <c r="K44" s="58">
        <f t="shared" si="2"/>
        <v>-1605653.9156099402</v>
      </c>
      <c r="L44" s="55">
        <f t="shared" si="11"/>
        <v>-1038347.6298056437</v>
      </c>
      <c r="M44" s="59">
        <f t="shared" si="12"/>
        <v>3906164.8930783751</v>
      </c>
      <c r="N44" s="56">
        <f t="shared" si="13"/>
        <v>6040317.1111040628</v>
      </c>
      <c r="O44" s="131">
        <f t="shared" si="10"/>
        <v>0.20999999999999994</v>
      </c>
    </row>
    <row r="45" spans="1:15" x14ac:dyDescent="0.2">
      <c r="A45" s="53">
        <v>45169</v>
      </c>
      <c r="B45" s="53"/>
      <c r="C45" s="54">
        <f>'O&amp;M'!F24</f>
        <v>375609.2918378</v>
      </c>
      <c r="D45" s="55">
        <f t="shared" si="3"/>
        <v>8021580.318551803</v>
      </c>
      <c r="E45" s="55">
        <f t="shared" si="0"/>
        <v>5383449.6556034265</v>
      </c>
      <c r="F45" s="111"/>
      <c r="G45" s="55">
        <f t="shared" si="14"/>
        <v>0</v>
      </c>
      <c r="H45" s="55">
        <f t="shared" si="15"/>
        <v>0</v>
      </c>
      <c r="I45" s="55">
        <f t="shared" si="16"/>
        <v>5383449.6556034265</v>
      </c>
      <c r="J45" s="55">
        <f t="shared" si="1"/>
        <v>-78877.951285938005</v>
      </c>
      <c r="K45" s="58">
        <f t="shared" si="2"/>
        <v>-1684531.8668958782</v>
      </c>
      <c r="L45" s="55">
        <f t="shared" si="11"/>
        <v>-1130524.4276767196</v>
      </c>
      <c r="M45" s="59">
        <f t="shared" si="12"/>
        <v>4252925.2279267069</v>
      </c>
      <c r="N45" s="56">
        <f t="shared" si="13"/>
        <v>6337048.4516559243</v>
      </c>
      <c r="O45" s="131">
        <f t="shared" si="10"/>
        <v>0.20999999999999994</v>
      </c>
    </row>
    <row r="46" spans="1:15" x14ac:dyDescent="0.2">
      <c r="A46" s="53">
        <v>45199</v>
      </c>
      <c r="B46" s="53"/>
      <c r="C46" s="54">
        <f>'O&amp;M'!G24</f>
        <v>369313.38796580001</v>
      </c>
      <c r="D46" s="55">
        <f t="shared" si="3"/>
        <v>8390893.7065176032</v>
      </c>
      <c r="E46" s="55">
        <f t="shared" si="0"/>
        <v>5824746.5195646519</v>
      </c>
      <c r="F46" s="111"/>
      <c r="G46" s="55">
        <f t="shared" si="14"/>
        <v>0</v>
      </c>
      <c r="H46" s="55">
        <f t="shared" si="15"/>
        <v>0</v>
      </c>
      <c r="I46" s="55">
        <f t="shared" si="16"/>
        <v>5824746.5195646519</v>
      </c>
      <c r="J46" s="55">
        <f t="shared" si="1"/>
        <v>-77555.811472817993</v>
      </c>
      <c r="K46" s="58">
        <f t="shared" si="2"/>
        <v>-1762087.6783686962</v>
      </c>
      <c r="L46" s="55">
        <f t="shared" si="11"/>
        <v>-1223196.7691085767</v>
      </c>
      <c r="M46" s="59">
        <f t="shared" si="12"/>
        <v>4601549.7504560752</v>
      </c>
      <c r="N46" s="56">
        <f t="shared" si="13"/>
        <v>6628806.0281489072</v>
      </c>
      <c r="O46" s="131">
        <f t="shared" si="10"/>
        <v>0.20999999999999994</v>
      </c>
    </row>
    <row r="47" spans="1:15" ht="13.5" thickBot="1" x14ac:dyDescent="0.25">
      <c r="A47" s="53">
        <v>45230</v>
      </c>
      <c r="B47" s="53"/>
      <c r="C47" s="54">
        <f>'O&amp;M'!H24</f>
        <v>488199.94235060003</v>
      </c>
      <c r="D47" s="55">
        <f t="shared" si="3"/>
        <v>8879093.6488682032</v>
      </c>
      <c r="E47" s="55">
        <f t="shared" si="0"/>
        <v>6272230.1156223929</v>
      </c>
      <c r="F47" s="111"/>
      <c r="G47" s="55">
        <f t="shared" si="14"/>
        <v>0</v>
      </c>
      <c r="H47" s="55">
        <f t="shared" si="15"/>
        <v>0</v>
      </c>
      <c r="I47" s="55">
        <f t="shared" si="16"/>
        <v>6272230.1156223929</v>
      </c>
      <c r="J47" s="55">
        <f t="shared" si="1"/>
        <v>-102521.98789362601</v>
      </c>
      <c r="K47" s="58">
        <f t="shared" si="2"/>
        <v>-1864609.6662623223</v>
      </c>
      <c r="L47" s="55">
        <f t="shared" si="11"/>
        <v>-1317168.3242807025</v>
      </c>
      <c r="M47" s="59">
        <f t="shared" si="12"/>
        <v>4955061.7913416903</v>
      </c>
      <c r="N47" s="56">
        <f t="shared" si="13"/>
        <v>7014483.9826058811</v>
      </c>
      <c r="O47" s="131">
        <f t="shared" si="10"/>
        <v>0.20999999999999996</v>
      </c>
    </row>
    <row r="48" spans="1:15" x14ac:dyDescent="0.2">
      <c r="A48" s="120">
        <v>45260</v>
      </c>
      <c r="B48" s="120" t="s">
        <v>146</v>
      </c>
      <c r="C48" s="121"/>
      <c r="D48" s="122">
        <f t="shared" si="3"/>
        <v>8879093.6488682032</v>
      </c>
      <c r="E48" s="122">
        <f>(D36+D48+SUM(D37:D47)*2)/24</f>
        <v>6699625.7634447441</v>
      </c>
      <c r="F48" s="123">
        <f t="shared" ref="F48:F95" si="17">D48/48</f>
        <v>184981.11768475422</v>
      </c>
      <c r="G48" s="122">
        <f t="shared" si="14"/>
        <v>-184981.11768475422</v>
      </c>
      <c r="H48" s="122">
        <f t="shared" si="15"/>
        <v>-7707.5465701980929</v>
      </c>
      <c r="I48" s="122">
        <f t="shared" si="16"/>
        <v>6691918.2168745464</v>
      </c>
      <c r="J48" s="122">
        <f t="shared" si="1"/>
        <v>38846.034713798384</v>
      </c>
      <c r="K48" s="124">
        <f t="shared" si="2"/>
        <v>-1825763.6315485239</v>
      </c>
      <c r="L48" s="122">
        <f t="shared" si="11"/>
        <v>-1405302.8255436544</v>
      </c>
      <c r="M48" s="125">
        <f t="shared" si="12"/>
        <v>5286615.3913308922</v>
      </c>
      <c r="N48" s="126">
        <f t="shared" si="13"/>
        <v>6868348.8996349256</v>
      </c>
      <c r="O48" s="131">
        <f t="shared" si="10"/>
        <v>0.20999999999999994</v>
      </c>
    </row>
    <row r="49" spans="1:15" x14ac:dyDescent="0.2">
      <c r="A49" s="53">
        <v>45291</v>
      </c>
      <c r="B49" s="53" t="s">
        <v>146</v>
      </c>
      <c r="C49" s="55"/>
      <c r="D49" s="55">
        <f t="shared" si="3"/>
        <v>8879093.6488682032</v>
      </c>
      <c r="E49" s="55">
        <f t="shared" si="0"/>
        <v>7080234.0466837594</v>
      </c>
      <c r="F49" s="111">
        <f t="shared" si="17"/>
        <v>184981.11768475422</v>
      </c>
      <c r="G49" s="55">
        <f t="shared" si="14"/>
        <v>-369962.23536950845</v>
      </c>
      <c r="H49" s="55">
        <f t="shared" si="15"/>
        <v>-30830.186280792372</v>
      </c>
      <c r="I49" s="55">
        <f t="shared" si="16"/>
        <v>7049403.8604029668</v>
      </c>
      <c r="J49" s="55">
        <f t="shared" si="1"/>
        <v>38846.034713798384</v>
      </c>
      <c r="K49" s="58">
        <f t="shared" si="2"/>
        <v>-1786917.5968347255</v>
      </c>
      <c r="L49" s="55">
        <f t="shared" si="11"/>
        <v>-1480374.8106846232</v>
      </c>
      <c r="M49" s="59">
        <f t="shared" si="12"/>
        <v>5569029.0497183437</v>
      </c>
      <c r="N49" s="56">
        <f t="shared" si="13"/>
        <v>6722213.8166639684</v>
      </c>
      <c r="O49" s="131">
        <f t="shared" si="10"/>
        <v>0.20999999999999996</v>
      </c>
    </row>
    <row r="50" spans="1:15" x14ac:dyDescent="0.2">
      <c r="A50" s="53">
        <v>45322</v>
      </c>
      <c r="B50" s="53" t="s">
        <v>146</v>
      </c>
      <c r="C50" s="55"/>
      <c r="D50" s="55">
        <f t="shared" si="3"/>
        <v>8879093.6488682032</v>
      </c>
      <c r="E50" s="55">
        <f t="shared" si="0"/>
        <v>7423621.2336727781</v>
      </c>
      <c r="F50" s="111">
        <f t="shared" si="17"/>
        <v>184981.11768475422</v>
      </c>
      <c r="G50" s="55">
        <f t="shared" si="14"/>
        <v>-554943.3530542627</v>
      </c>
      <c r="H50" s="55">
        <f t="shared" si="15"/>
        <v>-69367.919131782837</v>
      </c>
      <c r="I50" s="55">
        <f t="shared" si="16"/>
        <v>7354253.3145409953</v>
      </c>
      <c r="J50" s="55">
        <f t="shared" si="1"/>
        <v>38846.034713798384</v>
      </c>
      <c r="K50" s="58">
        <f t="shared" si="2"/>
        <v>-1748071.562120927</v>
      </c>
      <c r="L50" s="55">
        <f t="shared" si="11"/>
        <v>-1544393.1960536086</v>
      </c>
      <c r="M50" s="59">
        <f t="shared" si="12"/>
        <v>5809860.118487387</v>
      </c>
      <c r="N50" s="56">
        <f t="shared" si="13"/>
        <v>6576078.733693013</v>
      </c>
      <c r="O50" s="131">
        <f t="shared" si="10"/>
        <v>0.20999999999999994</v>
      </c>
    </row>
    <row r="51" spans="1:15" x14ac:dyDescent="0.2">
      <c r="A51" s="53">
        <v>45351</v>
      </c>
      <c r="B51" s="53" t="s">
        <v>146</v>
      </c>
      <c r="C51" s="55"/>
      <c r="D51" s="55">
        <f t="shared" si="3"/>
        <v>8879093.6488682032</v>
      </c>
      <c r="E51" s="55">
        <f t="shared" si="0"/>
        <v>7736195.6614951268</v>
      </c>
      <c r="F51" s="111">
        <f t="shared" si="17"/>
        <v>184981.11768475422</v>
      </c>
      <c r="G51" s="55">
        <f t="shared" si="14"/>
        <v>-739924.47073901689</v>
      </c>
      <c r="H51" s="55">
        <f t="shared" si="15"/>
        <v>-123320.74512316949</v>
      </c>
      <c r="I51" s="55">
        <f t="shared" si="16"/>
        <v>7612874.9163719574</v>
      </c>
      <c r="J51" s="55">
        <f t="shared" si="1"/>
        <v>38846.034713798384</v>
      </c>
      <c r="K51" s="58">
        <f t="shared" si="2"/>
        <v>-1709225.5274071286</v>
      </c>
      <c r="L51" s="55">
        <f t="shared" si="11"/>
        <v>-1598703.732438111</v>
      </c>
      <c r="M51" s="59">
        <f t="shared" si="12"/>
        <v>6014171.1839338467</v>
      </c>
      <c r="N51" s="56">
        <f t="shared" si="13"/>
        <v>6429943.6507220576</v>
      </c>
      <c r="O51" s="131">
        <f t="shared" si="10"/>
        <v>0.20999999999999994</v>
      </c>
    </row>
    <row r="52" spans="1:15" x14ac:dyDescent="0.2">
      <c r="A52" s="53">
        <v>45382</v>
      </c>
      <c r="B52" s="53" t="s">
        <v>146</v>
      </c>
      <c r="C52" s="55"/>
      <c r="D52" s="55">
        <f t="shared" si="3"/>
        <v>8879093.6488682032</v>
      </c>
      <c r="E52" s="55">
        <f t="shared" si="0"/>
        <v>8013456.0026508113</v>
      </c>
      <c r="F52" s="111">
        <f t="shared" si="17"/>
        <v>184981.11768475422</v>
      </c>
      <c r="G52" s="55">
        <f t="shared" si="14"/>
        <v>-924905.58842377109</v>
      </c>
      <c r="H52" s="55">
        <f t="shared" si="15"/>
        <v>-192688.66425495231</v>
      </c>
      <c r="I52" s="55">
        <f t="shared" si="16"/>
        <v>7820767.3383958591</v>
      </c>
      <c r="J52" s="55">
        <f t="shared" si="1"/>
        <v>38846.034713798384</v>
      </c>
      <c r="K52" s="58">
        <f t="shared" si="2"/>
        <v>-1670379.4926933302</v>
      </c>
      <c r="L52" s="55">
        <f t="shared" si="11"/>
        <v>-1642361.1410631302</v>
      </c>
      <c r="M52" s="59">
        <f t="shared" si="12"/>
        <v>6178406.1973327287</v>
      </c>
      <c r="N52" s="56">
        <f t="shared" si="13"/>
        <v>6283808.5677511021</v>
      </c>
      <c r="O52" s="131">
        <f t="shared" si="10"/>
        <v>0.20999999999999991</v>
      </c>
    </row>
    <row r="53" spans="1:15" x14ac:dyDescent="0.2">
      <c r="A53" s="53">
        <v>45412</v>
      </c>
      <c r="B53" s="53" t="s">
        <v>146</v>
      </c>
      <c r="C53" s="55"/>
      <c r="D53" s="55">
        <f t="shared" si="3"/>
        <v>8879093.6488682032</v>
      </c>
      <c r="E53" s="55">
        <f t="shared" si="0"/>
        <v>8249745.3321627406</v>
      </c>
      <c r="F53" s="111">
        <f t="shared" si="17"/>
        <v>184981.11768475422</v>
      </c>
      <c r="G53" s="55">
        <f t="shared" si="14"/>
        <v>-1109886.7061085254</v>
      </c>
      <c r="H53" s="55">
        <f t="shared" si="15"/>
        <v>-277471.67652713135</v>
      </c>
      <c r="I53" s="55">
        <f t="shared" si="16"/>
        <v>7972273.6556356093</v>
      </c>
      <c r="J53" s="55">
        <f t="shared" si="1"/>
        <v>38846.034713798384</v>
      </c>
      <c r="K53" s="58">
        <f t="shared" si="2"/>
        <v>-1631533.4579795317</v>
      </c>
      <c r="L53" s="55">
        <f t="shared" si="11"/>
        <v>-1674177.4676834776</v>
      </c>
      <c r="M53" s="59">
        <f t="shared" si="12"/>
        <v>6298096.187952132</v>
      </c>
      <c r="N53" s="56">
        <f t="shared" si="13"/>
        <v>6137673.4847801458</v>
      </c>
      <c r="O53" s="131">
        <f t="shared" si="10"/>
        <v>0.20999999999999991</v>
      </c>
    </row>
    <row r="54" spans="1:15" x14ac:dyDescent="0.2">
      <c r="A54" s="53">
        <v>45443</v>
      </c>
      <c r="B54" s="53" t="s">
        <v>146</v>
      </c>
      <c r="C54" s="55"/>
      <c r="D54" s="55">
        <f t="shared" si="3"/>
        <v>8879093.6488682032</v>
      </c>
      <c r="E54" s="55">
        <f t="shared" si="0"/>
        <v>8443960.1953444649</v>
      </c>
      <c r="F54" s="111">
        <f t="shared" si="17"/>
        <v>184981.11768475422</v>
      </c>
      <c r="G54" s="55">
        <f t="shared" si="14"/>
        <v>-1294867.8237932797</v>
      </c>
      <c r="H54" s="55">
        <f t="shared" si="15"/>
        <v>-377669.78193970653</v>
      </c>
      <c r="I54" s="55">
        <f t="shared" si="16"/>
        <v>8066290.4134047581</v>
      </c>
      <c r="J54" s="55">
        <f t="shared" si="1"/>
        <v>38846.034713798384</v>
      </c>
      <c r="K54" s="58">
        <f t="shared" si="2"/>
        <v>-1592687.4232657333</v>
      </c>
      <c r="L54" s="55">
        <f t="shared" si="11"/>
        <v>-1693920.9868149988</v>
      </c>
      <c r="M54" s="59">
        <f t="shared" si="12"/>
        <v>6372369.4265897591</v>
      </c>
      <c r="N54" s="56">
        <f t="shared" si="13"/>
        <v>5991538.4018091895</v>
      </c>
      <c r="O54" s="131">
        <f t="shared" si="10"/>
        <v>0.20999999999999991</v>
      </c>
    </row>
    <row r="55" spans="1:15" x14ac:dyDescent="0.2">
      <c r="A55" s="53">
        <v>45473</v>
      </c>
      <c r="B55" s="53" t="s">
        <v>146</v>
      </c>
      <c r="C55" s="55"/>
      <c r="D55" s="55">
        <f t="shared" si="3"/>
        <v>8879093.6488682032</v>
      </c>
      <c r="E55" s="55">
        <f t="shared" si="0"/>
        <v>8597410.1612167712</v>
      </c>
      <c r="F55" s="111">
        <f t="shared" si="17"/>
        <v>184981.11768475422</v>
      </c>
      <c r="G55" s="55">
        <f t="shared" si="14"/>
        <v>-1479848.941478034</v>
      </c>
      <c r="H55" s="55">
        <f t="shared" si="15"/>
        <v>-493282.98049267801</v>
      </c>
      <c r="I55" s="55">
        <f t="shared" si="16"/>
        <v>8104127.1807240937</v>
      </c>
      <c r="J55" s="55">
        <f t="shared" si="1"/>
        <v>38846.034713798384</v>
      </c>
      <c r="K55" s="58">
        <f t="shared" si="2"/>
        <v>-1553841.3885519349</v>
      </c>
      <c r="L55" s="55">
        <f t="shared" si="11"/>
        <v>-1701866.7079520586</v>
      </c>
      <c r="M55" s="59">
        <f t="shared" si="12"/>
        <v>6402260.4727720348</v>
      </c>
      <c r="N55" s="56">
        <f t="shared" si="13"/>
        <v>5845403.3188382341</v>
      </c>
      <c r="O55" s="131">
        <f t="shared" si="10"/>
        <v>0.20999999999999994</v>
      </c>
    </row>
    <row r="56" spans="1:15" x14ac:dyDescent="0.2">
      <c r="A56" s="53">
        <v>45504</v>
      </c>
      <c r="B56" s="53" t="s">
        <v>146</v>
      </c>
      <c r="C56" s="55"/>
      <c r="D56" s="55">
        <f t="shared" si="3"/>
        <v>8879093.6488682032</v>
      </c>
      <c r="E56" s="55">
        <f t="shared" si="0"/>
        <v>8715570.7668895293</v>
      </c>
      <c r="F56" s="111">
        <f t="shared" si="17"/>
        <v>184981.11768475422</v>
      </c>
      <c r="G56" s="55">
        <f t="shared" si="14"/>
        <v>-1664830.0591627883</v>
      </c>
      <c r="H56" s="55">
        <f t="shared" si="15"/>
        <v>-624311.27218604553</v>
      </c>
      <c r="I56" s="55">
        <f t="shared" si="16"/>
        <v>8091259.4947034838</v>
      </c>
      <c r="J56" s="55">
        <f t="shared" si="1"/>
        <v>38846.034713798384</v>
      </c>
      <c r="K56" s="58">
        <f t="shared" si="2"/>
        <v>-1514995.3538381364</v>
      </c>
      <c r="L56" s="55">
        <f t="shared" si="11"/>
        <v>-1699164.4938877311</v>
      </c>
      <c r="M56" s="59">
        <f t="shared" si="12"/>
        <v>6392095.0008157529</v>
      </c>
      <c r="N56" s="56">
        <f t="shared" si="13"/>
        <v>5699268.2358672787</v>
      </c>
      <c r="O56" s="131">
        <f t="shared" si="10"/>
        <v>0.20999999999999991</v>
      </c>
    </row>
    <row r="57" spans="1:15" x14ac:dyDescent="0.2">
      <c r="A57" s="53">
        <v>45535</v>
      </c>
      <c r="B57" s="53" t="s">
        <v>146</v>
      </c>
      <c r="C57" s="55"/>
      <c r="D57" s="55">
        <f t="shared" si="3"/>
        <v>8879093.6488682032</v>
      </c>
      <c r="E57" s="55">
        <f t="shared" si="0"/>
        <v>8802680.598242471</v>
      </c>
      <c r="F57" s="111">
        <f t="shared" si="17"/>
        <v>184981.11768475422</v>
      </c>
      <c r="G57" s="55">
        <f t="shared" si="14"/>
        <v>-1849811.1768475426</v>
      </c>
      <c r="H57" s="55">
        <f t="shared" si="15"/>
        <v>-770754.65701980935</v>
      </c>
      <c r="I57" s="55">
        <f t="shared" si="16"/>
        <v>8031925.9412226621</v>
      </c>
      <c r="J57" s="55">
        <f t="shared" si="1"/>
        <v>38846.034713798384</v>
      </c>
      <c r="K57" s="58">
        <f t="shared" si="2"/>
        <v>-1476149.319124338</v>
      </c>
      <c r="L57" s="55">
        <f t="shared" si="11"/>
        <v>-1686704.4476567579</v>
      </c>
      <c r="M57" s="59">
        <f t="shared" si="12"/>
        <v>6345221.493565904</v>
      </c>
      <c r="N57" s="56">
        <f t="shared" si="13"/>
        <v>5553133.1528963223</v>
      </c>
      <c r="O57" s="131">
        <f t="shared" si="10"/>
        <v>0.20999999999999991</v>
      </c>
    </row>
    <row r="58" spans="1:15" x14ac:dyDescent="0.2">
      <c r="A58" s="53">
        <v>45565</v>
      </c>
      <c r="B58" s="53" t="s">
        <v>146</v>
      </c>
      <c r="C58" s="55"/>
      <c r="D58" s="55">
        <f t="shared" si="3"/>
        <v>8879093.6488682032</v>
      </c>
      <c r="E58" s="55">
        <f t="shared" si="0"/>
        <v>8858751.984603595</v>
      </c>
      <c r="F58" s="111">
        <f t="shared" si="17"/>
        <v>184981.11768475422</v>
      </c>
      <c r="G58" s="55">
        <f t="shared" si="14"/>
        <v>-2034792.2945322969</v>
      </c>
      <c r="H58" s="55">
        <f t="shared" si="15"/>
        <v>-932613.13499396935</v>
      </c>
      <c r="I58" s="55">
        <f t="shared" si="16"/>
        <v>7926138.8496096255</v>
      </c>
      <c r="J58" s="55">
        <f t="shared" si="1"/>
        <v>38846.034713798384</v>
      </c>
      <c r="K58" s="58">
        <f t="shared" si="2"/>
        <v>-1437303.2844105395</v>
      </c>
      <c r="L58" s="55">
        <f t="shared" si="11"/>
        <v>-1664489.1584180209</v>
      </c>
      <c r="M58" s="59">
        <f t="shared" si="12"/>
        <v>6261649.6911916044</v>
      </c>
      <c r="N58" s="56">
        <f t="shared" si="13"/>
        <v>5406998.069925366</v>
      </c>
      <c r="O58" s="131">
        <f t="shared" si="10"/>
        <v>0.20999999999999991</v>
      </c>
    </row>
    <row r="59" spans="1:15" ht="13.5" thickBot="1" x14ac:dyDescent="0.25">
      <c r="A59" s="53">
        <v>45596</v>
      </c>
      <c r="B59" s="53" t="s">
        <v>146</v>
      </c>
      <c r="C59" s="55"/>
      <c r="D59" s="55">
        <f t="shared" si="3"/>
        <v>8879093.6488682032</v>
      </c>
      <c r="E59" s="178">
        <f t="shared" si="0"/>
        <v>8879093.6488682032</v>
      </c>
      <c r="F59" s="111">
        <f t="shared" si="17"/>
        <v>184981.11768475422</v>
      </c>
      <c r="G59" s="55">
        <f t="shared" si="14"/>
        <v>-2219773.4122170513</v>
      </c>
      <c r="H59" s="178">
        <f t="shared" si="15"/>
        <v>-1109886.7061085256</v>
      </c>
      <c r="I59" s="55">
        <f t="shared" si="16"/>
        <v>7769206.9427596778</v>
      </c>
      <c r="J59" s="55">
        <f t="shared" si="1"/>
        <v>38846.034713798384</v>
      </c>
      <c r="K59" s="58">
        <f t="shared" si="2"/>
        <v>-1398457.2496967411</v>
      </c>
      <c r="L59" s="55">
        <f t="shared" si="11"/>
        <v>-1631533.4579795317</v>
      </c>
      <c r="M59" s="59">
        <f t="shared" si="12"/>
        <v>6137673.4847801458</v>
      </c>
      <c r="N59" s="56">
        <f t="shared" si="13"/>
        <v>5260862.9869544115</v>
      </c>
      <c r="O59" s="131">
        <f t="shared" si="10"/>
        <v>0.20999999999999985</v>
      </c>
    </row>
    <row r="60" spans="1:15" x14ac:dyDescent="0.2">
      <c r="A60" s="120">
        <v>45626</v>
      </c>
      <c r="B60" s="127" t="s">
        <v>147</v>
      </c>
      <c r="C60" s="122"/>
      <c r="D60" s="122">
        <f t="shared" si="3"/>
        <v>8879093.6488682032</v>
      </c>
      <c r="E60" s="122">
        <f t="shared" si="0"/>
        <v>8879093.6488682032</v>
      </c>
      <c r="F60" s="123">
        <f t="shared" si="17"/>
        <v>184981.11768475422</v>
      </c>
      <c r="G60" s="122">
        <f t="shared" si="14"/>
        <v>-2404754.5299018053</v>
      </c>
      <c r="H60" s="122">
        <f t="shared" si="15"/>
        <v>-1294867.8237932797</v>
      </c>
      <c r="I60" s="122">
        <f t="shared" si="16"/>
        <v>7584225.8250749232</v>
      </c>
      <c r="J60" s="122">
        <f t="shared" si="1"/>
        <v>38846.034713798384</v>
      </c>
      <c r="K60" s="124">
        <f t="shared" si="2"/>
        <v>-1359611.2149829427</v>
      </c>
      <c r="L60" s="122">
        <f t="shared" si="11"/>
        <v>-1592687.4232657331</v>
      </c>
      <c r="M60" s="125">
        <f t="shared" si="12"/>
        <v>5991538.4018091904</v>
      </c>
      <c r="N60" s="126">
        <f t="shared" si="13"/>
        <v>5114727.9039834552</v>
      </c>
      <c r="O60" s="131">
        <f t="shared" si="10"/>
        <v>0.20999999999999985</v>
      </c>
    </row>
    <row r="61" spans="1:15" x14ac:dyDescent="0.2">
      <c r="A61" s="53">
        <v>45657</v>
      </c>
      <c r="B61" s="26" t="s">
        <v>147</v>
      </c>
      <c r="C61" s="55"/>
      <c r="D61" s="55">
        <f t="shared" si="3"/>
        <v>8879093.6488682032</v>
      </c>
      <c r="E61" s="55">
        <f t="shared" si="0"/>
        <v>8879093.6488682032</v>
      </c>
      <c r="F61" s="111">
        <f t="shared" si="17"/>
        <v>184981.11768475422</v>
      </c>
      <c r="G61" s="55">
        <f t="shared" si="14"/>
        <v>-2589735.6475865594</v>
      </c>
      <c r="H61" s="55">
        <f t="shared" si="15"/>
        <v>-1479848.9414780338</v>
      </c>
      <c r="I61" s="55">
        <f t="shared" si="16"/>
        <v>7399244.7073901696</v>
      </c>
      <c r="J61" s="55">
        <f t="shared" si="1"/>
        <v>38846.034713798384</v>
      </c>
      <c r="K61" s="58">
        <f t="shared" si="2"/>
        <v>-1320765.1802691442</v>
      </c>
      <c r="L61" s="55">
        <f t="shared" si="11"/>
        <v>-1553841.3885519349</v>
      </c>
      <c r="M61" s="59">
        <f t="shared" si="12"/>
        <v>5845403.318838235</v>
      </c>
      <c r="N61" s="56">
        <f t="shared" si="13"/>
        <v>4968592.8210124988</v>
      </c>
      <c r="O61" s="131">
        <f t="shared" si="10"/>
        <v>0.20999999999999985</v>
      </c>
    </row>
    <row r="62" spans="1:15" x14ac:dyDescent="0.2">
      <c r="A62" s="53">
        <v>45688</v>
      </c>
      <c r="B62" s="26" t="s">
        <v>147</v>
      </c>
      <c r="C62" s="55"/>
      <c r="D62" s="55">
        <f t="shared" si="3"/>
        <v>8879093.6488682032</v>
      </c>
      <c r="E62" s="55">
        <f t="shared" si="0"/>
        <v>8879093.6488682032</v>
      </c>
      <c r="F62" s="111">
        <f t="shared" si="17"/>
        <v>184981.11768475422</v>
      </c>
      <c r="G62" s="55">
        <f t="shared" si="14"/>
        <v>-2774716.7652713135</v>
      </c>
      <c r="H62" s="55">
        <f t="shared" si="15"/>
        <v>-1664830.0591627881</v>
      </c>
      <c r="I62" s="55">
        <f t="shared" si="16"/>
        <v>7214263.5897054151</v>
      </c>
      <c r="J62" s="55">
        <f t="shared" si="1"/>
        <v>38846.034713798384</v>
      </c>
      <c r="K62" s="58">
        <f t="shared" si="2"/>
        <v>-1281919.1455553458</v>
      </c>
      <c r="L62" s="55">
        <f t="shared" si="11"/>
        <v>-1514995.3538381364</v>
      </c>
      <c r="M62" s="59">
        <f t="shared" si="12"/>
        <v>5699268.2358672787</v>
      </c>
      <c r="N62" s="56">
        <f t="shared" si="13"/>
        <v>4822457.7380415443</v>
      </c>
      <c r="O62" s="131">
        <f t="shared" si="10"/>
        <v>0.20999999999999983</v>
      </c>
    </row>
    <row r="63" spans="1:15" x14ac:dyDescent="0.2">
      <c r="A63" s="53">
        <v>45716</v>
      </c>
      <c r="B63" s="26" t="s">
        <v>147</v>
      </c>
      <c r="C63" s="55"/>
      <c r="D63" s="55">
        <f t="shared" si="3"/>
        <v>8879093.6488682032</v>
      </c>
      <c r="E63" s="55">
        <f t="shared" si="0"/>
        <v>8879093.6488682032</v>
      </c>
      <c r="F63" s="111">
        <f t="shared" si="17"/>
        <v>184981.11768475422</v>
      </c>
      <c r="G63" s="55">
        <f t="shared" si="14"/>
        <v>-2959697.8829560676</v>
      </c>
      <c r="H63" s="55">
        <f t="shared" si="15"/>
        <v>-1849811.1768475424</v>
      </c>
      <c r="I63" s="55">
        <f t="shared" si="16"/>
        <v>7029282.4720206605</v>
      </c>
      <c r="J63" s="55">
        <f t="shared" si="1"/>
        <v>38846.034713798384</v>
      </c>
      <c r="K63" s="58">
        <f t="shared" si="2"/>
        <v>-1243073.1108415474</v>
      </c>
      <c r="L63" s="55">
        <f t="shared" si="11"/>
        <v>-1476149.3191243382</v>
      </c>
      <c r="M63" s="59">
        <f t="shared" si="12"/>
        <v>5553133.1528963223</v>
      </c>
      <c r="N63" s="56">
        <f t="shared" si="13"/>
        <v>4676322.6550705889</v>
      </c>
      <c r="O63" s="131">
        <f t="shared" si="10"/>
        <v>0.2099999999999998</v>
      </c>
    </row>
    <row r="64" spans="1:15" x14ac:dyDescent="0.2">
      <c r="A64" s="53">
        <v>45747</v>
      </c>
      <c r="B64" s="26" t="s">
        <v>147</v>
      </c>
      <c r="C64" s="55"/>
      <c r="D64" s="55">
        <f t="shared" si="3"/>
        <v>8879093.6488682032</v>
      </c>
      <c r="E64" s="55">
        <f t="shared" si="0"/>
        <v>8879093.6488682032</v>
      </c>
      <c r="F64" s="111">
        <f t="shared" si="17"/>
        <v>184981.11768475422</v>
      </c>
      <c r="G64" s="55">
        <f t="shared" si="14"/>
        <v>-3144679.0006408216</v>
      </c>
      <c r="H64" s="55">
        <f t="shared" si="15"/>
        <v>-2034792.2945322965</v>
      </c>
      <c r="I64" s="55">
        <f t="shared" si="16"/>
        <v>6844301.3543359069</v>
      </c>
      <c r="J64" s="55">
        <f t="shared" si="1"/>
        <v>38846.034713798384</v>
      </c>
      <c r="K64" s="58">
        <f t="shared" si="2"/>
        <v>-1204227.0761277489</v>
      </c>
      <c r="L64" s="55">
        <f t="shared" si="11"/>
        <v>-1437303.2844105398</v>
      </c>
      <c r="M64" s="59">
        <f t="shared" si="12"/>
        <v>5406998.0699253669</v>
      </c>
      <c r="N64" s="56">
        <f t="shared" si="13"/>
        <v>4530187.5720996326</v>
      </c>
      <c r="O64" s="131">
        <f t="shared" si="10"/>
        <v>0.2099999999999998</v>
      </c>
    </row>
    <row r="65" spans="1:15" x14ac:dyDescent="0.2">
      <c r="A65" s="53">
        <v>45777</v>
      </c>
      <c r="B65" s="26" t="s">
        <v>147</v>
      </c>
      <c r="C65" s="55"/>
      <c r="D65" s="55">
        <f t="shared" si="3"/>
        <v>8879093.6488682032</v>
      </c>
      <c r="E65" s="55">
        <f t="shared" si="0"/>
        <v>8879093.6488682032</v>
      </c>
      <c r="F65" s="111">
        <f t="shared" si="17"/>
        <v>184981.11768475422</v>
      </c>
      <c r="G65" s="55">
        <f t="shared" si="14"/>
        <v>-3329660.1183255757</v>
      </c>
      <c r="H65" s="55">
        <f t="shared" si="15"/>
        <v>-2219773.4122170508</v>
      </c>
      <c r="I65" s="55">
        <f t="shared" si="16"/>
        <v>6659320.2366511524</v>
      </c>
      <c r="J65" s="55">
        <f t="shared" si="1"/>
        <v>38846.034713798384</v>
      </c>
      <c r="K65" s="58">
        <f t="shared" si="2"/>
        <v>-1165381.0414139505</v>
      </c>
      <c r="L65" s="55">
        <f t="shared" si="11"/>
        <v>-1398457.2496967411</v>
      </c>
      <c r="M65" s="59">
        <f t="shared" si="12"/>
        <v>5260862.9869544115</v>
      </c>
      <c r="N65" s="56">
        <f t="shared" si="13"/>
        <v>4384052.4891286762</v>
      </c>
      <c r="O65" s="131">
        <f t="shared" si="10"/>
        <v>0.2099999999999998</v>
      </c>
    </row>
    <row r="66" spans="1:15" x14ac:dyDescent="0.2">
      <c r="A66" s="53">
        <v>45808</v>
      </c>
      <c r="B66" s="26" t="s">
        <v>147</v>
      </c>
      <c r="C66" s="55"/>
      <c r="D66" s="55">
        <f t="shared" si="3"/>
        <v>8879093.6488682032</v>
      </c>
      <c r="E66" s="55">
        <f t="shared" si="0"/>
        <v>8879093.6488682032</v>
      </c>
      <c r="F66" s="111">
        <f t="shared" si="17"/>
        <v>184981.11768475422</v>
      </c>
      <c r="G66" s="55">
        <f t="shared" si="14"/>
        <v>-3514641.2360103298</v>
      </c>
      <c r="H66" s="55">
        <f t="shared" si="15"/>
        <v>-2404754.5299018053</v>
      </c>
      <c r="I66" s="55">
        <f t="shared" si="16"/>
        <v>6474339.1189663978</v>
      </c>
      <c r="J66" s="55">
        <f t="shared" si="1"/>
        <v>38846.034713798384</v>
      </c>
      <c r="K66" s="58">
        <f t="shared" si="2"/>
        <v>-1126535.0067001521</v>
      </c>
      <c r="L66" s="55">
        <f t="shared" si="11"/>
        <v>-1359611.2149829427</v>
      </c>
      <c r="M66" s="59">
        <f t="shared" si="12"/>
        <v>5114727.9039834552</v>
      </c>
      <c r="N66" s="56">
        <f t="shared" si="13"/>
        <v>4237917.4061577208</v>
      </c>
      <c r="O66" s="131">
        <f t="shared" si="10"/>
        <v>0.20999999999999974</v>
      </c>
    </row>
    <row r="67" spans="1:15" x14ac:dyDescent="0.2">
      <c r="A67" s="53">
        <v>45838</v>
      </c>
      <c r="B67" s="26" t="s">
        <v>147</v>
      </c>
      <c r="C67" s="55"/>
      <c r="D67" s="55">
        <f t="shared" si="3"/>
        <v>8879093.6488682032</v>
      </c>
      <c r="E67" s="55">
        <f t="shared" si="0"/>
        <v>8879093.6488682032</v>
      </c>
      <c r="F67" s="111">
        <f t="shared" si="17"/>
        <v>184981.11768475422</v>
      </c>
      <c r="G67" s="55">
        <f t="shared" si="14"/>
        <v>-3699622.3536950839</v>
      </c>
      <c r="H67" s="55">
        <f t="shared" si="15"/>
        <v>-2589735.6475865589</v>
      </c>
      <c r="I67" s="55">
        <f t="shared" si="16"/>
        <v>6289358.0012816442</v>
      </c>
      <c r="J67" s="55">
        <f t="shared" si="1"/>
        <v>38846.034713798384</v>
      </c>
      <c r="K67" s="58">
        <f t="shared" si="2"/>
        <v>-1087688.9719863536</v>
      </c>
      <c r="L67" s="55">
        <f t="shared" si="11"/>
        <v>-1320765.1802691442</v>
      </c>
      <c r="M67" s="59">
        <f t="shared" si="12"/>
        <v>4968592.8210124997</v>
      </c>
      <c r="N67" s="56">
        <f t="shared" si="13"/>
        <v>4091782.3231867664</v>
      </c>
      <c r="O67" s="131">
        <f t="shared" si="10"/>
        <v>0.20999999999999971</v>
      </c>
    </row>
    <row r="68" spans="1:15" x14ac:dyDescent="0.2">
      <c r="A68" s="53">
        <v>45869</v>
      </c>
      <c r="B68" s="26" t="s">
        <v>147</v>
      </c>
      <c r="C68" s="55"/>
      <c r="D68" s="55">
        <f t="shared" si="3"/>
        <v>8879093.6488682032</v>
      </c>
      <c r="E68" s="55">
        <f t="shared" si="0"/>
        <v>8879093.6488682032</v>
      </c>
      <c r="F68" s="111">
        <f t="shared" si="17"/>
        <v>184981.11768475422</v>
      </c>
      <c r="G68" s="55">
        <f t="shared" si="14"/>
        <v>-3884603.471379838</v>
      </c>
      <c r="H68" s="55">
        <f t="shared" si="15"/>
        <v>-2774716.765271313</v>
      </c>
      <c r="I68" s="55">
        <f t="shared" si="16"/>
        <v>6104376.8835968897</v>
      </c>
      <c r="J68" s="55">
        <f t="shared" si="1"/>
        <v>38846.034713798384</v>
      </c>
      <c r="K68" s="58">
        <f t="shared" si="2"/>
        <v>-1048842.9372725552</v>
      </c>
      <c r="L68" s="55">
        <f t="shared" si="11"/>
        <v>-1281919.1455553458</v>
      </c>
      <c r="M68" s="59">
        <f t="shared" si="12"/>
        <v>4822457.7380415443</v>
      </c>
      <c r="N68" s="56">
        <f t="shared" si="13"/>
        <v>3945647.24021581</v>
      </c>
      <c r="O68" s="131">
        <f t="shared" si="10"/>
        <v>0.20999999999999969</v>
      </c>
    </row>
    <row r="69" spans="1:15" x14ac:dyDescent="0.2">
      <c r="A69" s="53">
        <v>45900</v>
      </c>
      <c r="B69" s="26" t="s">
        <v>147</v>
      </c>
      <c r="C69" s="55"/>
      <c r="D69" s="55">
        <f t="shared" si="3"/>
        <v>8879093.6488682032</v>
      </c>
      <c r="E69" s="55">
        <f t="shared" si="0"/>
        <v>8879093.6488682032</v>
      </c>
      <c r="F69" s="111">
        <f t="shared" si="17"/>
        <v>184981.11768475422</v>
      </c>
      <c r="G69" s="55">
        <f t="shared" si="14"/>
        <v>-4069584.589064592</v>
      </c>
      <c r="H69" s="55">
        <f t="shared" si="15"/>
        <v>-2959697.8829560676</v>
      </c>
      <c r="I69" s="55">
        <f t="shared" si="16"/>
        <v>5919395.7659121361</v>
      </c>
      <c r="J69" s="55">
        <f t="shared" si="1"/>
        <v>38846.034713798384</v>
      </c>
      <c r="K69" s="58">
        <f t="shared" si="2"/>
        <v>-1009996.9025587568</v>
      </c>
      <c r="L69" s="55">
        <f t="shared" si="11"/>
        <v>-1243073.1108415476</v>
      </c>
      <c r="M69" s="59">
        <f t="shared" si="12"/>
        <v>4676322.655070588</v>
      </c>
      <c r="N69" s="56">
        <f t="shared" si="13"/>
        <v>3799512.1572448537</v>
      </c>
      <c r="O69" s="131">
        <f t="shared" si="10"/>
        <v>0.20999999999999969</v>
      </c>
    </row>
    <row r="70" spans="1:15" x14ac:dyDescent="0.2">
      <c r="A70" s="53">
        <v>45930</v>
      </c>
      <c r="B70" s="26" t="s">
        <v>147</v>
      </c>
      <c r="C70" s="55"/>
      <c r="D70" s="55">
        <f t="shared" si="3"/>
        <v>8879093.6488682032</v>
      </c>
      <c r="E70" s="55">
        <f t="shared" si="0"/>
        <v>8879093.6488682032</v>
      </c>
      <c r="F70" s="111">
        <f t="shared" si="17"/>
        <v>184981.11768475422</v>
      </c>
      <c r="G70" s="55">
        <f t="shared" si="14"/>
        <v>-4254565.7067493461</v>
      </c>
      <c r="H70" s="55">
        <f t="shared" si="15"/>
        <v>-3144679.0006408221</v>
      </c>
      <c r="I70" s="55">
        <f t="shared" si="16"/>
        <v>5734414.6482273806</v>
      </c>
      <c r="J70" s="55">
        <f t="shared" si="1"/>
        <v>38846.034713798384</v>
      </c>
      <c r="K70" s="58">
        <f t="shared" si="2"/>
        <v>-971150.86784495832</v>
      </c>
      <c r="L70" s="55">
        <f t="shared" si="11"/>
        <v>-1204227.0761277492</v>
      </c>
      <c r="M70" s="59">
        <f t="shared" si="12"/>
        <v>4530187.5720996317</v>
      </c>
      <c r="N70" s="56">
        <f t="shared" si="13"/>
        <v>3653377.0742738987</v>
      </c>
      <c r="O70" s="131">
        <f t="shared" si="10"/>
        <v>0.20999999999999963</v>
      </c>
    </row>
    <row r="71" spans="1:15" ht="13.5" thickBot="1" x14ac:dyDescent="0.25">
      <c r="A71" s="53">
        <v>45961</v>
      </c>
      <c r="B71" s="26" t="s">
        <v>147</v>
      </c>
      <c r="C71" s="55"/>
      <c r="D71" s="55">
        <f t="shared" si="3"/>
        <v>8879093.6488682032</v>
      </c>
      <c r="E71" s="55">
        <f t="shared" si="0"/>
        <v>8879093.6488682032</v>
      </c>
      <c r="F71" s="111">
        <f t="shared" si="17"/>
        <v>184981.11768475422</v>
      </c>
      <c r="G71" s="55">
        <f t="shared" si="14"/>
        <v>-4439546.8244341007</v>
      </c>
      <c r="H71" s="55">
        <f t="shared" si="15"/>
        <v>-3329660.1183255757</v>
      </c>
      <c r="I71" s="55">
        <f t="shared" si="16"/>
        <v>5549433.530542627</v>
      </c>
      <c r="J71" s="55">
        <f t="shared" si="1"/>
        <v>38846.034713798384</v>
      </c>
      <c r="K71" s="58">
        <f t="shared" si="2"/>
        <v>-932304.83313115989</v>
      </c>
      <c r="L71" s="55">
        <f t="shared" si="11"/>
        <v>-1165381.0414139505</v>
      </c>
      <c r="M71" s="59">
        <f t="shared" si="12"/>
        <v>4384052.4891286762</v>
      </c>
      <c r="N71" s="56">
        <f t="shared" si="13"/>
        <v>3507241.9913029429</v>
      </c>
      <c r="O71" s="131">
        <f t="shared" si="10"/>
        <v>0.20999999999999963</v>
      </c>
    </row>
    <row r="72" spans="1:15" x14ac:dyDescent="0.2">
      <c r="A72" s="120">
        <v>45991</v>
      </c>
      <c r="B72" s="127" t="s">
        <v>148</v>
      </c>
      <c r="C72" s="122"/>
      <c r="D72" s="122">
        <f t="shared" si="3"/>
        <v>8879093.6488682032</v>
      </c>
      <c r="E72" s="122">
        <f t="shared" si="0"/>
        <v>8879093.6488682032</v>
      </c>
      <c r="F72" s="123">
        <f t="shared" si="17"/>
        <v>184981.11768475422</v>
      </c>
      <c r="G72" s="122">
        <f t="shared" si="14"/>
        <v>-4624527.9421188552</v>
      </c>
      <c r="H72" s="122">
        <f t="shared" si="15"/>
        <v>-3514641.2360103298</v>
      </c>
      <c r="I72" s="122">
        <f t="shared" si="16"/>
        <v>5364452.4128578734</v>
      </c>
      <c r="J72" s="122">
        <f t="shared" si="1"/>
        <v>38846.034713798384</v>
      </c>
      <c r="K72" s="124">
        <f t="shared" si="2"/>
        <v>-893458.79841736145</v>
      </c>
      <c r="L72" s="122">
        <f t="shared" si="11"/>
        <v>-1126535.0067001523</v>
      </c>
      <c r="M72" s="125">
        <f t="shared" si="12"/>
        <v>4237917.4061577208</v>
      </c>
      <c r="N72" s="126">
        <f t="shared" si="13"/>
        <v>3361106.9083319865</v>
      </c>
      <c r="O72" s="131">
        <f t="shared" si="10"/>
        <v>0.20999999999999963</v>
      </c>
    </row>
    <row r="73" spans="1:15" x14ac:dyDescent="0.2">
      <c r="A73" s="53">
        <v>46022</v>
      </c>
      <c r="B73" s="26" t="s">
        <v>148</v>
      </c>
      <c r="C73" s="55"/>
      <c r="D73" s="55">
        <f t="shared" si="3"/>
        <v>8879093.6488682032</v>
      </c>
      <c r="E73" s="55">
        <f t="shared" si="0"/>
        <v>8879093.6488682032</v>
      </c>
      <c r="F73" s="111">
        <f t="shared" si="17"/>
        <v>184981.11768475422</v>
      </c>
      <c r="G73" s="55">
        <f t="shared" si="14"/>
        <v>-4809509.0598036097</v>
      </c>
      <c r="H73" s="55">
        <f t="shared" si="15"/>
        <v>-3699622.3536950839</v>
      </c>
      <c r="I73" s="55">
        <f t="shared" si="16"/>
        <v>5179471.2951731198</v>
      </c>
      <c r="J73" s="55">
        <f t="shared" si="1"/>
        <v>38846.034713798384</v>
      </c>
      <c r="K73" s="58">
        <f t="shared" si="2"/>
        <v>-854612.76370356302</v>
      </c>
      <c r="L73" s="55">
        <f t="shared" si="11"/>
        <v>-1087688.9719863536</v>
      </c>
      <c r="M73" s="59">
        <f t="shared" si="12"/>
        <v>4091782.3231867664</v>
      </c>
      <c r="N73" s="56">
        <f t="shared" si="13"/>
        <v>3214971.8253610302</v>
      </c>
      <c r="O73" s="131">
        <f t="shared" si="10"/>
        <v>0.2099999999999996</v>
      </c>
    </row>
    <row r="74" spans="1:15" x14ac:dyDescent="0.2">
      <c r="A74" s="53">
        <v>46053</v>
      </c>
      <c r="B74" s="26" t="s">
        <v>148</v>
      </c>
      <c r="D74" s="55">
        <f t="shared" si="3"/>
        <v>8879093.6488682032</v>
      </c>
      <c r="E74" s="55">
        <f t="shared" si="0"/>
        <v>8879093.6488682032</v>
      </c>
      <c r="F74" s="111">
        <f t="shared" si="17"/>
        <v>184981.11768475422</v>
      </c>
      <c r="G74" s="55">
        <f t="shared" si="14"/>
        <v>-4994490.1774883643</v>
      </c>
      <c r="H74" s="55">
        <f t="shared" si="15"/>
        <v>-3884603.4713798384</v>
      </c>
      <c r="I74" s="55">
        <f t="shared" si="16"/>
        <v>4994490.1774883643</v>
      </c>
      <c r="J74" s="55">
        <f t="shared" si="1"/>
        <v>38846.034713798384</v>
      </c>
      <c r="K74" s="58">
        <f t="shared" si="2"/>
        <v>-815766.72898976458</v>
      </c>
      <c r="L74" s="55">
        <f t="shared" si="11"/>
        <v>-1048842.9372725552</v>
      </c>
      <c r="M74" s="59">
        <f t="shared" si="12"/>
        <v>3945647.2402158091</v>
      </c>
      <c r="N74" s="56">
        <f t="shared" si="13"/>
        <v>3068836.7423900743</v>
      </c>
      <c r="O74" s="131">
        <f t="shared" si="10"/>
        <v>0.2099999999999996</v>
      </c>
    </row>
    <row r="75" spans="1:15" x14ac:dyDescent="0.2">
      <c r="A75" s="53">
        <v>46081</v>
      </c>
      <c r="B75" s="26" t="s">
        <v>148</v>
      </c>
      <c r="D75" s="55">
        <f t="shared" si="3"/>
        <v>8879093.6488682032</v>
      </c>
      <c r="E75" s="55">
        <f t="shared" si="0"/>
        <v>8879093.6488682032</v>
      </c>
      <c r="F75" s="111">
        <f t="shared" si="17"/>
        <v>184981.11768475422</v>
      </c>
      <c r="G75" s="55">
        <f t="shared" si="14"/>
        <v>-5179471.2951731188</v>
      </c>
      <c r="H75" s="55">
        <f t="shared" si="15"/>
        <v>-4069584.5890645925</v>
      </c>
      <c r="I75" s="55">
        <f t="shared" si="16"/>
        <v>4809509.0598036107</v>
      </c>
      <c r="J75" s="55">
        <f t="shared" si="1"/>
        <v>38846.034713798384</v>
      </c>
      <c r="K75" s="58">
        <f t="shared" si="2"/>
        <v>-776920.69427596615</v>
      </c>
      <c r="L75" s="55">
        <f t="shared" si="11"/>
        <v>-1009996.9025587569</v>
      </c>
      <c r="M75" s="59">
        <f t="shared" si="12"/>
        <v>3799512.1572448537</v>
      </c>
      <c r="N75" s="56">
        <f t="shared" si="13"/>
        <v>2922701.6594191184</v>
      </c>
      <c r="O75" s="131">
        <f t="shared" si="10"/>
        <v>0.20999999999999958</v>
      </c>
    </row>
    <row r="76" spans="1:15" x14ac:dyDescent="0.2">
      <c r="A76" s="53">
        <v>46112</v>
      </c>
      <c r="B76" s="26" t="s">
        <v>148</v>
      </c>
      <c r="D76" s="55">
        <f t="shared" si="3"/>
        <v>8879093.6488682032</v>
      </c>
      <c r="E76" s="55">
        <f t="shared" si="0"/>
        <v>8879093.6488682032</v>
      </c>
      <c r="F76" s="111">
        <f t="shared" si="17"/>
        <v>184981.11768475422</v>
      </c>
      <c r="G76" s="55">
        <f t="shared" si="14"/>
        <v>-5364452.4128578734</v>
      </c>
      <c r="H76" s="55">
        <f t="shared" si="15"/>
        <v>-4254565.706749347</v>
      </c>
      <c r="I76" s="55">
        <f t="shared" si="16"/>
        <v>4624527.9421188561</v>
      </c>
      <c r="J76" s="55">
        <f t="shared" si="1"/>
        <v>38846.034713798384</v>
      </c>
      <c r="K76" s="58">
        <f t="shared" si="2"/>
        <v>-738074.65956216771</v>
      </c>
      <c r="L76" s="55">
        <f t="shared" si="11"/>
        <v>-971150.86784495832</v>
      </c>
      <c r="M76" s="59">
        <f t="shared" si="12"/>
        <v>3653377.0742738978</v>
      </c>
      <c r="N76" s="56">
        <f t="shared" si="13"/>
        <v>2776566.5764481621</v>
      </c>
      <c r="O76" s="131">
        <f t="shared" si="10"/>
        <v>0.20999999999999955</v>
      </c>
    </row>
    <row r="77" spans="1:15" x14ac:dyDescent="0.2">
      <c r="A77" s="53">
        <v>46142</v>
      </c>
      <c r="B77" s="26" t="s">
        <v>148</v>
      </c>
      <c r="D77" s="55">
        <f t="shared" si="3"/>
        <v>8879093.6488682032</v>
      </c>
      <c r="E77" s="55">
        <f t="shared" si="0"/>
        <v>8879093.6488682032</v>
      </c>
      <c r="F77" s="111">
        <f t="shared" si="17"/>
        <v>184981.11768475422</v>
      </c>
      <c r="G77" s="55">
        <f t="shared" si="14"/>
        <v>-5549433.5305426279</v>
      </c>
      <c r="H77" s="55">
        <f t="shared" si="15"/>
        <v>-4439546.8244341007</v>
      </c>
      <c r="I77" s="55">
        <f t="shared" si="16"/>
        <v>4439546.8244341025</v>
      </c>
      <c r="J77" s="55">
        <f t="shared" si="1"/>
        <v>38846.034713798384</v>
      </c>
      <c r="K77" s="58">
        <f t="shared" si="2"/>
        <v>-699228.62484836928</v>
      </c>
      <c r="L77" s="55">
        <f t="shared" si="11"/>
        <v>-932304.83313116</v>
      </c>
      <c r="M77" s="59">
        <f t="shared" si="12"/>
        <v>3507241.9913029424</v>
      </c>
      <c r="N77" s="56">
        <f t="shared" si="13"/>
        <v>2630431.4934772057</v>
      </c>
      <c r="O77" s="131">
        <f t="shared" si="10"/>
        <v>0.20999999999999955</v>
      </c>
    </row>
    <row r="78" spans="1:15" x14ac:dyDescent="0.2">
      <c r="A78" s="53">
        <v>46173</v>
      </c>
      <c r="B78" s="26" t="s">
        <v>148</v>
      </c>
      <c r="D78" s="55">
        <f t="shared" si="3"/>
        <v>8879093.6488682032</v>
      </c>
      <c r="E78" s="55">
        <f t="shared" si="0"/>
        <v>8879093.6488682032</v>
      </c>
      <c r="F78" s="111">
        <f t="shared" si="17"/>
        <v>184981.11768475422</v>
      </c>
      <c r="G78" s="55">
        <f t="shared" si="14"/>
        <v>-5734414.6482273825</v>
      </c>
      <c r="H78" s="55">
        <f t="shared" si="15"/>
        <v>-4624527.9421188552</v>
      </c>
      <c r="I78" s="55">
        <f t="shared" si="16"/>
        <v>4254565.706749348</v>
      </c>
      <c r="J78" s="55">
        <f t="shared" si="1"/>
        <v>38846.034713798384</v>
      </c>
      <c r="K78" s="58">
        <f t="shared" si="2"/>
        <v>-660382.59013457084</v>
      </c>
      <c r="L78" s="55">
        <f t="shared" si="11"/>
        <v>-893458.79841736157</v>
      </c>
      <c r="M78" s="59">
        <f t="shared" si="12"/>
        <v>3361106.9083319865</v>
      </c>
      <c r="N78" s="56">
        <f t="shared" si="13"/>
        <v>2484296.4105062499</v>
      </c>
      <c r="O78" s="131">
        <f t="shared" si="10"/>
        <v>0.20999999999999952</v>
      </c>
    </row>
    <row r="79" spans="1:15" x14ac:dyDescent="0.2">
      <c r="A79" s="53">
        <v>46203</v>
      </c>
      <c r="B79" s="26" t="s">
        <v>148</v>
      </c>
      <c r="D79" s="55">
        <f t="shared" si="3"/>
        <v>8879093.6488682032</v>
      </c>
      <c r="E79" s="55">
        <f t="shared" si="0"/>
        <v>8879093.6488682032</v>
      </c>
      <c r="F79" s="111">
        <f t="shared" si="17"/>
        <v>184981.11768475422</v>
      </c>
      <c r="G79" s="55">
        <f t="shared" si="14"/>
        <v>-5919395.765912137</v>
      </c>
      <c r="H79" s="55">
        <f t="shared" si="15"/>
        <v>-4809509.0598036107</v>
      </c>
      <c r="I79" s="55">
        <f t="shared" si="16"/>
        <v>4069584.5890645925</v>
      </c>
      <c r="J79" s="55">
        <f t="shared" si="1"/>
        <v>38846.034713798384</v>
      </c>
      <c r="K79" s="58">
        <f t="shared" si="2"/>
        <v>-621536.55542077241</v>
      </c>
      <c r="L79" s="55">
        <f t="shared" si="11"/>
        <v>-854612.76370356278</v>
      </c>
      <c r="M79" s="55">
        <f t="shared" si="12"/>
        <v>3214971.8253610297</v>
      </c>
      <c r="N79" s="56">
        <f t="shared" si="13"/>
        <v>2338161.327535294</v>
      </c>
      <c r="O79" s="131">
        <f t="shared" si="10"/>
        <v>0.20999999999999949</v>
      </c>
    </row>
    <row r="80" spans="1:15" x14ac:dyDescent="0.2">
      <c r="A80" s="53">
        <v>46234</v>
      </c>
      <c r="B80" s="26" t="s">
        <v>148</v>
      </c>
      <c r="D80" s="55">
        <f t="shared" si="3"/>
        <v>8879093.6488682032</v>
      </c>
      <c r="E80" s="55">
        <f t="shared" si="0"/>
        <v>8879093.6488682032</v>
      </c>
      <c r="F80" s="111">
        <f t="shared" si="17"/>
        <v>184981.11768475422</v>
      </c>
      <c r="G80" s="55">
        <f t="shared" si="14"/>
        <v>-6104376.8835968915</v>
      </c>
      <c r="H80" s="55">
        <f t="shared" si="15"/>
        <v>-4994490.1774883643</v>
      </c>
      <c r="I80" s="55">
        <f t="shared" si="16"/>
        <v>3884603.4713798389</v>
      </c>
      <c r="J80" s="55">
        <f t="shared" si="1"/>
        <v>38846.034713798384</v>
      </c>
      <c r="K80" s="58">
        <f t="shared" si="2"/>
        <v>-582690.52070697397</v>
      </c>
      <c r="L80" s="55">
        <f t="shared" si="11"/>
        <v>-815766.7289897647</v>
      </c>
      <c r="M80" s="55">
        <f t="shared" si="12"/>
        <v>3068836.7423900743</v>
      </c>
      <c r="N80" s="56">
        <f t="shared" si="13"/>
        <v>2192026.2445643377</v>
      </c>
      <c r="O80" s="131">
        <f t="shared" si="10"/>
        <v>0.20999999999999946</v>
      </c>
    </row>
    <row r="81" spans="1:15" x14ac:dyDescent="0.2">
      <c r="A81" s="53">
        <v>46265</v>
      </c>
      <c r="B81" s="26" t="s">
        <v>148</v>
      </c>
      <c r="D81" s="55">
        <f t="shared" si="3"/>
        <v>8879093.6488682032</v>
      </c>
      <c r="E81" s="55">
        <f t="shared" si="0"/>
        <v>8879093.6488682032</v>
      </c>
      <c r="F81" s="111">
        <f t="shared" si="17"/>
        <v>184981.11768475422</v>
      </c>
      <c r="G81" s="55">
        <f t="shared" si="14"/>
        <v>-6289358.0012816461</v>
      </c>
      <c r="H81" s="55">
        <f t="shared" si="15"/>
        <v>-5179471.2951731188</v>
      </c>
      <c r="I81" s="55">
        <f t="shared" si="16"/>
        <v>3699622.3536950843</v>
      </c>
      <c r="J81" s="55">
        <f t="shared" si="1"/>
        <v>38846.034713798384</v>
      </c>
      <c r="K81" s="58">
        <f t="shared" si="2"/>
        <v>-543844.48599317553</v>
      </c>
      <c r="L81" s="55">
        <f t="shared" si="11"/>
        <v>-776920.69427596603</v>
      </c>
      <c r="M81" s="55">
        <f t="shared" si="12"/>
        <v>2922701.6594191184</v>
      </c>
      <c r="N81" s="56">
        <f t="shared" si="13"/>
        <v>2045891.1615933815</v>
      </c>
      <c r="O81" s="131">
        <f t="shared" si="10"/>
        <v>0.20999999999999944</v>
      </c>
    </row>
    <row r="82" spans="1:15" x14ac:dyDescent="0.2">
      <c r="A82" s="53">
        <v>46295</v>
      </c>
      <c r="B82" s="26" t="s">
        <v>148</v>
      </c>
      <c r="D82" s="55">
        <f t="shared" si="3"/>
        <v>8879093.6488682032</v>
      </c>
      <c r="E82" s="55">
        <f t="shared" si="0"/>
        <v>8879093.6488682032</v>
      </c>
      <c r="F82" s="111">
        <f t="shared" si="17"/>
        <v>184981.11768475422</v>
      </c>
      <c r="G82" s="55">
        <f t="shared" si="14"/>
        <v>-6474339.1189664006</v>
      </c>
      <c r="H82" s="55">
        <f t="shared" si="15"/>
        <v>-5364452.4128578743</v>
      </c>
      <c r="I82" s="55">
        <f t="shared" si="16"/>
        <v>3514641.2360103289</v>
      </c>
      <c r="J82" s="55">
        <f t="shared" si="1"/>
        <v>38846.034713798384</v>
      </c>
      <c r="K82" s="58">
        <f t="shared" si="2"/>
        <v>-504998.45127937716</v>
      </c>
      <c r="L82" s="55">
        <f t="shared" si="11"/>
        <v>-738074.65956216771</v>
      </c>
      <c r="M82" s="55">
        <f t="shared" si="12"/>
        <v>2776566.5764481612</v>
      </c>
      <c r="N82" s="56">
        <f t="shared" si="13"/>
        <v>1899756.0786224254</v>
      </c>
      <c r="O82" s="131">
        <f t="shared" si="10"/>
        <v>0.20999999999999944</v>
      </c>
    </row>
    <row r="83" spans="1:15" ht="13.5" thickBot="1" x14ac:dyDescent="0.25">
      <c r="A83" s="53">
        <v>46326</v>
      </c>
      <c r="B83" s="26" t="s">
        <v>148</v>
      </c>
      <c r="D83" s="55">
        <f t="shared" si="3"/>
        <v>8879093.6488682032</v>
      </c>
      <c r="E83" s="55">
        <f t="shared" si="0"/>
        <v>8879093.6488682032</v>
      </c>
      <c r="F83" s="111">
        <f t="shared" si="17"/>
        <v>184981.11768475422</v>
      </c>
      <c r="G83" s="55">
        <f t="shared" si="14"/>
        <v>-6659320.2366511552</v>
      </c>
      <c r="H83" s="55">
        <f t="shared" si="15"/>
        <v>-5549433.5305426279</v>
      </c>
      <c r="I83" s="55">
        <f t="shared" si="16"/>
        <v>3329660.1183255753</v>
      </c>
      <c r="J83" s="55">
        <f t="shared" si="1"/>
        <v>38846.034713798384</v>
      </c>
      <c r="K83" s="58">
        <f t="shared" si="2"/>
        <v>-466152.41656557878</v>
      </c>
      <c r="L83" s="55">
        <f t="shared" si="11"/>
        <v>-699228.62484836939</v>
      </c>
      <c r="M83" s="55">
        <f t="shared" si="12"/>
        <v>2630431.4934772057</v>
      </c>
      <c r="N83" s="56">
        <f t="shared" si="13"/>
        <v>1753620.9956514691</v>
      </c>
      <c r="O83" s="131">
        <f t="shared" si="10"/>
        <v>0.20999999999999941</v>
      </c>
    </row>
    <row r="84" spans="1:15" x14ac:dyDescent="0.2">
      <c r="A84" s="120">
        <v>46356</v>
      </c>
      <c r="B84" s="127" t="s">
        <v>149</v>
      </c>
      <c r="C84" s="127"/>
      <c r="D84" s="122">
        <f t="shared" si="3"/>
        <v>8879093.6488682032</v>
      </c>
      <c r="E84" s="122">
        <f t="shared" si="0"/>
        <v>8879093.6488682032</v>
      </c>
      <c r="F84" s="123">
        <f t="shared" si="17"/>
        <v>184981.11768475422</v>
      </c>
      <c r="G84" s="122">
        <f t="shared" si="14"/>
        <v>-6844301.3543359097</v>
      </c>
      <c r="H84" s="122">
        <f t="shared" si="15"/>
        <v>-5734414.6482273825</v>
      </c>
      <c r="I84" s="122">
        <f t="shared" si="16"/>
        <v>3144679.0006408207</v>
      </c>
      <c r="J84" s="122">
        <f t="shared" si="1"/>
        <v>38846.034713798384</v>
      </c>
      <c r="K84" s="124">
        <f t="shared" si="2"/>
        <v>-427306.3818517804</v>
      </c>
      <c r="L84" s="122">
        <f t="shared" si="11"/>
        <v>-660382.59013457096</v>
      </c>
      <c r="M84" s="122">
        <f t="shared" si="12"/>
        <v>2484296.4105062499</v>
      </c>
      <c r="N84" s="126">
        <f t="shared" si="13"/>
        <v>1607485.912680513</v>
      </c>
      <c r="O84" s="131">
        <f t="shared" si="10"/>
        <v>0.20999999999999941</v>
      </c>
    </row>
    <row r="85" spans="1:15" x14ac:dyDescent="0.2">
      <c r="A85" s="53">
        <v>46387</v>
      </c>
      <c r="B85" s="26" t="s">
        <v>149</v>
      </c>
      <c r="D85" s="55">
        <f t="shared" si="3"/>
        <v>8879093.6488682032</v>
      </c>
      <c r="E85" s="55">
        <f t="shared" si="0"/>
        <v>8879093.6488682032</v>
      </c>
      <c r="F85" s="111">
        <f t="shared" si="17"/>
        <v>184981.11768475422</v>
      </c>
      <c r="G85" s="55">
        <f t="shared" si="14"/>
        <v>-7029282.4720206643</v>
      </c>
      <c r="H85" s="55">
        <f t="shared" si="15"/>
        <v>-5919395.765912137</v>
      </c>
      <c r="I85" s="55">
        <f t="shared" si="16"/>
        <v>2959697.8829560662</v>
      </c>
      <c r="J85" s="55">
        <f t="shared" si="1"/>
        <v>38846.034713798384</v>
      </c>
      <c r="K85" s="58">
        <f t="shared" si="2"/>
        <v>-388460.34713798203</v>
      </c>
      <c r="L85" s="55">
        <f t="shared" si="11"/>
        <v>-621536.55542077252</v>
      </c>
      <c r="M85" s="55">
        <f t="shared" si="12"/>
        <v>2338161.3275352935</v>
      </c>
      <c r="N85" s="56">
        <f t="shared" si="13"/>
        <v>1461350.8297095569</v>
      </c>
      <c r="O85" s="131">
        <f t="shared" si="10"/>
        <v>0.20999999999999938</v>
      </c>
    </row>
    <row r="86" spans="1:15" x14ac:dyDescent="0.2">
      <c r="A86" s="53">
        <v>46418</v>
      </c>
      <c r="B86" s="26" t="s">
        <v>149</v>
      </c>
      <c r="D86" s="55">
        <f t="shared" si="3"/>
        <v>8879093.6488682032</v>
      </c>
      <c r="E86" s="55">
        <f t="shared" si="0"/>
        <v>8879093.6488682032</v>
      </c>
      <c r="F86" s="111">
        <f t="shared" si="17"/>
        <v>184981.11768475422</v>
      </c>
      <c r="G86" s="55">
        <f t="shared" si="14"/>
        <v>-7214263.5897054188</v>
      </c>
      <c r="H86" s="55">
        <f t="shared" si="15"/>
        <v>-6104376.8835968925</v>
      </c>
      <c r="I86" s="55">
        <f t="shared" si="16"/>
        <v>2774716.7652713107</v>
      </c>
      <c r="J86" s="55">
        <f t="shared" si="1"/>
        <v>38846.034713798384</v>
      </c>
      <c r="K86" s="58">
        <f t="shared" si="2"/>
        <v>-349614.31242418365</v>
      </c>
      <c r="L86" s="55">
        <f t="shared" si="11"/>
        <v>-582690.52070697409</v>
      </c>
      <c r="M86" s="55">
        <f t="shared" si="12"/>
        <v>2192026.2445643367</v>
      </c>
      <c r="N86" s="56">
        <f t="shared" si="13"/>
        <v>1315215.7467386008</v>
      </c>
      <c r="O86" s="131">
        <f t="shared" si="10"/>
        <v>0.20999999999999935</v>
      </c>
    </row>
    <row r="87" spans="1:15" x14ac:dyDescent="0.2">
      <c r="A87" s="53">
        <v>46446</v>
      </c>
      <c r="B87" s="26" t="s">
        <v>149</v>
      </c>
      <c r="D87" s="55">
        <f t="shared" si="3"/>
        <v>8879093.6488682032</v>
      </c>
      <c r="E87" s="55">
        <f t="shared" si="0"/>
        <v>8879093.6488682032</v>
      </c>
      <c r="F87" s="111">
        <f t="shared" si="17"/>
        <v>184981.11768475422</v>
      </c>
      <c r="G87" s="55">
        <f t="shared" si="14"/>
        <v>-7399244.7073901733</v>
      </c>
      <c r="H87" s="55">
        <f t="shared" si="15"/>
        <v>-6289358.0012816461</v>
      </c>
      <c r="I87" s="55">
        <f t="shared" si="16"/>
        <v>2589735.6475865571</v>
      </c>
      <c r="J87" s="55">
        <f t="shared" si="1"/>
        <v>38846.034713798384</v>
      </c>
      <c r="K87" s="58">
        <f t="shared" si="2"/>
        <v>-310768.27771038527</v>
      </c>
      <c r="L87" s="55">
        <f t="shared" si="11"/>
        <v>-543844.48599317565</v>
      </c>
      <c r="M87" s="55">
        <f t="shared" si="12"/>
        <v>2045891.1615933813</v>
      </c>
      <c r="N87" s="56">
        <f t="shared" si="13"/>
        <v>1169080.6637676447</v>
      </c>
      <c r="O87" s="131">
        <f t="shared" si="10"/>
        <v>0.20999999999999933</v>
      </c>
    </row>
    <row r="88" spans="1:15" x14ac:dyDescent="0.2">
      <c r="A88" s="53">
        <v>46477</v>
      </c>
      <c r="B88" s="26" t="s">
        <v>149</v>
      </c>
      <c r="D88" s="55">
        <f t="shared" si="3"/>
        <v>8879093.6488682032</v>
      </c>
      <c r="E88" s="55">
        <f t="shared" ref="E88:E95" si="18">(D76+D88+SUM(D77:D87)*2)/24</f>
        <v>8879093.6488682032</v>
      </c>
      <c r="F88" s="111">
        <f t="shared" si="17"/>
        <v>184981.11768475422</v>
      </c>
      <c r="G88" s="55">
        <f t="shared" si="14"/>
        <v>-7584225.8250749279</v>
      </c>
      <c r="H88" s="55">
        <f t="shared" si="15"/>
        <v>-6474339.1189664006</v>
      </c>
      <c r="I88" s="55">
        <f t="shared" si="16"/>
        <v>2404754.5299018025</v>
      </c>
      <c r="J88" s="55">
        <f t="shared" ref="J88:J95" si="19">(-C88*0.21)+(F88*0.21)</f>
        <v>38846.034713798384</v>
      </c>
      <c r="K88" s="58">
        <f t="shared" ref="K88:K95" si="20">K87+J88</f>
        <v>-271922.24299658689</v>
      </c>
      <c r="L88" s="55">
        <f t="shared" si="11"/>
        <v>-504998.45127937727</v>
      </c>
      <c r="M88" s="55">
        <f t="shared" si="12"/>
        <v>1899756.0786224252</v>
      </c>
      <c r="N88" s="56">
        <f t="shared" si="13"/>
        <v>1022945.5807966883</v>
      </c>
      <c r="O88" s="131">
        <f t="shared" si="10"/>
        <v>0.2099999999999993</v>
      </c>
    </row>
    <row r="89" spans="1:15" x14ac:dyDescent="0.2">
      <c r="A89" s="53">
        <v>46507</v>
      </c>
      <c r="B89" s="26" t="s">
        <v>149</v>
      </c>
      <c r="D89" s="55">
        <f t="shared" ref="D89:D95" si="21">D88+C89</f>
        <v>8879093.6488682032</v>
      </c>
      <c r="E89" s="55">
        <f t="shared" si="18"/>
        <v>8879093.6488682032</v>
      </c>
      <c r="F89" s="111">
        <f t="shared" si="17"/>
        <v>184981.11768475422</v>
      </c>
      <c r="G89" s="55">
        <f t="shared" si="14"/>
        <v>-7769206.9427596824</v>
      </c>
      <c r="H89" s="55">
        <f t="shared" si="15"/>
        <v>-6659320.2366511552</v>
      </c>
      <c r="I89" s="55">
        <f t="shared" si="16"/>
        <v>2219773.412217048</v>
      </c>
      <c r="J89" s="55">
        <f t="shared" si="19"/>
        <v>38846.034713798384</v>
      </c>
      <c r="K89" s="58">
        <f t="shared" si="20"/>
        <v>-233076.20828278852</v>
      </c>
      <c r="L89" s="55">
        <f t="shared" si="11"/>
        <v>-466152.4165655789</v>
      </c>
      <c r="M89" s="55">
        <f t="shared" si="12"/>
        <v>1753620.9956514691</v>
      </c>
      <c r="N89" s="56">
        <f t="shared" si="13"/>
        <v>876810.49782573222</v>
      </c>
      <c r="O89" s="131">
        <f t="shared" si="10"/>
        <v>0.20999999999999924</v>
      </c>
    </row>
    <row r="90" spans="1:15" x14ac:dyDescent="0.2">
      <c r="A90" s="53">
        <v>46538</v>
      </c>
      <c r="B90" s="26" t="s">
        <v>149</v>
      </c>
      <c r="D90" s="55">
        <f t="shared" si="21"/>
        <v>8879093.6488682032</v>
      </c>
      <c r="E90" s="55">
        <f t="shared" si="18"/>
        <v>8879093.6488682032</v>
      </c>
      <c r="F90" s="111">
        <f t="shared" si="17"/>
        <v>184981.11768475422</v>
      </c>
      <c r="G90" s="55">
        <f t="shared" si="14"/>
        <v>-7954188.060444437</v>
      </c>
      <c r="H90" s="55">
        <f t="shared" si="15"/>
        <v>-6844301.3543359088</v>
      </c>
      <c r="I90" s="55">
        <f t="shared" si="16"/>
        <v>2034792.2945322944</v>
      </c>
      <c r="J90" s="55">
        <f t="shared" si="19"/>
        <v>38846.034713798384</v>
      </c>
      <c r="K90" s="58">
        <f t="shared" si="20"/>
        <v>-194230.17356899014</v>
      </c>
      <c r="L90" s="55">
        <f t="shared" si="11"/>
        <v>-427306.3818517804</v>
      </c>
      <c r="M90" s="55">
        <f t="shared" si="12"/>
        <v>1607485.9126805139</v>
      </c>
      <c r="N90" s="56">
        <f t="shared" si="13"/>
        <v>730675.41485477611</v>
      </c>
      <c r="O90" s="131">
        <f t="shared" si="10"/>
        <v>0.20999999999999919</v>
      </c>
    </row>
    <row r="91" spans="1:15" x14ac:dyDescent="0.2">
      <c r="A91" s="53">
        <v>46568</v>
      </c>
      <c r="B91" s="26" t="s">
        <v>149</v>
      </c>
      <c r="D91" s="55">
        <f t="shared" si="21"/>
        <v>8879093.6488682032</v>
      </c>
      <c r="E91" s="55">
        <f t="shared" si="18"/>
        <v>8879093.6488682032</v>
      </c>
      <c r="F91" s="111">
        <f t="shared" si="17"/>
        <v>184981.11768475422</v>
      </c>
      <c r="G91" s="55">
        <f t="shared" si="14"/>
        <v>-8139169.1781291915</v>
      </c>
      <c r="H91" s="55">
        <f t="shared" si="15"/>
        <v>-7029282.4720206643</v>
      </c>
      <c r="I91" s="55">
        <f t="shared" si="16"/>
        <v>1849811.1768475389</v>
      </c>
      <c r="J91" s="55">
        <f t="shared" si="19"/>
        <v>38846.034713798384</v>
      </c>
      <c r="K91" s="58">
        <f t="shared" si="20"/>
        <v>-155384.13885519176</v>
      </c>
      <c r="L91" s="55">
        <f t="shared" si="11"/>
        <v>-388460.34713798203</v>
      </c>
      <c r="M91" s="55">
        <f t="shared" si="12"/>
        <v>1461350.8297095569</v>
      </c>
      <c r="N91" s="56">
        <f t="shared" si="13"/>
        <v>584540.33188381989</v>
      </c>
      <c r="O91" s="131">
        <f t="shared" ref="O91:O94" si="22">-K91/(D91+G91)</f>
        <v>0.20999999999999908</v>
      </c>
    </row>
    <row r="92" spans="1:15" x14ac:dyDescent="0.2">
      <c r="A92" s="53">
        <v>46599</v>
      </c>
      <c r="B92" s="26" t="s">
        <v>149</v>
      </c>
      <c r="D92" s="55">
        <f t="shared" si="21"/>
        <v>8879093.6488682032</v>
      </c>
      <c r="E92" s="55">
        <f t="shared" si="18"/>
        <v>8879093.6488682032</v>
      </c>
      <c r="F92" s="111">
        <f t="shared" si="17"/>
        <v>184981.11768475422</v>
      </c>
      <c r="G92" s="55">
        <f t="shared" si="14"/>
        <v>-8324150.2958139461</v>
      </c>
      <c r="H92" s="55">
        <f t="shared" si="15"/>
        <v>-7214263.5897054197</v>
      </c>
      <c r="I92" s="55">
        <f t="shared" si="16"/>
        <v>1664830.0591627834</v>
      </c>
      <c r="J92" s="55">
        <f t="shared" si="19"/>
        <v>38846.034713798384</v>
      </c>
      <c r="K92" s="58">
        <f t="shared" si="20"/>
        <v>-116538.10414139339</v>
      </c>
      <c r="L92" s="55">
        <f t="shared" si="11"/>
        <v>-349614.31242418365</v>
      </c>
      <c r="M92" s="55">
        <f t="shared" si="12"/>
        <v>1315215.7467385998</v>
      </c>
      <c r="N92" s="56">
        <f t="shared" si="13"/>
        <v>438405.24891286372</v>
      </c>
      <c r="O92" s="131">
        <f t="shared" si="22"/>
        <v>0.20999999999999891</v>
      </c>
    </row>
    <row r="93" spans="1:15" x14ac:dyDescent="0.2">
      <c r="A93" s="53">
        <v>46630</v>
      </c>
      <c r="B93" s="26" t="s">
        <v>149</v>
      </c>
      <c r="D93" s="55">
        <f t="shared" si="21"/>
        <v>8879093.6488682032</v>
      </c>
      <c r="E93" s="55">
        <f t="shared" si="18"/>
        <v>8879093.6488682032</v>
      </c>
      <c r="F93" s="111">
        <f t="shared" si="17"/>
        <v>184981.11768475422</v>
      </c>
      <c r="G93" s="55">
        <f t="shared" si="14"/>
        <v>-8509131.4134986997</v>
      </c>
      <c r="H93" s="55">
        <f t="shared" si="15"/>
        <v>-7399244.7073901743</v>
      </c>
      <c r="I93" s="55">
        <f t="shared" si="16"/>
        <v>1479848.9414780289</v>
      </c>
      <c r="J93" s="55">
        <f t="shared" si="19"/>
        <v>38846.034713798384</v>
      </c>
      <c r="K93" s="58">
        <f t="shared" si="20"/>
        <v>-77692.069427595008</v>
      </c>
      <c r="L93" s="55">
        <f t="shared" si="11"/>
        <v>-310768.27771038521</v>
      </c>
      <c r="M93" s="55">
        <f t="shared" si="12"/>
        <v>1169080.6637676437</v>
      </c>
      <c r="N93" s="56">
        <f t="shared" si="13"/>
        <v>292270.16594190849</v>
      </c>
      <c r="O93" s="131">
        <f t="shared" si="22"/>
        <v>0.20999999999999805</v>
      </c>
    </row>
    <row r="94" spans="1:15" x14ac:dyDescent="0.2">
      <c r="A94" s="53">
        <v>46660</v>
      </c>
      <c r="B94" s="26" t="s">
        <v>149</v>
      </c>
      <c r="D94" s="55">
        <f t="shared" si="21"/>
        <v>8879093.6488682032</v>
      </c>
      <c r="E94" s="55">
        <f t="shared" si="18"/>
        <v>8879093.6488682032</v>
      </c>
      <c r="F94" s="111">
        <f t="shared" si="17"/>
        <v>184981.11768475422</v>
      </c>
      <c r="G94" s="55">
        <f t="shared" si="14"/>
        <v>-8694112.5311834533</v>
      </c>
      <c r="H94" s="55">
        <f t="shared" si="15"/>
        <v>-7584225.825074927</v>
      </c>
      <c r="I94" s="55">
        <f t="shared" si="16"/>
        <v>1294867.8237932762</v>
      </c>
      <c r="J94" s="55">
        <f t="shared" si="19"/>
        <v>38846.034713798384</v>
      </c>
      <c r="K94" s="58">
        <f t="shared" si="20"/>
        <v>-38846.034713796624</v>
      </c>
      <c r="L94" s="55">
        <f t="shared" si="11"/>
        <v>-271922.24299658689</v>
      </c>
      <c r="M94" s="55">
        <f t="shared" si="12"/>
        <v>1022945.5807966893</v>
      </c>
      <c r="N94" s="56">
        <f t="shared" si="13"/>
        <v>146135.08297095326</v>
      </c>
      <c r="O94" s="131">
        <f t="shared" si="22"/>
        <v>0.20999999999999538</v>
      </c>
    </row>
    <row r="95" spans="1:15" ht="13.5" thickBot="1" x14ac:dyDescent="0.25">
      <c r="A95" s="53">
        <v>46691</v>
      </c>
      <c r="B95" s="26" t="s">
        <v>149</v>
      </c>
      <c r="D95" s="55">
        <f t="shared" si="21"/>
        <v>8879093.6488682032</v>
      </c>
      <c r="E95" s="55">
        <f t="shared" si="18"/>
        <v>8879093.6488682032</v>
      </c>
      <c r="F95" s="111">
        <f t="shared" si="17"/>
        <v>184981.11768475422</v>
      </c>
      <c r="G95" s="55">
        <f t="shared" si="14"/>
        <v>-8879093.6488682069</v>
      </c>
      <c r="H95" s="55">
        <f t="shared" si="15"/>
        <v>-7769206.9427596815</v>
      </c>
      <c r="I95" s="55">
        <f t="shared" si="16"/>
        <v>1109886.7061085217</v>
      </c>
      <c r="J95" s="55">
        <f t="shared" si="19"/>
        <v>38846.034713798384</v>
      </c>
      <c r="K95" s="58">
        <f t="shared" si="20"/>
        <v>1.7607817426323891E-9</v>
      </c>
      <c r="L95" s="55">
        <f t="shared" si="11"/>
        <v>-233076.20828278852</v>
      </c>
      <c r="M95" s="55">
        <f t="shared" si="12"/>
        <v>876810.49782573315</v>
      </c>
      <c r="N95" s="56">
        <f t="shared" si="13"/>
        <v>-1.964508555829525E-9</v>
      </c>
      <c r="O95" s="131"/>
    </row>
    <row r="96" spans="1:15" x14ac:dyDescent="0.2">
      <c r="A96" s="120">
        <v>46721</v>
      </c>
      <c r="B96" s="127" t="s">
        <v>150</v>
      </c>
      <c r="C96" s="127"/>
      <c r="D96" s="122">
        <f t="shared" ref="D96:D98" si="23">D95+C96</f>
        <v>8879093.6488682032</v>
      </c>
      <c r="E96" s="122">
        <f t="shared" ref="E96:E98" si="24">(D84+D96+SUM(D85:D95)*2)/24</f>
        <v>8879093.6488682032</v>
      </c>
      <c r="F96" s="123"/>
      <c r="G96" s="122">
        <f t="shared" ref="G96:G98" si="25">G95-F96</f>
        <v>-8879093.6488682069</v>
      </c>
      <c r="H96" s="122">
        <f t="shared" ref="H96:H98" si="26">(G84+G96+SUM(G85:G95)*2)/24</f>
        <v>-7946480.5138742374</v>
      </c>
      <c r="I96" s="122">
        <f t="shared" ref="I96:I98" si="27">E96+H96</f>
        <v>932613.13499396574</v>
      </c>
      <c r="J96" s="122">
        <f t="shared" ref="J96:J98" si="28">(-C96*0.21)+(F96*0.21)</f>
        <v>0</v>
      </c>
      <c r="K96" s="124">
        <f t="shared" ref="K96:K98" si="29">K95+J96</f>
        <v>1.7607817426323891E-9</v>
      </c>
      <c r="L96" s="122">
        <f t="shared" ref="L96:L98" si="30">(K84+K96+SUM(K85:K95)*2)/24</f>
        <v>-195848.7583487317</v>
      </c>
      <c r="M96" s="122">
        <f t="shared" ref="M96:M98" si="31">L96+I96</f>
        <v>736764.37664523406</v>
      </c>
      <c r="N96" s="126">
        <f t="shared" ref="N96:N98" si="32">+D96+G96+K96</f>
        <v>-1.964508555829525E-9</v>
      </c>
      <c r="O96" s="131"/>
    </row>
    <row r="97" spans="1:15" x14ac:dyDescent="0.2">
      <c r="A97" s="53">
        <v>46752</v>
      </c>
      <c r="B97" s="26" t="s">
        <v>150</v>
      </c>
      <c r="D97" s="55">
        <f t="shared" si="23"/>
        <v>8879093.6488682032</v>
      </c>
      <c r="E97" s="55">
        <f t="shared" si="24"/>
        <v>8879093.6488682032</v>
      </c>
      <c r="F97" s="111"/>
      <c r="G97" s="55">
        <f t="shared" si="25"/>
        <v>-8879093.6488682069</v>
      </c>
      <c r="H97" s="55">
        <f t="shared" si="26"/>
        <v>-8108338.991848398</v>
      </c>
      <c r="I97" s="55">
        <f t="shared" si="27"/>
        <v>770754.65701980516</v>
      </c>
      <c r="J97" s="55">
        <f t="shared" si="28"/>
        <v>0</v>
      </c>
      <c r="K97" s="58">
        <f t="shared" si="29"/>
        <v>1.7607817426323891E-9</v>
      </c>
      <c r="L97" s="55">
        <f t="shared" si="30"/>
        <v>-161858.47797415813</v>
      </c>
      <c r="M97" s="55">
        <f t="shared" si="31"/>
        <v>608896.17904564703</v>
      </c>
      <c r="N97" s="56">
        <f t="shared" si="32"/>
        <v>-1.964508555829525E-9</v>
      </c>
      <c r="O97" s="131"/>
    </row>
    <row r="98" spans="1:15" x14ac:dyDescent="0.2">
      <c r="A98" s="53">
        <v>46783</v>
      </c>
      <c r="B98" s="26" t="s">
        <v>150</v>
      </c>
      <c r="D98" s="55">
        <f t="shared" si="23"/>
        <v>8879093.6488682032</v>
      </c>
      <c r="E98" s="55">
        <f t="shared" si="24"/>
        <v>8879093.6488682032</v>
      </c>
      <c r="F98" s="111"/>
      <c r="G98" s="55">
        <f t="shared" si="25"/>
        <v>-8879093.6488682069</v>
      </c>
      <c r="H98" s="55">
        <f t="shared" si="26"/>
        <v>-8254782.3766821623</v>
      </c>
      <c r="I98" s="55">
        <f t="shared" si="27"/>
        <v>624311.27218604088</v>
      </c>
      <c r="J98" s="55">
        <f t="shared" si="28"/>
        <v>0</v>
      </c>
      <c r="K98" s="58">
        <f t="shared" si="29"/>
        <v>1.7607817426323891E-9</v>
      </c>
      <c r="L98" s="55">
        <f t="shared" si="30"/>
        <v>-131105.36715906774</v>
      </c>
      <c r="M98" s="55">
        <f t="shared" si="31"/>
        <v>493205.90502697311</v>
      </c>
      <c r="N98" s="56">
        <f t="shared" si="32"/>
        <v>-1.964508555829525E-9</v>
      </c>
      <c r="O98" s="131"/>
    </row>
    <row r="99" spans="1:15" x14ac:dyDescent="0.2">
      <c r="A99" s="53">
        <v>46812</v>
      </c>
      <c r="B99" s="26" t="s">
        <v>150</v>
      </c>
      <c r="D99" s="55">
        <f t="shared" ref="D99:D107" si="33">D98+C99</f>
        <v>8879093.6488682032</v>
      </c>
      <c r="E99" s="55">
        <f t="shared" ref="E99:E107" si="34">(D87+D99+SUM(D88:D98)*2)/24</f>
        <v>8879093.6488682032</v>
      </c>
      <c r="F99" s="111"/>
      <c r="G99" s="55">
        <f t="shared" ref="G99:G107" si="35">G98-F99</f>
        <v>-8879093.6488682069</v>
      </c>
      <c r="H99" s="55">
        <f t="shared" ref="H99:H107" si="36">(G87+G99+SUM(G88:G98)*2)/24</f>
        <v>-8385810.6683755293</v>
      </c>
      <c r="I99" s="55">
        <f t="shared" ref="I99:I107" si="37">E99+H99</f>
        <v>493282.98049267381</v>
      </c>
      <c r="J99" s="55">
        <f t="shared" ref="J99:J107" si="38">(-C99*0.21)+(F99*0.21)</f>
        <v>0</v>
      </c>
      <c r="K99" s="58">
        <f t="shared" ref="K99:K107" si="39">K98+J99</f>
        <v>1.7607817426323891E-9</v>
      </c>
      <c r="L99" s="55">
        <f t="shared" ref="L99:L107" si="40">(K87+K99+SUM(K88:K98)*2)/24</f>
        <v>-103589.42590346055</v>
      </c>
      <c r="M99" s="55">
        <f t="shared" ref="M99:M107" si="41">L99+I99</f>
        <v>389693.55458921328</v>
      </c>
      <c r="N99" s="56">
        <f t="shared" ref="N99:N107" si="42">+D99+G99+K99</f>
        <v>-1.964508555829525E-9</v>
      </c>
      <c r="O99" s="131"/>
    </row>
    <row r="100" spans="1:15" x14ac:dyDescent="0.2">
      <c r="A100" s="53">
        <v>46843</v>
      </c>
      <c r="B100" s="26" t="s">
        <v>150</v>
      </c>
      <c r="D100" s="55">
        <f t="shared" si="33"/>
        <v>8879093.6488682032</v>
      </c>
      <c r="E100" s="55">
        <f t="shared" si="34"/>
        <v>8879093.6488682032</v>
      </c>
      <c r="F100" s="111"/>
      <c r="G100" s="55">
        <f t="shared" si="35"/>
        <v>-8879093.6488682069</v>
      </c>
      <c r="H100" s="55">
        <f t="shared" si="36"/>
        <v>-8501423.8669285011</v>
      </c>
      <c r="I100" s="55">
        <f t="shared" si="37"/>
        <v>377669.78193970211</v>
      </c>
      <c r="J100" s="55">
        <f t="shared" si="38"/>
        <v>0</v>
      </c>
      <c r="K100" s="58">
        <f t="shared" si="39"/>
        <v>1.7607817426323891E-9</v>
      </c>
      <c r="L100" s="55">
        <f t="shared" si="40"/>
        <v>-79310.654207336614</v>
      </c>
      <c r="M100" s="55">
        <f t="shared" si="41"/>
        <v>298359.12773236551</v>
      </c>
      <c r="N100" s="56">
        <f t="shared" si="42"/>
        <v>-1.964508555829525E-9</v>
      </c>
      <c r="O100" s="131"/>
    </row>
    <row r="101" spans="1:15" x14ac:dyDescent="0.2">
      <c r="A101" s="53">
        <v>46873</v>
      </c>
      <c r="B101" s="26" t="s">
        <v>150</v>
      </c>
      <c r="D101" s="55">
        <f t="shared" si="33"/>
        <v>8879093.6488682032</v>
      </c>
      <c r="E101" s="55">
        <f t="shared" si="34"/>
        <v>8879093.6488682032</v>
      </c>
      <c r="F101" s="111"/>
      <c r="G101" s="55">
        <f t="shared" si="35"/>
        <v>-8879093.6488682069</v>
      </c>
      <c r="H101" s="55">
        <f t="shared" si="36"/>
        <v>-8601621.9723410737</v>
      </c>
      <c r="I101" s="55">
        <f t="shared" si="37"/>
        <v>277471.67652712949</v>
      </c>
      <c r="J101" s="55">
        <f t="shared" si="38"/>
        <v>0</v>
      </c>
      <c r="K101" s="58">
        <f t="shared" si="39"/>
        <v>1.7607817426323891E-9</v>
      </c>
      <c r="L101" s="55">
        <f t="shared" si="40"/>
        <v>-58269.052070695812</v>
      </c>
      <c r="M101" s="55">
        <f t="shared" si="41"/>
        <v>219202.62445643367</v>
      </c>
      <c r="N101" s="56">
        <f t="shared" si="42"/>
        <v>-1.964508555829525E-9</v>
      </c>
      <c r="O101" s="131"/>
    </row>
    <row r="102" spans="1:15" x14ac:dyDescent="0.2">
      <c r="A102" s="53">
        <v>46904</v>
      </c>
      <c r="B102" s="26" t="s">
        <v>150</v>
      </c>
      <c r="D102" s="55">
        <f t="shared" si="33"/>
        <v>8879093.6488682032</v>
      </c>
      <c r="E102" s="55">
        <f t="shared" si="34"/>
        <v>8879093.6488682032</v>
      </c>
      <c r="F102" s="111"/>
      <c r="G102" s="55">
        <f t="shared" si="35"/>
        <v>-8879093.6488682069</v>
      </c>
      <c r="H102" s="55">
        <f t="shared" si="36"/>
        <v>-8686404.9846132528</v>
      </c>
      <c r="I102" s="55">
        <f t="shared" si="37"/>
        <v>192688.66425495036</v>
      </c>
      <c r="J102" s="55">
        <f t="shared" si="38"/>
        <v>0</v>
      </c>
      <c r="K102" s="58">
        <f t="shared" si="39"/>
        <v>1.7607817426323891E-9</v>
      </c>
      <c r="L102" s="55">
        <f t="shared" si="40"/>
        <v>-40464.61949353823</v>
      </c>
      <c r="M102" s="55">
        <f t="shared" si="41"/>
        <v>152224.04476141214</v>
      </c>
      <c r="N102" s="56">
        <f t="shared" si="42"/>
        <v>-1.964508555829525E-9</v>
      </c>
      <c r="O102" s="131"/>
    </row>
    <row r="103" spans="1:15" x14ac:dyDescent="0.2">
      <c r="A103" s="53">
        <v>46934</v>
      </c>
      <c r="B103" s="26" t="s">
        <v>150</v>
      </c>
      <c r="D103" s="55">
        <f t="shared" si="33"/>
        <v>8879093.6488682032</v>
      </c>
      <c r="E103" s="55">
        <f t="shared" si="34"/>
        <v>8879093.6488682032</v>
      </c>
      <c r="F103" s="111"/>
      <c r="G103" s="55">
        <f t="shared" si="35"/>
        <v>-8879093.6488682069</v>
      </c>
      <c r="H103" s="55">
        <f t="shared" si="36"/>
        <v>-8755772.9037450347</v>
      </c>
      <c r="I103" s="55">
        <f t="shared" si="37"/>
        <v>123320.74512316845</v>
      </c>
      <c r="J103" s="55">
        <f t="shared" si="38"/>
        <v>0</v>
      </c>
      <c r="K103" s="58">
        <f t="shared" si="39"/>
        <v>1.7607817426323891E-9</v>
      </c>
      <c r="L103" s="55">
        <f t="shared" si="40"/>
        <v>-25897.356475863839</v>
      </c>
      <c r="M103" s="55">
        <f t="shared" si="41"/>
        <v>97423.388647304615</v>
      </c>
      <c r="N103" s="56">
        <f t="shared" si="42"/>
        <v>-1.964508555829525E-9</v>
      </c>
      <c r="O103" s="131"/>
    </row>
    <row r="104" spans="1:15" x14ac:dyDescent="0.2">
      <c r="A104" s="53">
        <v>46965</v>
      </c>
      <c r="B104" s="26" t="s">
        <v>150</v>
      </c>
      <c r="D104" s="55">
        <f t="shared" si="33"/>
        <v>8879093.6488682032</v>
      </c>
      <c r="E104" s="55">
        <f t="shared" si="34"/>
        <v>8879093.6488682032</v>
      </c>
      <c r="F104" s="111"/>
      <c r="G104" s="55">
        <f t="shared" si="35"/>
        <v>-8879093.6488682069</v>
      </c>
      <c r="H104" s="55">
        <f t="shared" si="36"/>
        <v>-8809725.7297364231</v>
      </c>
      <c r="I104" s="55">
        <f t="shared" si="37"/>
        <v>69367.919131780043</v>
      </c>
      <c r="J104" s="55">
        <f t="shared" si="38"/>
        <v>0</v>
      </c>
      <c r="K104" s="58">
        <f t="shared" si="39"/>
        <v>1.7607817426323891E-9</v>
      </c>
      <c r="L104" s="55">
        <f t="shared" si="40"/>
        <v>-14567.263017672632</v>
      </c>
      <c r="M104" s="55">
        <f t="shared" si="41"/>
        <v>54800.656114107413</v>
      </c>
      <c r="N104" s="56">
        <f t="shared" si="42"/>
        <v>-1.964508555829525E-9</v>
      </c>
      <c r="O104" s="131"/>
    </row>
    <row r="105" spans="1:15" x14ac:dyDescent="0.2">
      <c r="A105" s="53">
        <v>46996</v>
      </c>
      <c r="B105" s="26" t="s">
        <v>150</v>
      </c>
      <c r="D105" s="55">
        <f t="shared" si="33"/>
        <v>8879093.6488682032</v>
      </c>
      <c r="E105" s="55">
        <f t="shared" si="34"/>
        <v>8879093.6488682032</v>
      </c>
      <c r="F105" s="111"/>
      <c r="G105" s="55">
        <f t="shared" si="35"/>
        <v>-8879093.6488682069</v>
      </c>
      <c r="H105" s="55">
        <f t="shared" si="36"/>
        <v>-8848263.4625874124</v>
      </c>
      <c r="I105" s="55">
        <f t="shared" si="37"/>
        <v>30830.186280790716</v>
      </c>
      <c r="J105" s="55">
        <f t="shared" si="38"/>
        <v>0</v>
      </c>
      <c r="K105" s="58">
        <f t="shared" si="39"/>
        <v>1.7607817426323891E-9</v>
      </c>
      <c r="L105" s="55">
        <f t="shared" si="40"/>
        <v>-6474.3391189646363</v>
      </c>
      <c r="M105" s="55">
        <f t="shared" si="41"/>
        <v>24355.847161826081</v>
      </c>
      <c r="N105" s="56">
        <f t="shared" si="42"/>
        <v>-1.964508555829525E-9</v>
      </c>
      <c r="O105" s="131"/>
    </row>
    <row r="106" spans="1:15" x14ac:dyDescent="0.2">
      <c r="A106" s="53">
        <v>47026</v>
      </c>
      <c r="B106" s="26" t="s">
        <v>150</v>
      </c>
      <c r="D106" s="55">
        <f t="shared" si="33"/>
        <v>8879093.6488682032</v>
      </c>
      <c r="E106" s="55">
        <f t="shared" si="34"/>
        <v>8879093.6488682032</v>
      </c>
      <c r="F106" s="111"/>
      <c r="G106" s="55">
        <f t="shared" si="35"/>
        <v>-8879093.6488682069</v>
      </c>
      <c r="H106" s="55">
        <f t="shared" si="36"/>
        <v>-8871386.1022980064</v>
      </c>
      <c r="I106" s="55">
        <f t="shared" si="37"/>
        <v>7707.5465701967478</v>
      </c>
      <c r="J106" s="55">
        <f t="shared" si="38"/>
        <v>0</v>
      </c>
      <c r="K106" s="58">
        <f t="shared" si="39"/>
        <v>1.7607817426323891E-9</v>
      </c>
      <c r="L106" s="55">
        <f t="shared" si="40"/>
        <v>-1618.5847797398385</v>
      </c>
      <c r="M106" s="55">
        <f t="shared" si="41"/>
        <v>6088.9617904569095</v>
      </c>
      <c r="N106" s="56">
        <f t="shared" si="42"/>
        <v>-1.964508555829525E-9</v>
      </c>
      <c r="O106" s="131"/>
    </row>
    <row r="107" spans="1:15" x14ac:dyDescent="0.2">
      <c r="A107" s="60">
        <v>47057</v>
      </c>
      <c r="B107" s="61" t="s">
        <v>150</v>
      </c>
      <c r="C107" s="61"/>
      <c r="D107" s="62">
        <f t="shared" si="33"/>
        <v>8879093.6488682032</v>
      </c>
      <c r="E107" s="62">
        <f t="shared" si="34"/>
        <v>8879093.6488682032</v>
      </c>
      <c r="F107" s="112"/>
      <c r="G107" s="62">
        <f t="shared" si="35"/>
        <v>-8879093.6488682069</v>
      </c>
      <c r="H107" s="62">
        <f t="shared" si="36"/>
        <v>-8879093.648868205</v>
      </c>
      <c r="I107" s="62">
        <f t="shared" si="37"/>
        <v>0</v>
      </c>
      <c r="J107" s="62">
        <f t="shared" si="38"/>
        <v>0</v>
      </c>
      <c r="K107" s="63">
        <f t="shared" si="39"/>
        <v>1.7607817426323891E-9</v>
      </c>
      <c r="L107" s="62">
        <f t="shared" si="40"/>
        <v>1.7607817426323891E-9</v>
      </c>
      <c r="M107" s="62">
        <f t="shared" si="41"/>
        <v>1.7607817426323891E-9</v>
      </c>
      <c r="N107" s="64">
        <f t="shared" si="42"/>
        <v>-1.964508555829525E-9</v>
      </c>
      <c r="O107" s="131"/>
    </row>
    <row r="110" spans="1:15" x14ac:dyDescent="0.2">
      <c r="A110" s="26" t="s">
        <v>188</v>
      </c>
      <c r="F110" s="116">
        <f>SUM(F48:F59)</f>
        <v>2219773.4122170513</v>
      </c>
    </row>
  </sheetData>
  <printOptions horizontalCentered="1"/>
  <pageMargins left="0.2" right="0.2" top="0.25" bottom="0.5" header="0.3" footer="0.3"/>
  <pageSetup scale="75" firstPageNumber="4" fitToHeight="0" orientation="landscape" useFirstPageNumber="1" r:id="rId1"/>
  <headerFooter>
    <oddFooter>&amp;R&amp;"Times New Roman,Regular"Exh. SEF-3 page &amp;P of 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09"/>
  <sheetViews>
    <sheetView workbookViewId="0">
      <pane xSplit="1" ySplit="9" topLeftCell="B10" activePane="bottomRight" state="frozen"/>
      <selection activeCell="C35" sqref="C35"/>
      <selection pane="topRight" activeCell="C35" sqref="C35"/>
      <selection pane="bottomLeft" activeCell="C35" sqref="C35"/>
      <selection pane="bottomRight" activeCell="E59" sqref="E59"/>
    </sheetView>
  </sheetViews>
  <sheetFormatPr defaultColWidth="9.140625" defaultRowHeight="12.75" outlineLevelRow="1" x14ac:dyDescent="0.2"/>
  <cols>
    <col min="1" max="1" width="10.5703125" style="26" customWidth="1"/>
    <col min="2" max="2" width="8.85546875" style="26" bestFit="1" customWidth="1"/>
    <col min="3" max="3" width="14.7109375" style="26" bestFit="1" customWidth="1"/>
    <col min="4" max="4" width="11.28515625" style="26" bestFit="1" customWidth="1"/>
    <col min="5" max="5" width="13.7109375" style="26" customWidth="1"/>
    <col min="6" max="6" width="12.5703125" style="26" bestFit="1" customWidth="1"/>
    <col min="7" max="7" width="16.140625" style="26" bestFit="1" customWidth="1"/>
    <col min="8" max="8" width="12.140625" style="26" bestFit="1" customWidth="1"/>
    <col min="9" max="9" width="11.42578125" style="26" bestFit="1" customWidth="1"/>
    <col min="10" max="10" width="15" style="26" bestFit="1" customWidth="1"/>
    <col min="11" max="11" width="16.7109375" style="26" bestFit="1" customWidth="1"/>
    <col min="12" max="12" width="11.28515625" style="26" bestFit="1" customWidth="1"/>
    <col min="13" max="13" width="11.42578125" style="26" bestFit="1" customWidth="1"/>
    <col min="14" max="14" width="11.140625" style="26" bestFit="1" customWidth="1"/>
    <col min="15" max="15" width="10" style="26" customWidth="1"/>
    <col min="16" max="16384" width="9.140625" style="26"/>
  </cols>
  <sheetData>
    <row r="1" spans="1:14" x14ac:dyDescent="0.2">
      <c r="A1" s="25" t="s">
        <v>43</v>
      </c>
    </row>
    <row r="2" spans="1:14" x14ac:dyDescent="0.2">
      <c r="A2" s="25" t="s">
        <v>44</v>
      </c>
    </row>
    <row r="3" spans="1:14" x14ac:dyDescent="0.2">
      <c r="A3" s="25" t="s">
        <v>45</v>
      </c>
    </row>
    <row r="4" spans="1:14" x14ac:dyDescent="0.2">
      <c r="C4" s="27"/>
      <c r="D4" s="28"/>
      <c r="E4" s="29"/>
      <c r="F4" s="30"/>
      <c r="G4" s="30"/>
      <c r="H4" s="30"/>
      <c r="I4" s="30"/>
      <c r="J4" s="29"/>
      <c r="K4" s="31"/>
      <c r="L4" s="29"/>
      <c r="M4" s="29"/>
    </row>
    <row r="5" spans="1:14" x14ac:dyDescent="0.2">
      <c r="C5" s="25" t="s">
        <v>46</v>
      </c>
      <c r="D5" s="32"/>
      <c r="E5" s="29"/>
      <c r="F5" s="30"/>
      <c r="G5" s="30"/>
      <c r="H5" s="30"/>
      <c r="I5" s="30"/>
      <c r="J5" s="30"/>
      <c r="K5" s="30"/>
      <c r="L5" s="30"/>
      <c r="M5" s="30"/>
    </row>
    <row r="6" spans="1:14" x14ac:dyDescent="0.2">
      <c r="A6" s="33"/>
      <c r="B6" s="33"/>
      <c r="C6" s="34" t="s">
        <v>47</v>
      </c>
      <c r="D6" s="34" t="s">
        <v>48</v>
      </c>
      <c r="E6" s="34" t="s">
        <v>49</v>
      </c>
      <c r="F6" s="34" t="s">
        <v>50</v>
      </c>
      <c r="G6" s="34" t="s">
        <v>51</v>
      </c>
      <c r="H6" s="34" t="s">
        <v>52</v>
      </c>
      <c r="I6" s="34" t="s">
        <v>41</v>
      </c>
      <c r="J6" s="34" t="s">
        <v>50</v>
      </c>
      <c r="K6" s="34" t="s">
        <v>51</v>
      </c>
      <c r="L6" s="34" t="s">
        <v>53</v>
      </c>
      <c r="M6" s="35" t="s">
        <v>54</v>
      </c>
      <c r="N6" s="36" t="s">
        <v>48</v>
      </c>
    </row>
    <row r="7" spans="1:14" x14ac:dyDescent="0.2">
      <c r="A7" s="30" t="s">
        <v>55</v>
      </c>
      <c r="B7" s="37"/>
      <c r="C7" s="30" t="s">
        <v>56</v>
      </c>
      <c r="D7" s="30"/>
      <c r="E7" s="30" t="s">
        <v>48</v>
      </c>
      <c r="F7" s="30" t="s">
        <v>57</v>
      </c>
      <c r="G7" s="30" t="s">
        <v>57</v>
      </c>
      <c r="H7" s="30" t="s">
        <v>57</v>
      </c>
      <c r="I7" s="30" t="s">
        <v>58</v>
      </c>
      <c r="J7" s="30" t="s">
        <v>59</v>
      </c>
      <c r="K7" s="30" t="s">
        <v>59</v>
      </c>
      <c r="L7" s="30" t="s">
        <v>41</v>
      </c>
      <c r="M7" s="38" t="s">
        <v>53</v>
      </c>
      <c r="N7" s="39" t="s">
        <v>60</v>
      </c>
    </row>
    <row r="8" spans="1:14" x14ac:dyDescent="0.2">
      <c r="A8" s="30" t="s">
        <v>61</v>
      </c>
      <c r="B8" s="37"/>
      <c r="C8" s="30" t="s">
        <v>62</v>
      </c>
      <c r="D8" s="30" t="s">
        <v>63</v>
      </c>
      <c r="E8" s="30" t="s">
        <v>64</v>
      </c>
      <c r="F8" s="30" t="s">
        <v>65</v>
      </c>
      <c r="G8" s="40" t="s">
        <v>66</v>
      </c>
      <c r="H8" s="30" t="s">
        <v>67</v>
      </c>
      <c r="I8" s="30" t="s">
        <v>68</v>
      </c>
      <c r="J8" s="30" t="s">
        <v>69</v>
      </c>
      <c r="K8" s="30" t="s">
        <v>70</v>
      </c>
      <c r="L8" s="30" t="s">
        <v>71</v>
      </c>
      <c r="M8" s="38" t="s">
        <v>72</v>
      </c>
      <c r="N8" s="39" t="s">
        <v>73</v>
      </c>
    </row>
    <row r="9" spans="1:14" x14ac:dyDescent="0.2">
      <c r="A9" s="41"/>
      <c r="B9" s="41"/>
      <c r="C9" s="42"/>
      <c r="D9" s="42"/>
      <c r="E9" s="42"/>
      <c r="F9" s="43" t="s">
        <v>74</v>
      </c>
      <c r="G9" s="42"/>
      <c r="H9" s="42"/>
      <c r="I9" s="42"/>
      <c r="J9" s="42" t="s">
        <v>75</v>
      </c>
      <c r="K9" s="44"/>
      <c r="L9" s="42"/>
      <c r="M9" s="45"/>
      <c r="N9" s="46"/>
    </row>
    <row r="10" spans="1:14" x14ac:dyDescent="0.2">
      <c r="A10" s="47"/>
      <c r="C10" s="30"/>
      <c r="D10" s="48"/>
      <c r="E10" s="49"/>
      <c r="F10" s="108"/>
      <c r="G10" s="30"/>
      <c r="H10" s="48"/>
      <c r="I10" s="48"/>
      <c r="J10" s="50"/>
      <c r="K10" s="50"/>
      <c r="L10" s="50"/>
      <c r="M10" s="51"/>
      <c r="N10" s="52"/>
    </row>
    <row r="11" spans="1:14" x14ac:dyDescent="0.2">
      <c r="A11" s="53" t="s">
        <v>76</v>
      </c>
      <c r="B11" s="53"/>
      <c r="C11" s="54"/>
      <c r="D11" s="48"/>
      <c r="E11" s="55"/>
      <c r="F11" s="109"/>
      <c r="G11" s="48"/>
      <c r="H11" s="48"/>
      <c r="I11" s="48"/>
      <c r="J11" s="55"/>
      <c r="K11" s="55"/>
      <c r="L11" s="55"/>
      <c r="M11" s="51"/>
      <c r="N11" s="56"/>
    </row>
    <row r="12" spans="1:14" hidden="1" outlineLevel="1" x14ac:dyDescent="0.2">
      <c r="A12" s="53">
        <v>44165</v>
      </c>
      <c r="B12" s="53"/>
      <c r="C12" s="54"/>
      <c r="D12" s="48"/>
      <c r="E12" s="55"/>
      <c r="F12" s="109"/>
      <c r="G12" s="48"/>
      <c r="H12" s="48"/>
      <c r="I12" s="48"/>
      <c r="J12" s="55"/>
      <c r="K12" s="55"/>
      <c r="L12" s="55"/>
      <c r="M12" s="50"/>
      <c r="N12" s="56"/>
    </row>
    <row r="13" spans="1:14" hidden="1" outlineLevel="1" x14ac:dyDescent="0.2">
      <c r="A13" s="53">
        <v>44196</v>
      </c>
      <c r="B13" s="53"/>
      <c r="C13" s="54"/>
      <c r="D13" s="48"/>
      <c r="E13" s="55"/>
      <c r="F13" s="109"/>
      <c r="G13" s="48"/>
      <c r="H13" s="48"/>
      <c r="I13" s="48"/>
      <c r="J13" s="55"/>
      <c r="K13" s="55"/>
      <c r="L13" s="55"/>
      <c r="M13" s="50"/>
      <c r="N13" s="56"/>
    </row>
    <row r="14" spans="1:14" hidden="1" outlineLevel="1" x14ac:dyDescent="0.2">
      <c r="A14" s="53">
        <v>44227</v>
      </c>
      <c r="B14" s="53"/>
      <c r="C14" s="54"/>
      <c r="D14" s="48"/>
      <c r="E14" s="55"/>
      <c r="F14" s="109"/>
      <c r="G14" s="48"/>
      <c r="H14" s="48"/>
      <c r="I14" s="48"/>
      <c r="J14" s="55"/>
      <c r="K14" s="55"/>
      <c r="L14" s="55"/>
      <c r="M14" s="50"/>
      <c r="N14" s="56"/>
    </row>
    <row r="15" spans="1:14" hidden="1" outlineLevel="1" x14ac:dyDescent="0.2">
      <c r="A15" s="53">
        <v>44255</v>
      </c>
      <c r="B15" s="53"/>
      <c r="C15" s="54"/>
      <c r="D15" s="48"/>
      <c r="E15" s="55"/>
      <c r="F15" s="109"/>
      <c r="G15" s="48"/>
      <c r="H15" s="48"/>
      <c r="I15" s="48"/>
      <c r="J15" s="55"/>
      <c r="K15" s="55"/>
      <c r="L15" s="55"/>
      <c r="M15" s="50"/>
      <c r="N15" s="56"/>
    </row>
    <row r="16" spans="1:14" hidden="1" outlineLevel="1" x14ac:dyDescent="0.2">
      <c r="A16" s="53">
        <v>44286</v>
      </c>
      <c r="B16" s="53"/>
      <c r="C16" s="54"/>
      <c r="D16" s="48"/>
      <c r="E16" s="55"/>
      <c r="F16" s="109"/>
      <c r="G16" s="48"/>
      <c r="H16" s="48"/>
      <c r="I16" s="48"/>
      <c r="J16" s="55"/>
      <c r="K16" s="55"/>
      <c r="L16" s="55"/>
      <c r="M16" s="50"/>
      <c r="N16" s="56"/>
    </row>
    <row r="17" spans="1:14" hidden="1" outlineLevel="1" x14ac:dyDescent="0.2">
      <c r="A17" s="53">
        <v>44316</v>
      </c>
      <c r="B17" s="53"/>
      <c r="C17" s="54"/>
      <c r="D17" s="48"/>
      <c r="E17" s="55"/>
      <c r="F17" s="109"/>
      <c r="G17" s="48"/>
      <c r="H17" s="48"/>
      <c r="I17" s="48"/>
      <c r="J17" s="55"/>
      <c r="K17" s="55"/>
      <c r="L17" s="55"/>
      <c r="M17" s="50"/>
      <c r="N17" s="56"/>
    </row>
    <row r="18" spans="1:14" hidden="1" outlineLevel="1" x14ac:dyDescent="0.2">
      <c r="A18" s="53">
        <v>44347</v>
      </c>
      <c r="B18" s="53"/>
      <c r="C18" s="54"/>
      <c r="D18" s="48"/>
      <c r="E18" s="55"/>
      <c r="F18" s="109"/>
      <c r="G18" s="48"/>
      <c r="H18" s="48"/>
      <c r="I18" s="48"/>
      <c r="J18" s="55"/>
      <c r="K18" s="55"/>
      <c r="L18" s="55"/>
      <c r="M18" s="50"/>
      <c r="N18" s="56"/>
    </row>
    <row r="19" spans="1:14" hidden="1" outlineLevel="1" x14ac:dyDescent="0.2">
      <c r="A19" s="53">
        <v>44377</v>
      </c>
      <c r="B19" s="53"/>
      <c r="C19" s="54"/>
      <c r="D19" s="48"/>
      <c r="E19" s="55"/>
      <c r="F19" s="109"/>
      <c r="G19" s="48"/>
      <c r="H19" s="48"/>
      <c r="I19" s="48"/>
      <c r="J19" s="55"/>
      <c r="K19" s="55"/>
      <c r="L19" s="55"/>
      <c r="M19" s="50"/>
      <c r="N19" s="56"/>
    </row>
    <row r="20" spans="1:14" hidden="1" outlineLevel="1" x14ac:dyDescent="0.2">
      <c r="A20" s="53">
        <v>44408</v>
      </c>
      <c r="B20" s="53"/>
      <c r="C20" s="54"/>
      <c r="D20" s="48"/>
      <c r="E20" s="55"/>
      <c r="F20" s="109"/>
      <c r="G20" s="48"/>
      <c r="H20" s="48"/>
      <c r="I20" s="48"/>
      <c r="J20" s="55"/>
      <c r="K20" s="55"/>
      <c r="L20" s="55"/>
      <c r="M20" s="50"/>
      <c r="N20" s="56"/>
    </row>
    <row r="21" spans="1:14" hidden="1" outlineLevel="1" x14ac:dyDescent="0.2">
      <c r="A21" s="53">
        <v>44439</v>
      </c>
      <c r="B21" s="53"/>
      <c r="C21" s="54"/>
      <c r="D21" s="48"/>
      <c r="E21" s="55"/>
      <c r="F21" s="109"/>
      <c r="G21" s="48"/>
      <c r="H21" s="48"/>
      <c r="I21" s="48"/>
      <c r="J21" s="55"/>
      <c r="K21" s="55"/>
      <c r="L21" s="55"/>
      <c r="M21" s="50"/>
      <c r="N21" s="56"/>
    </row>
    <row r="22" spans="1:14" hidden="1" outlineLevel="1" x14ac:dyDescent="0.2">
      <c r="A22" s="53">
        <v>44469</v>
      </c>
      <c r="B22" s="53"/>
      <c r="C22" s="54"/>
      <c r="D22" s="48"/>
      <c r="E22" s="55"/>
      <c r="F22" s="109"/>
      <c r="G22" s="48"/>
      <c r="H22" s="48"/>
      <c r="I22" s="48"/>
      <c r="J22" s="55"/>
      <c r="K22" s="55"/>
      <c r="L22" s="55"/>
      <c r="M22" s="50"/>
      <c r="N22" s="56"/>
    </row>
    <row r="23" spans="1:14" hidden="1" outlineLevel="1" x14ac:dyDescent="0.2">
      <c r="A23" s="53">
        <v>44500</v>
      </c>
      <c r="B23" s="53"/>
      <c r="C23" s="54"/>
      <c r="D23" s="48"/>
      <c r="E23" s="55"/>
      <c r="F23" s="109"/>
      <c r="G23" s="48"/>
      <c r="H23" s="48"/>
      <c r="I23" s="48"/>
      <c r="J23" s="55"/>
      <c r="K23" s="55"/>
      <c r="L23" s="55"/>
      <c r="M23" s="50"/>
      <c r="N23" s="56"/>
    </row>
    <row r="24" spans="1:14" collapsed="1" x14ac:dyDescent="0.2">
      <c r="A24" s="53">
        <v>44530</v>
      </c>
      <c r="B24" s="53"/>
      <c r="C24" s="54"/>
      <c r="D24" s="55">
        <f>D11+C24</f>
        <v>0</v>
      </c>
      <c r="E24" s="55">
        <f t="shared" ref="E24:E25" si="0">(D12+D24+SUM(D13:D23)*2)/24</f>
        <v>0</v>
      </c>
      <c r="F24" s="109">
        <v>0</v>
      </c>
      <c r="G24" s="55">
        <v>0</v>
      </c>
      <c r="H24" s="55">
        <v>0</v>
      </c>
      <c r="I24" s="55">
        <v>0</v>
      </c>
      <c r="J24" s="55">
        <f t="shared" ref="J24:J87" si="1">(-C24*0.21)+(F24*0.21)</f>
        <v>0</v>
      </c>
      <c r="K24" s="55">
        <f t="shared" ref="K24:K87" si="2">K23+J24</f>
        <v>0</v>
      </c>
      <c r="L24" s="55">
        <v>0</v>
      </c>
      <c r="M24" s="55">
        <v>0</v>
      </c>
      <c r="N24" s="56">
        <v>0</v>
      </c>
    </row>
    <row r="25" spans="1:14" x14ac:dyDescent="0.2">
      <c r="A25" s="53">
        <v>44561</v>
      </c>
      <c r="B25" s="53"/>
      <c r="C25" s="54"/>
      <c r="D25" s="55">
        <f t="shared" ref="D25:D88" si="3">D24+C25</f>
        <v>0</v>
      </c>
      <c r="E25" s="55">
        <f t="shared" si="0"/>
        <v>0</v>
      </c>
      <c r="F25" s="109">
        <v>0</v>
      </c>
      <c r="G25" s="55">
        <v>0</v>
      </c>
      <c r="H25" s="55">
        <v>0</v>
      </c>
      <c r="I25" s="55">
        <v>0</v>
      </c>
      <c r="J25" s="55">
        <f t="shared" si="1"/>
        <v>0</v>
      </c>
      <c r="K25" s="55">
        <f t="shared" si="2"/>
        <v>0</v>
      </c>
      <c r="L25" s="55">
        <v>0</v>
      </c>
      <c r="M25" s="55">
        <v>0</v>
      </c>
      <c r="N25" s="56">
        <v>0</v>
      </c>
    </row>
    <row r="26" spans="1:14" x14ac:dyDescent="0.2">
      <c r="A26" s="53">
        <v>44592</v>
      </c>
      <c r="B26" s="53"/>
      <c r="C26" s="54">
        <f>'Plant Additions'!F11</f>
        <v>0</v>
      </c>
      <c r="D26" s="55">
        <f>D25+C26</f>
        <v>0</v>
      </c>
      <c r="E26" s="55">
        <f t="shared" ref="E26:E38" si="4">(D14+D26+SUM(D15:D25)*2)/24</f>
        <v>0</v>
      </c>
      <c r="F26" s="109"/>
      <c r="G26" s="55">
        <f>G25-F26</f>
        <v>0</v>
      </c>
      <c r="H26" s="55">
        <v>0</v>
      </c>
      <c r="I26" s="55">
        <v>0</v>
      </c>
      <c r="J26" s="55">
        <f t="shared" si="1"/>
        <v>0</v>
      </c>
      <c r="K26" s="55">
        <f>K25+J26</f>
        <v>0</v>
      </c>
      <c r="L26" s="55">
        <v>0</v>
      </c>
      <c r="M26" s="55">
        <v>0</v>
      </c>
      <c r="N26" s="56">
        <v>0</v>
      </c>
    </row>
    <row r="27" spans="1:14" x14ac:dyDescent="0.2">
      <c r="A27" s="53">
        <v>44620</v>
      </c>
      <c r="B27" s="53"/>
      <c r="C27" s="54">
        <f>'Plant Additions'!F12</f>
        <v>219457.24849198392</v>
      </c>
      <c r="D27" s="55">
        <f t="shared" si="3"/>
        <v>219457.24849198392</v>
      </c>
      <c r="E27" s="55">
        <f t="shared" si="4"/>
        <v>9144.05202049933</v>
      </c>
      <c r="F27" s="109"/>
      <c r="G27" s="55">
        <f t="shared" ref="G27:G37" si="5">G26-F27</f>
        <v>0</v>
      </c>
      <c r="H27" s="55">
        <f t="shared" ref="H27:H37" si="6">(G15+G27+SUM(G16:G26)*2)/24</f>
        <v>0</v>
      </c>
      <c r="I27" s="55">
        <f>H27</f>
        <v>0</v>
      </c>
      <c r="J27" s="55">
        <f t="shared" si="1"/>
        <v>-46086.022183316622</v>
      </c>
      <c r="K27" s="55">
        <f t="shared" si="2"/>
        <v>-46086.022183316622</v>
      </c>
      <c r="L27" s="55">
        <f t="shared" ref="L27:L37" si="7">(K15+K27+SUM(K16:K26)*2)/24</f>
        <v>-1920.2509243048592</v>
      </c>
      <c r="M27" s="55">
        <f>I27+L27</f>
        <v>-1920.2509243048592</v>
      </c>
      <c r="N27" s="56">
        <f t="shared" ref="N27:N36" si="8">+D27+G27+K27</f>
        <v>173371.2263086673</v>
      </c>
    </row>
    <row r="28" spans="1:14" x14ac:dyDescent="0.2">
      <c r="A28" s="53">
        <v>44651</v>
      </c>
      <c r="B28" s="53"/>
      <c r="C28" s="54">
        <f>'Plant Additions'!F13</f>
        <v>424071.33408657362</v>
      </c>
      <c r="D28" s="55">
        <f t="shared" si="3"/>
        <v>643528.58257855754</v>
      </c>
      <c r="E28" s="55">
        <f t="shared" si="4"/>
        <v>45101.794981771884</v>
      </c>
      <c r="F28" s="109"/>
      <c r="G28" s="55">
        <f t="shared" si="5"/>
        <v>0</v>
      </c>
      <c r="H28" s="55">
        <f t="shared" si="6"/>
        <v>0</v>
      </c>
      <c r="I28" s="55">
        <f t="shared" ref="I28:I37" si="9">H28</f>
        <v>0</v>
      </c>
      <c r="J28" s="55">
        <f t="shared" si="1"/>
        <v>-89054.980158180464</v>
      </c>
      <c r="K28" s="55">
        <f t="shared" si="2"/>
        <v>-135141.00234149708</v>
      </c>
      <c r="L28" s="55">
        <f t="shared" si="7"/>
        <v>-9471.3769461720967</v>
      </c>
      <c r="M28" s="55">
        <f t="shared" ref="M28:M36" si="10">I28+L28</f>
        <v>-9471.3769461720967</v>
      </c>
      <c r="N28" s="56">
        <f t="shared" si="8"/>
        <v>508387.58023706044</v>
      </c>
    </row>
    <row r="29" spans="1:14" x14ac:dyDescent="0.2">
      <c r="A29" s="53">
        <v>44681</v>
      </c>
      <c r="B29" s="53"/>
      <c r="C29" s="54">
        <f>'Plant Additions'!F14</f>
        <v>424292.48763922509</v>
      </c>
      <c r="D29" s="55">
        <f t="shared" si="3"/>
        <v>1067821.0702177826</v>
      </c>
      <c r="E29" s="55">
        <f t="shared" si="4"/>
        <v>116408.03051495273</v>
      </c>
      <c r="F29" s="109"/>
      <c r="G29" s="55">
        <f t="shared" si="5"/>
        <v>0</v>
      </c>
      <c r="H29" s="55">
        <f t="shared" si="6"/>
        <v>0</v>
      </c>
      <c r="I29" s="55">
        <f t="shared" si="9"/>
        <v>0</v>
      </c>
      <c r="J29" s="55">
        <f t="shared" si="1"/>
        <v>-89101.422404237266</v>
      </c>
      <c r="K29" s="55">
        <f t="shared" si="2"/>
        <v>-224242.42474573434</v>
      </c>
      <c r="L29" s="55">
        <f t="shared" si="7"/>
        <v>-24445.686408140071</v>
      </c>
      <c r="M29" s="55">
        <f t="shared" si="10"/>
        <v>-24445.686408140071</v>
      </c>
      <c r="N29" s="56">
        <f t="shared" si="8"/>
        <v>843578.64547204832</v>
      </c>
    </row>
    <row r="30" spans="1:14" x14ac:dyDescent="0.2">
      <c r="A30" s="53">
        <v>44712</v>
      </c>
      <c r="B30" s="53"/>
      <c r="C30" s="54">
        <f>'Plant Additions'!F15</f>
        <v>424458.58284701634</v>
      </c>
      <c r="D30" s="55">
        <f t="shared" si="3"/>
        <v>1492279.653064799</v>
      </c>
      <c r="E30" s="55">
        <f t="shared" si="4"/>
        <v>223078.89398506028</v>
      </c>
      <c r="F30" s="109"/>
      <c r="G30" s="55">
        <f t="shared" si="5"/>
        <v>0</v>
      </c>
      <c r="H30" s="55">
        <f t="shared" si="6"/>
        <v>0</v>
      </c>
      <c r="I30" s="55">
        <f t="shared" si="9"/>
        <v>0</v>
      </c>
      <c r="J30" s="55">
        <f t="shared" si="1"/>
        <v>-89136.302397873427</v>
      </c>
      <c r="K30" s="55">
        <f t="shared" si="2"/>
        <v>-313378.7271436078</v>
      </c>
      <c r="L30" s="55">
        <f t="shared" si="7"/>
        <v>-46846.567736862664</v>
      </c>
      <c r="M30" s="55">
        <f t="shared" si="10"/>
        <v>-46846.567736862664</v>
      </c>
      <c r="N30" s="56">
        <f t="shared" si="8"/>
        <v>1178900.9259211912</v>
      </c>
    </row>
    <row r="31" spans="1:14" x14ac:dyDescent="0.2">
      <c r="A31" s="53">
        <v>44742</v>
      </c>
      <c r="B31" s="53"/>
      <c r="C31" s="54">
        <f>'Plant Additions'!F16</f>
        <v>424612.19423917664</v>
      </c>
      <c r="D31" s="55">
        <f t="shared" si="3"/>
        <v>1916891.8473039756</v>
      </c>
      <c r="E31" s="55">
        <f t="shared" si="4"/>
        <v>365127.70650042593</v>
      </c>
      <c r="F31" s="109"/>
      <c r="G31" s="55">
        <f t="shared" si="5"/>
        <v>0</v>
      </c>
      <c r="H31" s="55">
        <f t="shared" si="6"/>
        <v>0</v>
      </c>
      <c r="I31" s="55">
        <f t="shared" si="9"/>
        <v>0</v>
      </c>
      <c r="J31" s="55">
        <f t="shared" si="1"/>
        <v>-89168.560790227086</v>
      </c>
      <c r="K31" s="55">
        <f t="shared" si="2"/>
        <v>-402547.28793383489</v>
      </c>
      <c r="L31" s="55">
        <f t="shared" si="7"/>
        <v>-76676.818365089435</v>
      </c>
      <c r="M31" s="55">
        <f t="shared" si="10"/>
        <v>-76676.818365089435</v>
      </c>
      <c r="N31" s="56">
        <f t="shared" si="8"/>
        <v>1514344.5593701408</v>
      </c>
    </row>
    <row r="32" spans="1:14" x14ac:dyDescent="0.2">
      <c r="A32" s="53">
        <v>44773</v>
      </c>
      <c r="C32" s="54">
        <f>'Plant Additions'!F17</f>
        <v>424708.3022204708</v>
      </c>
      <c r="D32" s="55">
        <f t="shared" si="3"/>
        <v>2341600.1495244466</v>
      </c>
      <c r="E32" s="55">
        <f t="shared" si="4"/>
        <v>542564.87303494348</v>
      </c>
      <c r="F32" s="109"/>
      <c r="G32" s="55">
        <f t="shared" si="5"/>
        <v>0</v>
      </c>
      <c r="H32" s="55">
        <f t="shared" si="6"/>
        <v>0</v>
      </c>
      <c r="I32" s="55">
        <f t="shared" si="9"/>
        <v>0</v>
      </c>
      <c r="J32" s="55">
        <f t="shared" si="1"/>
        <v>-89188.743466298867</v>
      </c>
      <c r="K32" s="55">
        <f t="shared" si="2"/>
        <v>-491736.03140013374</v>
      </c>
      <c r="L32" s="55">
        <f t="shared" si="7"/>
        <v>-113938.62333733814</v>
      </c>
      <c r="M32" s="55">
        <f t="shared" si="10"/>
        <v>-113938.62333733814</v>
      </c>
      <c r="N32" s="56">
        <f t="shared" si="8"/>
        <v>1849864.1181243127</v>
      </c>
    </row>
    <row r="33" spans="1:15" x14ac:dyDescent="0.2">
      <c r="A33" s="53">
        <v>44804</v>
      </c>
      <c r="C33" s="54">
        <f>'Plant Additions'!F18</f>
        <v>424819.20349501929</v>
      </c>
      <c r="D33" s="55">
        <f t="shared" si="3"/>
        <v>2766419.3530194657</v>
      </c>
      <c r="E33" s="55">
        <f t="shared" si="4"/>
        <v>755399.01897427312</v>
      </c>
      <c r="F33" s="109"/>
      <c r="G33" s="55">
        <f t="shared" si="5"/>
        <v>0</v>
      </c>
      <c r="H33" s="55">
        <f t="shared" si="6"/>
        <v>0</v>
      </c>
      <c r="I33" s="55">
        <f t="shared" si="9"/>
        <v>0</v>
      </c>
      <c r="J33" s="55">
        <f t="shared" si="1"/>
        <v>-89212.032733954053</v>
      </c>
      <c r="K33" s="55">
        <f t="shared" si="2"/>
        <v>-580948.06413408776</v>
      </c>
      <c r="L33" s="55">
        <f t="shared" si="7"/>
        <v>-158633.79398459737</v>
      </c>
      <c r="M33" s="55">
        <f t="shared" si="10"/>
        <v>-158633.79398459737</v>
      </c>
      <c r="N33" s="56">
        <f t="shared" si="8"/>
        <v>2185471.2888853778</v>
      </c>
    </row>
    <row r="34" spans="1:15" x14ac:dyDescent="0.2">
      <c r="A34" s="53">
        <v>44834</v>
      </c>
      <c r="C34" s="54">
        <f>'Plant Additions'!F19</f>
        <v>425019.75433882076</v>
      </c>
      <c r="D34" s="55">
        <f t="shared" si="3"/>
        <v>3191439.1073582866</v>
      </c>
      <c r="E34" s="55">
        <f t="shared" si="4"/>
        <v>1003643.121490013</v>
      </c>
      <c r="F34" s="109"/>
      <c r="G34" s="55">
        <f t="shared" si="5"/>
        <v>0</v>
      </c>
      <c r="H34" s="55">
        <f t="shared" si="6"/>
        <v>0</v>
      </c>
      <c r="I34" s="55">
        <f t="shared" si="9"/>
        <v>0</v>
      </c>
      <c r="J34" s="55">
        <f t="shared" si="1"/>
        <v>-89254.14841115236</v>
      </c>
      <c r="K34" s="55">
        <f t="shared" si="2"/>
        <v>-670202.21254524007</v>
      </c>
      <c r="L34" s="55">
        <f t="shared" si="7"/>
        <v>-210765.05551290271</v>
      </c>
      <c r="M34" s="55">
        <f t="shared" si="10"/>
        <v>-210765.05551290271</v>
      </c>
      <c r="N34" s="56">
        <f t="shared" si="8"/>
        <v>2521236.8948130468</v>
      </c>
    </row>
    <row r="35" spans="1:15" x14ac:dyDescent="0.2">
      <c r="A35" s="53">
        <v>44865</v>
      </c>
      <c r="C35" s="54">
        <f>'Plant Additions'!F20</f>
        <v>425202.85248095018</v>
      </c>
      <c r="D35" s="55">
        <f t="shared" si="3"/>
        <v>3616641.9598392369</v>
      </c>
      <c r="E35" s="55">
        <f t="shared" si="4"/>
        <v>1287313.1659565764</v>
      </c>
      <c r="F35" s="109"/>
      <c r="G35" s="55">
        <f t="shared" si="5"/>
        <v>0</v>
      </c>
      <c r="H35" s="55">
        <f t="shared" si="6"/>
        <v>0</v>
      </c>
      <c r="I35" s="55">
        <f t="shared" si="9"/>
        <v>0</v>
      </c>
      <c r="J35" s="55">
        <f t="shared" si="1"/>
        <v>-89292.599020999536</v>
      </c>
      <c r="K35" s="55">
        <f t="shared" si="2"/>
        <v>-759494.81156623957</v>
      </c>
      <c r="L35" s="55">
        <f t="shared" si="7"/>
        <v>-270335.76485088101</v>
      </c>
      <c r="M35" s="55">
        <f t="shared" si="10"/>
        <v>-270335.76485088101</v>
      </c>
      <c r="N35" s="56">
        <f t="shared" si="8"/>
        <v>2857147.1482729972</v>
      </c>
    </row>
    <row r="36" spans="1:15" x14ac:dyDescent="0.2">
      <c r="A36" s="53">
        <v>44895</v>
      </c>
      <c r="C36" s="54">
        <f>'Plant Additions'!F21</f>
        <v>425306.68736132229</v>
      </c>
      <c r="D36" s="55">
        <f t="shared" si="3"/>
        <v>4041948.6472005593</v>
      </c>
      <c r="E36" s="55">
        <f t="shared" si="4"/>
        <v>1606421.1079165682</v>
      </c>
      <c r="F36" s="109"/>
      <c r="G36" s="55">
        <f t="shared" si="5"/>
        <v>0</v>
      </c>
      <c r="H36" s="55">
        <f t="shared" si="6"/>
        <v>0</v>
      </c>
      <c r="I36" s="55">
        <f t="shared" si="9"/>
        <v>0</v>
      </c>
      <c r="J36" s="55">
        <f t="shared" si="1"/>
        <v>-89314.404345877672</v>
      </c>
      <c r="K36" s="55">
        <f t="shared" si="2"/>
        <v>-848809.21591211727</v>
      </c>
      <c r="L36" s="55">
        <f t="shared" si="7"/>
        <v>-337348.43266247929</v>
      </c>
      <c r="M36" s="55">
        <f t="shared" si="10"/>
        <v>-337348.43266247929</v>
      </c>
      <c r="N36" s="56">
        <f t="shared" si="8"/>
        <v>3193139.4312884421</v>
      </c>
    </row>
    <row r="37" spans="1:15" x14ac:dyDescent="0.2">
      <c r="A37" s="53">
        <v>44926</v>
      </c>
      <c r="C37" s="54">
        <f>'Plant Additions'!F22</f>
        <v>425452.63891503104</v>
      </c>
      <c r="D37" s="55">
        <f t="shared" si="3"/>
        <v>4467401.2861155905</v>
      </c>
      <c r="E37" s="55">
        <f t="shared" si="4"/>
        <v>1960977.3551380739</v>
      </c>
      <c r="F37" s="109"/>
      <c r="G37" s="55">
        <f t="shared" si="5"/>
        <v>0</v>
      </c>
      <c r="H37" s="55">
        <f t="shared" si="6"/>
        <v>0</v>
      </c>
      <c r="I37" s="55">
        <f t="shared" si="9"/>
        <v>0</v>
      </c>
      <c r="J37" s="55">
        <f t="shared" si="1"/>
        <v>-89345.05417215651</v>
      </c>
      <c r="K37" s="55">
        <f t="shared" si="2"/>
        <v>-938154.27008427377</v>
      </c>
      <c r="L37" s="55">
        <f t="shared" si="7"/>
        <v>-411805.24457899551</v>
      </c>
      <c r="M37" s="55">
        <f t="shared" ref="M37:M97" si="11">L37+I37</f>
        <v>-411805.24457899551</v>
      </c>
      <c r="N37" s="56">
        <f t="shared" ref="N37:N97" si="12">+D37+G37+K37</f>
        <v>3529247.0160313165</v>
      </c>
    </row>
    <row r="38" spans="1:15" x14ac:dyDescent="0.2">
      <c r="A38" s="53">
        <v>44957</v>
      </c>
      <c r="B38" s="53"/>
      <c r="C38" s="54">
        <f>'Plant Additions'!F23</f>
        <v>524202.83662783355</v>
      </c>
      <c r="D38" s="55">
        <f t="shared" si="3"/>
        <v>4991604.122743424</v>
      </c>
      <c r="E38" s="55">
        <f t="shared" si="4"/>
        <v>2355102.5805071997</v>
      </c>
      <c r="F38" s="109"/>
      <c r="G38" s="55">
        <f t="shared" ref="G38:G97" si="13">G37-F38</f>
        <v>0</v>
      </c>
      <c r="H38" s="55">
        <f t="shared" ref="H38:H97" si="14">(G26+G38+SUM(G27:G37)*2)/24</f>
        <v>0</v>
      </c>
      <c r="I38" s="55">
        <f t="shared" ref="I38:I97" si="15">E38+H38</f>
        <v>2355102.5805071997</v>
      </c>
      <c r="J38" s="55">
        <f t="shared" si="1"/>
        <v>-110082.59569184504</v>
      </c>
      <c r="K38" s="58">
        <f t="shared" si="2"/>
        <v>-1048236.8657761188</v>
      </c>
      <c r="L38" s="55">
        <f t="shared" ref="L38:L97" si="16">(K26+K38+SUM(K27:K37)*2)/24</f>
        <v>-494571.54190651188</v>
      </c>
      <c r="M38" s="59">
        <f t="shared" si="11"/>
        <v>1860531.0386006879</v>
      </c>
      <c r="N38" s="56">
        <f t="shared" si="12"/>
        <v>3943367.2569673052</v>
      </c>
    </row>
    <row r="39" spans="1:15" x14ac:dyDescent="0.2">
      <c r="A39" s="53">
        <v>44985</v>
      </c>
      <c r="B39" s="53"/>
      <c r="C39" s="54">
        <f>'Plant Additions'!F24</f>
        <v>524215.85926104197</v>
      </c>
      <c r="D39" s="55">
        <f t="shared" si="3"/>
        <v>5515819.9820044655</v>
      </c>
      <c r="E39" s="55">
        <f t="shared" ref="E39:E97" si="17">(D27+D39+SUM(D28:D38)*2)/24</f>
        <v>2783767.8661845294</v>
      </c>
      <c r="F39" s="109"/>
      <c r="G39" s="55">
        <f t="shared" si="13"/>
        <v>0</v>
      </c>
      <c r="H39" s="55">
        <f t="shared" si="14"/>
        <v>0</v>
      </c>
      <c r="I39" s="55">
        <f t="shared" si="15"/>
        <v>2783767.8661845294</v>
      </c>
      <c r="J39" s="55">
        <f t="shared" si="1"/>
        <v>-110085.33044481881</v>
      </c>
      <c r="K39" s="58">
        <f t="shared" si="2"/>
        <v>-1158322.1962209377</v>
      </c>
      <c r="L39" s="55">
        <f t="shared" si="16"/>
        <v>-584591.25189875101</v>
      </c>
      <c r="M39" s="59">
        <f t="shared" si="11"/>
        <v>2199176.6142857783</v>
      </c>
      <c r="N39" s="56">
        <f t="shared" si="12"/>
        <v>4357497.7857835274</v>
      </c>
    </row>
    <row r="40" spans="1:15" x14ac:dyDescent="0.2">
      <c r="A40" s="53">
        <v>45016</v>
      </c>
      <c r="B40" s="53"/>
      <c r="C40" s="54">
        <f>'Plant Additions'!F25</f>
        <v>524251.06391937518</v>
      </c>
      <c r="D40" s="55">
        <f t="shared" si="3"/>
        <v>6040071.0459238403</v>
      </c>
      <c r="E40" s="55">
        <f t="shared" si="17"/>
        <v>3229305.582720269</v>
      </c>
      <c r="F40" s="109"/>
      <c r="G40" s="55">
        <f t="shared" si="13"/>
        <v>0</v>
      </c>
      <c r="H40" s="55">
        <f t="shared" si="14"/>
        <v>0</v>
      </c>
      <c r="I40" s="55">
        <f t="shared" si="15"/>
        <v>3229305.582720269</v>
      </c>
      <c r="J40" s="55">
        <f t="shared" si="1"/>
        <v>-110092.72342306879</v>
      </c>
      <c r="K40" s="58">
        <f t="shared" si="2"/>
        <v>-1268414.9196440065</v>
      </c>
      <c r="L40" s="55">
        <f t="shared" si="16"/>
        <v>-678154.17237125651</v>
      </c>
      <c r="M40" s="59">
        <f t="shared" si="11"/>
        <v>2551151.4103490124</v>
      </c>
      <c r="N40" s="56">
        <f t="shared" si="12"/>
        <v>4771656.1262798337</v>
      </c>
    </row>
    <row r="41" spans="1:15" x14ac:dyDescent="0.2">
      <c r="A41" s="53">
        <v>45046</v>
      </c>
      <c r="B41" s="53"/>
      <c r="C41" s="54">
        <f>'Plant Additions'!F26</f>
        <v>524291.50587108359</v>
      </c>
      <c r="D41" s="55">
        <f t="shared" si="3"/>
        <v>6564362.5517949238</v>
      </c>
      <c r="E41" s="55">
        <f t="shared" si="17"/>
        <v>3683184.0804253705</v>
      </c>
      <c r="F41" s="109"/>
      <c r="G41" s="55">
        <f t="shared" si="13"/>
        <v>0</v>
      </c>
      <c r="H41" s="55">
        <f t="shared" si="14"/>
        <v>0</v>
      </c>
      <c r="I41" s="55">
        <f t="shared" si="15"/>
        <v>3683184.0804253705</v>
      </c>
      <c r="J41" s="55">
        <f t="shared" si="1"/>
        <v>-110101.21623292755</v>
      </c>
      <c r="K41" s="58">
        <f t="shared" si="2"/>
        <v>-1378516.135876934</v>
      </c>
      <c r="L41" s="55">
        <f t="shared" si="16"/>
        <v>-773468.6568893278</v>
      </c>
      <c r="M41" s="59">
        <f t="shared" si="11"/>
        <v>2909715.4235360427</v>
      </c>
      <c r="N41" s="56">
        <f t="shared" si="12"/>
        <v>5185846.4159179898</v>
      </c>
    </row>
    <row r="42" spans="1:15" x14ac:dyDescent="0.2">
      <c r="A42" s="53">
        <v>45077</v>
      </c>
      <c r="B42" s="53"/>
      <c r="C42" s="54">
        <f>'Plant Additions'!F27</f>
        <v>524291.50587108359</v>
      </c>
      <c r="D42" s="55">
        <f t="shared" si="3"/>
        <v>7088654.0576660074</v>
      </c>
      <c r="E42" s="55">
        <f t="shared" si="17"/>
        <v>4145388.9090161347</v>
      </c>
      <c r="F42" s="109"/>
      <c r="G42" s="55">
        <f t="shared" si="13"/>
        <v>0</v>
      </c>
      <c r="H42" s="55">
        <f t="shared" si="14"/>
        <v>0</v>
      </c>
      <c r="I42" s="55">
        <f t="shared" si="15"/>
        <v>4145388.9090161347</v>
      </c>
      <c r="J42" s="55">
        <f t="shared" si="1"/>
        <v>-110101.21623292755</v>
      </c>
      <c r="K42" s="58">
        <f t="shared" si="2"/>
        <v>-1488617.3521098616</v>
      </c>
      <c r="L42" s="55">
        <f t="shared" si="16"/>
        <v>-870531.67089338822</v>
      </c>
      <c r="M42" s="59">
        <f t="shared" si="11"/>
        <v>3274857.2381227463</v>
      </c>
      <c r="N42" s="56">
        <f t="shared" si="12"/>
        <v>5600036.7055561459</v>
      </c>
    </row>
    <row r="43" spans="1:15" x14ac:dyDescent="0.2">
      <c r="A43" s="53">
        <v>45107</v>
      </c>
      <c r="B43" s="53"/>
      <c r="C43" s="54">
        <f>'Plant Additions'!F28</f>
        <v>524291.50587108359</v>
      </c>
      <c r="D43" s="55">
        <f t="shared" si="3"/>
        <v>7612945.563537091</v>
      </c>
      <c r="E43" s="55">
        <f t="shared" si="17"/>
        <v>4615906.7473842325</v>
      </c>
      <c r="F43" s="109"/>
      <c r="G43" s="55">
        <f t="shared" si="13"/>
        <v>0</v>
      </c>
      <c r="H43" s="55">
        <f t="shared" si="14"/>
        <v>0</v>
      </c>
      <c r="I43" s="55">
        <f t="shared" si="15"/>
        <v>4615906.7473842325</v>
      </c>
      <c r="J43" s="55">
        <f t="shared" si="1"/>
        <v>-110101.21623292755</v>
      </c>
      <c r="K43" s="58">
        <f t="shared" si="2"/>
        <v>-1598718.5683427891</v>
      </c>
      <c r="L43" s="55">
        <f t="shared" si="16"/>
        <v>-969340.4169506887</v>
      </c>
      <c r="M43" s="59">
        <f t="shared" si="11"/>
        <v>3646566.3304335438</v>
      </c>
      <c r="N43" s="56">
        <f t="shared" si="12"/>
        <v>6014226.9951943019</v>
      </c>
    </row>
    <row r="44" spans="1:15" x14ac:dyDescent="0.2">
      <c r="A44" s="53">
        <v>45138</v>
      </c>
      <c r="B44" s="53"/>
      <c r="C44" s="54">
        <f>'Plant Additions'!F29</f>
        <v>524291.50587108359</v>
      </c>
      <c r="D44" s="55">
        <f t="shared" si="3"/>
        <v>8137237.0694081746</v>
      </c>
      <c r="E44" s="55">
        <f t="shared" si="17"/>
        <v>5094727.1905557672</v>
      </c>
      <c r="F44" s="109"/>
      <c r="G44" s="55">
        <f t="shared" si="13"/>
        <v>0</v>
      </c>
      <c r="H44" s="55">
        <f t="shared" si="14"/>
        <v>0</v>
      </c>
      <c r="I44" s="55">
        <f t="shared" si="15"/>
        <v>5094727.1905557672</v>
      </c>
      <c r="J44" s="55">
        <f t="shared" si="1"/>
        <v>-110101.21623292755</v>
      </c>
      <c r="K44" s="58">
        <f t="shared" si="2"/>
        <v>-1708819.7845757166</v>
      </c>
      <c r="L44" s="55">
        <f t="shared" si="16"/>
        <v>-1069892.7100167109</v>
      </c>
      <c r="M44" s="59">
        <f t="shared" si="11"/>
        <v>4024834.4805390565</v>
      </c>
      <c r="N44" s="56">
        <f t="shared" si="12"/>
        <v>6428417.284832458</v>
      </c>
    </row>
    <row r="45" spans="1:15" x14ac:dyDescent="0.2">
      <c r="A45" s="53">
        <v>45169</v>
      </c>
      <c r="B45" s="53"/>
      <c r="C45" s="54">
        <f>'Plant Additions'!F30</f>
        <v>524291.50587108359</v>
      </c>
      <c r="D45" s="55">
        <f t="shared" si="3"/>
        <v>8661528.5752792582</v>
      </c>
      <c r="E45" s="55">
        <f t="shared" si="17"/>
        <v>5581841.6131450804</v>
      </c>
      <c r="F45" s="109"/>
      <c r="G45" s="55">
        <f t="shared" si="13"/>
        <v>0</v>
      </c>
      <c r="H45" s="55">
        <f t="shared" si="14"/>
        <v>0</v>
      </c>
      <c r="I45" s="55">
        <f t="shared" si="15"/>
        <v>5581841.6131450804</v>
      </c>
      <c r="J45" s="55">
        <f t="shared" si="1"/>
        <v>-110101.21623292755</v>
      </c>
      <c r="K45" s="58">
        <f t="shared" si="2"/>
        <v>-1818921.0008086441</v>
      </c>
      <c r="L45" s="55">
        <f t="shared" si="16"/>
        <v>-1172186.7387604667</v>
      </c>
      <c r="M45" s="59">
        <f t="shared" si="11"/>
        <v>4409654.8743846137</v>
      </c>
      <c r="N45" s="56">
        <f t="shared" si="12"/>
        <v>6842607.5744706141</v>
      </c>
    </row>
    <row r="46" spans="1:15" x14ac:dyDescent="0.2">
      <c r="A46" s="53">
        <v>45199</v>
      </c>
      <c r="B46" s="53"/>
      <c r="C46" s="54">
        <f>'Plant Additions'!F31</f>
        <v>524291.50587108359</v>
      </c>
      <c r="D46" s="55">
        <f t="shared" si="3"/>
        <v>9185820.0811503418</v>
      </c>
      <c r="E46" s="55">
        <f t="shared" si="17"/>
        <v>6077237.0379805723</v>
      </c>
      <c r="F46" s="109"/>
      <c r="G46" s="55">
        <f t="shared" si="13"/>
        <v>0</v>
      </c>
      <c r="H46" s="55">
        <f t="shared" si="14"/>
        <v>0</v>
      </c>
      <c r="I46" s="55">
        <f t="shared" si="15"/>
        <v>6077237.0379805723</v>
      </c>
      <c r="J46" s="55">
        <f t="shared" si="1"/>
        <v>-110101.21623292755</v>
      </c>
      <c r="K46" s="58">
        <f t="shared" si="2"/>
        <v>-1929022.2170415716</v>
      </c>
      <c r="L46" s="55">
        <f t="shared" si="16"/>
        <v>-1276219.7779759206</v>
      </c>
      <c r="M46" s="59">
        <f t="shared" si="11"/>
        <v>4801017.2600046517</v>
      </c>
      <c r="N46" s="56">
        <f t="shared" si="12"/>
        <v>7256797.8641087702</v>
      </c>
    </row>
    <row r="47" spans="1:15" ht="13.5" thickBot="1" x14ac:dyDescent="0.25">
      <c r="A47" s="53">
        <v>45230</v>
      </c>
      <c r="B47" s="53"/>
      <c r="C47" s="54">
        <f>'Plant Additions'!F32</f>
        <v>524291.50587108359</v>
      </c>
      <c r="D47" s="55">
        <f t="shared" si="3"/>
        <v>9710111.5870214254</v>
      </c>
      <c r="E47" s="55">
        <f t="shared" si="17"/>
        <v>6580897.4796878351</v>
      </c>
      <c r="F47" s="109"/>
      <c r="G47" s="55">
        <f t="shared" si="13"/>
        <v>0</v>
      </c>
      <c r="H47" s="55">
        <f t="shared" si="14"/>
        <v>0</v>
      </c>
      <c r="I47" s="55">
        <f t="shared" si="15"/>
        <v>6580897.4796878351</v>
      </c>
      <c r="J47" s="55">
        <f t="shared" si="1"/>
        <v>-110101.21623292755</v>
      </c>
      <c r="K47" s="58">
        <f t="shared" si="2"/>
        <v>-2039123.4332744991</v>
      </c>
      <c r="L47" s="55">
        <f t="shared" si="16"/>
        <v>-1381988.4707344449</v>
      </c>
      <c r="M47" s="59">
        <f t="shared" si="11"/>
        <v>5198909.0089533906</v>
      </c>
      <c r="N47" s="56">
        <f t="shared" si="12"/>
        <v>7670988.1537469262</v>
      </c>
    </row>
    <row r="48" spans="1:15" x14ac:dyDescent="0.2">
      <c r="A48" s="120">
        <v>45260</v>
      </c>
      <c r="B48" s="120" t="s">
        <v>146</v>
      </c>
      <c r="C48" s="122"/>
      <c r="D48" s="122">
        <f t="shared" si="3"/>
        <v>9710111.5870214254</v>
      </c>
      <c r="E48" s="122">
        <f t="shared" si="17"/>
        <v>7070965.5033129631</v>
      </c>
      <c r="F48" s="133">
        <f t="shared" ref="F48:F95" si="18">D48/48</f>
        <v>202293.99139627969</v>
      </c>
      <c r="G48" s="122">
        <f t="shared" si="13"/>
        <v>-202293.99139627969</v>
      </c>
      <c r="H48" s="122">
        <f t="shared" si="14"/>
        <v>-8428.9163081783208</v>
      </c>
      <c r="I48" s="122">
        <f t="shared" si="15"/>
        <v>7062536.5870047845</v>
      </c>
      <c r="J48" s="122">
        <f t="shared" si="1"/>
        <v>42481.738193218735</v>
      </c>
      <c r="K48" s="124">
        <f t="shared" si="2"/>
        <v>-1996641.6950812803</v>
      </c>
      <c r="L48" s="122">
        <f t="shared" si="16"/>
        <v>-1483132.6832710041</v>
      </c>
      <c r="M48" s="125">
        <f t="shared" si="11"/>
        <v>5579403.9037337806</v>
      </c>
      <c r="N48" s="126">
        <f t="shared" si="12"/>
        <v>7511175.9005438648</v>
      </c>
      <c r="O48" s="55"/>
    </row>
    <row r="49" spans="1:15" x14ac:dyDescent="0.2">
      <c r="A49" s="53">
        <v>45291</v>
      </c>
      <c r="B49" s="53" t="s">
        <v>146</v>
      </c>
      <c r="C49" s="55"/>
      <c r="D49" s="55">
        <f t="shared" si="3"/>
        <v>9710111.5870214254</v>
      </c>
      <c r="E49" s="55">
        <f t="shared" si="17"/>
        <v>7525585.2216765741</v>
      </c>
      <c r="F49" s="109">
        <f t="shared" si="18"/>
        <v>202293.99139627969</v>
      </c>
      <c r="G49" s="55">
        <f t="shared" si="13"/>
        <v>-404587.98279255937</v>
      </c>
      <c r="H49" s="55">
        <f t="shared" si="14"/>
        <v>-33715.665232713283</v>
      </c>
      <c r="I49" s="55">
        <f t="shared" si="15"/>
        <v>7491869.5564438608</v>
      </c>
      <c r="J49" s="55">
        <f t="shared" si="1"/>
        <v>42481.738193218735</v>
      </c>
      <c r="K49" s="58">
        <f t="shared" si="2"/>
        <v>-1954159.9568880615</v>
      </c>
      <c r="L49" s="55">
        <f t="shared" si="16"/>
        <v>-1573292.6068532104</v>
      </c>
      <c r="M49" s="59">
        <f t="shared" si="11"/>
        <v>5918576.9495906504</v>
      </c>
      <c r="N49" s="56">
        <f t="shared" si="12"/>
        <v>7351363.6473408043</v>
      </c>
      <c r="O49" s="55"/>
    </row>
    <row r="50" spans="1:15" x14ac:dyDescent="0.2">
      <c r="A50" s="53">
        <v>45322</v>
      </c>
      <c r="B50" s="53" t="s">
        <v>146</v>
      </c>
      <c r="C50" s="55"/>
      <c r="D50" s="55">
        <f t="shared" si="3"/>
        <v>9710111.5870214254</v>
      </c>
      <c r="E50" s="55">
        <f t="shared" si="17"/>
        <v>7940635.9618925666</v>
      </c>
      <c r="F50" s="109">
        <f t="shared" si="18"/>
        <v>202293.99139627969</v>
      </c>
      <c r="G50" s="55">
        <f t="shared" si="13"/>
        <v>-606881.97418883909</v>
      </c>
      <c r="H50" s="55">
        <f t="shared" si="14"/>
        <v>-75860.246773604886</v>
      </c>
      <c r="I50" s="55">
        <f t="shared" si="15"/>
        <v>7864775.7151189614</v>
      </c>
      <c r="J50" s="55">
        <f t="shared" si="1"/>
        <v>42481.738193218735</v>
      </c>
      <c r="K50" s="58">
        <f t="shared" si="2"/>
        <v>-1911678.2186948427</v>
      </c>
      <c r="L50" s="55">
        <f t="shared" si="16"/>
        <v>-1651602.9001749821</v>
      </c>
      <c r="M50" s="59">
        <f t="shared" si="11"/>
        <v>6213172.8149439795</v>
      </c>
      <c r="N50" s="56">
        <f t="shared" si="12"/>
        <v>7191551.3941377448</v>
      </c>
      <c r="O50" s="55"/>
    </row>
    <row r="51" spans="1:15" x14ac:dyDescent="0.2">
      <c r="A51" s="53">
        <v>45351</v>
      </c>
      <c r="B51" s="53" t="s">
        <v>146</v>
      </c>
      <c r="C51" s="55"/>
      <c r="D51" s="55">
        <f t="shared" si="3"/>
        <v>9710111.5870214254</v>
      </c>
      <c r="E51" s="55">
        <f t="shared" si="17"/>
        <v>8312002.5897798575</v>
      </c>
      <c r="F51" s="109">
        <f t="shared" si="18"/>
        <v>202293.99139627969</v>
      </c>
      <c r="G51" s="55">
        <f t="shared" si="13"/>
        <v>-809175.96558511874</v>
      </c>
      <c r="H51" s="55">
        <f t="shared" si="14"/>
        <v>-134862.66093085313</v>
      </c>
      <c r="I51" s="55">
        <f t="shared" si="15"/>
        <v>8177139.9288490042</v>
      </c>
      <c r="J51" s="55">
        <f t="shared" si="1"/>
        <v>42481.738193218735</v>
      </c>
      <c r="K51" s="58">
        <f t="shared" si="2"/>
        <v>-1869196.4805016238</v>
      </c>
      <c r="L51" s="55">
        <f t="shared" si="16"/>
        <v>-1717199.385058291</v>
      </c>
      <c r="M51" s="59">
        <f t="shared" si="11"/>
        <v>6459940.543790713</v>
      </c>
      <c r="N51" s="56">
        <f t="shared" si="12"/>
        <v>7031739.1409346834</v>
      </c>
      <c r="O51" s="55"/>
    </row>
    <row r="52" spans="1:15" x14ac:dyDescent="0.2">
      <c r="A52" s="53">
        <v>45382</v>
      </c>
      <c r="B52" s="53" t="s">
        <v>146</v>
      </c>
      <c r="C52" s="55"/>
      <c r="D52" s="55">
        <f t="shared" si="3"/>
        <v>9710111.5870214254</v>
      </c>
      <c r="E52" s="55">
        <f t="shared" si="17"/>
        <v>8639683.0958679635</v>
      </c>
      <c r="F52" s="109">
        <f t="shared" si="18"/>
        <v>202293.99139627969</v>
      </c>
      <c r="G52" s="55">
        <f t="shared" si="13"/>
        <v>-1011469.9569813984</v>
      </c>
      <c r="H52" s="55">
        <f t="shared" si="14"/>
        <v>-210722.90770445799</v>
      </c>
      <c r="I52" s="55">
        <f t="shared" si="15"/>
        <v>8428960.1881635059</v>
      </c>
      <c r="J52" s="55">
        <f t="shared" si="1"/>
        <v>42481.738193218735</v>
      </c>
      <c r="K52" s="58">
        <f t="shared" si="2"/>
        <v>-1826714.742308405</v>
      </c>
      <c r="L52" s="55">
        <f t="shared" si="16"/>
        <v>-1770081.6395143361</v>
      </c>
      <c r="M52" s="59">
        <f t="shared" si="11"/>
        <v>6658878.5486491695</v>
      </c>
      <c r="N52" s="56">
        <f t="shared" si="12"/>
        <v>6871926.887731622</v>
      </c>
      <c r="O52" s="55"/>
    </row>
    <row r="53" spans="1:15" x14ac:dyDescent="0.2">
      <c r="A53" s="53">
        <v>45412</v>
      </c>
      <c r="B53" s="53" t="s">
        <v>146</v>
      </c>
      <c r="C53" s="55"/>
      <c r="D53" s="55">
        <f t="shared" si="3"/>
        <v>9710111.5870214254</v>
      </c>
      <c r="E53" s="55">
        <f t="shared" si="17"/>
        <v>8923674.3282148</v>
      </c>
      <c r="F53" s="109">
        <f t="shared" si="18"/>
        <v>202293.99139627969</v>
      </c>
      <c r="G53" s="55">
        <f t="shared" si="13"/>
        <v>-1213763.9483776782</v>
      </c>
      <c r="H53" s="55">
        <f t="shared" si="14"/>
        <v>-303440.98709441954</v>
      </c>
      <c r="I53" s="55">
        <f t="shared" si="15"/>
        <v>8620233.3411203809</v>
      </c>
      <c r="J53" s="55">
        <f t="shared" si="1"/>
        <v>42481.738193218735</v>
      </c>
      <c r="K53" s="58">
        <f t="shared" si="2"/>
        <v>-1784233.0041151862</v>
      </c>
      <c r="L53" s="55">
        <f t="shared" si="16"/>
        <v>-1810249.0016352795</v>
      </c>
      <c r="M53" s="59">
        <f t="shared" si="11"/>
        <v>6809984.3394851014</v>
      </c>
      <c r="N53" s="56">
        <f t="shared" si="12"/>
        <v>6712114.6345285606</v>
      </c>
      <c r="O53" s="55"/>
    </row>
    <row r="54" spans="1:15" x14ac:dyDescent="0.2">
      <c r="A54" s="53">
        <v>45443</v>
      </c>
      <c r="B54" s="53" t="s">
        <v>146</v>
      </c>
      <c r="C54" s="55"/>
      <c r="D54" s="55">
        <f t="shared" si="3"/>
        <v>9710111.5870214254</v>
      </c>
      <c r="E54" s="55">
        <f t="shared" si="17"/>
        <v>9163974.6017390471</v>
      </c>
      <c r="F54" s="109">
        <f t="shared" si="18"/>
        <v>202293.99139627969</v>
      </c>
      <c r="G54" s="55">
        <f t="shared" si="13"/>
        <v>-1416057.9397739579</v>
      </c>
      <c r="H54" s="55">
        <f t="shared" si="14"/>
        <v>-413016.8991007377</v>
      </c>
      <c r="I54" s="55">
        <f t="shared" si="15"/>
        <v>8750957.7026383094</v>
      </c>
      <c r="J54" s="55">
        <f t="shared" si="1"/>
        <v>42481.738193218735</v>
      </c>
      <c r="K54" s="58">
        <f t="shared" si="2"/>
        <v>-1741751.2659219673</v>
      </c>
      <c r="L54" s="55">
        <f t="shared" si="16"/>
        <v>-1837701.1175540446</v>
      </c>
      <c r="M54" s="59">
        <f t="shared" si="11"/>
        <v>6913256.5850842651</v>
      </c>
      <c r="N54" s="56">
        <f t="shared" si="12"/>
        <v>6552302.3813255001</v>
      </c>
      <c r="O54" s="55"/>
    </row>
    <row r="55" spans="1:15" x14ac:dyDescent="0.2">
      <c r="A55" s="53">
        <v>45473</v>
      </c>
      <c r="B55" s="53" t="s">
        <v>146</v>
      </c>
      <c r="C55" s="55"/>
      <c r="D55" s="55">
        <f t="shared" si="3"/>
        <v>9710111.5870214254</v>
      </c>
      <c r="E55" s="55">
        <f t="shared" si="17"/>
        <v>9360583.916440703</v>
      </c>
      <c r="F55" s="109">
        <f t="shared" si="18"/>
        <v>202293.99139627969</v>
      </c>
      <c r="G55" s="55">
        <f t="shared" si="13"/>
        <v>-1618351.9311702377</v>
      </c>
      <c r="H55" s="55">
        <f t="shared" si="14"/>
        <v>-539450.64372341253</v>
      </c>
      <c r="I55" s="55">
        <f t="shared" si="15"/>
        <v>8821133.2727172896</v>
      </c>
      <c r="J55" s="55">
        <f t="shared" si="1"/>
        <v>42481.738193218735</v>
      </c>
      <c r="K55" s="58">
        <f t="shared" si="2"/>
        <v>-1699269.5277287485</v>
      </c>
      <c r="L55" s="55">
        <f t="shared" si="16"/>
        <v>-1852437.9872706309</v>
      </c>
      <c r="M55" s="59">
        <f t="shared" si="11"/>
        <v>6968695.2854466587</v>
      </c>
      <c r="N55" s="56">
        <f t="shared" si="12"/>
        <v>6392490.1281224387</v>
      </c>
      <c r="O55" s="55"/>
    </row>
    <row r="56" spans="1:15" x14ac:dyDescent="0.2">
      <c r="A56" s="53">
        <v>45504</v>
      </c>
      <c r="B56" s="53" t="s">
        <v>146</v>
      </c>
      <c r="C56" s="55"/>
      <c r="D56" s="55">
        <f t="shared" si="3"/>
        <v>9710111.5870214254</v>
      </c>
      <c r="E56" s="55">
        <f t="shared" si="17"/>
        <v>9513502.2723197695</v>
      </c>
      <c r="F56" s="109">
        <f t="shared" si="18"/>
        <v>202293.99139627969</v>
      </c>
      <c r="G56" s="55">
        <f t="shared" si="13"/>
        <v>-1820645.9225665175</v>
      </c>
      <c r="H56" s="55">
        <f t="shared" si="14"/>
        <v>-682742.22096244397</v>
      </c>
      <c r="I56" s="55">
        <f t="shared" si="15"/>
        <v>8830760.0513573252</v>
      </c>
      <c r="J56" s="55">
        <f t="shared" si="1"/>
        <v>42481.738193218735</v>
      </c>
      <c r="K56" s="58">
        <f t="shared" si="2"/>
        <v>-1656787.7895355297</v>
      </c>
      <c r="L56" s="55">
        <f t="shared" si="16"/>
        <v>-1854459.610785038</v>
      </c>
      <c r="M56" s="59">
        <f t="shared" si="11"/>
        <v>6976300.440572287</v>
      </c>
      <c r="N56" s="56">
        <f t="shared" si="12"/>
        <v>6232677.8749193782</v>
      </c>
      <c r="O56" s="55"/>
    </row>
    <row r="57" spans="1:15" x14ac:dyDescent="0.2">
      <c r="A57" s="53">
        <v>45535</v>
      </c>
      <c r="B57" s="53" t="s">
        <v>146</v>
      </c>
      <c r="C57" s="55"/>
      <c r="D57" s="55">
        <f t="shared" si="3"/>
        <v>9710111.5870214254</v>
      </c>
      <c r="E57" s="55">
        <f t="shared" si="17"/>
        <v>9622729.6693762448</v>
      </c>
      <c r="F57" s="109">
        <f t="shared" si="18"/>
        <v>202293.99139627969</v>
      </c>
      <c r="G57" s="55">
        <f t="shared" si="13"/>
        <v>-2022939.9139627973</v>
      </c>
      <c r="H57" s="55">
        <f t="shared" si="14"/>
        <v>-842891.63081783208</v>
      </c>
      <c r="I57" s="55">
        <f t="shared" si="15"/>
        <v>8779838.0385584123</v>
      </c>
      <c r="J57" s="55">
        <f t="shared" si="1"/>
        <v>42481.738193218735</v>
      </c>
      <c r="K57" s="58">
        <f t="shared" si="2"/>
        <v>-1614306.0513423108</v>
      </c>
      <c r="L57" s="55">
        <f t="shared" si="16"/>
        <v>-1843765.9880972663</v>
      </c>
      <c r="M57" s="59">
        <f t="shared" si="11"/>
        <v>6936072.050461146</v>
      </c>
      <c r="N57" s="56">
        <f t="shared" si="12"/>
        <v>6072865.6217163168</v>
      </c>
      <c r="O57" s="55"/>
    </row>
    <row r="58" spans="1:15" x14ac:dyDescent="0.2">
      <c r="A58" s="53">
        <v>45565</v>
      </c>
      <c r="B58" s="53" t="s">
        <v>146</v>
      </c>
      <c r="C58" s="55"/>
      <c r="D58" s="55">
        <f t="shared" si="3"/>
        <v>9710111.5870214254</v>
      </c>
      <c r="E58" s="55">
        <f t="shared" si="17"/>
        <v>9688266.1076101307</v>
      </c>
      <c r="F58" s="109">
        <f t="shared" si="18"/>
        <v>202293.99139627969</v>
      </c>
      <c r="G58" s="55">
        <f t="shared" si="13"/>
        <v>-2225233.9053590768</v>
      </c>
      <c r="H58" s="55">
        <f t="shared" si="14"/>
        <v>-1019898.8732895768</v>
      </c>
      <c r="I58" s="55">
        <f t="shared" si="15"/>
        <v>8668367.234320553</v>
      </c>
      <c r="J58" s="55">
        <f t="shared" si="1"/>
        <v>42481.738193218735</v>
      </c>
      <c r="K58" s="58">
        <f t="shared" si="2"/>
        <v>-1571824.313149092</v>
      </c>
      <c r="L58" s="55">
        <f t="shared" si="16"/>
        <v>-1820357.1192073158</v>
      </c>
      <c r="M58" s="59">
        <f t="shared" si="11"/>
        <v>6848010.1151132369</v>
      </c>
      <c r="N58" s="56">
        <f t="shared" si="12"/>
        <v>5913053.3685132572</v>
      </c>
      <c r="O58" s="55"/>
    </row>
    <row r="59" spans="1:15" ht="13.5" thickBot="1" x14ac:dyDescent="0.25">
      <c r="A59" s="53">
        <v>45596</v>
      </c>
      <c r="B59" s="53" t="s">
        <v>146</v>
      </c>
      <c r="C59" s="55"/>
      <c r="D59" s="55">
        <f t="shared" si="3"/>
        <v>9710111.5870214254</v>
      </c>
      <c r="E59" s="178">
        <f t="shared" si="17"/>
        <v>9710111.5870214254</v>
      </c>
      <c r="F59" s="109">
        <f t="shared" si="18"/>
        <v>202293.99139627969</v>
      </c>
      <c r="G59" s="55">
        <f t="shared" si="13"/>
        <v>-2427527.8967553563</v>
      </c>
      <c r="H59" s="178">
        <f>(G47+G59+SUM(G48:G58)*2)/24</f>
        <v>-1213763.9483776782</v>
      </c>
      <c r="I59" s="55">
        <f t="shared" si="15"/>
        <v>8496347.6386437472</v>
      </c>
      <c r="J59" s="55">
        <f t="shared" si="1"/>
        <v>42481.738193218735</v>
      </c>
      <c r="K59" s="58">
        <f t="shared" si="2"/>
        <v>-1529342.5749558732</v>
      </c>
      <c r="L59" s="55">
        <f t="shared" si="16"/>
        <v>-1784233.0041151864</v>
      </c>
      <c r="M59" s="194">
        <f t="shared" si="11"/>
        <v>6712114.6345285606</v>
      </c>
      <c r="N59" s="56">
        <f t="shared" si="12"/>
        <v>5753241.1153101958</v>
      </c>
      <c r="O59" s="55"/>
    </row>
    <row r="60" spans="1:15" x14ac:dyDescent="0.2">
      <c r="A60" s="120">
        <v>45626</v>
      </c>
      <c r="B60" s="127" t="s">
        <v>147</v>
      </c>
      <c r="C60" s="122"/>
      <c r="D60" s="122">
        <f t="shared" si="3"/>
        <v>9710111.5870214254</v>
      </c>
      <c r="E60" s="122">
        <f t="shared" si="17"/>
        <v>9710111.5870214254</v>
      </c>
      <c r="F60" s="133">
        <f t="shared" si="18"/>
        <v>202293.99139627969</v>
      </c>
      <c r="G60" s="122">
        <f t="shared" si="13"/>
        <v>-2629821.8881516359</v>
      </c>
      <c r="H60" s="122">
        <f t="shared" si="14"/>
        <v>-1416057.9397739579</v>
      </c>
      <c r="I60" s="122">
        <f t="shared" si="15"/>
        <v>8294053.6472474672</v>
      </c>
      <c r="J60" s="122">
        <f t="shared" si="1"/>
        <v>42481.738193218735</v>
      </c>
      <c r="K60" s="124">
        <f t="shared" si="2"/>
        <v>-1486860.8367626544</v>
      </c>
      <c r="L60" s="122">
        <f t="shared" si="16"/>
        <v>-1741751.2659219673</v>
      </c>
      <c r="M60" s="125">
        <f t="shared" si="11"/>
        <v>6552302.3813255001</v>
      </c>
      <c r="N60" s="126">
        <f t="shared" si="12"/>
        <v>5593428.8621071344</v>
      </c>
      <c r="O60" s="55"/>
    </row>
    <row r="61" spans="1:15" x14ac:dyDescent="0.2">
      <c r="A61" s="53">
        <v>45657</v>
      </c>
      <c r="B61" s="26" t="s">
        <v>147</v>
      </c>
      <c r="C61" s="55"/>
      <c r="D61" s="55">
        <f t="shared" si="3"/>
        <v>9710111.5870214254</v>
      </c>
      <c r="E61" s="55">
        <f t="shared" si="17"/>
        <v>9710111.5870214254</v>
      </c>
      <c r="F61" s="109">
        <f t="shared" si="18"/>
        <v>202293.99139627969</v>
      </c>
      <c r="G61" s="55">
        <f t="shared" si="13"/>
        <v>-2832115.8795479154</v>
      </c>
      <c r="H61" s="55">
        <f t="shared" si="14"/>
        <v>-1618351.9311702375</v>
      </c>
      <c r="I61" s="55">
        <f t="shared" si="15"/>
        <v>8091759.6558511881</v>
      </c>
      <c r="J61" s="55">
        <f t="shared" si="1"/>
        <v>42481.738193218735</v>
      </c>
      <c r="K61" s="58">
        <f t="shared" si="2"/>
        <v>-1444379.0985694355</v>
      </c>
      <c r="L61" s="55">
        <f t="shared" si="16"/>
        <v>-1699269.5277287485</v>
      </c>
      <c r="M61" s="59">
        <f t="shared" si="11"/>
        <v>6392490.1281224396</v>
      </c>
      <c r="N61" s="56">
        <f t="shared" si="12"/>
        <v>5433616.6089040749</v>
      </c>
      <c r="O61" s="55"/>
    </row>
    <row r="62" spans="1:15" x14ac:dyDescent="0.2">
      <c r="A62" s="53">
        <v>45688</v>
      </c>
      <c r="B62" s="26" t="s">
        <v>147</v>
      </c>
      <c r="C62" s="55"/>
      <c r="D62" s="55">
        <f t="shared" si="3"/>
        <v>9710111.5870214254</v>
      </c>
      <c r="E62" s="55">
        <f t="shared" si="17"/>
        <v>9710111.5870214254</v>
      </c>
      <c r="F62" s="109">
        <f t="shared" si="18"/>
        <v>202293.99139627969</v>
      </c>
      <c r="G62" s="55">
        <f t="shared" si="13"/>
        <v>-3034409.870944195</v>
      </c>
      <c r="H62" s="55">
        <f t="shared" si="14"/>
        <v>-1820645.9225665173</v>
      </c>
      <c r="I62" s="55">
        <f t="shared" si="15"/>
        <v>7889465.6644549081</v>
      </c>
      <c r="J62" s="55">
        <f t="shared" si="1"/>
        <v>42481.738193218735</v>
      </c>
      <c r="K62" s="58">
        <f t="shared" si="2"/>
        <v>-1401897.3603762167</v>
      </c>
      <c r="L62" s="55">
        <f t="shared" si="16"/>
        <v>-1656787.7895355297</v>
      </c>
      <c r="M62" s="59">
        <f t="shared" si="11"/>
        <v>6232677.8749193782</v>
      </c>
      <c r="N62" s="56">
        <f t="shared" si="12"/>
        <v>5273804.3557010144</v>
      </c>
    </row>
    <row r="63" spans="1:15" x14ac:dyDescent="0.2">
      <c r="A63" s="53">
        <v>45716</v>
      </c>
      <c r="B63" s="26" t="s">
        <v>147</v>
      </c>
      <c r="C63" s="55"/>
      <c r="D63" s="55">
        <f t="shared" si="3"/>
        <v>9710111.5870214254</v>
      </c>
      <c r="E63" s="55">
        <f t="shared" si="17"/>
        <v>9710111.5870214254</v>
      </c>
      <c r="F63" s="109">
        <f t="shared" si="18"/>
        <v>202293.99139627969</v>
      </c>
      <c r="G63" s="55">
        <f t="shared" si="13"/>
        <v>-3236703.8623404745</v>
      </c>
      <c r="H63" s="55">
        <f t="shared" si="14"/>
        <v>-2022939.913962797</v>
      </c>
      <c r="I63" s="55">
        <f t="shared" si="15"/>
        <v>7687171.6730586281</v>
      </c>
      <c r="J63" s="55">
        <f t="shared" si="1"/>
        <v>42481.738193218735</v>
      </c>
      <c r="K63" s="58">
        <f t="shared" si="2"/>
        <v>-1359415.6221829979</v>
      </c>
      <c r="L63" s="55">
        <f t="shared" si="16"/>
        <v>-1614306.0513423111</v>
      </c>
      <c r="M63" s="59">
        <f t="shared" si="11"/>
        <v>6072865.6217163168</v>
      </c>
      <c r="N63" s="56">
        <f t="shared" si="12"/>
        <v>5113992.102497953</v>
      </c>
    </row>
    <row r="64" spans="1:15" x14ac:dyDescent="0.2">
      <c r="A64" s="53">
        <v>45747</v>
      </c>
      <c r="B64" s="26" t="s">
        <v>147</v>
      </c>
      <c r="C64" s="55"/>
      <c r="D64" s="55">
        <f t="shared" si="3"/>
        <v>9710111.5870214254</v>
      </c>
      <c r="E64" s="55">
        <f t="shared" si="17"/>
        <v>9710111.5870214254</v>
      </c>
      <c r="F64" s="109">
        <f t="shared" si="18"/>
        <v>202293.99139627969</v>
      </c>
      <c r="G64" s="55">
        <f t="shared" si="13"/>
        <v>-3438997.853736754</v>
      </c>
      <c r="H64" s="55">
        <f t="shared" si="14"/>
        <v>-2225233.9053590763</v>
      </c>
      <c r="I64" s="55">
        <f t="shared" si="15"/>
        <v>7484877.681662349</v>
      </c>
      <c r="J64" s="55">
        <f t="shared" si="1"/>
        <v>42481.738193218735</v>
      </c>
      <c r="K64" s="58">
        <f t="shared" si="2"/>
        <v>-1316933.883989779</v>
      </c>
      <c r="L64" s="55">
        <f t="shared" si="16"/>
        <v>-1571824.313149092</v>
      </c>
      <c r="M64" s="59">
        <f t="shared" si="11"/>
        <v>5913053.3685132572</v>
      </c>
      <c r="N64" s="56">
        <f t="shared" si="12"/>
        <v>4954179.8492948916</v>
      </c>
    </row>
    <row r="65" spans="1:14" x14ac:dyDescent="0.2">
      <c r="A65" s="53">
        <v>45777</v>
      </c>
      <c r="B65" s="26" t="s">
        <v>147</v>
      </c>
      <c r="C65" s="55"/>
      <c r="D65" s="55">
        <f t="shared" si="3"/>
        <v>9710111.5870214254</v>
      </c>
      <c r="E65" s="55">
        <f t="shared" si="17"/>
        <v>9710111.5870214254</v>
      </c>
      <c r="F65" s="109">
        <f t="shared" si="18"/>
        <v>202293.99139627969</v>
      </c>
      <c r="G65" s="55">
        <f t="shared" si="13"/>
        <v>-3641291.8451330336</v>
      </c>
      <c r="H65" s="55">
        <f t="shared" si="14"/>
        <v>-2427527.8967553563</v>
      </c>
      <c r="I65" s="55">
        <f t="shared" si="15"/>
        <v>7282583.690266069</v>
      </c>
      <c r="J65" s="55">
        <f t="shared" si="1"/>
        <v>42481.738193218735</v>
      </c>
      <c r="K65" s="58">
        <f t="shared" si="2"/>
        <v>-1274452.1457965602</v>
      </c>
      <c r="L65" s="55">
        <f t="shared" si="16"/>
        <v>-1529342.5749558732</v>
      </c>
      <c r="M65" s="59">
        <f t="shared" si="11"/>
        <v>5753241.1153101958</v>
      </c>
      <c r="N65" s="56">
        <f t="shared" si="12"/>
        <v>4794367.5960918311</v>
      </c>
    </row>
    <row r="66" spans="1:14" x14ac:dyDescent="0.2">
      <c r="A66" s="53">
        <v>45808</v>
      </c>
      <c r="B66" s="26" t="s">
        <v>147</v>
      </c>
      <c r="C66" s="55"/>
      <c r="D66" s="55">
        <f t="shared" si="3"/>
        <v>9710111.5870214254</v>
      </c>
      <c r="E66" s="55">
        <f t="shared" si="17"/>
        <v>9710111.5870214254</v>
      </c>
      <c r="F66" s="109">
        <f t="shared" si="18"/>
        <v>202293.99139627969</v>
      </c>
      <c r="G66" s="55">
        <f t="shared" si="13"/>
        <v>-3843585.8365293131</v>
      </c>
      <c r="H66" s="55">
        <f t="shared" si="14"/>
        <v>-2629821.8881516354</v>
      </c>
      <c r="I66" s="55">
        <f t="shared" si="15"/>
        <v>7080289.69886979</v>
      </c>
      <c r="J66" s="55">
        <f t="shared" si="1"/>
        <v>42481.738193218735</v>
      </c>
      <c r="K66" s="58">
        <f t="shared" si="2"/>
        <v>-1231970.4076033414</v>
      </c>
      <c r="L66" s="55">
        <f t="shared" si="16"/>
        <v>-1486860.8367626544</v>
      </c>
      <c r="M66" s="59">
        <f t="shared" si="11"/>
        <v>5593428.8621071354</v>
      </c>
      <c r="N66" s="56">
        <f t="shared" si="12"/>
        <v>4634555.3428887716</v>
      </c>
    </row>
    <row r="67" spans="1:14" x14ac:dyDescent="0.2">
      <c r="A67" s="53">
        <v>45838</v>
      </c>
      <c r="B67" s="26" t="s">
        <v>147</v>
      </c>
      <c r="C67" s="55"/>
      <c r="D67" s="55">
        <f t="shared" si="3"/>
        <v>9710111.5870214254</v>
      </c>
      <c r="E67" s="55">
        <f t="shared" si="17"/>
        <v>9710111.5870214254</v>
      </c>
      <c r="F67" s="109">
        <f t="shared" si="18"/>
        <v>202293.99139627969</v>
      </c>
      <c r="G67" s="55">
        <f t="shared" si="13"/>
        <v>-4045879.8279255927</v>
      </c>
      <c r="H67" s="55">
        <f t="shared" si="14"/>
        <v>-2832115.8795479159</v>
      </c>
      <c r="I67" s="55">
        <f t="shared" si="15"/>
        <v>6877995.707473509</v>
      </c>
      <c r="J67" s="55">
        <f t="shared" si="1"/>
        <v>42481.738193218735</v>
      </c>
      <c r="K67" s="58">
        <f t="shared" si="2"/>
        <v>-1189488.6694101226</v>
      </c>
      <c r="L67" s="55">
        <f t="shared" si="16"/>
        <v>-1444379.0985694358</v>
      </c>
      <c r="M67" s="59">
        <f t="shared" si="11"/>
        <v>5433616.608904073</v>
      </c>
      <c r="N67" s="56">
        <f t="shared" si="12"/>
        <v>4474743.0896857101</v>
      </c>
    </row>
    <row r="68" spans="1:14" x14ac:dyDescent="0.2">
      <c r="A68" s="53">
        <v>45869</v>
      </c>
      <c r="B68" s="26" t="s">
        <v>147</v>
      </c>
      <c r="C68" s="55"/>
      <c r="D68" s="55">
        <f t="shared" si="3"/>
        <v>9710111.5870214254</v>
      </c>
      <c r="E68" s="55">
        <f t="shared" si="17"/>
        <v>9710111.5870214254</v>
      </c>
      <c r="F68" s="109">
        <f t="shared" si="18"/>
        <v>202293.99139627969</v>
      </c>
      <c r="G68" s="55">
        <f t="shared" si="13"/>
        <v>-4248173.8193218727</v>
      </c>
      <c r="H68" s="55">
        <f t="shared" si="14"/>
        <v>-3034409.870944195</v>
      </c>
      <c r="I68" s="55">
        <f t="shared" si="15"/>
        <v>6675701.7160772309</v>
      </c>
      <c r="J68" s="55">
        <f t="shared" si="1"/>
        <v>42481.738193218735</v>
      </c>
      <c r="K68" s="58">
        <f t="shared" si="2"/>
        <v>-1147006.9312169037</v>
      </c>
      <c r="L68" s="55">
        <f t="shared" si="16"/>
        <v>-1401897.3603762167</v>
      </c>
      <c r="M68" s="59">
        <f t="shared" si="11"/>
        <v>5273804.3557010144</v>
      </c>
      <c r="N68" s="56">
        <f t="shared" si="12"/>
        <v>4314930.8364826487</v>
      </c>
    </row>
    <row r="69" spans="1:14" x14ac:dyDescent="0.2">
      <c r="A69" s="53">
        <v>45900</v>
      </c>
      <c r="B69" s="26" t="s">
        <v>147</v>
      </c>
      <c r="C69" s="55"/>
      <c r="D69" s="55">
        <f t="shared" si="3"/>
        <v>9710111.5870214254</v>
      </c>
      <c r="E69" s="55">
        <f t="shared" si="17"/>
        <v>9710111.5870214254</v>
      </c>
      <c r="F69" s="109">
        <f t="shared" si="18"/>
        <v>202293.99139627969</v>
      </c>
      <c r="G69" s="55">
        <f t="shared" si="13"/>
        <v>-4450467.8107181527</v>
      </c>
      <c r="H69" s="55">
        <f t="shared" si="14"/>
        <v>-3236703.8623404745</v>
      </c>
      <c r="I69" s="55">
        <f t="shared" si="15"/>
        <v>6473407.7246809509</v>
      </c>
      <c r="J69" s="55">
        <f t="shared" si="1"/>
        <v>42481.738193218735</v>
      </c>
      <c r="K69" s="58">
        <f t="shared" si="2"/>
        <v>-1104525.1930236849</v>
      </c>
      <c r="L69" s="55">
        <f t="shared" si="16"/>
        <v>-1359415.6221829979</v>
      </c>
      <c r="M69" s="59">
        <f t="shared" si="11"/>
        <v>5113992.102497953</v>
      </c>
      <c r="N69" s="56">
        <f t="shared" si="12"/>
        <v>4155118.5832795878</v>
      </c>
    </row>
    <row r="70" spans="1:14" x14ac:dyDescent="0.2">
      <c r="A70" s="53">
        <v>45930</v>
      </c>
      <c r="B70" s="26" t="s">
        <v>147</v>
      </c>
      <c r="C70" s="55"/>
      <c r="D70" s="55">
        <f t="shared" si="3"/>
        <v>9710111.5870214254</v>
      </c>
      <c r="E70" s="55">
        <f t="shared" si="17"/>
        <v>9710111.5870214254</v>
      </c>
      <c r="F70" s="109">
        <f t="shared" si="18"/>
        <v>202293.99139627969</v>
      </c>
      <c r="G70" s="55">
        <f t="shared" si="13"/>
        <v>-4652761.8021144327</v>
      </c>
      <c r="H70" s="55">
        <f t="shared" si="14"/>
        <v>-3438997.8537367545</v>
      </c>
      <c r="I70" s="55">
        <f t="shared" si="15"/>
        <v>6271113.7332846709</v>
      </c>
      <c r="J70" s="55">
        <f t="shared" si="1"/>
        <v>42481.738193218735</v>
      </c>
      <c r="K70" s="58">
        <f t="shared" si="2"/>
        <v>-1062043.4548304661</v>
      </c>
      <c r="L70" s="55">
        <f t="shared" si="16"/>
        <v>-1316933.883989779</v>
      </c>
      <c r="M70" s="59">
        <f t="shared" si="11"/>
        <v>4954179.8492948916</v>
      </c>
      <c r="N70" s="56">
        <f t="shared" si="12"/>
        <v>3995306.3300765269</v>
      </c>
    </row>
    <row r="71" spans="1:14" ht="13.5" thickBot="1" x14ac:dyDescent="0.25">
      <c r="A71" s="53">
        <v>45961</v>
      </c>
      <c r="B71" s="26" t="s">
        <v>147</v>
      </c>
      <c r="C71" s="55"/>
      <c r="D71" s="55">
        <f t="shared" si="3"/>
        <v>9710111.5870214254</v>
      </c>
      <c r="E71" s="55">
        <f t="shared" si="17"/>
        <v>9710111.5870214254</v>
      </c>
      <c r="F71" s="109">
        <f t="shared" si="18"/>
        <v>202293.99139627969</v>
      </c>
      <c r="G71" s="55">
        <f t="shared" si="13"/>
        <v>-4855055.7935107127</v>
      </c>
      <c r="H71" s="55">
        <f t="shared" si="14"/>
        <v>-3641291.8451330345</v>
      </c>
      <c r="I71" s="55">
        <f t="shared" si="15"/>
        <v>6068819.7418883909</v>
      </c>
      <c r="J71" s="55">
        <f t="shared" si="1"/>
        <v>42481.738193218735</v>
      </c>
      <c r="K71" s="58">
        <f t="shared" si="2"/>
        <v>-1019561.7166372474</v>
      </c>
      <c r="L71" s="55">
        <f t="shared" si="16"/>
        <v>-1274452.1457965602</v>
      </c>
      <c r="M71" s="59">
        <f t="shared" si="11"/>
        <v>4794367.5960918311</v>
      </c>
      <c r="N71" s="56">
        <f t="shared" si="12"/>
        <v>3835494.0768734654</v>
      </c>
    </row>
    <row r="72" spans="1:14" x14ac:dyDescent="0.2">
      <c r="A72" s="120">
        <v>45991</v>
      </c>
      <c r="B72" s="127" t="s">
        <v>148</v>
      </c>
      <c r="C72" s="122"/>
      <c r="D72" s="122">
        <f t="shared" si="3"/>
        <v>9710111.5870214254</v>
      </c>
      <c r="E72" s="122">
        <f t="shared" si="17"/>
        <v>9710111.5870214254</v>
      </c>
      <c r="F72" s="133">
        <f t="shared" si="18"/>
        <v>202293.99139627969</v>
      </c>
      <c r="G72" s="122">
        <f t="shared" si="13"/>
        <v>-5057349.7849069927</v>
      </c>
      <c r="H72" s="122">
        <f t="shared" si="14"/>
        <v>-3843585.8365293141</v>
      </c>
      <c r="I72" s="122">
        <f t="shared" si="15"/>
        <v>5866525.7504921108</v>
      </c>
      <c r="J72" s="122">
        <f t="shared" si="1"/>
        <v>42481.738193218735</v>
      </c>
      <c r="K72" s="124">
        <f t="shared" si="2"/>
        <v>-977079.97844402865</v>
      </c>
      <c r="L72" s="122">
        <f t="shared" si="16"/>
        <v>-1231970.4076033414</v>
      </c>
      <c r="M72" s="125">
        <f t="shared" si="11"/>
        <v>4634555.3428887697</v>
      </c>
      <c r="N72" s="126">
        <f t="shared" si="12"/>
        <v>3675681.823670404</v>
      </c>
    </row>
    <row r="73" spans="1:14" x14ac:dyDescent="0.2">
      <c r="A73" s="53">
        <v>46022</v>
      </c>
      <c r="B73" s="26" t="s">
        <v>148</v>
      </c>
      <c r="C73" s="55"/>
      <c r="D73" s="55">
        <f t="shared" si="3"/>
        <v>9710111.5870214254</v>
      </c>
      <c r="E73" s="55">
        <f t="shared" si="17"/>
        <v>9710111.5870214254</v>
      </c>
      <c r="F73" s="109">
        <f t="shared" si="18"/>
        <v>202293.99139627969</v>
      </c>
      <c r="G73" s="55">
        <f t="shared" si="13"/>
        <v>-5259643.7763032727</v>
      </c>
      <c r="H73" s="55">
        <f t="shared" si="14"/>
        <v>-4045879.8279255931</v>
      </c>
      <c r="I73" s="55">
        <f t="shared" si="15"/>
        <v>5664231.7590958327</v>
      </c>
      <c r="J73" s="55">
        <f t="shared" si="1"/>
        <v>42481.738193218735</v>
      </c>
      <c r="K73" s="58">
        <f t="shared" si="2"/>
        <v>-934598.24025080993</v>
      </c>
      <c r="L73" s="55">
        <f t="shared" si="16"/>
        <v>-1189488.6694101228</v>
      </c>
      <c r="M73" s="59">
        <f t="shared" si="11"/>
        <v>4474743.0896857101</v>
      </c>
      <c r="N73" s="56">
        <f t="shared" si="12"/>
        <v>3515869.5704673426</v>
      </c>
    </row>
    <row r="74" spans="1:14" x14ac:dyDescent="0.2">
      <c r="A74" s="53">
        <v>46053</v>
      </c>
      <c r="B74" s="26" t="s">
        <v>148</v>
      </c>
      <c r="D74" s="55">
        <f t="shared" si="3"/>
        <v>9710111.5870214254</v>
      </c>
      <c r="E74" s="55">
        <f t="shared" si="17"/>
        <v>9710111.5870214254</v>
      </c>
      <c r="F74" s="109">
        <f t="shared" si="18"/>
        <v>202293.99139627969</v>
      </c>
      <c r="G74" s="55">
        <f t="shared" si="13"/>
        <v>-5461937.7676995527</v>
      </c>
      <c r="H74" s="55">
        <f t="shared" si="14"/>
        <v>-4248173.8193218717</v>
      </c>
      <c r="I74" s="55">
        <f t="shared" si="15"/>
        <v>5461937.7676995536</v>
      </c>
      <c r="J74" s="55">
        <f t="shared" si="1"/>
        <v>42481.738193218735</v>
      </c>
      <c r="K74" s="58">
        <f t="shared" si="2"/>
        <v>-892116.50205759122</v>
      </c>
      <c r="L74" s="55">
        <f t="shared" si="16"/>
        <v>-1147006.931216904</v>
      </c>
      <c r="M74" s="59">
        <f t="shared" si="11"/>
        <v>4314930.8364826497</v>
      </c>
      <c r="N74" s="56">
        <f t="shared" si="12"/>
        <v>3356057.3172642812</v>
      </c>
    </row>
    <row r="75" spans="1:14" x14ac:dyDescent="0.2">
      <c r="A75" s="53">
        <v>46081</v>
      </c>
      <c r="B75" s="26" t="s">
        <v>148</v>
      </c>
      <c r="D75" s="55">
        <f t="shared" si="3"/>
        <v>9710111.5870214254</v>
      </c>
      <c r="E75" s="55">
        <f t="shared" si="17"/>
        <v>9710111.5870214254</v>
      </c>
      <c r="F75" s="109">
        <f t="shared" si="18"/>
        <v>202293.99139627969</v>
      </c>
      <c r="G75" s="55">
        <f t="shared" si="13"/>
        <v>-5664231.7590958327</v>
      </c>
      <c r="H75" s="55">
        <f t="shared" si="14"/>
        <v>-4450467.8107181536</v>
      </c>
      <c r="I75" s="55">
        <f t="shared" si="15"/>
        <v>5259643.7763032718</v>
      </c>
      <c r="J75" s="55">
        <f t="shared" si="1"/>
        <v>42481.738193218735</v>
      </c>
      <c r="K75" s="58">
        <f t="shared" si="2"/>
        <v>-849634.76386437251</v>
      </c>
      <c r="L75" s="55">
        <f t="shared" si="16"/>
        <v>-1104525.1930236851</v>
      </c>
      <c r="M75" s="59">
        <f t="shared" si="11"/>
        <v>4155118.5832795864</v>
      </c>
      <c r="N75" s="56">
        <f t="shared" si="12"/>
        <v>3196245.0640612203</v>
      </c>
    </row>
    <row r="76" spans="1:14" x14ac:dyDescent="0.2">
      <c r="A76" s="53">
        <v>46112</v>
      </c>
      <c r="B76" s="26" t="s">
        <v>148</v>
      </c>
      <c r="D76" s="55">
        <f t="shared" si="3"/>
        <v>9710111.5870214254</v>
      </c>
      <c r="E76" s="55">
        <f t="shared" si="17"/>
        <v>9710111.5870214254</v>
      </c>
      <c r="F76" s="109">
        <f t="shared" si="18"/>
        <v>202293.99139627969</v>
      </c>
      <c r="G76" s="55">
        <f t="shared" si="13"/>
        <v>-5866525.7504921127</v>
      </c>
      <c r="H76" s="55">
        <f t="shared" si="14"/>
        <v>-4652761.8021144327</v>
      </c>
      <c r="I76" s="55">
        <f t="shared" si="15"/>
        <v>5057349.7849069927</v>
      </c>
      <c r="J76" s="55">
        <f t="shared" si="1"/>
        <v>42481.738193218735</v>
      </c>
      <c r="K76" s="58">
        <f t="shared" si="2"/>
        <v>-807153.02567115379</v>
      </c>
      <c r="L76" s="55">
        <f t="shared" si="16"/>
        <v>-1062043.4548304661</v>
      </c>
      <c r="M76" s="59">
        <f t="shared" si="11"/>
        <v>3995306.3300765269</v>
      </c>
      <c r="N76" s="56">
        <f t="shared" si="12"/>
        <v>3036432.8108581589</v>
      </c>
    </row>
    <row r="77" spans="1:14" x14ac:dyDescent="0.2">
      <c r="A77" s="53">
        <v>46142</v>
      </c>
      <c r="B77" s="26" t="s">
        <v>148</v>
      </c>
      <c r="D77" s="55">
        <f t="shared" si="3"/>
        <v>9710111.5870214254</v>
      </c>
      <c r="E77" s="55">
        <f t="shared" si="17"/>
        <v>9710111.5870214254</v>
      </c>
      <c r="F77" s="109">
        <f t="shared" si="18"/>
        <v>202293.99139627969</v>
      </c>
      <c r="G77" s="55">
        <f t="shared" si="13"/>
        <v>-6068819.7418883927</v>
      </c>
      <c r="H77" s="55">
        <f t="shared" si="14"/>
        <v>-4855055.7935107118</v>
      </c>
      <c r="I77" s="55">
        <f t="shared" si="15"/>
        <v>4855055.7935107136</v>
      </c>
      <c r="J77" s="55">
        <f t="shared" si="1"/>
        <v>42481.738193218735</v>
      </c>
      <c r="K77" s="58">
        <f t="shared" si="2"/>
        <v>-764671.28747793508</v>
      </c>
      <c r="L77" s="55">
        <f t="shared" si="16"/>
        <v>-1019561.7166372476</v>
      </c>
      <c r="M77" s="59">
        <f t="shared" si="11"/>
        <v>3835494.0768734659</v>
      </c>
      <c r="N77" s="56">
        <f t="shared" si="12"/>
        <v>2876620.5576550975</v>
      </c>
    </row>
    <row r="78" spans="1:14" x14ac:dyDescent="0.2">
      <c r="A78" s="53">
        <v>46173</v>
      </c>
      <c r="B78" s="26" t="s">
        <v>148</v>
      </c>
      <c r="D78" s="55">
        <f t="shared" si="3"/>
        <v>9710111.5870214254</v>
      </c>
      <c r="E78" s="55">
        <f t="shared" si="17"/>
        <v>9710111.5870214254</v>
      </c>
      <c r="F78" s="109">
        <f t="shared" si="18"/>
        <v>202293.99139627969</v>
      </c>
      <c r="G78" s="55">
        <f t="shared" si="13"/>
        <v>-6271113.7332846727</v>
      </c>
      <c r="H78" s="55">
        <f t="shared" si="14"/>
        <v>-5057349.7849069927</v>
      </c>
      <c r="I78" s="55">
        <f t="shared" si="15"/>
        <v>4652761.8021144327</v>
      </c>
      <c r="J78" s="55">
        <f t="shared" si="1"/>
        <v>42481.738193218735</v>
      </c>
      <c r="K78" s="58">
        <f t="shared" si="2"/>
        <v>-722189.54928471637</v>
      </c>
      <c r="L78" s="55">
        <f t="shared" si="16"/>
        <v>-977079.97844402876</v>
      </c>
      <c r="M78" s="59">
        <f t="shared" si="11"/>
        <v>3675681.823670404</v>
      </c>
      <c r="N78" s="56">
        <f t="shared" si="12"/>
        <v>2716808.3044520365</v>
      </c>
    </row>
    <row r="79" spans="1:14" x14ac:dyDescent="0.2">
      <c r="A79" s="53">
        <v>46203</v>
      </c>
      <c r="B79" s="26" t="s">
        <v>148</v>
      </c>
      <c r="D79" s="55">
        <f t="shared" si="3"/>
        <v>9710111.5870214254</v>
      </c>
      <c r="E79" s="55">
        <f t="shared" si="17"/>
        <v>9710111.5870214254</v>
      </c>
      <c r="F79" s="109">
        <f t="shared" si="18"/>
        <v>202293.99139627969</v>
      </c>
      <c r="G79" s="55">
        <f t="shared" si="13"/>
        <v>-6473407.7246809527</v>
      </c>
      <c r="H79" s="55">
        <f t="shared" si="14"/>
        <v>-5259643.7763032727</v>
      </c>
      <c r="I79" s="55">
        <f t="shared" si="15"/>
        <v>4450467.8107181527</v>
      </c>
      <c r="J79" s="55">
        <f t="shared" si="1"/>
        <v>42481.738193218735</v>
      </c>
      <c r="K79" s="58">
        <f t="shared" si="2"/>
        <v>-679707.81109149766</v>
      </c>
      <c r="L79" s="55">
        <f t="shared" si="16"/>
        <v>-934598.24025081005</v>
      </c>
      <c r="M79" s="55">
        <f t="shared" si="11"/>
        <v>3515869.5704673426</v>
      </c>
      <c r="N79" s="56">
        <f t="shared" si="12"/>
        <v>2556996.0512489751</v>
      </c>
    </row>
    <row r="80" spans="1:14" x14ac:dyDescent="0.2">
      <c r="A80" s="53">
        <v>46234</v>
      </c>
      <c r="B80" s="26" t="s">
        <v>148</v>
      </c>
      <c r="D80" s="55">
        <f t="shared" si="3"/>
        <v>9710111.5870214254</v>
      </c>
      <c r="E80" s="55">
        <f t="shared" si="17"/>
        <v>9710111.5870214254</v>
      </c>
      <c r="F80" s="109">
        <f t="shared" si="18"/>
        <v>202293.99139627969</v>
      </c>
      <c r="G80" s="55">
        <f t="shared" si="13"/>
        <v>-6675701.7160772327</v>
      </c>
      <c r="H80" s="55">
        <f t="shared" si="14"/>
        <v>-5461937.7676995536</v>
      </c>
      <c r="I80" s="55">
        <f t="shared" si="15"/>
        <v>4248173.8193218717</v>
      </c>
      <c r="J80" s="55">
        <f t="shared" si="1"/>
        <v>42481.738193218735</v>
      </c>
      <c r="K80" s="58">
        <f t="shared" si="2"/>
        <v>-637226.07289827894</v>
      </c>
      <c r="L80" s="55">
        <f t="shared" si="16"/>
        <v>-892116.50205759134</v>
      </c>
      <c r="M80" s="55">
        <f t="shared" si="11"/>
        <v>3356057.3172642803</v>
      </c>
      <c r="N80" s="56">
        <f t="shared" si="12"/>
        <v>2397183.7980459137</v>
      </c>
    </row>
    <row r="81" spans="1:14" x14ac:dyDescent="0.2">
      <c r="A81" s="53">
        <v>46265</v>
      </c>
      <c r="B81" s="26" t="s">
        <v>148</v>
      </c>
      <c r="D81" s="55">
        <f t="shared" si="3"/>
        <v>9710111.5870214254</v>
      </c>
      <c r="E81" s="55">
        <f t="shared" si="17"/>
        <v>9710111.5870214254</v>
      </c>
      <c r="F81" s="109">
        <f t="shared" si="18"/>
        <v>202293.99139627969</v>
      </c>
      <c r="G81" s="55">
        <f t="shared" si="13"/>
        <v>-6877995.7074735127</v>
      </c>
      <c r="H81" s="55">
        <f t="shared" si="14"/>
        <v>-5664231.7590958327</v>
      </c>
      <c r="I81" s="55">
        <f t="shared" si="15"/>
        <v>4045879.8279255927</v>
      </c>
      <c r="J81" s="55">
        <f t="shared" si="1"/>
        <v>42481.738193218735</v>
      </c>
      <c r="K81" s="58">
        <f t="shared" si="2"/>
        <v>-594744.33470506023</v>
      </c>
      <c r="L81" s="55">
        <f t="shared" si="16"/>
        <v>-849634.76386437251</v>
      </c>
      <c r="M81" s="55">
        <f t="shared" si="11"/>
        <v>3196245.0640612203</v>
      </c>
      <c r="N81" s="56">
        <f t="shared" si="12"/>
        <v>2237371.5448428523</v>
      </c>
    </row>
    <row r="82" spans="1:14" x14ac:dyDescent="0.2">
      <c r="A82" s="53">
        <v>46295</v>
      </c>
      <c r="B82" s="26" t="s">
        <v>148</v>
      </c>
      <c r="D82" s="55">
        <f t="shared" si="3"/>
        <v>9710111.5870214254</v>
      </c>
      <c r="E82" s="55">
        <f t="shared" si="17"/>
        <v>9710111.5870214254</v>
      </c>
      <c r="F82" s="109">
        <f t="shared" si="18"/>
        <v>202293.99139627969</v>
      </c>
      <c r="G82" s="55">
        <f t="shared" si="13"/>
        <v>-7080289.6988697927</v>
      </c>
      <c r="H82" s="55">
        <f t="shared" si="14"/>
        <v>-5866525.7504921118</v>
      </c>
      <c r="I82" s="55">
        <f t="shared" si="15"/>
        <v>3843585.8365293136</v>
      </c>
      <c r="J82" s="55">
        <f t="shared" si="1"/>
        <v>42481.738193218735</v>
      </c>
      <c r="K82" s="58">
        <f t="shared" si="2"/>
        <v>-552262.59651184152</v>
      </c>
      <c r="L82" s="55">
        <f t="shared" si="16"/>
        <v>-807153.02567115379</v>
      </c>
      <c r="M82" s="55">
        <f t="shared" si="11"/>
        <v>3036432.8108581598</v>
      </c>
      <c r="N82" s="56">
        <f t="shared" si="12"/>
        <v>2077559.2916397911</v>
      </c>
    </row>
    <row r="83" spans="1:14" ht="13.5" thickBot="1" x14ac:dyDescent="0.25">
      <c r="A83" s="53">
        <v>46326</v>
      </c>
      <c r="B83" s="26" t="s">
        <v>148</v>
      </c>
      <c r="D83" s="55">
        <f t="shared" si="3"/>
        <v>9710111.5870214254</v>
      </c>
      <c r="E83" s="55">
        <f t="shared" si="17"/>
        <v>9710111.5870214254</v>
      </c>
      <c r="F83" s="109">
        <f t="shared" si="18"/>
        <v>202293.99139627969</v>
      </c>
      <c r="G83" s="55">
        <f t="shared" si="13"/>
        <v>-7282583.6902660728</v>
      </c>
      <c r="H83" s="55">
        <f t="shared" si="14"/>
        <v>-6068819.7418883927</v>
      </c>
      <c r="I83" s="55">
        <f t="shared" si="15"/>
        <v>3641291.8451330326</v>
      </c>
      <c r="J83" s="55">
        <f t="shared" si="1"/>
        <v>42481.738193218735</v>
      </c>
      <c r="K83" s="58">
        <f t="shared" si="2"/>
        <v>-509780.85831862281</v>
      </c>
      <c r="L83" s="55">
        <f t="shared" si="16"/>
        <v>-764671.28747793508</v>
      </c>
      <c r="M83" s="55">
        <f t="shared" si="11"/>
        <v>2876620.5576550975</v>
      </c>
      <c r="N83" s="56">
        <f t="shared" si="12"/>
        <v>1917747.0384367299</v>
      </c>
    </row>
    <row r="84" spans="1:14" x14ac:dyDescent="0.2">
      <c r="A84" s="120">
        <v>46356</v>
      </c>
      <c r="B84" s="127" t="s">
        <v>149</v>
      </c>
      <c r="C84" s="127"/>
      <c r="D84" s="122">
        <f t="shared" si="3"/>
        <v>9710111.5870214254</v>
      </c>
      <c r="E84" s="122">
        <f t="shared" si="17"/>
        <v>9710111.5870214254</v>
      </c>
      <c r="F84" s="133">
        <f t="shared" si="18"/>
        <v>202293.99139627969</v>
      </c>
      <c r="G84" s="122">
        <f t="shared" si="13"/>
        <v>-7484877.6816623528</v>
      </c>
      <c r="H84" s="122">
        <f t="shared" si="14"/>
        <v>-6271113.7332846718</v>
      </c>
      <c r="I84" s="122">
        <f t="shared" si="15"/>
        <v>3438997.8537367536</v>
      </c>
      <c r="J84" s="122">
        <f t="shared" si="1"/>
        <v>42481.738193218735</v>
      </c>
      <c r="K84" s="124">
        <f t="shared" si="2"/>
        <v>-467299.12012540409</v>
      </c>
      <c r="L84" s="122">
        <f t="shared" si="16"/>
        <v>-722189.54928471649</v>
      </c>
      <c r="M84" s="122">
        <f t="shared" si="11"/>
        <v>2716808.304452037</v>
      </c>
      <c r="N84" s="126">
        <f t="shared" si="12"/>
        <v>1757934.7852336685</v>
      </c>
    </row>
    <row r="85" spans="1:14" x14ac:dyDescent="0.2">
      <c r="A85" s="53">
        <v>46387</v>
      </c>
      <c r="B85" s="26" t="s">
        <v>149</v>
      </c>
      <c r="D85" s="55">
        <f t="shared" si="3"/>
        <v>9710111.5870214254</v>
      </c>
      <c r="E85" s="55">
        <f t="shared" si="17"/>
        <v>9710111.5870214254</v>
      </c>
      <c r="F85" s="109">
        <f t="shared" si="18"/>
        <v>202293.99139627969</v>
      </c>
      <c r="G85" s="55">
        <f t="shared" si="13"/>
        <v>-7687171.6730586328</v>
      </c>
      <c r="H85" s="55">
        <f t="shared" si="14"/>
        <v>-6473407.7246809527</v>
      </c>
      <c r="I85" s="55">
        <f t="shared" si="15"/>
        <v>3236703.8623404726</v>
      </c>
      <c r="J85" s="55">
        <f t="shared" si="1"/>
        <v>42481.738193218735</v>
      </c>
      <c r="K85" s="58">
        <f t="shared" si="2"/>
        <v>-424817.38193218538</v>
      </c>
      <c r="L85" s="55">
        <f t="shared" si="16"/>
        <v>-679707.81109149766</v>
      </c>
      <c r="M85" s="55">
        <f t="shared" si="11"/>
        <v>2556996.0512489751</v>
      </c>
      <c r="N85" s="56">
        <f t="shared" si="12"/>
        <v>1598122.5320306071</v>
      </c>
    </row>
    <row r="86" spans="1:14" x14ac:dyDescent="0.2">
      <c r="A86" s="53">
        <v>46418</v>
      </c>
      <c r="B86" s="26" t="s">
        <v>149</v>
      </c>
      <c r="D86" s="55">
        <f t="shared" si="3"/>
        <v>9710111.5870214254</v>
      </c>
      <c r="E86" s="55">
        <f t="shared" si="17"/>
        <v>9710111.5870214254</v>
      </c>
      <c r="F86" s="109">
        <f t="shared" si="18"/>
        <v>202293.99139627969</v>
      </c>
      <c r="G86" s="55">
        <f t="shared" si="13"/>
        <v>-7889465.6644549128</v>
      </c>
      <c r="H86" s="55">
        <f t="shared" si="14"/>
        <v>-6675701.7160772337</v>
      </c>
      <c r="I86" s="55">
        <f t="shared" si="15"/>
        <v>3034409.8709441917</v>
      </c>
      <c r="J86" s="55">
        <f t="shared" si="1"/>
        <v>42481.738193218735</v>
      </c>
      <c r="K86" s="58">
        <f t="shared" si="2"/>
        <v>-382335.64373896667</v>
      </c>
      <c r="L86" s="55">
        <f t="shared" si="16"/>
        <v>-637226.07289827894</v>
      </c>
      <c r="M86" s="55">
        <f t="shared" si="11"/>
        <v>2397183.7980459128</v>
      </c>
      <c r="N86" s="56">
        <f t="shared" si="12"/>
        <v>1438310.2788275459</v>
      </c>
    </row>
    <row r="87" spans="1:14" x14ac:dyDescent="0.2">
      <c r="A87" s="53">
        <v>46446</v>
      </c>
      <c r="B87" s="26" t="s">
        <v>149</v>
      </c>
      <c r="D87" s="55">
        <f t="shared" si="3"/>
        <v>9710111.5870214254</v>
      </c>
      <c r="E87" s="55">
        <f t="shared" si="17"/>
        <v>9710111.5870214254</v>
      </c>
      <c r="F87" s="109">
        <f t="shared" si="18"/>
        <v>202293.99139627969</v>
      </c>
      <c r="G87" s="55">
        <f t="shared" si="13"/>
        <v>-8091759.6558511928</v>
      </c>
      <c r="H87" s="55">
        <f t="shared" si="14"/>
        <v>-6877995.7074735127</v>
      </c>
      <c r="I87" s="55">
        <f t="shared" si="15"/>
        <v>2832115.8795479126</v>
      </c>
      <c r="J87" s="55">
        <f t="shared" si="1"/>
        <v>42481.738193218735</v>
      </c>
      <c r="K87" s="58">
        <f t="shared" si="2"/>
        <v>-339853.90554574796</v>
      </c>
      <c r="L87" s="55">
        <f t="shared" si="16"/>
        <v>-594744.33470506023</v>
      </c>
      <c r="M87" s="55">
        <f t="shared" si="11"/>
        <v>2237371.5448428523</v>
      </c>
      <c r="N87" s="56">
        <f t="shared" si="12"/>
        <v>1278498.0256244848</v>
      </c>
    </row>
    <row r="88" spans="1:14" x14ac:dyDescent="0.2">
      <c r="A88" s="53">
        <v>46477</v>
      </c>
      <c r="B88" s="26" t="s">
        <v>149</v>
      </c>
      <c r="D88" s="55">
        <f t="shared" si="3"/>
        <v>9710111.5870214254</v>
      </c>
      <c r="E88" s="55">
        <f t="shared" si="17"/>
        <v>9710111.5870214254</v>
      </c>
      <c r="F88" s="109">
        <f t="shared" si="18"/>
        <v>202293.99139627969</v>
      </c>
      <c r="G88" s="55">
        <f t="shared" si="13"/>
        <v>-8294053.6472474728</v>
      </c>
      <c r="H88" s="55">
        <f t="shared" si="14"/>
        <v>-7080289.6988697918</v>
      </c>
      <c r="I88" s="55">
        <f t="shared" si="15"/>
        <v>2629821.8881516336</v>
      </c>
      <c r="J88" s="55">
        <f t="shared" ref="J88:J97" si="19">(-C88*0.21)+(F88*0.21)</f>
        <v>42481.738193218735</v>
      </c>
      <c r="K88" s="58">
        <f t="shared" ref="K88:K97" si="20">K87+J88</f>
        <v>-297372.16735252924</v>
      </c>
      <c r="L88" s="55">
        <f t="shared" si="16"/>
        <v>-552262.59651184152</v>
      </c>
      <c r="M88" s="55">
        <f t="shared" si="11"/>
        <v>2077559.291639792</v>
      </c>
      <c r="N88" s="56">
        <f t="shared" si="12"/>
        <v>1118685.7724214233</v>
      </c>
    </row>
    <row r="89" spans="1:14" x14ac:dyDescent="0.2">
      <c r="A89" s="53">
        <v>46507</v>
      </c>
      <c r="B89" s="26" t="s">
        <v>149</v>
      </c>
      <c r="D89" s="55">
        <f t="shared" ref="D89:D97" si="21">D88+C89</f>
        <v>9710111.5870214254</v>
      </c>
      <c r="E89" s="55">
        <f t="shared" si="17"/>
        <v>9710111.5870214254</v>
      </c>
      <c r="F89" s="109">
        <f t="shared" si="18"/>
        <v>202293.99139627969</v>
      </c>
      <c r="G89" s="55">
        <f t="shared" si="13"/>
        <v>-8496347.6386437528</v>
      </c>
      <c r="H89" s="55">
        <f t="shared" si="14"/>
        <v>-7282583.6902660728</v>
      </c>
      <c r="I89" s="55">
        <f t="shared" si="15"/>
        <v>2427527.8967553526</v>
      </c>
      <c r="J89" s="55">
        <f t="shared" si="19"/>
        <v>42481.738193218735</v>
      </c>
      <c r="K89" s="58">
        <f t="shared" si="20"/>
        <v>-254890.4291593105</v>
      </c>
      <c r="L89" s="55">
        <f t="shared" si="16"/>
        <v>-509780.85831862275</v>
      </c>
      <c r="M89" s="55">
        <f t="shared" si="11"/>
        <v>1917747.0384367299</v>
      </c>
      <c r="N89" s="56">
        <f t="shared" si="12"/>
        <v>958873.51921836205</v>
      </c>
    </row>
    <row r="90" spans="1:14" x14ac:dyDescent="0.2">
      <c r="A90" s="53">
        <v>46538</v>
      </c>
      <c r="B90" s="26" t="s">
        <v>149</v>
      </c>
      <c r="D90" s="55">
        <f t="shared" si="21"/>
        <v>9710111.5870214254</v>
      </c>
      <c r="E90" s="55">
        <f t="shared" si="17"/>
        <v>9710111.5870214254</v>
      </c>
      <c r="F90" s="109">
        <f t="shared" si="18"/>
        <v>202293.99139627969</v>
      </c>
      <c r="G90" s="55">
        <f t="shared" si="13"/>
        <v>-8698641.6300400328</v>
      </c>
      <c r="H90" s="55">
        <f t="shared" si="14"/>
        <v>-7484877.6816623537</v>
      </c>
      <c r="I90" s="55">
        <f t="shared" si="15"/>
        <v>2225233.9053590717</v>
      </c>
      <c r="J90" s="55">
        <f t="shared" si="19"/>
        <v>42481.738193218735</v>
      </c>
      <c r="K90" s="58">
        <f t="shared" si="20"/>
        <v>-212408.69096609176</v>
      </c>
      <c r="L90" s="55">
        <f t="shared" si="16"/>
        <v>-467299.12012540409</v>
      </c>
      <c r="M90" s="55">
        <f t="shared" si="11"/>
        <v>1757934.7852336676</v>
      </c>
      <c r="N90" s="56">
        <f t="shared" si="12"/>
        <v>799061.26601530076</v>
      </c>
    </row>
    <row r="91" spans="1:14" x14ac:dyDescent="0.2">
      <c r="A91" s="53">
        <v>46568</v>
      </c>
      <c r="B91" s="26" t="s">
        <v>149</v>
      </c>
      <c r="D91" s="55">
        <f t="shared" si="21"/>
        <v>9710111.5870214254</v>
      </c>
      <c r="E91" s="55">
        <f t="shared" si="17"/>
        <v>9710111.5870214254</v>
      </c>
      <c r="F91" s="109">
        <f t="shared" si="18"/>
        <v>202293.99139627969</v>
      </c>
      <c r="G91" s="55">
        <f t="shared" si="13"/>
        <v>-8900935.6214363128</v>
      </c>
      <c r="H91" s="55">
        <f t="shared" si="14"/>
        <v>-7687171.6730586337</v>
      </c>
      <c r="I91" s="55">
        <f t="shared" si="15"/>
        <v>2022939.9139627917</v>
      </c>
      <c r="J91" s="55">
        <f t="shared" si="19"/>
        <v>42481.738193218735</v>
      </c>
      <c r="K91" s="58">
        <f t="shared" si="20"/>
        <v>-169926.95277287302</v>
      </c>
      <c r="L91" s="55">
        <f t="shared" si="16"/>
        <v>-424817.38193218544</v>
      </c>
      <c r="M91" s="55">
        <f t="shared" si="11"/>
        <v>1598122.5320306062</v>
      </c>
      <c r="N91" s="56">
        <f t="shared" si="12"/>
        <v>639249.01281223958</v>
      </c>
    </row>
    <row r="92" spans="1:14" x14ac:dyDescent="0.2">
      <c r="A92" s="53">
        <v>46599</v>
      </c>
      <c r="B92" s="26" t="s">
        <v>149</v>
      </c>
      <c r="D92" s="55">
        <f t="shared" si="21"/>
        <v>9710111.5870214254</v>
      </c>
      <c r="E92" s="55">
        <f t="shared" si="17"/>
        <v>9710111.5870214254</v>
      </c>
      <c r="F92" s="109">
        <f t="shared" si="18"/>
        <v>202293.99139627969</v>
      </c>
      <c r="G92" s="55">
        <f t="shared" si="13"/>
        <v>-9103229.6128325928</v>
      </c>
      <c r="H92" s="55">
        <f t="shared" si="14"/>
        <v>-7889465.6644549118</v>
      </c>
      <c r="I92" s="55">
        <f t="shared" si="15"/>
        <v>1820645.9225665135</v>
      </c>
      <c r="J92" s="55">
        <f t="shared" si="19"/>
        <v>42481.738193218735</v>
      </c>
      <c r="K92" s="58">
        <f t="shared" si="20"/>
        <v>-127445.21457965428</v>
      </c>
      <c r="L92" s="55">
        <f t="shared" si="16"/>
        <v>-382335.64373896661</v>
      </c>
      <c r="M92" s="55">
        <f t="shared" si="11"/>
        <v>1438310.2788275469</v>
      </c>
      <c r="N92" s="56">
        <f t="shared" si="12"/>
        <v>479436.75960917829</v>
      </c>
    </row>
    <row r="93" spans="1:14" x14ac:dyDescent="0.2">
      <c r="A93" s="53">
        <v>46630</v>
      </c>
      <c r="B93" s="26" t="s">
        <v>149</v>
      </c>
      <c r="D93" s="55">
        <f t="shared" si="21"/>
        <v>9710111.5870214254</v>
      </c>
      <c r="E93" s="55">
        <f t="shared" si="17"/>
        <v>9710111.5870214254</v>
      </c>
      <c r="F93" s="109">
        <f t="shared" si="18"/>
        <v>202293.99139627969</v>
      </c>
      <c r="G93" s="55">
        <f t="shared" si="13"/>
        <v>-9305523.6042288728</v>
      </c>
      <c r="H93" s="55">
        <f t="shared" si="14"/>
        <v>-8091759.6558511928</v>
      </c>
      <c r="I93" s="55">
        <f t="shared" si="15"/>
        <v>1618351.9311702326</v>
      </c>
      <c r="J93" s="55">
        <f t="shared" si="19"/>
        <v>42481.738193218735</v>
      </c>
      <c r="K93" s="58">
        <f t="shared" si="20"/>
        <v>-84963.476386435534</v>
      </c>
      <c r="L93" s="55">
        <f t="shared" si="16"/>
        <v>-339853.90554574796</v>
      </c>
      <c r="M93" s="55">
        <f t="shared" si="11"/>
        <v>1278498.0256244848</v>
      </c>
      <c r="N93" s="56">
        <f t="shared" si="12"/>
        <v>319624.506406117</v>
      </c>
    </row>
    <row r="94" spans="1:14" x14ac:dyDescent="0.2">
      <c r="A94" s="53">
        <v>46660</v>
      </c>
      <c r="B94" s="26" t="s">
        <v>149</v>
      </c>
      <c r="D94" s="55">
        <f t="shared" si="21"/>
        <v>9710111.5870214254</v>
      </c>
      <c r="E94" s="55">
        <f t="shared" si="17"/>
        <v>9710111.5870214254</v>
      </c>
      <c r="F94" s="109">
        <f t="shared" si="18"/>
        <v>202293.99139627969</v>
      </c>
      <c r="G94" s="55">
        <f t="shared" si="13"/>
        <v>-9507817.5956251528</v>
      </c>
      <c r="H94" s="55">
        <f t="shared" si="14"/>
        <v>-8294053.6472474737</v>
      </c>
      <c r="I94" s="55">
        <f t="shared" si="15"/>
        <v>1416057.9397739517</v>
      </c>
      <c r="J94" s="55">
        <f t="shared" si="19"/>
        <v>42481.738193218735</v>
      </c>
      <c r="K94" s="58">
        <f t="shared" si="20"/>
        <v>-42481.738193216799</v>
      </c>
      <c r="L94" s="55">
        <f t="shared" si="16"/>
        <v>-297372.16735252918</v>
      </c>
      <c r="M94" s="55">
        <f t="shared" si="11"/>
        <v>1118685.7724214224</v>
      </c>
      <c r="N94" s="56">
        <f t="shared" si="12"/>
        <v>159812.25320305576</v>
      </c>
    </row>
    <row r="95" spans="1:14" ht="13.5" thickBot="1" x14ac:dyDescent="0.25">
      <c r="A95" s="53">
        <v>46691</v>
      </c>
      <c r="B95" s="26" t="s">
        <v>149</v>
      </c>
      <c r="D95" s="55">
        <f t="shared" si="21"/>
        <v>9710111.5870214254</v>
      </c>
      <c r="E95" s="55">
        <f t="shared" si="17"/>
        <v>9710111.5870214254</v>
      </c>
      <c r="F95" s="109">
        <f t="shared" si="18"/>
        <v>202293.99139627969</v>
      </c>
      <c r="G95" s="55">
        <f t="shared" si="13"/>
        <v>-9710111.5870214328</v>
      </c>
      <c r="H95" s="55">
        <f t="shared" si="14"/>
        <v>-8496347.6386437528</v>
      </c>
      <c r="I95" s="55">
        <f t="shared" si="15"/>
        <v>1213763.9483776726</v>
      </c>
      <c r="J95" s="55">
        <f t="shared" si="19"/>
        <v>42481.738193218735</v>
      </c>
      <c r="K95" s="58">
        <f t="shared" si="20"/>
        <v>1.9354047253727913E-9</v>
      </c>
      <c r="L95" s="55">
        <f t="shared" si="16"/>
        <v>-254890.42915931044</v>
      </c>
      <c r="M95" s="55">
        <f t="shared" si="11"/>
        <v>958873.51921836217</v>
      </c>
      <c r="N95" s="56">
        <f t="shared" si="12"/>
        <v>-5.5151758715510368E-9</v>
      </c>
    </row>
    <row r="96" spans="1:14" x14ac:dyDescent="0.2">
      <c r="A96" s="120">
        <v>46721</v>
      </c>
      <c r="B96" s="127" t="s">
        <v>150</v>
      </c>
      <c r="C96" s="127"/>
      <c r="D96" s="122">
        <f t="shared" si="21"/>
        <v>9710111.5870214254</v>
      </c>
      <c r="E96" s="122">
        <f t="shared" si="17"/>
        <v>9710111.5870214254</v>
      </c>
      <c r="F96" s="133"/>
      <c r="G96" s="122">
        <f t="shared" si="13"/>
        <v>-9710111.5870214328</v>
      </c>
      <c r="H96" s="122">
        <f t="shared" si="14"/>
        <v>-8690212.7137318533</v>
      </c>
      <c r="I96" s="122">
        <f t="shared" si="15"/>
        <v>1019898.8732895721</v>
      </c>
      <c r="J96" s="122">
        <f t="shared" si="19"/>
        <v>0</v>
      </c>
      <c r="K96" s="124">
        <f t="shared" si="20"/>
        <v>1.9354047253727913E-9</v>
      </c>
      <c r="L96" s="122">
        <f t="shared" si="16"/>
        <v>-214178.76339080915</v>
      </c>
      <c r="M96" s="122">
        <f t="shared" si="11"/>
        <v>805720.10989876289</v>
      </c>
      <c r="N96" s="126">
        <f t="shared" si="12"/>
        <v>-5.5151758715510368E-9</v>
      </c>
    </row>
    <row r="97" spans="1:14" x14ac:dyDescent="0.2">
      <c r="A97" s="53">
        <v>46752</v>
      </c>
      <c r="B97" s="26" t="s">
        <v>150</v>
      </c>
      <c r="D97" s="55">
        <f t="shared" si="21"/>
        <v>9710111.5870214254</v>
      </c>
      <c r="E97" s="55">
        <f t="shared" si="17"/>
        <v>9710111.5870214254</v>
      </c>
      <c r="F97" s="109"/>
      <c r="G97" s="55">
        <f t="shared" si="13"/>
        <v>-9710111.5870214328</v>
      </c>
      <c r="H97" s="55">
        <f t="shared" si="14"/>
        <v>-8867219.9562035985</v>
      </c>
      <c r="I97" s="55">
        <f t="shared" si="15"/>
        <v>842891.63081782684</v>
      </c>
      <c r="J97" s="55">
        <f t="shared" si="19"/>
        <v>0</v>
      </c>
      <c r="K97" s="58">
        <f t="shared" si="20"/>
        <v>1.9354047253727913E-9</v>
      </c>
      <c r="L97" s="55">
        <f t="shared" si="16"/>
        <v>-177007.24247174282</v>
      </c>
      <c r="M97" s="55">
        <f t="shared" si="11"/>
        <v>665884.38834608404</v>
      </c>
      <c r="N97" s="56">
        <f t="shared" si="12"/>
        <v>-5.5151758715510368E-9</v>
      </c>
    </row>
    <row r="98" spans="1:14" x14ac:dyDescent="0.2">
      <c r="A98" s="53">
        <v>46783</v>
      </c>
      <c r="B98" s="26" t="s">
        <v>150</v>
      </c>
      <c r="D98" s="55">
        <f t="shared" ref="D98:D102" si="22">D97+C98</f>
        <v>9710111.5870214254</v>
      </c>
      <c r="E98" s="55">
        <f t="shared" ref="E98:E102" si="23">(D86+D98+SUM(D87:D97)*2)/24</f>
        <v>9710111.5870214254</v>
      </c>
      <c r="F98" s="109"/>
      <c r="G98" s="55">
        <f t="shared" ref="G98:G102" si="24">G97-F98</f>
        <v>-9710111.5870214328</v>
      </c>
      <c r="H98" s="55">
        <f t="shared" ref="H98:H102" si="25">(G86+G98+SUM(G87:G97)*2)/24</f>
        <v>-9027369.3660589885</v>
      </c>
      <c r="I98" s="55">
        <f t="shared" ref="I98:I102" si="26">E98+H98</f>
        <v>682742.22096243687</v>
      </c>
      <c r="J98" s="55">
        <f t="shared" ref="J98:J102" si="27">(-C98*0.21)+(F98*0.21)</f>
        <v>0</v>
      </c>
      <c r="K98" s="58">
        <f t="shared" ref="K98:K102" si="28">K97+J98</f>
        <v>1.9354047253727913E-9</v>
      </c>
      <c r="L98" s="55">
        <f t="shared" ref="L98:L102" si="29">(K86+K98+SUM(K87:K97)*2)/24</f>
        <v>-143375.86640211131</v>
      </c>
      <c r="M98" s="55">
        <f t="shared" ref="M98:M102" si="30">L98+I98</f>
        <v>539366.35456032562</v>
      </c>
      <c r="N98" s="56">
        <f t="shared" ref="N98:N102" si="31">+D98+G98+K98</f>
        <v>-5.5151758715510368E-9</v>
      </c>
    </row>
    <row r="99" spans="1:14" x14ac:dyDescent="0.2">
      <c r="A99" s="53">
        <v>46812</v>
      </c>
      <c r="B99" s="26" t="s">
        <v>150</v>
      </c>
      <c r="D99" s="55">
        <f t="shared" si="22"/>
        <v>9710111.5870214254</v>
      </c>
      <c r="E99" s="55">
        <f t="shared" si="23"/>
        <v>9710111.5870214254</v>
      </c>
      <c r="F99" s="109"/>
      <c r="G99" s="55">
        <f t="shared" si="24"/>
        <v>-9710111.5870214328</v>
      </c>
      <c r="H99" s="55">
        <f t="shared" si="25"/>
        <v>-9170660.9432980213</v>
      </c>
      <c r="I99" s="55">
        <f t="shared" si="26"/>
        <v>539450.64372340403</v>
      </c>
      <c r="J99" s="55">
        <f t="shared" si="27"/>
        <v>0</v>
      </c>
      <c r="K99" s="58">
        <f t="shared" si="28"/>
        <v>1.9354047253727913E-9</v>
      </c>
      <c r="L99" s="55">
        <f t="shared" si="29"/>
        <v>-113284.63518191472</v>
      </c>
      <c r="M99" s="55">
        <f t="shared" si="30"/>
        <v>426166.00854148931</v>
      </c>
      <c r="N99" s="56">
        <f t="shared" si="31"/>
        <v>-5.5151758715510368E-9</v>
      </c>
    </row>
    <row r="100" spans="1:14" x14ac:dyDescent="0.2">
      <c r="A100" s="53">
        <v>46843</v>
      </c>
      <c r="B100" s="26" t="s">
        <v>150</v>
      </c>
      <c r="D100" s="55">
        <f t="shared" si="22"/>
        <v>9710111.5870214254</v>
      </c>
      <c r="E100" s="55">
        <f t="shared" si="23"/>
        <v>9710111.5870214254</v>
      </c>
      <c r="F100" s="109"/>
      <c r="G100" s="55">
        <f t="shared" si="24"/>
        <v>-9710111.5870214328</v>
      </c>
      <c r="H100" s="55">
        <f t="shared" si="25"/>
        <v>-9297094.687920697</v>
      </c>
      <c r="I100" s="55">
        <f t="shared" si="26"/>
        <v>413016.89910072833</v>
      </c>
      <c r="J100" s="55">
        <f t="shared" si="27"/>
        <v>0</v>
      </c>
      <c r="K100" s="58">
        <f t="shared" si="28"/>
        <v>1.9354047253727913E-9</v>
      </c>
      <c r="L100" s="55">
        <f t="shared" si="29"/>
        <v>-86733.54881115297</v>
      </c>
      <c r="M100" s="55">
        <f t="shared" si="30"/>
        <v>326283.35028957535</v>
      </c>
      <c r="N100" s="56">
        <f t="shared" si="31"/>
        <v>-5.5151758715510368E-9</v>
      </c>
    </row>
    <row r="101" spans="1:14" x14ac:dyDescent="0.2">
      <c r="A101" s="53">
        <v>46873</v>
      </c>
      <c r="B101" s="26" t="s">
        <v>150</v>
      </c>
      <c r="D101" s="55">
        <f t="shared" si="22"/>
        <v>9710111.5870214254</v>
      </c>
      <c r="E101" s="55">
        <f t="shared" si="23"/>
        <v>9710111.5870214254</v>
      </c>
      <c r="F101" s="109"/>
      <c r="G101" s="55">
        <f t="shared" si="24"/>
        <v>-9710111.5870214328</v>
      </c>
      <c r="H101" s="55">
        <f t="shared" si="25"/>
        <v>-9406670.5999270137</v>
      </c>
      <c r="I101" s="55">
        <f t="shared" si="26"/>
        <v>303440.98709441163</v>
      </c>
      <c r="J101" s="55">
        <f t="shared" si="27"/>
        <v>0</v>
      </c>
      <c r="K101" s="58">
        <f t="shared" si="28"/>
        <v>1.9354047253727913E-9</v>
      </c>
      <c r="L101" s="55">
        <f t="shared" si="29"/>
        <v>-63722.607289826155</v>
      </c>
      <c r="M101" s="55">
        <f t="shared" si="30"/>
        <v>239718.37980458548</v>
      </c>
      <c r="N101" s="56">
        <f t="shared" si="31"/>
        <v>-5.5151758715510368E-9</v>
      </c>
    </row>
    <row r="102" spans="1:14" x14ac:dyDescent="0.2">
      <c r="A102" s="53">
        <v>46904</v>
      </c>
      <c r="B102" s="26" t="s">
        <v>150</v>
      </c>
      <c r="D102" s="55">
        <f t="shared" si="22"/>
        <v>9710111.5870214254</v>
      </c>
      <c r="E102" s="55">
        <f t="shared" si="23"/>
        <v>9710111.5870214254</v>
      </c>
      <c r="F102" s="109"/>
      <c r="G102" s="55">
        <f t="shared" si="24"/>
        <v>-9710111.5870214328</v>
      </c>
      <c r="H102" s="55">
        <f t="shared" si="25"/>
        <v>-9499388.6793169752</v>
      </c>
      <c r="I102" s="55">
        <f t="shared" si="26"/>
        <v>210722.90770445019</v>
      </c>
      <c r="J102" s="55">
        <f t="shared" si="27"/>
        <v>0</v>
      </c>
      <c r="K102" s="58">
        <f t="shared" si="28"/>
        <v>1.9354047253727913E-9</v>
      </c>
      <c r="L102" s="55">
        <f t="shared" si="29"/>
        <v>-44251.81061793425</v>
      </c>
      <c r="M102" s="55">
        <f t="shared" si="30"/>
        <v>166471.09708651595</v>
      </c>
      <c r="N102" s="56">
        <f t="shared" si="31"/>
        <v>-5.5151758715510368E-9</v>
      </c>
    </row>
    <row r="103" spans="1:14" x14ac:dyDescent="0.2">
      <c r="A103" s="53">
        <v>46934</v>
      </c>
      <c r="B103" s="26" t="s">
        <v>150</v>
      </c>
      <c r="D103" s="55">
        <f t="shared" ref="D103:D105" si="32">D102+C103</f>
        <v>9710111.5870214254</v>
      </c>
      <c r="E103" s="55">
        <f t="shared" ref="E103:E105" si="33">(D91+D103+SUM(D92:D102)*2)/24</f>
        <v>9710111.5870214254</v>
      </c>
      <c r="F103" s="109"/>
      <c r="G103" s="55">
        <f t="shared" ref="G103:G105" si="34">G102-F103</f>
        <v>-9710111.5870214328</v>
      </c>
      <c r="H103" s="55">
        <f t="shared" ref="H103:H105" si="35">(G91+G103+SUM(G92:G102)*2)/24</f>
        <v>-9575248.9260905813</v>
      </c>
      <c r="I103" s="55">
        <f t="shared" ref="I103:I105" si="36">E103+H103</f>
        <v>134862.66093084402</v>
      </c>
      <c r="J103" s="55">
        <f t="shared" ref="J103:J105" si="37">(-C103*0.21)+(F103*0.21)</f>
        <v>0</v>
      </c>
      <c r="K103" s="58">
        <f t="shared" ref="K103:K105" si="38">K102+J103</f>
        <v>1.9354047253727913E-9</v>
      </c>
      <c r="L103" s="55">
        <f t="shared" ref="L103:L105" si="39">(K91+K103+SUM(K92:K102)*2)/24</f>
        <v>-28321.158795477229</v>
      </c>
      <c r="M103" s="55">
        <f t="shared" ref="M103:M105" si="40">L103+I103</f>
        <v>106541.5021353668</v>
      </c>
      <c r="N103" s="56">
        <f t="shared" ref="N103:N105" si="41">+D103+G103+K103</f>
        <v>-5.5151758715510368E-9</v>
      </c>
    </row>
    <row r="104" spans="1:14" x14ac:dyDescent="0.2">
      <c r="A104" s="53">
        <v>46965</v>
      </c>
      <c r="B104" s="26" t="s">
        <v>150</v>
      </c>
      <c r="D104" s="55">
        <f t="shared" si="32"/>
        <v>9710111.5870214254</v>
      </c>
      <c r="E104" s="55">
        <f t="shared" si="33"/>
        <v>9710111.5870214254</v>
      </c>
      <c r="F104" s="109"/>
      <c r="G104" s="55">
        <f t="shared" si="34"/>
        <v>-9710111.5870214328</v>
      </c>
      <c r="H104" s="55">
        <f t="shared" si="35"/>
        <v>-9634251.3402478304</v>
      </c>
      <c r="I104" s="55">
        <f t="shared" si="36"/>
        <v>75860.24677359499</v>
      </c>
      <c r="J104" s="55">
        <f t="shared" si="37"/>
        <v>0</v>
      </c>
      <c r="K104" s="58">
        <f t="shared" si="38"/>
        <v>1.9354047253727913E-9</v>
      </c>
      <c r="L104" s="55">
        <f t="shared" si="39"/>
        <v>-15930.651822455089</v>
      </c>
      <c r="M104" s="55">
        <f t="shared" si="40"/>
        <v>59929.594951139901</v>
      </c>
      <c r="N104" s="56">
        <f t="shared" si="41"/>
        <v>-5.5151758715510368E-9</v>
      </c>
    </row>
    <row r="105" spans="1:14" x14ac:dyDescent="0.2">
      <c r="A105" s="53">
        <v>46996</v>
      </c>
      <c r="B105" s="26" t="s">
        <v>150</v>
      </c>
      <c r="D105" s="55">
        <f t="shared" si="32"/>
        <v>9710111.5870214254</v>
      </c>
      <c r="E105" s="55">
        <f t="shared" si="33"/>
        <v>9710111.5870214254</v>
      </c>
      <c r="F105" s="109"/>
      <c r="G105" s="55">
        <f t="shared" si="34"/>
        <v>-9710111.5870214328</v>
      </c>
      <c r="H105" s="55">
        <f t="shared" si="35"/>
        <v>-9676395.9217887204</v>
      </c>
      <c r="I105" s="55">
        <f t="shared" si="36"/>
        <v>33715.665232704952</v>
      </c>
      <c r="J105" s="55">
        <f t="shared" si="37"/>
        <v>0</v>
      </c>
      <c r="K105" s="58">
        <f t="shared" si="38"/>
        <v>1.9354047253727913E-9</v>
      </c>
      <c r="L105" s="55">
        <f t="shared" si="39"/>
        <v>-7080.289698867854</v>
      </c>
      <c r="M105" s="55">
        <f t="shared" si="40"/>
        <v>26635.375533837097</v>
      </c>
      <c r="N105" s="56">
        <f t="shared" si="41"/>
        <v>-5.5151758715510368E-9</v>
      </c>
    </row>
    <row r="106" spans="1:14" x14ac:dyDescent="0.2">
      <c r="A106" s="53">
        <v>47026</v>
      </c>
      <c r="B106" s="26" t="s">
        <v>150</v>
      </c>
      <c r="D106" s="55">
        <f t="shared" ref="D106:D107" si="42">D105+C106</f>
        <v>9710111.5870214254</v>
      </c>
      <c r="E106" s="55">
        <f t="shared" ref="E106:E107" si="43">(D94+D106+SUM(D95:D105)*2)/24</f>
        <v>9710111.5870214254</v>
      </c>
      <c r="F106" s="109"/>
      <c r="G106" s="55">
        <f t="shared" ref="G106:G107" si="44">G105-F106</f>
        <v>-9710111.5870214328</v>
      </c>
      <c r="H106" s="55">
        <f t="shared" ref="H106:H107" si="45">(G94+G106+SUM(G95:G105)*2)/24</f>
        <v>-9701682.6707132552</v>
      </c>
      <c r="I106" s="55">
        <f t="shared" ref="I106:I107" si="46">E106+H106</f>
        <v>8428.9163081701845</v>
      </c>
      <c r="J106" s="55">
        <f t="shared" ref="J106:J107" si="47">(-C106*0.21)+(F106*0.21)</f>
        <v>0</v>
      </c>
      <c r="K106" s="58">
        <f t="shared" ref="K106:K107" si="48">K105+J106</f>
        <v>1.9354047253727913E-9</v>
      </c>
      <c r="L106" s="55">
        <f t="shared" ref="L106:L107" si="49">(K94+K106+SUM(K95:K105)*2)/24</f>
        <v>-1770.0724247155119</v>
      </c>
      <c r="M106" s="55">
        <f t="shared" ref="M106:M107" si="50">L106+I106</f>
        <v>6658.8438834546723</v>
      </c>
      <c r="N106" s="56">
        <f t="shared" ref="N106:N107" si="51">+D106+G106+K106</f>
        <v>-5.5151758715510368E-9</v>
      </c>
    </row>
    <row r="107" spans="1:14" x14ac:dyDescent="0.2">
      <c r="A107" s="60">
        <v>47057</v>
      </c>
      <c r="B107" s="61" t="s">
        <v>150</v>
      </c>
      <c r="C107" s="61"/>
      <c r="D107" s="62">
        <f t="shared" si="42"/>
        <v>9710111.5870214254</v>
      </c>
      <c r="E107" s="62">
        <f t="shared" si="43"/>
        <v>9710111.5870214254</v>
      </c>
      <c r="F107" s="110"/>
      <c r="G107" s="62">
        <f t="shared" si="44"/>
        <v>-9710111.5870214328</v>
      </c>
      <c r="H107" s="62">
        <f t="shared" si="45"/>
        <v>-9710111.5870214347</v>
      </c>
      <c r="I107" s="62">
        <f t="shared" si="46"/>
        <v>0</v>
      </c>
      <c r="J107" s="62">
        <f t="shared" si="47"/>
        <v>0</v>
      </c>
      <c r="K107" s="63">
        <f t="shared" si="48"/>
        <v>1.9354047253727913E-9</v>
      </c>
      <c r="L107" s="62">
        <f t="shared" si="49"/>
        <v>1.9354047253727913E-9</v>
      </c>
      <c r="M107" s="62">
        <f t="shared" si="50"/>
        <v>1.9354047253727913E-9</v>
      </c>
      <c r="N107" s="64">
        <f t="shared" si="51"/>
        <v>-5.5151758715510368E-9</v>
      </c>
    </row>
    <row r="108" spans="1:14" x14ac:dyDescent="0.2">
      <c r="A108" s="134"/>
      <c r="B108" s="33"/>
      <c r="C108" s="33"/>
      <c r="D108" s="135"/>
      <c r="E108" s="135"/>
      <c r="F108" s="136"/>
      <c r="G108" s="135"/>
      <c r="H108" s="135"/>
      <c r="I108" s="135"/>
      <c r="J108" s="135"/>
      <c r="K108" s="137"/>
      <c r="L108" s="135"/>
      <c r="M108" s="135"/>
      <c r="N108" s="135"/>
    </row>
    <row r="109" spans="1:14" x14ac:dyDescent="0.2">
      <c r="A109" s="26" t="s">
        <v>189</v>
      </c>
      <c r="F109" s="116">
        <f>SUM(F48:F59)</f>
        <v>2427527.8967553563</v>
      </c>
    </row>
  </sheetData>
  <printOptions horizontalCentered="1"/>
  <pageMargins left="0.2" right="0.2" top="0.25" bottom="0.5" header="0.3" footer="0.3"/>
  <pageSetup scale="76" firstPageNumber="6" fitToHeight="0" orientation="landscape" useFirstPageNumber="1" r:id="rId1"/>
  <headerFooter>
    <oddFooter>&amp;R&amp;"Times New Roman,Regular"Exh. SEF-3 page &amp;P of 16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E6"/>
  <sheetViews>
    <sheetView workbookViewId="0">
      <selection activeCell="E6" sqref="E6"/>
    </sheetView>
  </sheetViews>
  <sheetFormatPr defaultRowHeight="15" x14ac:dyDescent="0.25"/>
  <sheetData>
    <row r="3" spans="2:5" x14ac:dyDescent="0.25">
      <c r="B3" s="1"/>
      <c r="C3" s="2" t="s">
        <v>19</v>
      </c>
      <c r="D3" s="2" t="s">
        <v>20</v>
      </c>
      <c r="E3" s="2" t="s">
        <v>21</v>
      </c>
    </row>
    <row r="4" spans="2:5" x14ac:dyDescent="0.25">
      <c r="B4" s="5" t="s">
        <v>22</v>
      </c>
      <c r="C4" s="6">
        <v>0.51</v>
      </c>
      <c r="D4" s="6">
        <v>0.05</v>
      </c>
      <c r="E4" s="7">
        <f>+C4*D4</f>
        <v>2.5500000000000002E-2</v>
      </c>
    </row>
    <row r="5" spans="2:5" x14ac:dyDescent="0.25">
      <c r="B5" s="5" t="s">
        <v>23</v>
      </c>
      <c r="C5" s="11">
        <v>0.49</v>
      </c>
      <c r="D5" s="8">
        <v>9.4E-2</v>
      </c>
      <c r="E5" s="9">
        <f>+C5*D5</f>
        <v>4.6059999999999997E-2</v>
      </c>
    </row>
    <row r="6" spans="2:5" x14ac:dyDescent="0.25">
      <c r="C6" s="10">
        <f>+SUM(C4:C5)</f>
        <v>1</v>
      </c>
      <c r="E6" s="10">
        <f>+SUM(E4:E5)</f>
        <v>7.1559999999999999E-2</v>
      </c>
    </row>
  </sheetData>
  <printOptions horizontalCentered="1"/>
  <pageMargins left="0.2" right="0.2" top="0.75" bottom="0.75" header="0.3" footer="0.3"/>
  <pageSetup orientation="portrait" horizontalDpi="1200" verticalDpi="1200" r:id="rId1"/>
  <headerFooter>
    <oddFooter>&amp;R&amp;"Times New Roman,Regular"Exh. SEF-3 page 10 of 16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U28"/>
  <sheetViews>
    <sheetView workbookViewId="0">
      <pane xSplit="1" ySplit="3" topLeftCell="B4" activePane="bottomRight" state="frozen"/>
      <selection activeCell="C35" sqref="C35"/>
      <selection pane="topRight" activeCell="C35" sqref="C35"/>
      <selection pane="bottomLeft" activeCell="C35" sqref="C35"/>
      <selection pane="bottomRight" activeCell="C35" sqref="C35"/>
    </sheetView>
  </sheetViews>
  <sheetFormatPr defaultRowHeight="15" x14ac:dyDescent="0.25"/>
  <cols>
    <col min="1" max="1" width="69" style="68" bestFit="1" customWidth="1"/>
    <col min="2" max="10" width="14.85546875" customWidth="1"/>
    <col min="11" max="11" width="11.5703125" bestFit="1" customWidth="1"/>
    <col min="12" max="21" width="14.85546875" bestFit="1" customWidth="1"/>
  </cols>
  <sheetData>
    <row r="2" spans="1:21" s="68" customFormat="1" x14ac:dyDescent="0.25">
      <c r="A2" s="71"/>
      <c r="B2" s="71" t="s">
        <v>109</v>
      </c>
      <c r="C2" s="71" t="s">
        <v>110</v>
      </c>
      <c r="D2" s="71" t="s">
        <v>111</v>
      </c>
      <c r="E2" s="71" t="s">
        <v>112</v>
      </c>
      <c r="F2" s="71" t="s">
        <v>113</v>
      </c>
      <c r="G2" s="71" t="s">
        <v>114</v>
      </c>
      <c r="H2" s="71" t="s">
        <v>115</v>
      </c>
      <c r="I2" s="71" t="s">
        <v>116</v>
      </c>
      <c r="J2" s="71" t="s">
        <v>117</v>
      </c>
      <c r="K2" s="71">
        <v>2023</v>
      </c>
      <c r="L2" s="71" t="s">
        <v>118</v>
      </c>
      <c r="M2" s="71" t="s">
        <v>119</v>
      </c>
      <c r="N2" s="71" t="s">
        <v>120</v>
      </c>
      <c r="O2" s="71" t="s">
        <v>121</v>
      </c>
      <c r="P2" s="71" t="s">
        <v>122</v>
      </c>
      <c r="Q2" s="71" t="s">
        <v>123</v>
      </c>
      <c r="R2" s="71" t="s">
        <v>124</v>
      </c>
      <c r="S2" s="71" t="s">
        <v>125</v>
      </c>
      <c r="T2" s="71" t="s">
        <v>126</v>
      </c>
      <c r="U2" s="71" t="s">
        <v>127</v>
      </c>
    </row>
    <row r="3" spans="1:21" s="68" customFormat="1" x14ac:dyDescent="0.25">
      <c r="A3" s="71" t="s">
        <v>180</v>
      </c>
      <c r="B3" s="71" t="s">
        <v>105</v>
      </c>
      <c r="C3" s="71" t="s">
        <v>105</v>
      </c>
      <c r="D3" s="71" t="s">
        <v>105</v>
      </c>
      <c r="E3" s="71" t="s">
        <v>105</v>
      </c>
      <c r="F3" s="71" t="s">
        <v>105</v>
      </c>
      <c r="G3" s="71" t="s">
        <v>105</v>
      </c>
      <c r="H3" s="71" t="s">
        <v>105</v>
      </c>
      <c r="I3" s="71" t="s">
        <v>105</v>
      </c>
      <c r="J3" s="71" t="s">
        <v>105</v>
      </c>
      <c r="K3" s="71" t="s">
        <v>21</v>
      </c>
      <c r="L3" s="71" t="s">
        <v>105</v>
      </c>
      <c r="M3" s="71" t="s">
        <v>105</v>
      </c>
      <c r="N3" s="71" t="s">
        <v>105</v>
      </c>
      <c r="O3" s="71" t="s">
        <v>105</v>
      </c>
      <c r="P3" s="71" t="s">
        <v>105</v>
      </c>
      <c r="Q3" s="71" t="s">
        <v>105</v>
      </c>
      <c r="R3" s="71" t="s">
        <v>105</v>
      </c>
      <c r="S3" s="71" t="s">
        <v>105</v>
      </c>
      <c r="T3" s="71" t="s">
        <v>105</v>
      </c>
      <c r="U3" s="71" t="s">
        <v>105</v>
      </c>
    </row>
    <row r="4" spans="1:21" x14ac:dyDescent="0.25">
      <c r="A4" s="70" t="s">
        <v>0</v>
      </c>
      <c r="B4" s="69">
        <v>46351.824999999997</v>
      </c>
      <c r="C4" s="69">
        <v>46351.824999999997</v>
      </c>
      <c r="D4" s="69">
        <v>60434.214999999997</v>
      </c>
      <c r="E4" s="69">
        <v>46351.824999999997</v>
      </c>
      <c r="F4" s="69">
        <v>46351.824999999997</v>
      </c>
      <c r="G4" s="69">
        <v>46351.824999999997</v>
      </c>
      <c r="H4" s="69">
        <v>46351.824999999997</v>
      </c>
      <c r="I4" s="69">
        <v>46351.824999999997</v>
      </c>
      <c r="J4" s="69">
        <v>60434.214999999997</v>
      </c>
      <c r="K4" s="69">
        <f t="shared" ref="K4:K21" si="0">SUM(B4:J4)</f>
        <v>445331.20500000007</v>
      </c>
      <c r="L4" s="69">
        <v>48614.004249999998</v>
      </c>
      <c r="M4" s="69">
        <v>48614.004249999998</v>
      </c>
      <c r="N4" s="69">
        <v>48745.254249999998</v>
      </c>
      <c r="O4" s="69">
        <v>48614.004249999998</v>
      </c>
      <c r="P4" s="69">
        <v>48614.004249999998</v>
      </c>
      <c r="Q4" s="69">
        <v>63400.513749999998</v>
      </c>
      <c r="R4" s="69">
        <v>48614.004249999998</v>
      </c>
      <c r="S4" s="69">
        <v>48614.004249999998</v>
      </c>
      <c r="T4" s="69">
        <v>48614.004249999998</v>
      </c>
      <c r="U4" s="69">
        <v>48614.004249999998</v>
      </c>
    </row>
    <row r="5" spans="1:21" x14ac:dyDescent="0.25">
      <c r="A5" s="70" t="s">
        <v>3</v>
      </c>
      <c r="B5" s="69">
        <v>16259.1850409</v>
      </c>
      <c r="C5" s="69">
        <v>9429.5253582999994</v>
      </c>
      <c r="D5" s="69">
        <v>6296.5264645999996</v>
      </c>
      <c r="E5" s="69">
        <v>1858.3736108000001</v>
      </c>
      <c r="F5" s="69">
        <v>1858.3736108000001</v>
      </c>
      <c r="G5" s="69">
        <v>1858.3736108000001</v>
      </c>
      <c r="H5" s="69">
        <v>1858.3736108000001</v>
      </c>
      <c r="I5" s="69">
        <v>1858.3736108000001</v>
      </c>
      <c r="J5" s="69">
        <v>2207.8729162</v>
      </c>
      <c r="K5" s="69">
        <f t="shared" si="0"/>
        <v>43484.977834000005</v>
      </c>
      <c r="L5" s="69">
        <v>2014.2582826</v>
      </c>
      <c r="M5" s="69"/>
      <c r="N5" s="69">
        <v>4983.1672913000002</v>
      </c>
      <c r="O5" s="69">
        <v>17072.144293000001</v>
      </c>
      <c r="P5" s="69">
        <v>9901.0016262999998</v>
      </c>
      <c r="Q5" s="69">
        <v>6611.3527878000004</v>
      </c>
      <c r="R5" s="69">
        <v>1951.2922913</v>
      </c>
      <c r="S5" s="69">
        <v>1951.2922913</v>
      </c>
      <c r="T5" s="69">
        <v>1951.2922913</v>
      </c>
      <c r="U5" s="69">
        <v>1951.2922913</v>
      </c>
    </row>
    <row r="6" spans="1:21" x14ac:dyDescent="0.25">
      <c r="A6" s="70" t="s">
        <v>4</v>
      </c>
      <c r="B6" s="69">
        <v>12761.1187001</v>
      </c>
      <c r="C6" s="69">
        <v>12761.1187001</v>
      </c>
      <c r="D6" s="69">
        <v>16442.511383500001</v>
      </c>
      <c r="E6" s="69">
        <v>12761.1187001</v>
      </c>
      <c r="F6" s="69">
        <v>12761.1187001</v>
      </c>
      <c r="G6" s="69">
        <v>12761.1187001</v>
      </c>
      <c r="H6" s="69">
        <v>12761.1187001</v>
      </c>
      <c r="I6" s="69">
        <v>12761.1187001</v>
      </c>
      <c r="J6" s="69">
        <v>16442.511383500001</v>
      </c>
      <c r="K6" s="69">
        <f t="shared" si="0"/>
        <v>122212.85366769999</v>
      </c>
      <c r="L6" s="69">
        <v>12209.8209451</v>
      </c>
      <c r="M6" s="69">
        <v>12209.8209451</v>
      </c>
      <c r="N6" s="69">
        <v>45334.924635099997</v>
      </c>
      <c r="O6" s="69">
        <v>13399.1746351</v>
      </c>
      <c r="P6" s="69">
        <v>13399.1746351</v>
      </c>
      <c r="Q6" s="69">
        <v>17264.636952699999</v>
      </c>
      <c r="R6" s="69">
        <v>13399.1746351</v>
      </c>
      <c r="S6" s="69">
        <v>13399.1746351</v>
      </c>
      <c r="T6" s="69">
        <v>13399.1746351</v>
      </c>
      <c r="U6" s="69">
        <v>13399.1746351</v>
      </c>
    </row>
    <row r="7" spans="1:21" x14ac:dyDescent="0.25">
      <c r="A7" s="70" t="s">
        <v>5</v>
      </c>
      <c r="B7" s="69">
        <v>239.24953690000001</v>
      </c>
      <c r="C7" s="69">
        <v>239.24953690000001</v>
      </c>
      <c r="D7" s="69">
        <v>355.74930540000003</v>
      </c>
      <c r="E7" s="69">
        <v>239.24953690000001</v>
      </c>
      <c r="F7" s="69">
        <v>239.24953690000001</v>
      </c>
      <c r="G7" s="69">
        <v>239.24953690000001</v>
      </c>
      <c r="H7" s="69">
        <v>239.24953690000001</v>
      </c>
      <c r="I7" s="69">
        <v>5024.2402754000004</v>
      </c>
      <c r="J7" s="69">
        <v>7470.7354131000002</v>
      </c>
      <c r="K7" s="69">
        <f t="shared" si="0"/>
        <v>14286.2222153</v>
      </c>
      <c r="L7" s="69">
        <v>8542.9695508000004</v>
      </c>
      <c r="M7" s="69">
        <v>8542.9695508000004</v>
      </c>
      <c r="N7" s="69">
        <v>211.83701379999999</v>
      </c>
      <c r="O7" s="69">
        <v>251.21201379999999</v>
      </c>
      <c r="P7" s="69">
        <v>251.21201379999999</v>
      </c>
      <c r="Q7" s="69">
        <v>373.53677069999998</v>
      </c>
      <c r="R7" s="69">
        <v>251.21201379999999</v>
      </c>
      <c r="S7" s="69">
        <v>251.21201379999999</v>
      </c>
      <c r="T7" s="69">
        <v>251.21201379999999</v>
      </c>
      <c r="U7" s="69">
        <v>251.21201379999999</v>
      </c>
    </row>
    <row r="8" spans="1:21" x14ac:dyDescent="0.25">
      <c r="A8" s="70" t="s">
        <v>106</v>
      </c>
      <c r="B8" s="69">
        <v>3507.9956778999999</v>
      </c>
      <c r="C8" s="69">
        <v>3507.9956778999999</v>
      </c>
      <c r="D8" s="69">
        <v>4595.3268502999999</v>
      </c>
      <c r="E8" s="69">
        <v>3507.9956778999999</v>
      </c>
      <c r="F8" s="69">
        <v>3507.9956778999999</v>
      </c>
      <c r="G8" s="69">
        <v>3507.9956778999999</v>
      </c>
      <c r="H8" s="69">
        <v>3507.9956778999999</v>
      </c>
      <c r="I8" s="69">
        <v>3507.9956778999999</v>
      </c>
      <c r="J8" s="69">
        <v>4595.3268502999999</v>
      </c>
      <c r="K8" s="69">
        <f t="shared" si="0"/>
        <v>33746.623445899997</v>
      </c>
      <c r="L8" s="69">
        <v>3276.9064315000001</v>
      </c>
      <c r="M8" s="69">
        <v>3332.1095617999999</v>
      </c>
      <c r="N8" s="69">
        <v>3315.8954617999998</v>
      </c>
      <c r="O8" s="69">
        <v>3683.3954617999998</v>
      </c>
      <c r="P8" s="69">
        <v>3683.3954617999998</v>
      </c>
      <c r="Q8" s="69">
        <v>4825.0931928</v>
      </c>
      <c r="R8" s="69">
        <v>3683.3954617999998</v>
      </c>
      <c r="S8" s="69">
        <v>3683.3954617999998</v>
      </c>
      <c r="T8" s="69">
        <v>3683.3954617999998</v>
      </c>
      <c r="U8" s="69">
        <v>3683.3954617999998</v>
      </c>
    </row>
    <row r="9" spans="1:21" x14ac:dyDescent="0.25">
      <c r="A9" s="70" t="s">
        <v>6</v>
      </c>
      <c r="B9" s="69">
        <v>3750.1681299000002</v>
      </c>
      <c r="C9" s="69">
        <v>3637.8264920000001</v>
      </c>
      <c r="D9" s="69">
        <v>2709.0979702</v>
      </c>
      <c r="E9" s="69">
        <v>716.94390720000001</v>
      </c>
      <c r="F9" s="69">
        <v>716.94390720000001</v>
      </c>
      <c r="G9" s="69">
        <v>716.94390720000001</v>
      </c>
      <c r="H9" s="69">
        <v>716.94390720000001</v>
      </c>
      <c r="I9" s="69">
        <v>716.94390720000001</v>
      </c>
      <c r="J9" s="69">
        <v>949.94344409999997</v>
      </c>
      <c r="K9" s="69">
        <f t="shared" si="0"/>
        <v>14631.755572200002</v>
      </c>
      <c r="L9" s="69">
        <v>1355.0311051000001</v>
      </c>
      <c r="M9" s="69"/>
      <c r="N9" s="69">
        <v>674.04110249999997</v>
      </c>
      <c r="O9" s="69">
        <v>3937.6765363999998</v>
      </c>
      <c r="P9" s="69">
        <v>3819.7178165999999</v>
      </c>
      <c r="Q9" s="69">
        <v>2844.5528687000001</v>
      </c>
      <c r="R9" s="69">
        <v>752.79110249999997</v>
      </c>
      <c r="S9" s="69">
        <v>752.79110249999997</v>
      </c>
      <c r="T9" s="69">
        <v>752.79110249999997</v>
      </c>
      <c r="U9" s="69">
        <v>752.79110249999997</v>
      </c>
    </row>
    <row r="10" spans="1:21" x14ac:dyDescent="0.25">
      <c r="A10" s="70" t="s">
        <v>7</v>
      </c>
      <c r="B10" s="69">
        <v>5266.1313105999998</v>
      </c>
      <c r="C10" s="69">
        <v>5169.4017838</v>
      </c>
      <c r="D10" s="69">
        <v>5469.8762935000004</v>
      </c>
      <c r="E10" s="69">
        <v>2654.4340870999999</v>
      </c>
      <c r="F10" s="69">
        <v>2654.4340870999999</v>
      </c>
      <c r="G10" s="69">
        <v>2654.4340870999999</v>
      </c>
      <c r="H10" s="69">
        <v>2654.4340870999999</v>
      </c>
      <c r="I10" s="69">
        <v>2654.4340870999999</v>
      </c>
      <c r="J10" s="69">
        <v>3823.3150974</v>
      </c>
      <c r="K10" s="69">
        <f t="shared" si="0"/>
        <v>33000.89492079999</v>
      </c>
      <c r="L10" s="69">
        <v>4819.0468979999996</v>
      </c>
      <c r="M10" s="69"/>
      <c r="N10" s="69">
        <v>2392.0932914999999</v>
      </c>
      <c r="O10" s="69">
        <v>5529.4378760999998</v>
      </c>
      <c r="P10" s="69">
        <v>5427.8718730000001</v>
      </c>
      <c r="Q10" s="69">
        <v>5743.3701080999999</v>
      </c>
      <c r="R10" s="69">
        <v>2787.1557914999999</v>
      </c>
      <c r="S10" s="69">
        <v>2787.1557914999999</v>
      </c>
      <c r="T10" s="69">
        <v>2787.1557914999999</v>
      </c>
      <c r="U10" s="69">
        <v>2787.1557914999999</v>
      </c>
    </row>
    <row r="11" spans="1:21" x14ac:dyDescent="0.25">
      <c r="A11" s="70" t="s">
        <v>8</v>
      </c>
      <c r="B11" s="69"/>
      <c r="C11" s="69"/>
      <c r="D11" s="69"/>
      <c r="E11" s="69"/>
      <c r="F11" s="69"/>
      <c r="G11" s="69"/>
      <c r="H11" s="69"/>
      <c r="I11" s="69"/>
      <c r="J11" s="69"/>
      <c r="K11" s="69">
        <f t="shared" si="0"/>
        <v>0</v>
      </c>
      <c r="L11" s="69"/>
      <c r="M11" s="69"/>
      <c r="N11" s="69"/>
      <c r="O11" s="69"/>
      <c r="P11" s="69"/>
      <c r="Q11" s="69"/>
      <c r="R11" s="69"/>
      <c r="S11" s="69"/>
      <c r="T11" s="69"/>
      <c r="U11" s="69"/>
    </row>
    <row r="12" spans="1:21" x14ac:dyDescent="0.25">
      <c r="A12" s="70" t="s">
        <v>9</v>
      </c>
      <c r="B12" s="69">
        <v>6475.4502666999997</v>
      </c>
      <c r="C12" s="69">
        <v>6475.4502666999997</v>
      </c>
      <c r="D12" s="69">
        <v>6475.4502666999997</v>
      </c>
      <c r="E12" s="69">
        <v>6475.4502666999997</v>
      </c>
      <c r="F12" s="69">
        <v>6475.4502666999997</v>
      </c>
      <c r="G12" s="69">
        <v>6475.4502666999997</v>
      </c>
      <c r="H12" s="69">
        <v>6475.4502666999997</v>
      </c>
      <c r="I12" s="69">
        <v>6475.4502666999997</v>
      </c>
      <c r="J12" s="69">
        <v>6475.4502666999997</v>
      </c>
      <c r="K12" s="69">
        <f t="shared" si="0"/>
        <v>58279.052400299988</v>
      </c>
      <c r="L12" s="69">
        <v>6799.2227800000001</v>
      </c>
      <c r="M12" s="69">
        <v>6799.2227800000001</v>
      </c>
      <c r="N12" s="69">
        <v>6799.2227800000001</v>
      </c>
      <c r="O12" s="69">
        <v>6799.2227800000001</v>
      </c>
      <c r="P12" s="69">
        <v>6799.2227800000001</v>
      </c>
      <c r="Q12" s="69">
        <v>6799.2227800000001</v>
      </c>
      <c r="R12" s="69">
        <v>6799.2227800000001</v>
      </c>
      <c r="S12" s="69">
        <v>6799.2227800000001</v>
      </c>
      <c r="T12" s="69">
        <v>6799.2227800000001</v>
      </c>
      <c r="U12" s="69">
        <v>6799.2227800000001</v>
      </c>
    </row>
    <row r="13" spans="1:21" x14ac:dyDescent="0.25">
      <c r="A13" s="70" t="s">
        <v>10</v>
      </c>
      <c r="B13" s="69">
        <v>4235.9806061999998</v>
      </c>
      <c r="C13" s="69">
        <v>4235.9806061999998</v>
      </c>
      <c r="D13" s="69">
        <v>4235.9806061999998</v>
      </c>
      <c r="E13" s="69">
        <v>4235.9806061999998</v>
      </c>
      <c r="F13" s="69">
        <v>4235.9806061999998</v>
      </c>
      <c r="G13" s="69">
        <v>4235.9806061999998</v>
      </c>
      <c r="H13" s="69">
        <v>4235.9806061999998</v>
      </c>
      <c r="I13" s="69">
        <v>4235.9806061999998</v>
      </c>
      <c r="J13" s="69">
        <v>4235.9806061999998</v>
      </c>
      <c r="K13" s="69">
        <f t="shared" si="0"/>
        <v>38123.825455799997</v>
      </c>
      <c r="L13" s="69">
        <v>4447.7796365000004</v>
      </c>
      <c r="M13" s="69">
        <v>4447.7796365000004</v>
      </c>
      <c r="N13" s="69">
        <v>4465.7002132999996</v>
      </c>
      <c r="O13" s="69">
        <v>4447.7796365000004</v>
      </c>
      <c r="P13" s="69">
        <v>4447.7796365000004</v>
      </c>
      <c r="Q13" s="69">
        <v>4447.7796365000004</v>
      </c>
      <c r="R13" s="69">
        <v>4447.7796365000004</v>
      </c>
      <c r="S13" s="69">
        <v>4447.7796365000004</v>
      </c>
      <c r="T13" s="69">
        <v>4447.7796365000004</v>
      </c>
      <c r="U13" s="69">
        <v>4447.7796365000004</v>
      </c>
    </row>
    <row r="14" spans="1:21" x14ac:dyDescent="0.25">
      <c r="A14" s="70" t="s">
        <v>11</v>
      </c>
      <c r="B14" s="69">
        <v>18865.271756400001</v>
      </c>
      <c r="C14" s="69">
        <v>18865.271756400001</v>
      </c>
      <c r="D14" s="69">
        <v>21777.765967899999</v>
      </c>
      <c r="E14" s="69">
        <v>18865.271756400001</v>
      </c>
      <c r="F14" s="69">
        <v>24865.271756400001</v>
      </c>
      <c r="G14" s="69">
        <v>18865.271756400001</v>
      </c>
      <c r="H14" s="69">
        <v>18865.271756400001</v>
      </c>
      <c r="I14" s="69">
        <v>18865.271756400001</v>
      </c>
      <c r="J14" s="69">
        <v>21777.765967899999</v>
      </c>
      <c r="K14" s="69">
        <f t="shared" si="0"/>
        <v>181612.43423060002</v>
      </c>
      <c r="L14" s="69">
        <v>18867.590969199999</v>
      </c>
      <c r="M14" s="69">
        <v>18867.590969199999</v>
      </c>
      <c r="N14" s="69">
        <v>24074.160344200001</v>
      </c>
      <c r="O14" s="69">
        <v>19808.535344200001</v>
      </c>
      <c r="P14" s="69">
        <v>19808.535344200001</v>
      </c>
      <c r="Q14" s="69">
        <v>22866.6542663</v>
      </c>
      <c r="R14" s="69">
        <v>19808.535344200001</v>
      </c>
      <c r="S14" s="69">
        <v>26108.535344200001</v>
      </c>
      <c r="T14" s="69">
        <v>19808.535344200001</v>
      </c>
      <c r="U14" s="69">
        <v>19808.535344200001</v>
      </c>
    </row>
    <row r="15" spans="1:21" x14ac:dyDescent="0.25">
      <c r="A15" s="70" t="s">
        <v>12</v>
      </c>
      <c r="B15" s="69">
        <v>53829.376923900003</v>
      </c>
      <c r="C15" s="69">
        <v>53829.376923900003</v>
      </c>
      <c r="D15" s="69">
        <v>68523.881052500001</v>
      </c>
      <c r="E15" s="69">
        <v>53829.376923900003</v>
      </c>
      <c r="F15" s="69">
        <v>53829.376923900003</v>
      </c>
      <c r="G15" s="69">
        <v>53829.376923900003</v>
      </c>
      <c r="H15" s="69">
        <v>53829.376923900003</v>
      </c>
      <c r="I15" s="69">
        <v>53829.376923900003</v>
      </c>
      <c r="J15" s="69">
        <v>68523.881052500001</v>
      </c>
      <c r="K15" s="69">
        <f t="shared" si="0"/>
        <v>513853.40057229996</v>
      </c>
      <c r="L15" s="69">
        <v>52996.870210100002</v>
      </c>
      <c r="M15" s="69">
        <v>47450.2830101</v>
      </c>
      <c r="N15" s="69">
        <v>51554.345770100001</v>
      </c>
      <c r="O15" s="69">
        <v>56520.845770100001</v>
      </c>
      <c r="P15" s="69">
        <v>56520.845770100001</v>
      </c>
      <c r="Q15" s="69">
        <v>71950.075105099997</v>
      </c>
      <c r="R15" s="69">
        <v>56520.845770100001</v>
      </c>
      <c r="S15" s="69">
        <v>56520.845770100001</v>
      </c>
      <c r="T15" s="69">
        <v>56520.845770100001</v>
      </c>
      <c r="U15" s="69">
        <v>56520.845770100001</v>
      </c>
    </row>
    <row r="16" spans="1:21" x14ac:dyDescent="0.25">
      <c r="A16" s="70" t="s">
        <v>13</v>
      </c>
      <c r="B16" s="69">
        <v>9347.4751825999992</v>
      </c>
      <c r="C16" s="69">
        <v>9347.4751825999992</v>
      </c>
      <c r="D16" s="69">
        <v>11398.0264405</v>
      </c>
      <c r="E16" s="69">
        <v>9347.4751825999992</v>
      </c>
      <c r="F16" s="69">
        <v>9347.4751825999992</v>
      </c>
      <c r="G16" s="69">
        <v>9347.4751825999992</v>
      </c>
      <c r="H16" s="69">
        <v>9347.4751825999992</v>
      </c>
      <c r="I16" s="69">
        <v>9347.4751825999992</v>
      </c>
      <c r="J16" s="69">
        <v>11398.0264405</v>
      </c>
      <c r="K16" s="69">
        <f t="shared" si="0"/>
        <v>88228.379159199991</v>
      </c>
      <c r="L16" s="69">
        <v>13486.773918000001</v>
      </c>
      <c r="M16" s="69">
        <v>13486.773918000001</v>
      </c>
      <c r="N16" s="69">
        <v>21989.5464417</v>
      </c>
      <c r="O16" s="69">
        <v>9814.8489417000001</v>
      </c>
      <c r="P16" s="69">
        <v>9814.8489417000001</v>
      </c>
      <c r="Q16" s="69">
        <v>11967.9277625</v>
      </c>
      <c r="R16" s="69">
        <v>9814.8489417000001</v>
      </c>
      <c r="S16" s="69">
        <v>9814.8489417000001</v>
      </c>
      <c r="T16" s="69">
        <v>9814.8489417000001</v>
      </c>
      <c r="U16" s="69">
        <v>9814.8489417000001</v>
      </c>
    </row>
    <row r="17" spans="1:21" x14ac:dyDescent="0.25">
      <c r="A17" s="70" t="s">
        <v>14</v>
      </c>
      <c r="B17" s="69">
        <v>42176.838316699999</v>
      </c>
      <c r="C17" s="69">
        <v>42176.838316699999</v>
      </c>
      <c r="D17" s="69">
        <v>42176.838316699999</v>
      </c>
      <c r="E17" s="69">
        <v>42176.838316699999</v>
      </c>
      <c r="F17" s="69">
        <v>42176.838316699999</v>
      </c>
      <c r="G17" s="69">
        <v>42176.838316699999</v>
      </c>
      <c r="H17" s="69">
        <v>42176.838316699999</v>
      </c>
      <c r="I17" s="69">
        <v>42176.838316699999</v>
      </c>
      <c r="J17" s="69">
        <v>42176.838316699999</v>
      </c>
      <c r="K17" s="69">
        <f t="shared" si="0"/>
        <v>379591.54485030007</v>
      </c>
      <c r="L17" s="69">
        <v>44285.680232500003</v>
      </c>
      <c r="M17" s="69">
        <v>26506.136999999999</v>
      </c>
      <c r="N17" s="69">
        <v>44285.680232500003</v>
      </c>
      <c r="O17" s="69">
        <v>44285.680232500003</v>
      </c>
      <c r="P17" s="69">
        <v>44285.680232500003</v>
      </c>
      <c r="Q17" s="69">
        <v>44285.680232500003</v>
      </c>
      <c r="R17" s="69">
        <v>44285.680232500003</v>
      </c>
      <c r="S17" s="69">
        <v>44285.680232500003</v>
      </c>
      <c r="T17" s="69">
        <v>44285.680232500003</v>
      </c>
      <c r="U17" s="69">
        <v>44285.680232500003</v>
      </c>
    </row>
    <row r="18" spans="1:21" x14ac:dyDescent="0.25">
      <c r="A18" s="70" t="s">
        <v>107</v>
      </c>
      <c r="B18" s="69">
        <v>5333.3333333</v>
      </c>
      <c r="C18" s="69">
        <v>4333.3333333</v>
      </c>
      <c r="D18" s="69">
        <v>4333.3333333</v>
      </c>
      <c r="E18" s="69">
        <v>4333.3333333</v>
      </c>
      <c r="F18" s="69">
        <v>4333.3333333</v>
      </c>
      <c r="G18" s="69">
        <v>4333.3333333</v>
      </c>
      <c r="H18" s="69">
        <v>4333.3333333</v>
      </c>
      <c r="I18" s="69">
        <v>4333.3333333</v>
      </c>
      <c r="J18" s="69">
        <v>4333.3333333</v>
      </c>
      <c r="K18" s="69">
        <f t="shared" si="0"/>
        <v>39999.999999699998</v>
      </c>
      <c r="L18" s="69">
        <v>4550</v>
      </c>
      <c r="M18" s="69">
        <v>55013.252</v>
      </c>
      <c r="N18" s="69">
        <v>62037.5</v>
      </c>
      <c r="O18" s="69">
        <v>5600</v>
      </c>
      <c r="P18" s="69">
        <v>4550</v>
      </c>
      <c r="Q18" s="69">
        <v>4550</v>
      </c>
      <c r="R18" s="69">
        <v>4550</v>
      </c>
      <c r="S18" s="69">
        <v>4550</v>
      </c>
      <c r="T18" s="69">
        <v>4550</v>
      </c>
      <c r="U18" s="69">
        <v>4550</v>
      </c>
    </row>
    <row r="19" spans="1:21" x14ac:dyDescent="0.25">
      <c r="A19" s="70" t="s">
        <v>108</v>
      </c>
      <c r="B19" s="69">
        <v>104522.8434</v>
      </c>
      <c r="C19" s="69">
        <v>104522.8434</v>
      </c>
      <c r="D19" s="69">
        <v>104522.8434</v>
      </c>
      <c r="E19" s="69">
        <v>104522.8434</v>
      </c>
      <c r="F19" s="69">
        <v>104522.8434</v>
      </c>
      <c r="G19" s="69">
        <v>104522.8434</v>
      </c>
      <c r="H19" s="69">
        <v>104707.6053048</v>
      </c>
      <c r="I19" s="69">
        <v>104707.6053048</v>
      </c>
      <c r="J19" s="69">
        <v>104707.6053048</v>
      </c>
      <c r="K19" s="69">
        <f t="shared" si="0"/>
        <v>941259.87631439988</v>
      </c>
      <c r="L19" s="69">
        <v>112687.56482499999</v>
      </c>
      <c r="M19" s="69">
        <v>110034.73557</v>
      </c>
      <c r="N19" s="69">
        <v>109748.98557</v>
      </c>
      <c r="O19" s="69">
        <v>109748.98557</v>
      </c>
      <c r="P19" s="69">
        <v>109748.98557</v>
      </c>
      <c r="Q19" s="69">
        <v>109748.98557</v>
      </c>
      <c r="R19" s="69">
        <v>109748.98557</v>
      </c>
      <c r="S19" s="69">
        <v>109748.98557</v>
      </c>
      <c r="T19" s="69">
        <v>109748.98557</v>
      </c>
      <c r="U19" s="69">
        <v>109942.98557</v>
      </c>
    </row>
    <row r="20" spans="1:21" x14ac:dyDescent="0.25">
      <c r="A20" s="70" t="s">
        <v>1</v>
      </c>
      <c r="B20" s="69">
        <v>175842.76626800001</v>
      </c>
      <c r="C20" s="69">
        <v>176138.67014</v>
      </c>
      <c r="D20" s="69">
        <v>117587.93030000001</v>
      </c>
      <c r="E20" s="69">
        <v>57732.781532000001</v>
      </c>
      <c r="F20" s="69">
        <v>57732.781532000001</v>
      </c>
      <c r="G20" s="69">
        <v>57436.877659999998</v>
      </c>
      <c r="H20" s="69">
        <v>176138.67014</v>
      </c>
      <c r="I20" s="69">
        <v>55256.533340000002</v>
      </c>
      <c r="J20" s="69">
        <v>57732.781532000001</v>
      </c>
      <c r="K20" s="69">
        <f t="shared" si="0"/>
        <v>931599.79244400014</v>
      </c>
      <c r="L20" s="69">
        <v>64714.999200600003</v>
      </c>
      <c r="M20" s="69">
        <v>59687.323411799996</v>
      </c>
      <c r="N20" s="69">
        <v>60619.420608599998</v>
      </c>
      <c r="O20" s="69">
        <v>184634.90458140001</v>
      </c>
      <c r="P20" s="69">
        <v>184945.60364700001</v>
      </c>
      <c r="Q20" s="69">
        <v>123467.32681499999</v>
      </c>
      <c r="R20" s="69">
        <v>60619.420608599998</v>
      </c>
      <c r="S20" s="69">
        <v>60619.420608599998</v>
      </c>
      <c r="T20" s="69">
        <v>60308.721543</v>
      </c>
      <c r="U20" s="69">
        <v>184945.60364700001</v>
      </c>
    </row>
    <row r="21" spans="1:21" x14ac:dyDescent="0.25">
      <c r="A21" s="70" t="s">
        <v>2</v>
      </c>
      <c r="B21" s="69"/>
      <c r="C21" s="69"/>
      <c r="D21" s="69"/>
      <c r="E21" s="69"/>
      <c r="F21" s="69"/>
      <c r="G21" s="69"/>
      <c r="H21" s="69"/>
      <c r="I21" s="69"/>
      <c r="J21" s="69"/>
      <c r="K21" s="69">
        <f t="shared" si="0"/>
        <v>0</v>
      </c>
      <c r="L21" s="69"/>
      <c r="M21" s="69">
        <v>29133.037499999999</v>
      </c>
      <c r="N21" s="69"/>
      <c r="O21" s="69"/>
      <c r="P21" s="69"/>
      <c r="Q21" s="69"/>
      <c r="R21" s="69"/>
      <c r="S21" s="69"/>
      <c r="T21" s="69"/>
      <c r="U21" s="69"/>
    </row>
    <row r="22" spans="1:21" x14ac:dyDescent="0.25">
      <c r="A22" s="70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</row>
    <row r="23" spans="1:21" x14ac:dyDescent="0.25">
      <c r="B23" s="156">
        <f t="shared" ref="B23:J23" si="1">SUM(B4:B22)</f>
        <v>508765.00945010001</v>
      </c>
      <c r="C23" s="156">
        <f t="shared" si="1"/>
        <v>501022.18247479998</v>
      </c>
      <c r="D23" s="156">
        <f t="shared" si="1"/>
        <v>477335.35295129998</v>
      </c>
      <c r="E23" s="156">
        <f t="shared" si="1"/>
        <v>369609.2918378</v>
      </c>
      <c r="F23" s="156">
        <f t="shared" si="1"/>
        <v>375609.2918378</v>
      </c>
      <c r="G23" s="156">
        <f t="shared" si="1"/>
        <v>369313.38796580001</v>
      </c>
      <c r="H23" s="156">
        <f t="shared" si="1"/>
        <v>488199.94235060003</v>
      </c>
      <c r="I23" s="156">
        <f t="shared" si="1"/>
        <v>372102.79628910002</v>
      </c>
      <c r="J23" s="156">
        <f t="shared" si="1"/>
        <v>417285.5829252</v>
      </c>
      <c r="K23" s="193">
        <f>SUM(K4:K22)</f>
        <v>3879242.8380825003</v>
      </c>
      <c r="L23" s="156">
        <f>SUM(L4:L22)</f>
        <v>403668.51923500001</v>
      </c>
      <c r="M23" s="156">
        <f t="shared" ref="M23:U23" si="2">SUM(M4:M22)</f>
        <v>444125.04010329989</v>
      </c>
      <c r="N23" s="156">
        <f t="shared" si="2"/>
        <v>491231.77500640001</v>
      </c>
      <c r="O23" s="156">
        <f t="shared" si="2"/>
        <v>534147.84792260011</v>
      </c>
      <c r="P23" s="156">
        <f t="shared" si="2"/>
        <v>526017.87959860009</v>
      </c>
      <c r="Q23" s="156">
        <f t="shared" si="2"/>
        <v>501146.7085987</v>
      </c>
      <c r="R23" s="156">
        <f t="shared" si="2"/>
        <v>388034.34442960005</v>
      </c>
      <c r="S23" s="156">
        <f t="shared" si="2"/>
        <v>394334.34442960005</v>
      </c>
      <c r="T23" s="156">
        <f t="shared" si="2"/>
        <v>387723.64536400005</v>
      </c>
      <c r="U23" s="156">
        <f t="shared" si="2"/>
        <v>512554.52746800007</v>
      </c>
    </row>
    <row r="24" spans="1:21" x14ac:dyDescent="0.25">
      <c r="B24" s="156">
        <f>SUM(B4:B21)</f>
        <v>508765.00945010001</v>
      </c>
      <c r="C24" s="156">
        <f t="shared" ref="C24:J24" si="3">SUM(C4:C21)</f>
        <v>501022.18247479998</v>
      </c>
      <c r="D24" s="156">
        <f t="shared" si="3"/>
        <v>477335.35295129998</v>
      </c>
      <c r="E24" s="156">
        <f t="shared" si="3"/>
        <v>369609.2918378</v>
      </c>
      <c r="F24" s="156">
        <f t="shared" si="3"/>
        <v>375609.2918378</v>
      </c>
      <c r="G24" s="156">
        <f t="shared" si="3"/>
        <v>369313.38796580001</v>
      </c>
      <c r="H24" s="156">
        <f t="shared" si="3"/>
        <v>488199.94235060003</v>
      </c>
      <c r="I24" s="156">
        <f t="shared" si="3"/>
        <v>372102.79628910002</v>
      </c>
      <c r="J24" s="156">
        <f t="shared" si="3"/>
        <v>417285.5829252</v>
      </c>
      <c r="K24" s="156"/>
      <c r="L24" s="156">
        <f>SUM(L4:L21)</f>
        <v>403668.51923500001</v>
      </c>
      <c r="M24" s="156">
        <f t="shared" ref="M24:U24" si="4">SUM(M4:M21)</f>
        <v>444125.04010329989</v>
      </c>
      <c r="N24" s="156">
        <f t="shared" si="4"/>
        <v>491231.77500640001</v>
      </c>
      <c r="O24" s="156">
        <f t="shared" si="4"/>
        <v>534147.84792260011</v>
      </c>
      <c r="P24" s="156">
        <f t="shared" si="4"/>
        <v>526017.87959860009</v>
      </c>
      <c r="Q24" s="156">
        <f t="shared" si="4"/>
        <v>501146.7085987</v>
      </c>
      <c r="R24" s="156">
        <f t="shared" si="4"/>
        <v>388034.34442960005</v>
      </c>
      <c r="S24" s="156">
        <f t="shared" si="4"/>
        <v>394334.34442960005</v>
      </c>
      <c r="T24" s="156">
        <f t="shared" si="4"/>
        <v>387723.64536400005</v>
      </c>
      <c r="U24" s="156">
        <f t="shared" si="4"/>
        <v>512554.52746800007</v>
      </c>
    </row>
    <row r="25" spans="1:21" x14ac:dyDescent="0.25">
      <c r="T25" s="129" t="s">
        <v>155</v>
      </c>
      <c r="U25" s="4">
        <f>SUM(I24:U24)</f>
        <v>5372373.0113701001</v>
      </c>
    </row>
    <row r="26" spans="1:21" x14ac:dyDescent="0.25">
      <c r="T26" s="129" t="s">
        <v>156</v>
      </c>
      <c r="U26" s="128">
        <v>0.79</v>
      </c>
    </row>
    <row r="27" spans="1:21" ht="15.75" thickBot="1" x14ac:dyDescent="0.3">
      <c r="T27" s="129" t="s">
        <v>157</v>
      </c>
      <c r="U27" s="130">
        <f>-U25*U26</f>
        <v>-4244174.6789823789</v>
      </c>
    </row>
    <row r="28" spans="1:21" ht="15.75" thickTop="1" x14ac:dyDescent="0.25"/>
  </sheetData>
  <pageMargins left="0.7" right="0.2" top="0.75" bottom="0.75" header="0.3" footer="0.3"/>
  <pageSetup firstPageNumber="11" orientation="landscape" useFirstPageNumber="1" horizontalDpi="1200" verticalDpi="1200" r:id="rId1"/>
  <headerFooter>
    <oddFooter>&amp;R&amp;"Times New Roman,Regular"Exh. SEF-3 page &amp;P of 16</oddFooter>
  </headerFooter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4:F24"/>
  <sheetViews>
    <sheetView topLeftCell="A13" workbookViewId="0">
      <selection activeCell="C35" sqref="C35"/>
    </sheetView>
  </sheetViews>
  <sheetFormatPr defaultRowHeight="15" x14ac:dyDescent="0.25"/>
  <cols>
    <col min="2" max="2" width="5" bestFit="1" customWidth="1"/>
    <col min="3" max="3" width="62.5703125" bestFit="1" customWidth="1"/>
    <col min="5" max="5" width="7.42578125" bestFit="1" customWidth="1"/>
    <col min="6" max="6" width="7.5703125" bestFit="1" customWidth="1"/>
  </cols>
  <sheetData>
    <row r="4" spans="2:6" x14ac:dyDescent="0.25">
      <c r="B4" s="12"/>
      <c r="C4" s="12"/>
    </row>
    <row r="5" spans="2:6" x14ac:dyDescent="0.25">
      <c r="B5" s="13"/>
      <c r="C5" s="13" t="s">
        <v>24</v>
      </c>
      <c r="D5" s="14"/>
      <c r="E5" s="14"/>
      <c r="F5" s="14"/>
    </row>
    <row r="6" spans="2:6" x14ac:dyDescent="0.25">
      <c r="B6" s="13"/>
      <c r="C6" s="13" t="s">
        <v>25</v>
      </c>
      <c r="D6" s="14"/>
      <c r="E6" s="14"/>
      <c r="F6" s="14"/>
    </row>
    <row r="7" spans="2:6" x14ac:dyDescent="0.25">
      <c r="B7" s="13"/>
      <c r="C7" s="13" t="s">
        <v>182</v>
      </c>
      <c r="D7" s="14"/>
      <c r="E7" s="14"/>
      <c r="F7" s="14"/>
    </row>
    <row r="8" spans="2:6" x14ac:dyDescent="0.25">
      <c r="B8" s="13"/>
      <c r="C8" s="13" t="s">
        <v>26</v>
      </c>
      <c r="D8" s="14"/>
      <c r="E8" s="14"/>
      <c r="F8" s="14"/>
    </row>
    <row r="9" spans="2:6" x14ac:dyDescent="0.25">
      <c r="B9" s="15"/>
      <c r="C9" s="15" t="s">
        <v>27</v>
      </c>
      <c r="D9" s="15"/>
      <c r="E9" s="15"/>
      <c r="F9" s="15"/>
    </row>
    <row r="10" spans="2:6" x14ac:dyDescent="0.25">
      <c r="B10" s="14"/>
      <c r="C10" s="14"/>
      <c r="D10" s="14"/>
      <c r="E10" s="14"/>
      <c r="F10" s="14"/>
    </row>
    <row r="11" spans="2:6" x14ac:dyDescent="0.25">
      <c r="B11" s="14"/>
      <c r="C11" s="14"/>
      <c r="D11" s="14"/>
      <c r="E11" s="14"/>
      <c r="F11" s="12"/>
    </row>
    <row r="12" spans="2:6" x14ac:dyDescent="0.25">
      <c r="B12" s="16" t="s">
        <v>28</v>
      </c>
      <c r="C12" s="16"/>
      <c r="D12" s="16"/>
      <c r="E12" s="12"/>
      <c r="F12" s="12"/>
    </row>
    <row r="13" spans="2:6" x14ac:dyDescent="0.25">
      <c r="B13" s="17" t="s">
        <v>29</v>
      </c>
      <c r="C13" s="17" t="s">
        <v>30</v>
      </c>
      <c r="D13" s="17"/>
      <c r="E13" s="18"/>
      <c r="F13" s="18"/>
    </row>
    <row r="14" spans="2:6" x14ac:dyDescent="0.25">
      <c r="B14" s="12"/>
      <c r="C14" s="12"/>
      <c r="D14" s="12"/>
      <c r="E14" s="12"/>
      <c r="F14" s="12"/>
    </row>
    <row r="15" spans="2:6" x14ac:dyDescent="0.25">
      <c r="B15" s="19">
        <v>16</v>
      </c>
      <c r="C15" s="20" t="s">
        <v>31</v>
      </c>
      <c r="D15" s="12"/>
      <c r="E15" s="12"/>
      <c r="F15" s="21">
        <v>4.1980000000000003E-3</v>
      </c>
    </row>
    <row r="16" spans="2:6" x14ac:dyDescent="0.25">
      <c r="B16" s="19">
        <v>17</v>
      </c>
      <c r="C16" s="20" t="s">
        <v>32</v>
      </c>
      <c r="D16" s="12"/>
      <c r="E16" s="12"/>
      <c r="F16" s="21">
        <v>4.0000000000000001E-3</v>
      </c>
    </row>
    <row r="17" spans="2:6" x14ac:dyDescent="0.25">
      <c r="B17" s="19">
        <v>18</v>
      </c>
      <c r="C17" s="20" t="s">
        <v>33</v>
      </c>
      <c r="D17" s="12"/>
      <c r="E17" s="21">
        <v>3.8519999999999999E-2</v>
      </c>
      <c r="F17" s="22">
        <v>3.8358000000000003E-2</v>
      </c>
    </row>
    <row r="18" spans="2:6" x14ac:dyDescent="0.25">
      <c r="B18" s="19">
        <v>19</v>
      </c>
      <c r="C18" s="20"/>
      <c r="D18" s="12"/>
      <c r="E18" s="12"/>
      <c r="F18" s="21"/>
    </row>
    <row r="19" spans="2:6" x14ac:dyDescent="0.25">
      <c r="B19" s="19">
        <v>20</v>
      </c>
      <c r="C19" s="20" t="s">
        <v>34</v>
      </c>
      <c r="D19" s="12"/>
      <c r="E19" s="12"/>
      <c r="F19" s="21">
        <f>ROUND(SUM(F15:F17),6)</f>
        <v>4.6556E-2</v>
      </c>
    </row>
    <row r="20" spans="2:6" x14ac:dyDescent="0.25">
      <c r="B20" s="19">
        <v>21</v>
      </c>
      <c r="C20" s="12"/>
      <c r="D20" s="12"/>
      <c r="E20" s="12"/>
      <c r="F20" s="21"/>
    </row>
    <row r="21" spans="2:6" x14ac:dyDescent="0.25">
      <c r="B21" s="19">
        <v>22</v>
      </c>
      <c r="C21" s="12" t="s">
        <v>35</v>
      </c>
      <c r="D21" s="12"/>
      <c r="E21" s="12"/>
      <c r="F21" s="21">
        <f>ROUND(1-F19,6)</f>
        <v>0.95344399999999996</v>
      </c>
    </row>
    <row r="22" spans="2:6" x14ac:dyDescent="0.25">
      <c r="B22" s="19">
        <v>23</v>
      </c>
      <c r="C22" s="20" t="s">
        <v>36</v>
      </c>
      <c r="D22" s="12"/>
      <c r="E22" s="23">
        <v>0.21</v>
      </c>
      <c r="F22" s="21">
        <f>ROUND((F21)*E22,6)</f>
        <v>0.20022300000000001</v>
      </c>
    </row>
    <row r="23" spans="2:6" ht="15.75" thickBot="1" x14ac:dyDescent="0.3">
      <c r="B23" s="19">
        <v>24</v>
      </c>
      <c r="C23" s="20" t="s">
        <v>37</v>
      </c>
      <c r="D23" s="12"/>
      <c r="E23" s="12"/>
      <c r="F23" s="24">
        <f>ROUND(1-F22-F19,6)</f>
        <v>0.75322100000000003</v>
      </c>
    </row>
    <row r="24" spans="2:6" ht="15.75" thickTop="1" x14ac:dyDescent="0.25"/>
  </sheetData>
  <printOptions horizontalCentered="1"/>
  <pageMargins left="0.7" right="0.7" top="0.75" bottom="0.75" header="0.3" footer="0.3"/>
  <pageSetup scale="99" orientation="portrait" horizontalDpi="1200" verticalDpi="1200" r:id="rId1"/>
  <headerFooter>
    <oddFooter>&amp;R&amp;"Times New Roman,Regular"Exh. SEF-3 page 16 of 16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D1807-43A1-4F47-AF63-A4DA128C95FD}">
  <sheetPr>
    <pageSetUpPr fitToPage="1"/>
  </sheetPr>
  <dimension ref="A1:O39"/>
  <sheetViews>
    <sheetView showGridLines="0" zoomScale="110" zoomScaleNormal="110" workbookViewId="0">
      <pane ySplit="5" topLeftCell="A6" activePane="bottomLeft" state="frozen"/>
      <selection pane="bottomLeft" activeCell="O13" sqref="O13"/>
    </sheetView>
  </sheetViews>
  <sheetFormatPr defaultColWidth="8.7109375" defaultRowHeight="15.75" x14ac:dyDescent="0.25"/>
  <cols>
    <col min="1" max="1" width="9.28515625" style="158" customWidth="1"/>
    <col min="2" max="2" width="54.85546875" style="158" bestFit="1" customWidth="1"/>
    <col min="3" max="3" width="17.140625" style="158" customWidth="1"/>
    <col min="4" max="4" width="4.28515625" style="158" customWidth="1"/>
    <col min="5" max="5" width="15.7109375" style="158" bestFit="1" customWidth="1"/>
    <col min="6" max="6" width="15.28515625" style="158" bestFit="1" customWidth="1"/>
    <col min="7" max="7" width="4.28515625" style="158" customWidth="1"/>
    <col min="8" max="9" width="16.28515625" style="158" customWidth="1"/>
    <col min="10" max="10" width="4" style="158" customWidth="1"/>
    <col min="11" max="12" width="16.85546875" style="158" customWidth="1"/>
    <col min="13" max="13" width="3.5703125" style="158" customWidth="1"/>
    <col min="14" max="15" width="16.85546875" style="158" customWidth="1"/>
    <col min="16" max="16384" width="8.7109375" style="158"/>
  </cols>
  <sheetData>
    <row r="1" spans="1:15" x14ac:dyDescent="0.25">
      <c r="A1" s="117" t="s">
        <v>135</v>
      </c>
    </row>
    <row r="2" spans="1:15" x14ac:dyDescent="0.25">
      <c r="A2" s="117" t="s">
        <v>183</v>
      </c>
      <c r="E2" s="220" t="s">
        <v>210</v>
      </c>
      <c r="F2" s="220"/>
      <c r="G2" s="220"/>
      <c r="H2" s="220" t="s">
        <v>210</v>
      </c>
      <c r="I2" s="220"/>
      <c r="J2" s="220"/>
      <c r="K2" s="220"/>
      <c r="L2" s="220"/>
      <c r="M2" s="220"/>
      <c r="N2" s="221"/>
      <c r="O2" s="221"/>
    </row>
    <row r="3" spans="1:15" x14ac:dyDescent="0.25">
      <c r="E3" s="222" t="s">
        <v>202</v>
      </c>
      <c r="F3" s="221"/>
      <c r="G3" s="221"/>
      <c r="H3" s="222" t="s">
        <v>202</v>
      </c>
      <c r="I3" s="221"/>
      <c r="J3" s="221"/>
      <c r="K3" s="222" t="s">
        <v>207</v>
      </c>
      <c r="L3" s="221"/>
      <c r="M3" s="221"/>
      <c r="N3" s="222" t="s">
        <v>207</v>
      </c>
      <c r="O3" s="221"/>
    </row>
    <row r="4" spans="1:15" x14ac:dyDescent="0.25">
      <c r="C4" s="159" t="s">
        <v>139</v>
      </c>
      <c r="D4" s="159"/>
      <c r="E4" s="222" t="s">
        <v>205</v>
      </c>
      <c r="F4" s="221"/>
      <c r="G4" s="221"/>
      <c r="H4" s="222" t="s">
        <v>205</v>
      </c>
      <c r="I4" s="221"/>
      <c r="J4" s="221"/>
      <c r="K4" s="222" t="s">
        <v>208</v>
      </c>
      <c r="L4" s="221"/>
      <c r="M4" s="221"/>
      <c r="N4" s="222" t="s">
        <v>218</v>
      </c>
      <c r="O4" s="221"/>
    </row>
    <row r="5" spans="1:15" x14ac:dyDescent="0.25">
      <c r="A5" s="160" t="s">
        <v>145</v>
      </c>
      <c r="B5" s="160" t="s">
        <v>15</v>
      </c>
      <c r="C5" s="160" t="s">
        <v>140</v>
      </c>
      <c r="D5" s="160"/>
      <c r="E5" s="222" t="s">
        <v>206</v>
      </c>
      <c r="F5" s="221" t="s">
        <v>203</v>
      </c>
      <c r="G5" s="221"/>
      <c r="H5" s="222" t="s">
        <v>132</v>
      </c>
      <c r="I5" s="221" t="s">
        <v>203</v>
      </c>
      <c r="J5" s="221"/>
      <c r="K5" s="222" t="s">
        <v>204</v>
      </c>
      <c r="L5" s="221" t="s">
        <v>203</v>
      </c>
      <c r="M5" s="221"/>
      <c r="N5" s="222" t="s">
        <v>219</v>
      </c>
      <c r="O5" s="221" t="s">
        <v>203</v>
      </c>
    </row>
    <row r="6" spans="1:15" x14ac:dyDescent="0.25">
      <c r="B6" s="161" t="s">
        <v>132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1:15" x14ac:dyDescent="0.25">
      <c r="A7" s="162">
        <f>ROW()</f>
        <v>7</v>
      </c>
      <c r="B7" s="163" t="s">
        <v>80</v>
      </c>
      <c r="C7" s="164">
        <v>243198713.57000002</v>
      </c>
      <c r="D7" s="164"/>
      <c r="E7" s="223">
        <v>243198713.57000002</v>
      </c>
      <c r="F7" s="224">
        <f>E7-C7</f>
        <v>0</v>
      </c>
      <c r="G7" s="221"/>
      <c r="H7" s="225">
        <v>243198713.57000002</v>
      </c>
      <c r="I7" s="224">
        <f>H7-E7</f>
        <v>0</v>
      </c>
      <c r="J7" s="226"/>
      <c r="K7" s="225">
        <v>243198713.57000002</v>
      </c>
      <c r="L7" s="224">
        <f>K7-H7</f>
        <v>0</v>
      </c>
      <c r="M7" s="224"/>
      <c r="N7" s="225">
        <v>242709808.36999992</v>
      </c>
      <c r="O7" s="224">
        <f>N7-K7</f>
        <v>-488905.20000010729</v>
      </c>
    </row>
    <row r="8" spans="1:15" x14ac:dyDescent="0.25">
      <c r="A8" s="162">
        <f>ROW()</f>
        <v>8</v>
      </c>
      <c r="B8" s="163" t="s">
        <v>81</v>
      </c>
      <c r="C8" s="167">
        <v>-13922882.476620706</v>
      </c>
      <c r="D8" s="167"/>
      <c r="E8" s="223">
        <v>-13922882.476620706</v>
      </c>
      <c r="F8" s="224">
        <f t="shared" ref="F8:F10" si="0">E8-C8</f>
        <v>0</v>
      </c>
      <c r="G8" s="221"/>
      <c r="H8" s="225">
        <v>-12884643.579225436</v>
      </c>
      <c r="I8" s="224">
        <f t="shared" ref="I8:I10" si="1">H8-E8</f>
        <v>1038238.8973952699</v>
      </c>
      <c r="J8" s="226"/>
      <c r="K8" s="225">
        <v>-12884643.579225436</v>
      </c>
      <c r="L8" s="224">
        <f t="shared" ref="L8:L10" si="2">K8-H8</f>
        <v>0</v>
      </c>
      <c r="M8" s="224"/>
      <c r="N8" s="225">
        <v>-12858738.917945681</v>
      </c>
      <c r="O8" s="224">
        <f>N8-K8</f>
        <v>25904.661279754713</v>
      </c>
    </row>
    <row r="9" spans="1:15" x14ac:dyDescent="0.25">
      <c r="A9" s="162">
        <f>ROW()</f>
        <v>9</v>
      </c>
      <c r="B9" s="163" t="s">
        <v>136</v>
      </c>
      <c r="C9" s="167">
        <v>-3877235.2276930367</v>
      </c>
      <c r="D9" s="167"/>
      <c r="E9" s="223">
        <v>-3877235.2276930367</v>
      </c>
      <c r="F9" s="224">
        <f t="shared" si="0"/>
        <v>0</v>
      </c>
      <c r="G9" s="221"/>
      <c r="H9" s="225">
        <v>-4095265.3961460427</v>
      </c>
      <c r="I9" s="224">
        <f t="shared" si="1"/>
        <v>-218030.16845300607</v>
      </c>
      <c r="J9" s="226"/>
      <c r="K9" s="225">
        <v>-4095265.3961460427</v>
      </c>
      <c r="L9" s="224">
        <f t="shared" si="2"/>
        <v>0</v>
      </c>
      <c r="M9" s="224"/>
      <c r="N9" s="225">
        <v>-3998035.2830147948</v>
      </c>
      <c r="O9" s="224">
        <f>N9-K9</f>
        <v>97230.113131247927</v>
      </c>
    </row>
    <row r="10" spans="1:15" x14ac:dyDescent="0.25">
      <c r="A10" s="162">
        <f>ROW()</f>
        <v>10</v>
      </c>
      <c r="B10" s="163" t="s">
        <v>131</v>
      </c>
      <c r="C10" s="119">
        <v>225398595.86568627</v>
      </c>
      <c r="D10" s="182"/>
      <c r="E10" s="223">
        <v>225398595.86568627</v>
      </c>
      <c r="F10" s="224">
        <f t="shared" si="0"/>
        <v>0</v>
      </c>
      <c r="G10" s="221"/>
      <c r="H10" s="225">
        <v>226218804.59462854</v>
      </c>
      <c r="I10" s="224">
        <f t="shared" si="1"/>
        <v>820208.72894227505</v>
      </c>
      <c r="J10" s="226"/>
      <c r="K10" s="225">
        <v>226218804.59462854</v>
      </c>
      <c r="L10" s="224">
        <f t="shared" si="2"/>
        <v>0</v>
      </c>
      <c r="M10" s="224"/>
      <c r="N10" s="225">
        <v>225853034.16903943</v>
      </c>
      <c r="O10" s="224">
        <f t="shared" ref="O10" si="3">N10-K10</f>
        <v>-365770.42558911443</v>
      </c>
    </row>
    <row r="11" spans="1:15" x14ac:dyDescent="0.25">
      <c r="A11" s="162"/>
      <c r="C11" s="119"/>
      <c r="D11" s="182"/>
      <c r="E11" s="223"/>
      <c r="F11" s="224"/>
      <c r="G11" s="221"/>
      <c r="H11" s="225"/>
      <c r="I11" s="224"/>
      <c r="J11" s="226"/>
      <c r="K11" s="225"/>
      <c r="L11" s="224"/>
      <c r="M11" s="224"/>
      <c r="N11" s="225"/>
      <c r="O11" s="224"/>
    </row>
    <row r="12" spans="1:15" x14ac:dyDescent="0.25">
      <c r="A12" s="162"/>
      <c r="B12" s="161" t="s">
        <v>133</v>
      </c>
      <c r="C12" s="167"/>
      <c r="D12" s="167"/>
      <c r="E12" s="223"/>
      <c r="F12" s="224"/>
      <c r="G12" s="221"/>
      <c r="H12" s="225"/>
      <c r="I12" s="224"/>
      <c r="J12" s="226"/>
      <c r="K12" s="225"/>
      <c r="L12" s="224"/>
      <c r="M12" s="224"/>
      <c r="N12" s="225"/>
      <c r="O12" s="224"/>
    </row>
    <row r="13" spans="1:15" x14ac:dyDescent="0.25">
      <c r="A13" s="162">
        <f>ROW()</f>
        <v>13</v>
      </c>
      <c r="B13" s="163" t="s">
        <v>177</v>
      </c>
      <c r="C13" s="179">
        <v>10770091.317115707</v>
      </c>
      <c r="D13" s="179"/>
      <c r="E13" s="223">
        <v>10770091.317115707</v>
      </c>
      <c r="F13" s="224">
        <f>E13-C13</f>
        <v>0</v>
      </c>
      <c r="G13" s="221"/>
      <c r="H13" s="225">
        <v>9731852.4197204392</v>
      </c>
      <c r="I13" s="224">
        <f>H13-E13</f>
        <v>-1038238.8973952681</v>
      </c>
      <c r="J13" s="226"/>
      <c r="K13" s="225">
        <v>9731852.4197204392</v>
      </c>
      <c r="L13" s="224">
        <f>K13-H13</f>
        <v>0</v>
      </c>
      <c r="M13" s="224"/>
      <c r="N13" s="225">
        <v>9712285.6702913288</v>
      </c>
      <c r="O13" s="224">
        <f>N13-K13</f>
        <v>-19566.749429110438</v>
      </c>
    </row>
    <row r="14" spans="1:15" x14ac:dyDescent="0.25">
      <c r="A14" s="162">
        <f>ROW()</f>
        <v>14</v>
      </c>
      <c r="B14" s="163" t="s">
        <v>178</v>
      </c>
      <c r="C14" s="191">
        <v>8879093.6488682032</v>
      </c>
      <c r="D14" s="180"/>
      <c r="E14" s="223">
        <v>8879093.6488682032</v>
      </c>
      <c r="F14" s="224">
        <f t="shared" ref="F14:F21" si="4">E14-C14</f>
        <v>0</v>
      </c>
      <c r="G14" s="221"/>
      <c r="H14" s="225">
        <v>8879093.6488682032</v>
      </c>
      <c r="I14" s="224">
        <f t="shared" ref="I14:I21" si="5">H14-E14</f>
        <v>0</v>
      </c>
      <c r="J14" s="226"/>
      <c r="K14" s="225">
        <v>8879093.6488682032</v>
      </c>
      <c r="L14" s="224">
        <f t="shared" ref="L14:L21" si="6">K14-H14</f>
        <v>0</v>
      </c>
      <c r="M14" s="224"/>
      <c r="N14" s="225">
        <v>8879093.6488682032</v>
      </c>
      <c r="O14" s="224">
        <f t="shared" ref="O14:O21" si="7">N14-K14</f>
        <v>0</v>
      </c>
    </row>
    <row r="15" spans="1:15" x14ac:dyDescent="0.25">
      <c r="A15" s="162">
        <f>ROW()</f>
        <v>15</v>
      </c>
      <c r="B15" s="163" t="s">
        <v>151</v>
      </c>
      <c r="C15" s="191">
        <v>-1346261.4146394632</v>
      </c>
      <c r="D15" s="180"/>
      <c r="E15" s="223">
        <v>-1346261.4146394632</v>
      </c>
      <c r="F15" s="224">
        <f t="shared" si="4"/>
        <v>0</v>
      </c>
      <c r="G15" s="221"/>
      <c r="H15" s="225">
        <v>-1216481.5524650549</v>
      </c>
      <c r="I15" s="224">
        <f t="shared" si="5"/>
        <v>129779.86217440828</v>
      </c>
      <c r="J15" s="226"/>
      <c r="K15" s="225">
        <v>-1216481.5524650549</v>
      </c>
      <c r="L15" s="224">
        <f t="shared" si="6"/>
        <v>0</v>
      </c>
      <c r="M15" s="224"/>
      <c r="N15" s="225">
        <v>-1214035.7087864159</v>
      </c>
      <c r="O15" s="224">
        <f t="shared" si="7"/>
        <v>2445.8436786390375</v>
      </c>
    </row>
    <row r="16" spans="1:15" x14ac:dyDescent="0.25">
      <c r="A16" s="162">
        <f>ROW()</f>
        <v>16</v>
      </c>
      <c r="B16" s="163" t="s">
        <v>152</v>
      </c>
      <c r="C16" s="191">
        <v>-1109886.7061085256</v>
      </c>
      <c r="D16" s="180"/>
      <c r="E16" s="223">
        <v>-1109886.7061085256</v>
      </c>
      <c r="F16" s="224">
        <f t="shared" si="4"/>
        <v>0</v>
      </c>
      <c r="G16" s="221"/>
      <c r="H16" s="225">
        <v>-1109886.7061085256</v>
      </c>
      <c r="I16" s="224">
        <f t="shared" si="5"/>
        <v>0</v>
      </c>
      <c r="J16" s="226"/>
      <c r="K16" s="225">
        <v>-1109886.7061085256</v>
      </c>
      <c r="L16" s="224">
        <f t="shared" si="6"/>
        <v>0</v>
      </c>
      <c r="M16" s="224"/>
      <c r="N16" s="225">
        <v>-1109886.7061085256</v>
      </c>
      <c r="O16" s="224">
        <f t="shared" si="7"/>
        <v>0</v>
      </c>
    </row>
    <row r="17" spans="1:15" x14ac:dyDescent="0.25">
      <c r="A17" s="162">
        <f>ROW()</f>
        <v>17</v>
      </c>
      <c r="B17" s="163" t="s">
        <v>153</v>
      </c>
      <c r="C17" s="191">
        <v>-1979004.2795200106</v>
      </c>
      <c r="D17" s="180"/>
      <c r="E17" s="223">
        <v>-1979004.2795200106</v>
      </c>
      <c r="F17" s="224">
        <f>E17-C17</f>
        <v>0</v>
      </c>
      <c r="G17" s="221"/>
      <c r="H17" s="225">
        <v>-1788227.8821236305</v>
      </c>
      <c r="I17" s="224">
        <f>H17-E17</f>
        <v>190776.39739638008</v>
      </c>
      <c r="J17" s="226"/>
      <c r="K17" s="225">
        <v>-1788227.8821236305</v>
      </c>
      <c r="L17" s="224">
        <f>K17-H17</f>
        <v>0</v>
      </c>
      <c r="M17" s="224"/>
      <c r="N17" s="225">
        <v>-1784632.4919160313</v>
      </c>
      <c r="O17" s="224">
        <f>N17-K17</f>
        <v>3595.39020759915</v>
      </c>
    </row>
    <row r="18" spans="1:15" x14ac:dyDescent="0.25">
      <c r="A18" s="162">
        <f>ROW()</f>
        <v>18</v>
      </c>
      <c r="B18" s="163" t="s">
        <v>154</v>
      </c>
      <c r="C18" s="191">
        <v>-1631533.4579795317</v>
      </c>
      <c r="D18" s="180"/>
      <c r="E18" s="223">
        <v>-1631533.4579795317</v>
      </c>
      <c r="F18" s="224">
        <f t="shared" si="4"/>
        <v>0</v>
      </c>
      <c r="G18" s="221"/>
      <c r="H18" s="225">
        <v>-1631533.4579795317</v>
      </c>
      <c r="I18" s="224">
        <f t="shared" si="5"/>
        <v>0</v>
      </c>
      <c r="J18" s="226"/>
      <c r="K18" s="225">
        <v>-1631533.4579795317</v>
      </c>
      <c r="L18" s="224">
        <f t="shared" si="6"/>
        <v>0</v>
      </c>
      <c r="M18" s="224"/>
      <c r="N18" s="225">
        <v>-1631533.4579795317</v>
      </c>
      <c r="O18" s="224">
        <f t="shared" si="7"/>
        <v>0</v>
      </c>
    </row>
    <row r="19" spans="1:15" x14ac:dyDescent="0.25">
      <c r="A19" s="162">
        <f>ROW()</f>
        <v>19</v>
      </c>
      <c r="B19" s="163" t="s">
        <v>38</v>
      </c>
      <c r="C19" s="181">
        <v>13582499.107736383</v>
      </c>
      <c r="D19" s="183"/>
      <c r="E19" s="223">
        <v>13582499.107736383</v>
      </c>
      <c r="F19" s="224">
        <f t="shared" si="4"/>
        <v>0</v>
      </c>
      <c r="G19" s="221"/>
      <c r="H19" s="225">
        <v>12864816.469911901</v>
      </c>
      <c r="I19" s="224">
        <f t="shared" si="5"/>
        <v>-717682.63782448135</v>
      </c>
      <c r="J19" s="226"/>
      <c r="K19" s="225">
        <v>12864816.469911901</v>
      </c>
      <c r="L19" s="224">
        <f t="shared" si="6"/>
        <v>0</v>
      </c>
      <c r="M19" s="224"/>
      <c r="N19" s="225">
        <v>12851290.954369025</v>
      </c>
      <c r="O19" s="224">
        <f t="shared" si="7"/>
        <v>-13525.515542875975</v>
      </c>
    </row>
    <row r="20" spans="1:15" x14ac:dyDescent="0.25">
      <c r="A20" s="162"/>
      <c r="C20" s="119"/>
      <c r="D20" s="182"/>
      <c r="E20" s="223"/>
      <c r="F20" s="224"/>
      <c r="G20" s="221"/>
      <c r="H20" s="225"/>
      <c r="I20" s="224"/>
      <c r="J20" s="226"/>
      <c r="K20" s="225"/>
      <c r="L20" s="224"/>
      <c r="M20" s="224"/>
      <c r="N20" s="225"/>
      <c r="O20" s="224"/>
    </row>
    <row r="21" spans="1:15" x14ac:dyDescent="0.25">
      <c r="A21" s="162">
        <f>ROW()</f>
        <v>21</v>
      </c>
      <c r="B21" s="168" t="s">
        <v>39</v>
      </c>
      <c r="C21" s="118">
        <v>238981094.97342265</v>
      </c>
      <c r="D21" s="118"/>
      <c r="E21" s="223">
        <v>238981094.97342265</v>
      </c>
      <c r="F21" s="224">
        <f t="shared" si="4"/>
        <v>0</v>
      </c>
      <c r="G21" s="221"/>
      <c r="H21" s="225">
        <v>239083621.06454045</v>
      </c>
      <c r="I21" s="224">
        <f t="shared" si="5"/>
        <v>102526.09111779928</v>
      </c>
      <c r="J21" s="226"/>
      <c r="K21" s="225">
        <v>239083621.06454045</v>
      </c>
      <c r="L21" s="224">
        <f t="shared" si="6"/>
        <v>0</v>
      </c>
      <c r="M21" s="224"/>
      <c r="N21" s="225">
        <v>238704325.12340847</v>
      </c>
      <c r="O21" s="224">
        <f t="shared" si="7"/>
        <v>-379295.94113197923</v>
      </c>
    </row>
    <row r="22" spans="1:15" x14ac:dyDescent="0.25">
      <c r="A22" s="162"/>
      <c r="C22" s="118"/>
      <c r="D22" s="118"/>
      <c r="E22" s="223"/>
      <c r="F22" s="224"/>
      <c r="G22" s="221"/>
      <c r="H22" s="225"/>
      <c r="I22" s="224"/>
      <c r="J22" s="226"/>
      <c r="K22" s="225"/>
      <c r="L22" s="224"/>
      <c r="M22" s="224"/>
      <c r="N22" s="221"/>
      <c r="O22" s="224"/>
    </row>
    <row r="23" spans="1:15" x14ac:dyDescent="0.25">
      <c r="A23" s="162">
        <f>ROW()</f>
        <v>23</v>
      </c>
      <c r="B23" s="158" t="s">
        <v>141</v>
      </c>
      <c r="C23" s="169">
        <v>7.1599999999999997E-2</v>
      </c>
      <c r="D23" s="169"/>
      <c r="E23" s="227">
        <v>7.1599999999999997E-2</v>
      </c>
      <c r="F23" s="228"/>
      <c r="G23" s="221"/>
      <c r="H23" s="227">
        <v>7.1599999999999997E-2</v>
      </c>
      <c r="I23" s="228"/>
      <c r="J23" s="226"/>
      <c r="K23" s="227">
        <v>7.1599999999999997E-2</v>
      </c>
      <c r="L23" s="228"/>
      <c r="M23" s="228"/>
      <c r="N23" s="227">
        <v>7.1599999999999997E-2</v>
      </c>
      <c r="O23" s="228"/>
    </row>
    <row r="24" spans="1:15" x14ac:dyDescent="0.25">
      <c r="A24" s="162">
        <f>ROW()</f>
        <v>24</v>
      </c>
      <c r="B24" s="158" t="s">
        <v>142</v>
      </c>
      <c r="C24" s="169">
        <v>2.5500000000000002E-2</v>
      </c>
      <c r="D24" s="169"/>
      <c r="E24" s="227">
        <v>2.5500000000000002E-2</v>
      </c>
      <c r="F24" s="228"/>
      <c r="G24" s="221"/>
      <c r="H24" s="227">
        <v>2.5500000000000002E-2</v>
      </c>
      <c r="I24" s="228"/>
      <c r="J24" s="226"/>
      <c r="K24" s="227">
        <v>2.5500000000000002E-2</v>
      </c>
      <c r="L24" s="228"/>
      <c r="M24" s="228"/>
      <c r="N24" s="227">
        <v>2.5500000000000002E-2</v>
      </c>
      <c r="O24" s="228"/>
    </row>
    <row r="25" spans="1:15" x14ac:dyDescent="0.25">
      <c r="A25" s="162">
        <f>ROW()</f>
        <v>25</v>
      </c>
      <c r="B25" s="158" t="s">
        <v>143</v>
      </c>
      <c r="C25" s="170">
        <v>0.21</v>
      </c>
      <c r="D25" s="170"/>
      <c r="E25" s="227">
        <v>0.21</v>
      </c>
      <c r="F25" s="228"/>
      <c r="G25" s="221"/>
      <c r="H25" s="227">
        <v>0.21</v>
      </c>
      <c r="I25" s="228"/>
      <c r="J25" s="226"/>
      <c r="K25" s="227">
        <v>0.21</v>
      </c>
      <c r="L25" s="228"/>
      <c r="M25" s="228"/>
      <c r="N25" s="227">
        <v>0.21</v>
      </c>
      <c r="O25" s="228"/>
    </row>
    <row r="26" spans="1:15" x14ac:dyDescent="0.25">
      <c r="A26" s="162">
        <f>ROW()</f>
        <v>26</v>
      </c>
      <c r="B26" s="158" t="s">
        <v>176</v>
      </c>
      <c r="C26" s="171">
        <v>17111046.400097061</v>
      </c>
      <c r="D26" s="118"/>
      <c r="E26" s="223">
        <v>17111046.400097061</v>
      </c>
      <c r="F26" s="224">
        <f t="shared" ref="F26" si="8">E26-C26</f>
        <v>0</v>
      </c>
      <c r="G26" s="221"/>
      <c r="H26" s="225">
        <v>17118387.268221095</v>
      </c>
      <c r="I26" s="224">
        <f t="shared" ref="I26" si="9">H26-E26</f>
        <v>7340.8681240342557</v>
      </c>
      <c r="J26" s="226"/>
      <c r="K26" s="225">
        <v>17118387.268221095</v>
      </c>
      <c r="L26" s="224">
        <f t="shared" ref="L26" si="10">K26-H26</f>
        <v>0</v>
      </c>
      <c r="M26" s="224"/>
      <c r="N26" s="225">
        <v>17091229.678836044</v>
      </c>
      <c r="O26" s="224">
        <f t="shared" ref="O26" si="11">N26-K26</f>
        <v>-27157.58938505128</v>
      </c>
    </row>
    <row r="27" spans="1:15" x14ac:dyDescent="0.25">
      <c r="A27" s="162"/>
      <c r="C27" s="118"/>
      <c r="D27" s="118"/>
      <c r="E27" s="223"/>
      <c r="F27" s="224"/>
      <c r="G27" s="221"/>
      <c r="H27" s="225"/>
      <c r="I27" s="224"/>
      <c r="J27" s="226"/>
      <c r="K27" s="225"/>
      <c r="L27" s="224"/>
      <c r="M27" s="224"/>
      <c r="N27" s="221"/>
      <c r="O27" s="224"/>
    </row>
    <row r="28" spans="1:15" x14ac:dyDescent="0.25">
      <c r="A28" s="162"/>
      <c r="B28" s="117" t="s">
        <v>144</v>
      </c>
      <c r="C28" s="118"/>
      <c r="D28" s="118"/>
      <c r="E28" s="223"/>
      <c r="F28" s="224"/>
      <c r="G28" s="221"/>
      <c r="H28" s="225"/>
      <c r="I28" s="224"/>
      <c r="J28" s="226"/>
      <c r="K28" s="225"/>
      <c r="L28" s="224"/>
      <c r="M28" s="224"/>
      <c r="N28" s="221"/>
      <c r="O28" s="224"/>
    </row>
    <row r="29" spans="1:15" x14ac:dyDescent="0.25">
      <c r="A29" s="162">
        <f>ROW()</f>
        <v>29</v>
      </c>
      <c r="B29" s="163" t="s">
        <v>16</v>
      </c>
      <c r="C29" s="164">
        <v>-4244174.6789823789</v>
      </c>
      <c r="D29" s="164"/>
      <c r="E29" s="223">
        <v>-4244174.6789823789</v>
      </c>
      <c r="F29" s="224">
        <f t="shared" ref="F29:F33" si="12">E29-C29</f>
        <v>0</v>
      </c>
      <c r="G29" s="229"/>
      <c r="H29" s="225">
        <v>-4244174.6789823789</v>
      </c>
      <c r="I29" s="224">
        <f>H29-E29</f>
        <v>0</v>
      </c>
      <c r="J29" s="226"/>
      <c r="K29" s="225">
        <v>-4244174.6789823789</v>
      </c>
      <c r="L29" s="224">
        <f>K29-H29</f>
        <v>0</v>
      </c>
      <c r="M29" s="224"/>
      <c r="N29" s="225">
        <v>-4244174.6789823789</v>
      </c>
      <c r="O29" s="224">
        <f>N29-K29</f>
        <v>0</v>
      </c>
    </row>
    <row r="30" spans="1:15" x14ac:dyDescent="0.25">
      <c r="A30" s="162">
        <f>ROW()</f>
        <v>30</v>
      </c>
      <c r="B30" s="163" t="s">
        <v>17</v>
      </c>
      <c r="C30" s="192">
        <v>-4981410.0320178997</v>
      </c>
      <c r="D30" s="164"/>
      <c r="E30" s="223">
        <v>-4981410.0320178997</v>
      </c>
      <c r="F30" s="224">
        <f t="shared" si="12"/>
        <v>0</v>
      </c>
      <c r="G30" s="229"/>
      <c r="H30" s="225">
        <v>-4981410.0320178997</v>
      </c>
      <c r="I30" s="224">
        <f t="shared" ref="I30:I33" si="13">H30-E30</f>
        <v>0</v>
      </c>
      <c r="J30" s="226"/>
      <c r="K30" s="225">
        <v>-4981410.0320178997</v>
      </c>
      <c r="L30" s="224">
        <f t="shared" ref="L30:L33" si="14">K30-H30</f>
        <v>0</v>
      </c>
      <c r="M30" s="224"/>
      <c r="N30" s="225">
        <v>-4971396.1312938761</v>
      </c>
      <c r="O30" s="224">
        <f t="shared" ref="O30:O33" si="15">N30-K30</f>
        <v>10013.900724023581</v>
      </c>
    </row>
    <row r="31" spans="1:15" x14ac:dyDescent="0.25">
      <c r="A31" s="162">
        <f>ROW()</f>
        <v>31</v>
      </c>
      <c r="B31" s="163" t="s">
        <v>137</v>
      </c>
      <c r="C31" s="192">
        <v>-10823500.59966886</v>
      </c>
      <c r="D31" s="164"/>
      <c r="E31" s="223">
        <v>-10121965.391396791</v>
      </c>
      <c r="F31" s="224">
        <f t="shared" si="12"/>
        <v>701535.20827206969</v>
      </c>
      <c r="G31" s="229"/>
      <c r="H31" s="225">
        <v>-9916913.2091612276</v>
      </c>
      <c r="I31" s="224">
        <f t="shared" si="13"/>
        <v>205052.18223556317</v>
      </c>
      <c r="J31" s="226"/>
      <c r="K31" s="225">
        <v>-6891542.6234879307</v>
      </c>
      <c r="L31" s="224">
        <f t="shared" si="14"/>
        <v>3025370.5856732968</v>
      </c>
      <c r="M31" s="224"/>
      <c r="N31" s="225">
        <v>-6887678.1904756809</v>
      </c>
      <c r="O31" s="224">
        <f t="shared" si="15"/>
        <v>3864.4330122498795</v>
      </c>
    </row>
    <row r="32" spans="1:15" ht="15.95" customHeight="1" x14ac:dyDescent="0.25">
      <c r="A32" s="162">
        <f>ROW()</f>
        <v>32</v>
      </c>
      <c r="B32" s="163" t="s">
        <v>181</v>
      </c>
      <c r="C32" s="192">
        <v>1279743.7635826783</v>
      </c>
      <c r="D32" s="164"/>
      <c r="E32" s="223">
        <v>1279743.7635826783</v>
      </c>
      <c r="F32" s="224">
        <f t="shared" si="12"/>
        <v>0</v>
      </c>
      <c r="G32" s="221"/>
      <c r="H32" s="225">
        <v>1280292.7908006143</v>
      </c>
      <c r="I32" s="224">
        <f t="shared" si="13"/>
        <v>549.02721793600358</v>
      </c>
      <c r="J32" s="226"/>
      <c r="K32" s="225">
        <v>1280292.7908006143</v>
      </c>
      <c r="L32" s="224">
        <f t="shared" si="14"/>
        <v>0</v>
      </c>
      <c r="M32" s="224"/>
      <c r="N32" s="225">
        <v>1278261.6610358523</v>
      </c>
      <c r="O32" s="224">
        <f t="shared" si="15"/>
        <v>-2031.1297647620086</v>
      </c>
    </row>
    <row r="33" spans="1:15" x14ac:dyDescent="0.25">
      <c r="A33" s="162">
        <f>ROW()</f>
        <v>33</v>
      </c>
      <c r="B33" s="158" t="s">
        <v>40</v>
      </c>
      <c r="C33" s="171">
        <v>35880387.94718352</v>
      </c>
      <c r="D33" s="118"/>
      <c r="E33" s="223">
        <v>35178852.73891145</v>
      </c>
      <c r="F33" s="224">
        <f t="shared" si="12"/>
        <v>-701535.20827206969</v>
      </c>
      <c r="G33" s="221"/>
      <c r="H33" s="225">
        <v>34980592.397581987</v>
      </c>
      <c r="I33" s="224">
        <f t="shared" si="13"/>
        <v>-198260.34132946283</v>
      </c>
      <c r="J33" s="226"/>
      <c r="K33" s="225">
        <v>31955221.811908692</v>
      </c>
      <c r="L33" s="224">
        <f t="shared" si="14"/>
        <v>-3025370.585673295</v>
      </c>
      <c r="M33" s="224"/>
      <c r="N33" s="225">
        <v>31916217.018552125</v>
      </c>
      <c r="O33" s="224">
        <f t="shared" si="15"/>
        <v>-39004.793356567621</v>
      </c>
    </row>
    <row r="34" spans="1:15" x14ac:dyDescent="0.25">
      <c r="A34" s="162"/>
      <c r="C34" s="118"/>
      <c r="D34" s="118"/>
      <c r="E34" s="223"/>
      <c r="F34" s="224"/>
      <c r="G34" s="221"/>
      <c r="H34" s="225"/>
      <c r="I34" s="224"/>
      <c r="J34" s="226"/>
      <c r="K34" s="225"/>
      <c r="L34" s="224"/>
      <c r="M34" s="224"/>
      <c r="N34" s="221"/>
      <c r="O34" s="224"/>
    </row>
    <row r="35" spans="1:15" x14ac:dyDescent="0.25">
      <c r="A35" s="162">
        <f>ROW()</f>
        <v>35</v>
      </c>
      <c r="B35" s="163" t="s">
        <v>18</v>
      </c>
      <c r="C35" s="172">
        <v>0.75322100000000003</v>
      </c>
      <c r="D35" s="172"/>
      <c r="E35" s="230">
        <v>0.75322100000000003</v>
      </c>
      <c r="F35" s="230"/>
      <c r="G35" s="221"/>
      <c r="H35" s="230">
        <v>0.75322100000000003</v>
      </c>
      <c r="I35" s="230"/>
      <c r="J35" s="226"/>
      <c r="K35" s="230">
        <v>0.75322100000000003</v>
      </c>
      <c r="L35" s="230"/>
      <c r="M35" s="230"/>
      <c r="N35" s="221">
        <v>0.75322100000000003</v>
      </c>
      <c r="O35" s="230"/>
    </row>
    <row r="36" spans="1:15" ht="16.5" thickBot="1" x14ac:dyDescent="0.3">
      <c r="A36" s="162">
        <f>ROW()</f>
        <v>36</v>
      </c>
      <c r="B36" s="163" t="s">
        <v>42</v>
      </c>
      <c r="C36" s="173">
        <v>47635936.793030888</v>
      </c>
      <c r="D36" s="118"/>
      <c r="E36" s="223">
        <v>46704556.483304963</v>
      </c>
      <c r="F36" s="224">
        <f t="shared" ref="F36" si="16">E36-C36</f>
        <v>-931380.30972592533</v>
      </c>
      <c r="G36" s="221"/>
      <c r="H36" s="225">
        <v>46441339.789493367</v>
      </c>
      <c r="I36" s="224">
        <f>H36-E36</f>
        <v>-263216.69381159544</v>
      </c>
      <c r="J36" s="226"/>
      <c r="K36" s="225">
        <v>42424762.203800336</v>
      </c>
      <c r="L36" s="224">
        <f>K36-H36</f>
        <v>-4016577.5856930315</v>
      </c>
      <c r="M36" s="224"/>
      <c r="N36" s="225">
        <v>42372978.207660332</v>
      </c>
      <c r="O36" s="224">
        <f>N36-K36</f>
        <v>-51783.996140003204</v>
      </c>
    </row>
    <row r="37" spans="1:15" ht="16.5" thickTop="1" x14ac:dyDescent="0.25">
      <c r="A37" s="162"/>
      <c r="B37" s="163"/>
      <c r="C37" s="174"/>
      <c r="D37" s="174"/>
      <c r="E37" s="165"/>
      <c r="F37" s="166"/>
    </row>
    <row r="38" spans="1:15" x14ac:dyDescent="0.25">
      <c r="A38" s="162"/>
      <c r="C38" s="175"/>
      <c r="D38" s="175"/>
    </row>
    <row r="39" spans="1:15" x14ac:dyDescent="0.25">
      <c r="A39" s="162"/>
    </row>
  </sheetData>
  <printOptions horizontalCentered="1"/>
  <pageMargins left="0.7" right="0.7" top="0.75" bottom="0.75" header="0.3" footer="0.3"/>
  <pageSetup scale="53" orientation="landscape" r:id="rId1"/>
  <headerFooter>
    <oddFooter>&amp;R&amp;"Times New Roman,Regular"&amp;10Exh. SEF-3 page 1 of 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showGridLines="0" tabSelected="1" zoomScale="110" zoomScaleNormal="110" workbookViewId="0">
      <pane ySplit="12" topLeftCell="A13" activePane="bottomLeft" state="frozen"/>
      <selection pane="bottomLeft" activeCell="C20" sqref="C20"/>
    </sheetView>
  </sheetViews>
  <sheetFormatPr defaultColWidth="8.7109375" defaultRowHeight="15.75" x14ac:dyDescent="0.25"/>
  <cols>
    <col min="1" max="1" width="9.28515625" style="158" customWidth="1"/>
    <col min="2" max="2" width="67.85546875" style="158" customWidth="1"/>
    <col min="3" max="3" width="17.140625" style="158" customWidth="1"/>
    <col min="4" max="4" width="1.5703125" style="158" customWidth="1"/>
    <col min="5" max="5" width="17.140625" style="158" customWidth="1"/>
    <col min="6" max="6" width="18.28515625" style="158" bestFit="1" customWidth="1"/>
    <col min="7" max="16384" width="8.7109375" style="158"/>
  </cols>
  <sheetData>
    <row r="1" spans="1:11" x14ac:dyDescent="0.25">
      <c r="F1" s="219" t="s">
        <v>226</v>
      </c>
    </row>
    <row r="2" spans="1:11" x14ac:dyDescent="0.25">
      <c r="F2" s="219" t="s">
        <v>225</v>
      </c>
    </row>
    <row r="3" spans="1:11" x14ac:dyDescent="0.25">
      <c r="F3" s="47" t="s">
        <v>230</v>
      </c>
    </row>
    <row r="4" spans="1:11" x14ac:dyDescent="0.25">
      <c r="A4" s="117" t="s">
        <v>223</v>
      </c>
    </row>
    <row r="5" spans="1:11" x14ac:dyDescent="0.25">
      <c r="A5" s="117" t="s">
        <v>227</v>
      </c>
    </row>
    <row r="6" spans="1:11" x14ac:dyDescent="0.25">
      <c r="A6" s="117" t="s">
        <v>228</v>
      </c>
      <c r="G6" s="26"/>
      <c r="H6" s="26"/>
      <c r="I6" s="26"/>
      <c r="J6" s="26"/>
      <c r="K6" s="26"/>
    </row>
    <row r="7" spans="1:11" x14ac:dyDescent="0.25">
      <c r="A7" s="117"/>
      <c r="F7" s="26"/>
      <c r="G7" s="26"/>
      <c r="H7" s="26"/>
      <c r="I7" s="26"/>
      <c r="J7" s="26"/>
      <c r="K7" s="26"/>
    </row>
    <row r="8" spans="1:11" x14ac:dyDescent="0.25">
      <c r="A8" s="117"/>
      <c r="F8" s="26"/>
      <c r="G8" s="26"/>
      <c r="H8" s="26"/>
      <c r="I8" s="26"/>
      <c r="J8" s="26"/>
      <c r="K8" s="26"/>
    </row>
    <row r="9" spans="1:11" x14ac:dyDescent="0.25">
      <c r="C9" s="236" t="s">
        <v>220</v>
      </c>
      <c r="D9" s="236"/>
      <c r="E9" s="236"/>
      <c r="F9" s="236"/>
    </row>
    <row r="10" spans="1:11" x14ac:dyDescent="0.25">
      <c r="C10" s="159" t="s">
        <v>221</v>
      </c>
      <c r="D10" s="159"/>
      <c r="E10" s="159"/>
    </row>
    <row r="11" spans="1:11" x14ac:dyDescent="0.25">
      <c r="A11" s="159" t="s">
        <v>145</v>
      </c>
      <c r="B11" s="159" t="s">
        <v>15</v>
      </c>
      <c r="C11" s="159" t="s">
        <v>222</v>
      </c>
      <c r="D11" s="159"/>
      <c r="E11" s="159" t="s">
        <v>209</v>
      </c>
      <c r="F11" s="159" t="s">
        <v>203</v>
      </c>
    </row>
    <row r="12" spans="1:11" x14ac:dyDescent="0.25">
      <c r="A12" s="159"/>
      <c r="B12" s="159"/>
      <c r="C12" s="159" t="s">
        <v>98</v>
      </c>
      <c r="D12" s="159"/>
      <c r="E12" s="159" t="s">
        <v>63</v>
      </c>
      <c r="F12" s="159" t="s">
        <v>229</v>
      </c>
    </row>
    <row r="13" spans="1:11" x14ac:dyDescent="0.25">
      <c r="B13" s="161" t="s">
        <v>132</v>
      </c>
    </row>
    <row r="14" spans="1:11" x14ac:dyDescent="0.25">
      <c r="A14" s="162">
        <f>ROW()</f>
        <v>14</v>
      </c>
      <c r="B14" s="163" t="s">
        <v>80</v>
      </c>
      <c r="C14" s="167">
        <f>'Plant Additions'!C50</f>
        <v>242655485.57000002</v>
      </c>
      <c r="D14" s="164"/>
      <c r="E14" s="167">
        <v>243198713.57000002</v>
      </c>
      <c r="F14" s="204">
        <f>C14-E14</f>
        <v>-543228</v>
      </c>
    </row>
    <row r="15" spans="1:11" x14ac:dyDescent="0.25">
      <c r="A15" s="162">
        <f>ROW()</f>
        <v>15</v>
      </c>
      <c r="B15" s="163" t="s">
        <v>81</v>
      </c>
      <c r="C15" s="167">
        <f>'Plant Additions'!C51</f>
        <v>-12855860.622247927</v>
      </c>
      <c r="D15" s="167"/>
      <c r="E15" s="167">
        <v>-13922882.476620706</v>
      </c>
      <c r="F15" s="204">
        <f t="shared" ref="F15:F43" si="0">C15-E15</f>
        <v>1067021.8543727789</v>
      </c>
    </row>
    <row r="16" spans="1:11" x14ac:dyDescent="0.25">
      <c r="A16" s="162">
        <f>ROW()</f>
        <v>16</v>
      </c>
      <c r="B16" s="163" t="s">
        <v>136</v>
      </c>
      <c r="C16" s="167">
        <f>'Plant Additions'!C52</f>
        <v>-3987231.9371113214</v>
      </c>
      <c r="D16" s="167"/>
      <c r="E16" s="167">
        <v>-3877235.2276930367</v>
      </c>
      <c r="F16" s="205">
        <f t="shared" si="0"/>
        <v>-109996.70941828471</v>
      </c>
    </row>
    <row r="17" spans="1:6" x14ac:dyDescent="0.25">
      <c r="A17" s="162">
        <f>ROW()</f>
        <v>17</v>
      </c>
      <c r="B17" s="163" t="s">
        <v>131</v>
      </c>
      <c r="C17" s="119">
        <f>SUM(C14:C16)</f>
        <v>225812393.01064077</v>
      </c>
      <c r="D17" s="182"/>
      <c r="E17" s="119">
        <v>225398595.86568627</v>
      </c>
      <c r="F17" s="205">
        <f t="shared" si="0"/>
        <v>413797.14495450258</v>
      </c>
    </row>
    <row r="18" spans="1:6" x14ac:dyDescent="0.25">
      <c r="A18" s="162"/>
      <c r="C18" s="119"/>
      <c r="D18" s="182"/>
      <c r="E18" s="119"/>
      <c r="F18" s="204"/>
    </row>
    <row r="19" spans="1:6" x14ac:dyDescent="0.25">
      <c r="A19" s="162"/>
      <c r="B19" s="161" t="s">
        <v>133</v>
      </c>
      <c r="C19" s="167"/>
      <c r="D19" s="167"/>
      <c r="E19" s="167"/>
      <c r="F19" s="204"/>
    </row>
    <row r="20" spans="1:6" x14ac:dyDescent="0.25">
      <c r="A20" s="162">
        <f>ROW()</f>
        <v>20</v>
      </c>
      <c r="B20" s="163" t="s">
        <v>177</v>
      </c>
      <c r="C20" s="179">
        <f>'LNG Depreciation Deferral'!E59</f>
        <v>9710111.5870214254</v>
      </c>
      <c r="D20" s="179"/>
      <c r="E20" s="179">
        <v>10770091.317115707</v>
      </c>
      <c r="F20" s="204">
        <f>C20-E20</f>
        <v>-1059979.730094282</v>
      </c>
    </row>
    <row r="21" spans="1:6" x14ac:dyDescent="0.25">
      <c r="A21" s="162">
        <f>ROW()</f>
        <v>21</v>
      </c>
      <c r="B21" s="163" t="s">
        <v>178</v>
      </c>
      <c r="C21" s="191">
        <f>'LNG O&amp;M Deferral'!E59</f>
        <v>8879093.6488682032</v>
      </c>
      <c r="D21" s="180"/>
      <c r="E21" s="191">
        <v>8879093.6488682032</v>
      </c>
      <c r="F21" s="204">
        <f t="shared" si="0"/>
        <v>0</v>
      </c>
    </row>
    <row r="22" spans="1:6" x14ac:dyDescent="0.25">
      <c r="A22" s="162">
        <f>ROW()</f>
        <v>22</v>
      </c>
      <c r="B22" s="163" t="s">
        <v>151</v>
      </c>
      <c r="C22" s="191">
        <f>'LNG Depreciation Deferral'!$H$59</f>
        <v>-1213763.9483776782</v>
      </c>
      <c r="D22" s="180"/>
      <c r="E22" s="191">
        <v>-1346261.4146394632</v>
      </c>
      <c r="F22" s="204">
        <f t="shared" si="0"/>
        <v>132497.46626178501</v>
      </c>
    </row>
    <row r="23" spans="1:6" x14ac:dyDescent="0.25">
      <c r="A23" s="162">
        <f>ROW()</f>
        <v>23</v>
      </c>
      <c r="B23" s="163" t="s">
        <v>152</v>
      </c>
      <c r="C23" s="191">
        <f>'LNG O&amp;M Deferral'!H59</f>
        <v>-1109886.7061085256</v>
      </c>
      <c r="D23" s="180"/>
      <c r="E23" s="191">
        <v>-1109886.7061085256</v>
      </c>
      <c r="F23" s="204">
        <f t="shared" si="0"/>
        <v>0</v>
      </c>
    </row>
    <row r="24" spans="1:6" x14ac:dyDescent="0.25">
      <c r="A24" s="162">
        <f>ROW()</f>
        <v>24</v>
      </c>
      <c r="B24" s="163" t="s">
        <v>153</v>
      </c>
      <c r="C24" s="191">
        <f>'LNG Depreciation Deferral'!L59</f>
        <v>-1784233.0041151864</v>
      </c>
      <c r="D24" s="180"/>
      <c r="E24" s="191">
        <v>-1979004.2795200106</v>
      </c>
      <c r="F24" s="204">
        <f t="shared" si="0"/>
        <v>194771.27540482418</v>
      </c>
    </row>
    <row r="25" spans="1:6" x14ac:dyDescent="0.25">
      <c r="A25" s="162">
        <f>ROW()</f>
        <v>25</v>
      </c>
      <c r="B25" s="163" t="s">
        <v>154</v>
      </c>
      <c r="C25" s="191">
        <f>'LNG O&amp;M Deferral'!$L$59</f>
        <v>-1631533.4579795317</v>
      </c>
      <c r="D25" s="180"/>
      <c r="E25" s="191">
        <v>-1631533.4579795317</v>
      </c>
      <c r="F25" s="204">
        <f t="shared" si="0"/>
        <v>0</v>
      </c>
    </row>
    <row r="26" spans="1:6" x14ac:dyDescent="0.25">
      <c r="A26" s="162">
        <f>ROW()</f>
        <v>26</v>
      </c>
      <c r="B26" s="163" t="s">
        <v>38</v>
      </c>
      <c r="C26" s="181">
        <f>SUM(C20:C25)</f>
        <v>12849788.119308708</v>
      </c>
      <c r="D26" s="183"/>
      <c r="E26" s="181">
        <v>13582499.107736383</v>
      </c>
      <c r="F26" s="204">
        <f t="shared" si="0"/>
        <v>-732710.9884276744</v>
      </c>
    </row>
    <row r="27" spans="1:6" x14ac:dyDescent="0.25">
      <c r="A27" s="162"/>
      <c r="C27" s="119"/>
      <c r="D27" s="182"/>
      <c r="E27" s="119"/>
      <c r="F27" s="204"/>
    </row>
    <row r="28" spans="1:6" x14ac:dyDescent="0.25">
      <c r="A28" s="162">
        <f>ROW()</f>
        <v>28</v>
      </c>
      <c r="B28" s="168" t="s">
        <v>39</v>
      </c>
      <c r="C28" s="118">
        <f>C17+C26</f>
        <v>238662181.12994948</v>
      </c>
      <c r="D28" s="118"/>
      <c r="E28" s="118">
        <v>238981094.97342265</v>
      </c>
      <c r="F28" s="204">
        <f t="shared" si="0"/>
        <v>-318913.84347316623</v>
      </c>
    </row>
    <row r="29" spans="1:6" x14ac:dyDescent="0.25">
      <c r="A29" s="162"/>
      <c r="C29" s="118"/>
      <c r="D29" s="118"/>
      <c r="E29" s="118"/>
      <c r="F29" s="204"/>
    </row>
    <row r="30" spans="1:6" x14ac:dyDescent="0.25">
      <c r="A30" s="162">
        <f>ROW()</f>
        <v>30</v>
      </c>
      <c r="B30" s="158" t="s">
        <v>141</v>
      </c>
      <c r="C30" s="169">
        <f>ROUND(ROR!E6,4)</f>
        <v>7.1599999999999997E-2</v>
      </c>
      <c r="D30" s="169"/>
      <c r="E30" s="169">
        <v>7.1599999999999997E-2</v>
      </c>
      <c r="F30" s="169">
        <v>7.1599999999999997E-2</v>
      </c>
    </row>
    <row r="31" spans="1:6" x14ac:dyDescent="0.25">
      <c r="A31" s="162">
        <f>ROW()</f>
        <v>31</v>
      </c>
      <c r="B31" s="158" t="s">
        <v>142</v>
      </c>
      <c r="C31" s="169">
        <f>ROR!E4</f>
        <v>2.5500000000000002E-2</v>
      </c>
      <c r="D31" s="169"/>
      <c r="E31" s="169">
        <v>2.5500000000000002E-2</v>
      </c>
      <c r="F31" s="169">
        <v>2.5500000000000002E-2</v>
      </c>
    </row>
    <row r="32" spans="1:6" x14ac:dyDescent="0.25">
      <c r="A32" s="162">
        <f>ROW()</f>
        <v>32</v>
      </c>
      <c r="B32" s="158" t="s">
        <v>143</v>
      </c>
      <c r="C32" s="170">
        <v>0.21</v>
      </c>
      <c r="D32" s="170"/>
      <c r="E32" s="170">
        <v>0.21</v>
      </c>
      <c r="F32" s="170">
        <v>0.21</v>
      </c>
    </row>
    <row r="33" spans="1:6" x14ac:dyDescent="0.25">
      <c r="A33" s="162">
        <f>ROW()</f>
        <v>33</v>
      </c>
      <c r="B33" s="158" t="s">
        <v>176</v>
      </c>
      <c r="C33" s="171">
        <f>C28*C30</f>
        <v>17088212.168904383</v>
      </c>
      <c r="D33" s="118"/>
      <c r="E33" s="171">
        <v>17111046.400097061</v>
      </c>
      <c r="F33" s="204">
        <f t="shared" si="0"/>
        <v>-22834.231192678213</v>
      </c>
    </row>
    <row r="34" spans="1:6" x14ac:dyDescent="0.25">
      <c r="A34" s="162"/>
      <c r="C34" s="118"/>
      <c r="D34" s="118"/>
      <c r="E34" s="118"/>
      <c r="F34" s="204"/>
    </row>
    <row r="35" spans="1:6" x14ac:dyDescent="0.25">
      <c r="A35" s="162"/>
      <c r="B35" s="117" t="s">
        <v>144</v>
      </c>
      <c r="C35" s="118"/>
      <c r="D35" s="118"/>
      <c r="E35" s="118"/>
      <c r="F35" s="204"/>
    </row>
    <row r="36" spans="1:6" x14ac:dyDescent="0.25">
      <c r="A36" s="162">
        <f>ROW()</f>
        <v>36</v>
      </c>
      <c r="B36" s="163" t="s">
        <v>16</v>
      </c>
      <c r="C36" s="164">
        <f>'O&amp;M'!U27</f>
        <v>-4244174.6789823789</v>
      </c>
      <c r="D36" s="164"/>
      <c r="E36" s="164">
        <v>-4244174.6789823789</v>
      </c>
      <c r="F36" s="204">
        <f t="shared" si="0"/>
        <v>0</v>
      </c>
    </row>
    <row r="37" spans="1:6" x14ac:dyDescent="0.25">
      <c r="A37" s="162">
        <f>ROW()</f>
        <v>37</v>
      </c>
      <c r="B37" s="163" t="s">
        <v>17</v>
      </c>
      <c r="C37" s="192">
        <f>-SUM('Plant Additions'!F33:F44)*0.79</f>
        <v>-4970283.4756578729</v>
      </c>
      <c r="D37" s="164"/>
      <c r="E37" s="192">
        <v>-4981410.0320178997</v>
      </c>
      <c r="F37" s="204">
        <f t="shared" si="0"/>
        <v>11126.556360026821</v>
      </c>
    </row>
    <row r="38" spans="1:6" x14ac:dyDescent="0.25">
      <c r="A38" s="162">
        <f>ROW()</f>
        <v>38</v>
      </c>
      <c r="B38" s="163" t="s">
        <v>137</v>
      </c>
      <c r="C38" s="192">
        <f>'Total Deferrals'!D10</f>
        <v>-6887248.8090298753</v>
      </c>
      <c r="D38" s="164"/>
      <c r="E38" s="192">
        <v>-10823500.59966886</v>
      </c>
      <c r="F38" s="204">
        <f t="shared" si="0"/>
        <v>3936251.7906389851</v>
      </c>
    </row>
    <row r="39" spans="1:6" ht="15.95" customHeight="1" x14ac:dyDescent="0.25">
      <c r="A39" s="162">
        <f>ROW()</f>
        <v>39</v>
      </c>
      <c r="B39" s="163" t="s">
        <v>181</v>
      </c>
      <c r="C39" s="192">
        <f>C28*C31*C32</f>
        <v>1278035.9799508795</v>
      </c>
      <c r="D39" s="164"/>
      <c r="E39" s="192">
        <v>1279743.7635826783</v>
      </c>
      <c r="F39" s="204">
        <f t="shared" si="0"/>
        <v>-1707.7836317988113</v>
      </c>
    </row>
    <row r="40" spans="1:6" x14ac:dyDescent="0.25">
      <c r="A40" s="162">
        <f>ROW()</f>
        <v>40</v>
      </c>
      <c r="B40" s="158" t="s">
        <v>40</v>
      </c>
      <c r="C40" s="171">
        <f>C33-SUM(C36:C39)</f>
        <v>31911883.152623631</v>
      </c>
      <c r="D40" s="118"/>
      <c r="E40" s="171">
        <v>35880387.94718352</v>
      </c>
      <c r="F40" s="204">
        <f t="shared" si="0"/>
        <v>-3968504.7945598885</v>
      </c>
    </row>
    <row r="41" spans="1:6" x14ac:dyDescent="0.25">
      <c r="A41" s="162"/>
      <c r="C41" s="118"/>
      <c r="D41" s="118"/>
      <c r="E41" s="118"/>
      <c r="F41" s="204"/>
    </row>
    <row r="42" spans="1:6" x14ac:dyDescent="0.25">
      <c r="A42" s="162">
        <f>ROW()</f>
        <v>42</v>
      </c>
      <c r="B42" s="163" t="s">
        <v>18</v>
      </c>
      <c r="C42" s="172">
        <f>'Gas Conv Factor'!F23</f>
        <v>0.75322100000000003</v>
      </c>
      <c r="D42" s="172"/>
      <c r="E42" s="172">
        <v>0.75322100000000003</v>
      </c>
      <c r="F42" s="204">
        <f t="shared" si="0"/>
        <v>0</v>
      </c>
    </row>
    <row r="43" spans="1:6" ht="16.5" thickBot="1" x14ac:dyDescent="0.3">
      <c r="A43" s="162">
        <f>ROW()</f>
        <v>43</v>
      </c>
      <c r="B43" s="163" t="s">
        <v>42</v>
      </c>
      <c r="C43" s="173">
        <f>C40/C42</f>
        <v>42367224.430311464</v>
      </c>
      <c r="D43" s="118"/>
      <c r="E43" s="173">
        <v>47635936.793030888</v>
      </c>
      <c r="F43" s="204">
        <f t="shared" si="0"/>
        <v>-5268712.3627194241</v>
      </c>
    </row>
    <row r="44" spans="1:6" ht="16.5" thickTop="1" x14ac:dyDescent="0.25">
      <c r="A44" s="162"/>
      <c r="B44" s="163"/>
      <c r="C44" s="174"/>
      <c r="D44" s="174"/>
      <c r="E44" s="174"/>
    </row>
    <row r="45" spans="1:6" x14ac:dyDescent="0.25">
      <c r="A45" s="162"/>
      <c r="C45" s="175"/>
      <c r="D45" s="175"/>
      <c r="E45" s="175"/>
    </row>
    <row r="46" spans="1:6" x14ac:dyDescent="0.25">
      <c r="A46" s="162"/>
    </row>
  </sheetData>
  <mergeCells count="1">
    <mergeCell ref="C9:F9"/>
  </mergeCells>
  <printOptions horizontalCentered="1"/>
  <pageMargins left="0.7" right="0.7" top="0.75" bottom="0.75" header="0.3" footer="0.3"/>
  <pageSetup scale="68" orientation="portrait" r:id="rId1"/>
  <headerFooter>
    <oddFooter>&amp;R&amp;"Times New Roman,Regular"&amp;10Exh. SEF-3 page 1 of 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4"/>
  <sheetViews>
    <sheetView workbookViewId="0">
      <pane xSplit="2" ySplit="9" topLeftCell="C25" activePane="bottomRight" state="frozen"/>
      <selection activeCell="C35" sqref="C35"/>
      <selection pane="topRight" activeCell="C35" sqref="C35"/>
      <selection pane="bottomLeft" activeCell="C35" sqref="C35"/>
      <selection pane="bottomRight" activeCell="E50" sqref="E50"/>
    </sheetView>
  </sheetViews>
  <sheetFormatPr defaultColWidth="9.140625" defaultRowHeight="15" x14ac:dyDescent="0.25"/>
  <cols>
    <col min="1" max="1" width="3.85546875" style="1" customWidth="1"/>
    <col min="2" max="2" width="20.42578125" customWidth="1"/>
    <col min="3" max="3" width="14.5703125" bestFit="1" customWidth="1"/>
    <col min="4" max="14" width="12.7109375" customWidth="1"/>
    <col min="15" max="15" width="12.28515625" bestFit="1" customWidth="1"/>
    <col min="18" max="18" width="12.5703125" bestFit="1" customWidth="1"/>
  </cols>
  <sheetData>
    <row r="1" spans="2:18" x14ac:dyDescent="0.25">
      <c r="B1" s="72" t="s">
        <v>184</v>
      </c>
      <c r="C1" s="73"/>
      <c r="D1" s="73"/>
      <c r="E1" s="73"/>
      <c r="F1" s="73"/>
      <c r="M1" s="74"/>
    </row>
    <row r="2" spans="2:18" ht="15.75" thickBot="1" x14ac:dyDescent="0.3">
      <c r="B2" s="5" t="s">
        <v>128</v>
      </c>
      <c r="C2" s="26"/>
      <c r="D2" s="30"/>
      <c r="E2" s="75"/>
      <c r="F2" s="26"/>
      <c r="G2" s="76"/>
      <c r="H2" s="77"/>
      <c r="I2" s="77"/>
      <c r="J2" s="78"/>
      <c r="K2" s="73"/>
      <c r="L2" s="73"/>
      <c r="M2" s="74"/>
      <c r="N2" s="195"/>
    </row>
    <row r="3" spans="2:18" ht="15.75" thickBot="1" x14ac:dyDescent="0.3">
      <c r="B3" s="25" t="s">
        <v>200</v>
      </c>
      <c r="C3" s="197">
        <f>69/85</f>
        <v>0.81176470588235294</v>
      </c>
      <c r="F3" s="26"/>
      <c r="G3" s="26"/>
      <c r="H3" s="26"/>
      <c r="I3" s="26"/>
      <c r="J3" s="176"/>
      <c r="K3" s="176"/>
    </row>
    <row r="4" spans="2:18" ht="15.75" thickBot="1" x14ac:dyDescent="0.3">
      <c r="B4" s="26"/>
      <c r="C4" s="145" t="s">
        <v>161</v>
      </c>
      <c r="D4" s="143"/>
      <c r="E4" s="143"/>
      <c r="F4" s="143"/>
      <c r="G4" s="143"/>
      <c r="H4" s="144"/>
      <c r="I4" s="26"/>
      <c r="J4" s="26"/>
      <c r="K4" s="26"/>
      <c r="L4" s="26"/>
      <c r="M4" s="26"/>
      <c r="N4" s="26"/>
    </row>
    <row r="5" spans="2:18" x14ac:dyDescent="0.25">
      <c r="B5" s="79" t="s">
        <v>82</v>
      </c>
      <c r="C5" s="141" t="s">
        <v>83</v>
      </c>
      <c r="D5" s="142"/>
      <c r="E5" s="141" t="s">
        <v>84</v>
      </c>
      <c r="F5" s="142"/>
      <c r="G5" s="141" t="s">
        <v>81</v>
      </c>
      <c r="H5" s="142"/>
      <c r="I5" s="80" t="s">
        <v>85</v>
      </c>
      <c r="J5" s="81"/>
      <c r="K5" s="82" t="s">
        <v>86</v>
      </c>
      <c r="L5" s="83" t="s">
        <v>87</v>
      </c>
      <c r="M5" s="83" t="s">
        <v>59</v>
      </c>
      <c r="N5" s="82" t="s">
        <v>165</v>
      </c>
    </row>
    <row r="6" spans="2:18" x14ac:dyDescent="0.25">
      <c r="B6" s="84"/>
      <c r="C6" s="85"/>
      <c r="D6" s="86"/>
      <c r="E6" s="87"/>
      <c r="F6" s="88"/>
      <c r="G6" s="87"/>
      <c r="H6" s="86"/>
      <c r="I6" s="85"/>
      <c r="J6" s="89"/>
      <c r="K6" s="90"/>
      <c r="L6" s="91"/>
      <c r="M6" s="91" t="s">
        <v>164</v>
      </c>
      <c r="N6" s="90" t="s">
        <v>166</v>
      </c>
    </row>
    <row r="7" spans="2:18" x14ac:dyDescent="0.25">
      <c r="B7" s="92"/>
      <c r="C7" s="93" t="s">
        <v>88</v>
      </c>
      <c r="D7" s="89" t="s">
        <v>89</v>
      </c>
      <c r="E7" s="93" t="s">
        <v>90</v>
      </c>
      <c r="F7" s="89" t="s">
        <v>129</v>
      </c>
      <c r="G7" s="93" t="s">
        <v>88</v>
      </c>
      <c r="H7" s="89" t="s">
        <v>89</v>
      </c>
      <c r="I7" s="93" t="s">
        <v>88</v>
      </c>
      <c r="J7" s="89" t="s">
        <v>91</v>
      </c>
      <c r="K7" s="90" t="s">
        <v>92</v>
      </c>
      <c r="L7" s="94"/>
      <c r="M7" s="91" t="s">
        <v>93</v>
      </c>
      <c r="N7" s="147"/>
    </row>
    <row r="8" spans="2:18" x14ac:dyDescent="0.25">
      <c r="B8" s="92"/>
      <c r="C8" s="93"/>
      <c r="D8" s="89"/>
      <c r="E8" s="93" t="s">
        <v>94</v>
      </c>
      <c r="F8" s="89" t="s">
        <v>130</v>
      </c>
      <c r="G8" s="93" t="s">
        <v>95</v>
      </c>
      <c r="H8" s="89" t="s">
        <v>96</v>
      </c>
      <c r="I8" s="93"/>
      <c r="J8" s="89"/>
      <c r="K8" s="90" t="s">
        <v>185</v>
      </c>
      <c r="L8" s="94">
        <v>0.21</v>
      </c>
      <c r="M8" s="91" t="s">
        <v>97</v>
      </c>
      <c r="N8" s="147"/>
      <c r="P8" t="s">
        <v>196</v>
      </c>
      <c r="Q8" t="s">
        <v>198</v>
      </c>
    </row>
    <row r="9" spans="2:18" x14ac:dyDescent="0.25">
      <c r="B9" s="95"/>
      <c r="C9" s="96" t="s">
        <v>98</v>
      </c>
      <c r="D9" s="97" t="s">
        <v>63</v>
      </c>
      <c r="E9" s="96"/>
      <c r="F9" s="97" t="s">
        <v>163</v>
      </c>
      <c r="G9" s="96" t="s">
        <v>99</v>
      </c>
      <c r="H9" s="97" t="s">
        <v>100</v>
      </c>
      <c r="I9" s="96" t="s">
        <v>101</v>
      </c>
      <c r="J9" s="97" t="s">
        <v>102</v>
      </c>
      <c r="K9" s="98" t="s">
        <v>103</v>
      </c>
      <c r="L9" s="99" t="s">
        <v>71</v>
      </c>
      <c r="M9" s="100" t="s">
        <v>104</v>
      </c>
      <c r="N9" s="148" t="s">
        <v>167</v>
      </c>
      <c r="P9" t="s">
        <v>197</v>
      </c>
      <c r="Q9" t="s">
        <v>197</v>
      </c>
      <c r="R9" t="s">
        <v>199</v>
      </c>
    </row>
    <row r="10" spans="2:18" x14ac:dyDescent="0.25">
      <c r="B10" s="101"/>
      <c r="C10" s="102"/>
      <c r="D10" s="103"/>
      <c r="E10" s="102"/>
      <c r="F10" s="103"/>
      <c r="G10" s="104"/>
      <c r="H10" s="105"/>
      <c r="I10" s="102"/>
      <c r="J10" s="103"/>
      <c r="K10" s="106"/>
      <c r="L10" s="107"/>
      <c r="M10" s="103"/>
      <c r="N10" s="149"/>
    </row>
    <row r="11" spans="2:18" x14ac:dyDescent="0.25">
      <c r="B11" s="184">
        <v>44592</v>
      </c>
      <c r="C11" s="102">
        <v>0</v>
      </c>
      <c r="D11" s="103">
        <v>0</v>
      </c>
      <c r="E11" s="199">
        <v>770282.29714848334</v>
      </c>
      <c r="F11" s="58">
        <v>0</v>
      </c>
      <c r="G11" s="102">
        <f>G10-E11</f>
        <v>-770282.29714848334</v>
      </c>
      <c r="H11" s="58">
        <f>H10-F11</f>
        <v>0</v>
      </c>
      <c r="I11" s="102">
        <f>C11+G11</f>
        <v>-770282.29714848334</v>
      </c>
      <c r="J11" s="58">
        <f>D11+H11</f>
        <v>0</v>
      </c>
      <c r="K11" s="102">
        <f>J11-I11</f>
        <v>770282.29714848334</v>
      </c>
      <c r="L11" s="102">
        <f>-K11*0.21</f>
        <v>-161759.2824011815</v>
      </c>
      <c r="M11" s="106">
        <f>M10-L11</f>
        <v>161759.2824011815</v>
      </c>
      <c r="N11" s="106">
        <f t="shared" ref="N11:N24" si="0">J11+L11</f>
        <v>-161759.2824011815</v>
      </c>
    </row>
    <row r="12" spans="2:18" x14ac:dyDescent="0.25">
      <c r="B12" s="184">
        <v>44620</v>
      </c>
      <c r="C12" s="198">
        <v>242210482.39999998</v>
      </c>
      <c r="D12" s="206">
        <f>('Plant Additions (as filed)'!D12+'Gas Quality'!$D$15)*$C$3</f>
        <v>196176947.68941176</v>
      </c>
      <c r="E12" s="198">
        <v>771840.64653689996</v>
      </c>
      <c r="F12" s="206">
        <f>('Plant Additions (as filed)'!F12+('Gas Quality'!D17/2))*$C$3</f>
        <v>219457.24849198392</v>
      </c>
      <c r="G12" s="102">
        <f t="shared" ref="G12:G45" si="1">G11-E12</f>
        <v>-1542122.9436853833</v>
      </c>
      <c r="H12" s="58">
        <f t="shared" ref="H12:H45" si="2">H11-F12</f>
        <v>-219457.24849198392</v>
      </c>
      <c r="I12" s="102">
        <f t="shared" ref="I12:J45" si="3">C12+G12</f>
        <v>240668359.45631459</v>
      </c>
      <c r="J12" s="58">
        <f t="shared" si="3"/>
        <v>195957490.44091979</v>
      </c>
      <c r="K12" s="102">
        <f t="shared" ref="K12:K45" si="4">J12-I12</f>
        <v>-44710869.015394807</v>
      </c>
      <c r="L12" s="102">
        <f t="shared" ref="L12:L45" si="5">-K12*0.21</f>
        <v>9389282.4932329096</v>
      </c>
      <c r="M12" s="106">
        <f>-(L12-L11)</f>
        <v>-9551041.7756340913</v>
      </c>
      <c r="N12" s="106">
        <f t="shared" si="0"/>
        <v>205346772.93415269</v>
      </c>
      <c r="O12" s="115"/>
      <c r="P12" s="196">
        <f>E12/AVERAGE(C11:C12)</f>
        <v>6.3733050600364933E-3</v>
      </c>
      <c r="Q12" s="196">
        <f>F12/AVERAGE(D11:D12)</f>
        <v>2.2373398207767982E-3</v>
      </c>
      <c r="R12" s="115">
        <f>(AVERAGE(N11:N12))*(ROR!$E$6/12)</f>
        <v>611793.31570497248</v>
      </c>
    </row>
    <row r="13" spans="2:18" x14ac:dyDescent="0.25">
      <c r="B13" s="184">
        <v>44651</v>
      </c>
      <c r="C13" s="198">
        <v>242400844.05000004</v>
      </c>
      <c r="D13" s="206">
        <f>('Plant Additions (as filed)'!D13+'Gas Quality'!$D$15)*$C$3</f>
        <v>196331476.55823532</v>
      </c>
      <c r="E13" s="198">
        <v>772222.23552633915</v>
      </c>
      <c r="F13" s="206">
        <f>('Plant Additions (as filed)'!F13+'Gas Quality'!$D$17)*$C$3</f>
        <v>424071.33408657362</v>
      </c>
      <c r="G13" s="102">
        <f t="shared" si="1"/>
        <v>-2314345.1792117227</v>
      </c>
      <c r="H13" s="58">
        <f t="shared" si="2"/>
        <v>-643528.58257855754</v>
      </c>
      <c r="I13" s="102">
        <f t="shared" si="3"/>
        <v>240086498.87078831</v>
      </c>
      <c r="J13" s="58">
        <f t="shared" si="3"/>
        <v>195687947.97565675</v>
      </c>
      <c r="K13" s="102">
        <f t="shared" si="4"/>
        <v>-44398550.895131558</v>
      </c>
      <c r="L13" s="102">
        <f t="shared" si="5"/>
        <v>9323695.6879776269</v>
      </c>
      <c r="M13" s="106">
        <f t="shared" ref="M13:M45" si="6">-(L13-L12)</f>
        <v>65586.80525528267</v>
      </c>
      <c r="N13" s="106">
        <f t="shared" si="0"/>
        <v>205011643.66363436</v>
      </c>
      <c r="P13" s="196">
        <f t="shared" ref="P13:P45" si="7">E13/AVERAGE(C12:C13)</f>
        <v>3.1869755962297486E-3</v>
      </c>
      <c r="Q13" s="196">
        <f t="shared" ref="Q13:Q45" si="8">F13/AVERAGE(D12:D13)</f>
        <v>2.1608266619980235E-3</v>
      </c>
      <c r="R13" s="115">
        <f>(AVERAGE(N12:N13))*(ROR!$E$6/12)</f>
        <v>1223552.0121557349</v>
      </c>
    </row>
    <row r="14" spans="2:18" x14ac:dyDescent="0.25">
      <c r="B14" s="184">
        <v>44681</v>
      </c>
      <c r="C14" s="198">
        <v>242473352.72000003</v>
      </c>
      <c r="D14" s="206">
        <f>('Plant Additions (as filed)'!D14+'Gas Quality'!$D$15)*$C$3</f>
        <v>196390336.53741178</v>
      </c>
      <c r="E14" s="198">
        <v>772346.7097157056</v>
      </c>
      <c r="F14" s="206">
        <f>('Plant Additions (as filed)'!F14+'Gas Quality'!$D$17)*$C$3</f>
        <v>424292.48763922509</v>
      </c>
      <c r="G14" s="102">
        <f t="shared" si="1"/>
        <v>-3086691.8889274281</v>
      </c>
      <c r="H14" s="58">
        <f t="shared" si="2"/>
        <v>-1067821.0702177826</v>
      </c>
      <c r="I14" s="102">
        <f t="shared" si="3"/>
        <v>239386660.8310726</v>
      </c>
      <c r="J14" s="58">
        <f t="shared" si="3"/>
        <v>195322515.46719399</v>
      </c>
      <c r="K14" s="102">
        <f t="shared" si="4"/>
        <v>-44064145.363878608</v>
      </c>
      <c r="L14" s="102">
        <f t="shared" si="5"/>
        <v>9253470.526414508</v>
      </c>
      <c r="M14" s="106">
        <f t="shared" si="6"/>
        <v>70225.16156311892</v>
      </c>
      <c r="N14" s="106">
        <f t="shared" si="0"/>
        <v>204575985.9936085</v>
      </c>
      <c r="P14" s="196">
        <f t="shared" si="7"/>
        <v>3.1857612339889802E-3</v>
      </c>
      <c r="Q14" s="196">
        <f t="shared" si="8"/>
        <v>2.1607788184451518E-3</v>
      </c>
      <c r="R14" s="115">
        <f>(AVERAGE(N13:N14))*(ROR!$E$6/12)</f>
        <v>1221253.7824280127</v>
      </c>
    </row>
    <row r="15" spans="2:18" x14ac:dyDescent="0.25">
      <c r="B15" s="184">
        <v>44712</v>
      </c>
      <c r="C15" s="198">
        <v>242597388.97000003</v>
      </c>
      <c r="D15" s="206">
        <f>('Plant Additions (as filed)'!D15+'Gas Quality'!$D$15)*$C$3</f>
        <v>196491024.78741178</v>
      </c>
      <c r="E15" s="198">
        <v>772683.33304100577</v>
      </c>
      <c r="F15" s="206">
        <f>('Plant Additions (as filed)'!F15+'Gas Quality'!$D$17)*$C$3</f>
        <v>424458.58284701634</v>
      </c>
      <c r="G15" s="102">
        <f t="shared" si="1"/>
        <v>-3859375.2219684338</v>
      </c>
      <c r="H15" s="58">
        <f t="shared" si="2"/>
        <v>-1492279.653064799</v>
      </c>
      <c r="I15" s="102">
        <f t="shared" si="3"/>
        <v>238738013.74803159</v>
      </c>
      <c r="J15" s="58">
        <f t="shared" si="3"/>
        <v>194998745.13434699</v>
      </c>
      <c r="K15" s="102">
        <f t="shared" si="4"/>
        <v>-43739268.613684595</v>
      </c>
      <c r="L15" s="102">
        <f t="shared" si="5"/>
        <v>9185246.4088737648</v>
      </c>
      <c r="M15" s="106">
        <f t="shared" si="6"/>
        <v>68224.117540743202</v>
      </c>
      <c r="N15" s="106">
        <f t="shared" si="0"/>
        <v>204183991.54322076</v>
      </c>
      <c r="P15" s="196">
        <f t="shared" si="7"/>
        <v>3.1858583362457831E-3</v>
      </c>
      <c r="Q15" s="196">
        <f t="shared" si="8"/>
        <v>2.1607468545502499E-3</v>
      </c>
      <c r="R15" s="115">
        <f>(AVERAGE(N14:N15))*(ROR!$E$6/12)</f>
        <v>1218785.9996889792</v>
      </c>
    </row>
    <row r="16" spans="2:18" x14ac:dyDescent="0.25">
      <c r="B16" s="184">
        <v>44742</v>
      </c>
      <c r="C16" s="198">
        <v>242654035.06999996</v>
      </c>
      <c r="D16" s="206">
        <f>('Plant Additions (as filed)'!D16+'Gas Quality'!$D$15)*$C$3</f>
        <v>196537008.09211761</v>
      </c>
      <c r="E16" s="198">
        <v>772811.68793569983</v>
      </c>
      <c r="F16" s="206">
        <f>('Plant Additions (as filed)'!F16+'Gas Quality'!$D$17)*$C$3</f>
        <v>424612.19423917664</v>
      </c>
      <c r="G16" s="102">
        <f t="shared" si="1"/>
        <v>-4632186.9099041335</v>
      </c>
      <c r="H16" s="58">
        <f t="shared" si="2"/>
        <v>-1916891.8473039756</v>
      </c>
      <c r="I16" s="102">
        <f t="shared" si="3"/>
        <v>238021848.16009584</v>
      </c>
      <c r="J16" s="58">
        <f t="shared" si="3"/>
        <v>194620116.24481362</v>
      </c>
      <c r="K16" s="102">
        <f t="shared" si="4"/>
        <v>-43401731.91528222</v>
      </c>
      <c r="L16" s="102">
        <f t="shared" si="5"/>
        <v>9114363.7022092659</v>
      </c>
      <c r="M16" s="106">
        <f t="shared" si="6"/>
        <v>70882.706664498895</v>
      </c>
      <c r="N16" s="106">
        <f t="shared" si="0"/>
        <v>203734479.94702289</v>
      </c>
      <c r="P16" s="196">
        <f t="shared" si="7"/>
        <v>3.1852011128647236E-3</v>
      </c>
      <c r="Q16" s="196">
        <f t="shared" si="8"/>
        <v>2.1607221812054737E-3</v>
      </c>
      <c r="R16" s="115">
        <f>(AVERAGE(N15:N16))*(ROR!$E$6/12)</f>
        <v>1216276.9091600766</v>
      </c>
    </row>
    <row r="17" spans="2:18" x14ac:dyDescent="0.25">
      <c r="B17" s="184">
        <v>44773</v>
      </c>
      <c r="C17" s="198">
        <v>242711756.40999997</v>
      </c>
      <c r="D17" s="206">
        <f>('Plant Additions (as filed)'!D17+'Gas Quality'!$D$15)*$C$3</f>
        <v>196583864.23870584</v>
      </c>
      <c r="E17" s="198">
        <v>772910.87736794993</v>
      </c>
      <c r="F17" s="206">
        <f>('Plant Additions (as filed)'!F17+'Gas Quality'!$D$17)*$C$3</f>
        <v>424708.3022204708</v>
      </c>
      <c r="G17" s="102">
        <f t="shared" si="1"/>
        <v>-5405097.7872720836</v>
      </c>
      <c r="H17" s="58">
        <f t="shared" si="2"/>
        <v>-2341600.1495244466</v>
      </c>
      <c r="I17" s="102">
        <f t="shared" si="3"/>
        <v>237306658.62272787</v>
      </c>
      <c r="J17" s="58">
        <f t="shared" si="3"/>
        <v>194242264.08918139</v>
      </c>
      <c r="K17" s="102">
        <f t="shared" si="4"/>
        <v>-43064394.533546478</v>
      </c>
      <c r="L17" s="102">
        <f t="shared" si="5"/>
        <v>9043522.8520447593</v>
      </c>
      <c r="M17" s="106">
        <f t="shared" si="6"/>
        <v>70840.850164506584</v>
      </c>
      <c r="N17" s="106">
        <f t="shared" si="0"/>
        <v>203285786.94122615</v>
      </c>
      <c r="P17" s="196">
        <f t="shared" si="7"/>
        <v>3.1848592996682121E-3</v>
      </c>
      <c r="Q17" s="196">
        <f t="shared" si="8"/>
        <v>2.160700853670601E-3</v>
      </c>
      <c r="R17" s="115">
        <f>(AVERAGE(N16:N17))*(ROR!$E$6/12)</f>
        <v>1213598.7624384626</v>
      </c>
    </row>
    <row r="18" spans="2:18" x14ac:dyDescent="0.25">
      <c r="B18" s="184">
        <v>44804</v>
      </c>
      <c r="C18" s="198">
        <v>242786181.20999995</v>
      </c>
      <c r="D18" s="206">
        <f>('Plant Additions (as filed)'!D18+'Gas Quality'!$D$15)*$C$3</f>
        <v>196644279.66458818</v>
      </c>
      <c r="E18" s="198">
        <v>773023.4997649499</v>
      </c>
      <c r="F18" s="206">
        <f>('Plant Additions (as filed)'!F18+'Gas Quality'!$D$17)*$C$3</f>
        <v>424819.20349501929</v>
      </c>
      <c r="G18" s="102">
        <f t="shared" si="1"/>
        <v>-6178121.2870370336</v>
      </c>
      <c r="H18" s="58">
        <f t="shared" si="2"/>
        <v>-2766419.3530194657</v>
      </c>
      <c r="I18" s="102">
        <f t="shared" si="3"/>
        <v>236608059.9229629</v>
      </c>
      <c r="J18" s="58">
        <f t="shared" si="3"/>
        <v>193877860.31156871</v>
      </c>
      <c r="K18" s="102">
        <f t="shared" si="4"/>
        <v>-42730199.611394197</v>
      </c>
      <c r="L18" s="102">
        <f t="shared" si="5"/>
        <v>8973341.9183927812</v>
      </c>
      <c r="M18" s="106">
        <f t="shared" si="6"/>
        <v>70180.93365197815</v>
      </c>
      <c r="N18" s="106">
        <f t="shared" si="0"/>
        <v>202851202.22996148</v>
      </c>
      <c r="P18" s="196">
        <f t="shared" si="7"/>
        <v>3.1844563688754402E-3</v>
      </c>
      <c r="Q18" s="196">
        <f t="shared" si="8"/>
        <v>2.1606754759623432E-3</v>
      </c>
      <c r="R18" s="115">
        <f>(AVERAGE(N17:N18))*(ROR!$E$6/12)</f>
        <v>1210965.1227120911</v>
      </c>
    </row>
    <row r="19" spans="2:18" x14ac:dyDescent="0.25">
      <c r="B19" s="184">
        <v>44834</v>
      </c>
      <c r="C19" s="198">
        <v>242951019.96999997</v>
      </c>
      <c r="D19" s="206">
        <f>('Plant Additions (as filed)'!D19+'Gas Quality'!$D$15)*$C$3</f>
        <v>196778089.95211762</v>
      </c>
      <c r="E19" s="198">
        <v>773269.34723881667</v>
      </c>
      <c r="F19" s="206">
        <f>('Plant Additions (as filed)'!F19+'Gas Quality'!$D$17)*$C$3</f>
        <v>425019.75433882076</v>
      </c>
      <c r="G19" s="102">
        <f t="shared" si="1"/>
        <v>-6951390.6342758499</v>
      </c>
      <c r="H19" s="58">
        <f t="shared" si="2"/>
        <v>-3191439.1073582866</v>
      </c>
      <c r="I19" s="102">
        <f t="shared" si="3"/>
        <v>235999629.33572412</v>
      </c>
      <c r="J19" s="58">
        <f t="shared" si="3"/>
        <v>193586650.84475935</v>
      </c>
      <c r="K19" s="102">
        <f t="shared" si="4"/>
        <v>-42412978.49096477</v>
      </c>
      <c r="L19" s="102">
        <f t="shared" si="5"/>
        <v>8906725.483102601</v>
      </c>
      <c r="M19" s="106">
        <f t="shared" si="6"/>
        <v>66616.435290180147</v>
      </c>
      <c r="N19" s="106">
        <f t="shared" si="0"/>
        <v>202493376.32786193</v>
      </c>
      <c r="P19" s="196">
        <f t="shared" si="7"/>
        <v>3.1839000404346868E-3</v>
      </c>
      <c r="Q19" s="196">
        <f t="shared" si="8"/>
        <v>2.1606283077034941E-3</v>
      </c>
      <c r="R19" s="115">
        <f>(AVERAGE(N18:N19))*(ROR!$E$6/12)</f>
        <v>1208602.4183999102</v>
      </c>
    </row>
    <row r="20" spans="2:18" x14ac:dyDescent="0.25">
      <c r="B20" s="184">
        <v>44865</v>
      </c>
      <c r="C20" s="198">
        <v>243004226.10999998</v>
      </c>
      <c r="D20" s="206">
        <f>('Plant Additions (as filed)'!D20+'Gas Quality'!$D$15)*$C$3</f>
        <v>196821280.81870586</v>
      </c>
      <c r="E20" s="198">
        <v>773394.37288928335</v>
      </c>
      <c r="F20" s="206">
        <f>('Plant Additions (as filed)'!F20+'Gas Quality'!$D$17)*$C$3</f>
        <v>425202.85248095018</v>
      </c>
      <c r="G20" s="102">
        <f t="shared" si="1"/>
        <v>-7724785.007165133</v>
      </c>
      <c r="H20" s="58">
        <f t="shared" si="2"/>
        <v>-3616641.9598392369</v>
      </c>
      <c r="I20" s="102">
        <f t="shared" si="3"/>
        <v>235279441.10283485</v>
      </c>
      <c r="J20" s="58">
        <f t="shared" si="3"/>
        <v>193204638.85886663</v>
      </c>
      <c r="K20" s="102">
        <f t="shared" si="4"/>
        <v>-42074802.243968219</v>
      </c>
      <c r="L20" s="102">
        <f t="shared" si="5"/>
        <v>8835708.4712333251</v>
      </c>
      <c r="M20" s="106">
        <f t="shared" si="6"/>
        <v>71017.011869275942</v>
      </c>
      <c r="N20" s="106">
        <f t="shared" si="0"/>
        <v>202040347.33009997</v>
      </c>
      <c r="P20" s="196">
        <f t="shared" si="7"/>
        <v>3.1829860018095743E-3</v>
      </c>
      <c r="Q20" s="196">
        <f t="shared" si="8"/>
        <v>2.1605870540302671E-3</v>
      </c>
      <c r="R20" s="115">
        <f>(AVERAGE(N19:N20))*(ROR!$E$6/12)</f>
        <v>1206184.7193734897</v>
      </c>
    </row>
    <row r="21" spans="2:18" x14ac:dyDescent="0.25">
      <c r="B21" s="184">
        <v>44895</v>
      </c>
      <c r="C21" s="198">
        <v>243073721.75999996</v>
      </c>
      <c r="D21" s="206">
        <f>('Plant Additions (as filed)'!D21+'Gas Quality'!$D$15)*$C$3</f>
        <v>196877694.93458819</v>
      </c>
      <c r="E21" s="198">
        <v>773586.55926474987</v>
      </c>
      <c r="F21" s="206">
        <f>('Plant Additions (as filed)'!F21+'Gas Quality'!$D$17)*$C$3</f>
        <v>425306.68736132229</v>
      </c>
      <c r="G21" s="102">
        <f t="shared" si="1"/>
        <v>-8498371.5664298832</v>
      </c>
      <c r="H21" s="58">
        <f t="shared" si="2"/>
        <v>-4041948.6472005593</v>
      </c>
      <c r="I21" s="102">
        <f t="shared" si="3"/>
        <v>234575350.19357008</v>
      </c>
      <c r="J21" s="58">
        <f t="shared" si="3"/>
        <v>192835746.28738764</v>
      </c>
      <c r="K21" s="102">
        <f t="shared" si="4"/>
        <v>-41739603.906182438</v>
      </c>
      <c r="L21" s="102">
        <f t="shared" si="5"/>
        <v>8765316.8202983122</v>
      </c>
      <c r="M21" s="106">
        <f t="shared" si="6"/>
        <v>70391.650935012847</v>
      </c>
      <c r="N21" s="106">
        <f t="shared" si="0"/>
        <v>201601063.10768595</v>
      </c>
      <c r="P21" s="196">
        <f t="shared" si="7"/>
        <v>3.1829732768360159E-3</v>
      </c>
      <c r="Q21" s="196">
        <f t="shared" si="8"/>
        <v>2.1605679138359496E-3</v>
      </c>
      <c r="R21" s="115">
        <f>(AVERAGE(N20:N21))*(ROR!$E$6/12)</f>
        <v>1203524.1387886652</v>
      </c>
    </row>
    <row r="22" spans="2:18" x14ac:dyDescent="0.25">
      <c r="B22" s="184">
        <v>44926</v>
      </c>
      <c r="C22" s="198">
        <v>243176936.39999998</v>
      </c>
      <c r="D22" s="206">
        <f>('Plant Additions (as filed)'!D22+'Gas Quality'!$D$15)*$C$3</f>
        <v>196961480.93647057</v>
      </c>
      <c r="E22" s="198">
        <v>773813.37816588336</v>
      </c>
      <c r="F22" s="206">
        <f>('Plant Additions (as filed)'!F22+'Gas Quality'!$D$17)*$C$3</f>
        <v>425452.63891503104</v>
      </c>
      <c r="G22" s="102">
        <f t="shared" si="1"/>
        <v>-9272184.9445957672</v>
      </c>
      <c r="H22" s="58">
        <f t="shared" si="2"/>
        <v>-4467401.2861155905</v>
      </c>
      <c r="I22" s="102">
        <f t="shared" si="3"/>
        <v>233904751.45540422</v>
      </c>
      <c r="J22" s="58">
        <f t="shared" si="3"/>
        <v>192494079.65035498</v>
      </c>
      <c r="K22" s="102">
        <f t="shared" si="4"/>
        <v>-41410671.805049241</v>
      </c>
      <c r="L22" s="102">
        <f t="shared" si="5"/>
        <v>8696241.0790603403</v>
      </c>
      <c r="M22" s="106">
        <f t="shared" si="6"/>
        <v>69075.741237971932</v>
      </c>
      <c r="N22" s="106">
        <f t="shared" si="0"/>
        <v>201190320.72941533</v>
      </c>
      <c r="P22" s="196">
        <f t="shared" si="7"/>
        <v>3.1827756535858973E-3</v>
      </c>
      <c r="Q22" s="196">
        <f t="shared" si="8"/>
        <v>2.1605399613893279E-3</v>
      </c>
      <c r="R22" s="115">
        <f>(AVERAGE(N21:N22))*(ROR!$E$6/12)</f>
        <v>1200989.6428076236</v>
      </c>
    </row>
    <row r="23" spans="2:18" x14ac:dyDescent="0.25">
      <c r="B23" s="184">
        <v>44957</v>
      </c>
      <c r="C23" s="198">
        <v>243164613.76999995</v>
      </c>
      <c r="D23" s="211">
        <f>('Plant Additions (as filed)'!D23+'Gas Quality'!$D$15)</f>
        <v>242621385.76999995</v>
      </c>
      <c r="E23" s="198">
        <v>1478521.4387653836</v>
      </c>
      <c r="F23" s="211">
        <f>('Plant Additions (as filed)'!F23+'Gas Quality'!$D$17)</f>
        <v>524202.83662783355</v>
      </c>
      <c r="G23" s="102">
        <f t="shared" si="1"/>
        <v>-10750706.383361151</v>
      </c>
      <c r="H23" s="58">
        <f t="shared" si="2"/>
        <v>-4991604.122743424</v>
      </c>
      <c r="I23" s="102">
        <f t="shared" si="3"/>
        <v>232413907.38663879</v>
      </c>
      <c r="J23" s="58">
        <f t="shared" si="3"/>
        <v>237629781.64725652</v>
      </c>
      <c r="K23" s="102">
        <f t="shared" si="4"/>
        <v>5215874.260617733</v>
      </c>
      <c r="L23" s="102">
        <f t="shared" si="5"/>
        <v>-1095333.5947297239</v>
      </c>
      <c r="M23" s="106">
        <f t="shared" si="6"/>
        <v>9791574.6737900637</v>
      </c>
      <c r="N23" s="106">
        <f t="shared" si="0"/>
        <v>236534448.0525268</v>
      </c>
      <c r="P23" s="196">
        <f t="shared" si="7"/>
        <v>6.0801773496365619E-3</v>
      </c>
      <c r="Q23" s="196">
        <f t="shared" si="8"/>
        <v>2.3850012197034406E-3</v>
      </c>
      <c r="R23" s="115">
        <f>(AVERAGE(N22:N23))*(ROR!$E$6/12)</f>
        <v>1305149.3522514908</v>
      </c>
    </row>
    <row r="24" spans="2:18" x14ac:dyDescent="0.25">
      <c r="B24" s="184">
        <v>44985</v>
      </c>
      <c r="C24" s="198">
        <v>243189559.47999993</v>
      </c>
      <c r="D24" s="211">
        <f>('Plant Additions (as filed)'!D24+'Gas Quality'!$D$15)</f>
        <v>242646331.47999993</v>
      </c>
      <c r="E24" s="198">
        <v>1478558.2700288168</v>
      </c>
      <c r="F24" s="211">
        <f>('Plant Additions (as filed)'!F24+'Gas Quality'!$D$17)</f>
        <v>524215.85926104197</v>
      </c>
      <c r="G24" s="102">
        <f t="shared" si="1"/>
        <v>-12229264.653389968</v>
      </c>
      <c r="H24" s="58">
        <f t="shared" si="2"/>
        <v>-5515819.9820044655</v>
      </c>
      <c r="I24" s="102">
        <f t="shared" si="3"/>
        <v>230960294.82660997</v>
      </c>
      <c r="J24" s="58">
        <f t="shared" si="3"/>
        <v>237130511.49799547</v>
      </c>
      <c r="K24" s="102">
        <f t="shared" si="4"/>
        <v>6170216.6713854969</v>
      </c>
      <c r="L24" s="102">
        <f t="shared" si="5"/>
        <v>-1295745.5009909542</v>
      </c>
      <c r="M24" s="106">
        <f t="shared" si="6"/>
        <v>200411.90626123035</v>
      </c>
      <c r="N24" s="106">
        <f t="shared" si="0"/>
        <v>235834765.99700451</v>
      </c>
      <c r="P24" s="196">
        <f t="shared" si="7"/>
        <v>6.0801710002755371E-3</v>
      </c>
      <c r="Q24" s="196">
        <f t="shared" si="8"/>
        <v>2.1605222874983743E-3</v>
      </c>
      <c r="R24" s="115">
        <f>(AVERAGE(N23:N24))*(ROR!$E$6/12)</f>
        <v>1408447.5398910192</v>
      </c>
    </row>
    <row r="25" spans="2:18" x14ac:dyDescent="0.25">
      <c r="B25" s="184">
        <v>45016</v>
      </c>
      <c r="C25" s="198">
        <v>243198713.56999996</v>
      </c>
      <c r="D25" s="211">
        <f>('Plant Additions (as filed)'!D25+'Gas Quality'!$D$15)</f>
        <v>242655485.56999996</v>
      </c>
      <c r="E25" s="198">
        <v>1478571.7500003839</v>
      </c>
      <c r="F25" s="211">
        <f>('Plant Additions (as filed)'!F25+'Gas Quality'!$D$17)</f>
        <v>524251.06391937518</v>
      </c>
      <c r="G25" s="102">
        <f t="shared" si="1"/>
        <v>-13707836.403390352</v>
      </c>
      <c r="H25" s="58">
        <f t="shared" si="2"/>
        <v>-6040071.0459238403</v>
      </c>
      <c r="I25" s="102">
        <f t="shared" si="3"/>
        <v>229490877.16660962</v>
      </c>
      <c r="J25" s="58">
        <f t="shared" si="3"/>
        <v>236615414.52407613</v>
      </c>
      <c r="K25" s="102">
        <f t="shared" si="4"/>
        <v>7124537.3574665189</v>
      </c>
      <c r="L25" s="102">
        <f t="shared" si="5"/>
        <v>-1496152.8450679688</v>
      </c>
      <c r="M25" s="106">
        <f t="shared" si="6"/>
        <v>200407.3440770146</v>
      </c>
      <c r="N25" s="106">
        <f>J25+L25</f>
        <v>235119261.67900816</v>
      </c>
      <c r="P25" s="196">
        <f t="shared" si="7"/>
        <v>6.079800159361117E-3</v>
      </c>
      <c r="Q25" s="196">
        <f t="shared" si="8"/>
        <v>2.160515561660724E-3</v>
      </c>
      <c r="R25" s="115">
        <f>(AVERAGE(N24:N25))*(ROR!$E$6/12)</f>
        <v>1404227.9258539777</v>
      </c>
    </row>
    <row r="26" spans="2:18" x14ac:dyDescent="0.25">
      <c r="B26" s="184">
        <v>45046</v>
      </c>
      <c r="C26" s="198">
        <v>243198713.56999996</v>
      </c>
      <c r="D26" s="211">
        <f>('Plant Additions (as filed)'!D26+'Gas Quality'!$D$15)</f>
        <v>242655485.56999996</v>
      </c>
      <c r="E26" s="198">
        <v>1478571.7500003839</v>
      </c>
      <c r="F26" s="211">
        <f>('Plant Additions (as filed)'!F26+'Gas Quality'!$D$17)</f>
        <v>524291.50587108359</v>
      </c>
      <c r="G26" s="102">
        <f t="shared" si="1"/>
        <v>-15186408.153390735</v>
      </c>
      <c r="H26" s="58">
        <f t="shared" si="2"/>
        <v>-6564362.5517949238</v>
      </c>
      <c r="I26" s="102">
        <f t="shared" si="3"/>
        <v>228012305.41660923</v>
      </c>
      <c r="J26" s="58">
        <f t="shared" si="3"/>
        <v>236091123.01820505</v>
      </c>
      <c r="K26" s="102">
        <f t="shared" si="4"/>
        <v>8078817.601595819</v>
      </c>
      <c r="L26" s="102">
        <f t="shared" si="5"/>
        <v>-1696551.696335122</v>
      </c>
      <c r="M26" s="106">
        <f t="shared" si="6"/>
        <v>200398.85126715316</v>
      </c>
      <c r="N26" s="106">
        <f t="shared" ref="N26:N45" si="9">J26+L26</f>
        <v>234394571.32186991</v>
      </c>
      <c r="P26" s="196">
        <f t="shared" si="7"/>
        <v>6.0796857363918837E-3</v>
      </c>
      <c r="Q26" s="196">
        <f t="shared" si="8"/>
        <v>2.1606414734021695E-3</v>
      </c>
      <c r="R26" s="115">
        <f>(AVERAGE(N25:N26))*(ROR!$E$6/12)</f>
        <v>1399933.7453976183</v>
      </c>
    </row>
    <row r="27" spans="2:18" x14ac:dyDescent="0.25">
      <c r="B27" s="184">
        <v>45077</v>
      </c>
      <c r="C27" s="198">
        <v>243198713.56999996</v>
      </c>
      <c r="D27" s="211">
        <f>('Plant Additions (as filed)'!D27+'Gas Quality'!$D$15)</f>
        <v>242655485.56999996</v>
      </c>
      <c r="E27" s="198">
        <v>1478571.7500003839</v>
      </c>
      <c r="F27" s="211">
        <f>('Plant Additions (as filed)'!F27+'Gas Quality'!$D$17)</f>
        <v>524291.50587108359</v>
      </c>
      <c r="G27" s="102">
        <f t="shared" si="1"/>
        <v>-16664979.903391119</v>
      </c>
      <c r="H27" s="58">
        <f t="shared" si="2"/>
        <v>-7088654.0576660074</v>
      </c>
      <c r="I27" s="102">
        <f t="shared" si="3"/>
        <v>226533733.66660884</v>
      </c>
      <c r="J27" s="58">
        <f t="shared" si="3"/>
        <v>235566831.51233396</v>
      </c>
      <c r="K27" s="102">
        <f t="shared" si="4"/>
        <v>9033097.8457251191</v>
      </c>
      <c r="L27" s="102">
        <f t="shared" si="5"/>
        <v>-1896950.5476022749</v>
      </c>
      <c r="M27" s="106">
        <f t="shared" si="6"/>
        <v>200398.85126715293</v>
      </c>
      <c r="N27" s="106">
        <f t="shared" si="9"/>
        <v>233669880.96473169</v>
      </c>
      <c r="P27" s="196">
        <f t="shared" si="7"/>
        <v>6.0796857363918837E-3</v>
      </c>
      <c r="Q27" s="196">
        <f t="shared" si="8"/>
        <v>2.1606414734021695E-3</v>
      </c>
      <c r="R27" s="115">
        <f>(AVERAGE(N26:N27))*(ROR!$E$6/12)</f>
        <v>1395612.1752345504</v>
      </c>
    </row>
    <row r="28" spans="2:18" x14ac:dyDescent="0.25">
      <c r="B28" s="184">
        <v>45107</v>
      </c>
      <c r="C28" s="198">
        <v>243198713.56999996</v>
      </c>
      <c r="D28" s="211">
        <f>('Plant Additions (as filed)'!D28+'Gas Quality'!$D$15)</f>
        <v>242655485.56999996</v>
      </c>
      <c r="E28" s="198">
        <v>1478571.7500003839</v>
      </c>
      <c r="F28" s="211">
        <f>('Plant Additions (as filed)'!F28+'Gas Quality'!$D$17)</f>
        <v>524291.50587108359</v>
      </c>
      <c r="G28" s="102">
        <f t="shared" si="1"/>
        <v>-18143551.653391503</v>
      </c>
      <c r="H28" s="58">
        <f t="shared" si="2"/>
        <v>-7612945.563537091</v>
      </c>
      <c r="I28" s="102">
        <f t="shared" si="3"/>
        <v>225055161.91660845</v>
      </c>
      <c r="J28" s="58">
        <f t="shared" si="3"/>
        <v>235042540.00646287</v>
      </c>
      <c r="K28" s="102">
        <f t="shared" si="4"/>
        <v>9987378.0898544192</v>
      </c>
      <c r="L28" s="102">
        <f t="shared" si="5"/>
        <v>-2097349.3988694279</v>
      </c>
      <c r="M28" s="106">
        <f t="shared" si="6"/>
        <v>200398.85126715293</v>
      </c>
      <c r="N28" s="106">
        <f t="shared" si="9"/>
        <v>232945190.60759345</v>
      </c>
      <c r="P28" s="196">
        <f t="shared" si="7"/>
        <v>6.0796857363918837E-3</v>
      </c>
      <c r="Q28" s="196">
        <f t="shared" si="8"/>
        <v>2.1606414734021695E-3</v>
      </c>
      <c r="R28" s="115">
        <f>(AVERAGE(N27:N28))*(ROR!$E$6/12)</f>
        <v>1391290.6050714827</v>
      </c>
    </row>
    <row r="29" spans="2:18" x14ac:dyDescent="0.25">
      <c r="B29" s="184">
        <v>45138</v>
      </c>
      <c r="C29" s="198">
        <v>243198713.56999996</v>
      </c>
      <c r="D29" s="211">
        <f>('Plant Additions (as filed)'!D29+'Gas Quality'!$D$15)</f>
        <v>242655485.56999996</v>
      </c>
      <c r="E29" s="198">
        <v>1478571.7500003839</v>
      </c>
      <c r="F29" s="211">
        <f>('Plant Additions (as filed)'!F29+'Gas Quality'!$D$17)</f>
        <v>524291.50587108359</v>
      </c>
      <c r="G29" s="102">
        <f t="shared" si="1"/>
        <v>-19622123.403391887</v>
      </c>
      <c r="H29" s="58">
        <f t="shared" si="2"/>
        <v>-8137237.0694081746</v>
      </c>
      <c r="I29" s="102">
        <f t="shared" si="3"/>
        <v>223576590.16660807</v>
      </c>
      <c r="J29" s="58">
        <f t="shared" si="3"/>
        <v>234518248.50059178</v>
      </c>
      <c r="K29" s="102">
        <f t="shared" si="4"/>
        <v>10941658.333983719</v>
      </c>
      <c r="L29" s="102">
        <f t="shared" si="5"/>
        <v>-2297748.2501365808</v>
      </c>
      <c r="M29" s="106">
        <f t="shared" si="6"/>
        <v>200398.85126715293</v>
      </c>
      <c r="N29" s="106">
        <f t="shared" si="9"/>
        <v>232220500.2504552</v>
      </c>
      <c r="P29" s="196">
        <f t="shared" si="7"/>
        <v>6.0796857363918837E-3</v>
      </c>
      <c r="Q29" s="196">
        <f t="shared" si="8"/>
        <v>2.1606414734021695E-3</v>
      </c>
      <c r="R29" s="115">
        <f>(AVERAGE(N28:N29))*(ROR!$E$6/12)</f>
        <v>1386969.0349084153</v>
      </c>
    </row>
    <row r="30" spans="2:18" x14ac:dyDescent="0.25">
      <c r="B30" s="184">
        <v>45169</v>
      </c>
      <c r="C30" s="198">
        <v>243198713.56999996</v>
      </c>
      <c r="D30" s="211">
        <f>('Plant Additions (as filed)'!D30+'Gas Quality'!$D$15)</f>
        <v>242655485.56999996</v>
      </c>
      <c r="E30" s="198">
        <v>1478571.7500003839</v>
      </c>
      <c r="F30" s="211">
        <f>('Plant Additions (as filed)'!F30+'Gas Quality'!$D$17)</f>
        <v>524291.50587108359</v>
      </c>
      <c r="G30" s="102">
        <f t="shared" si="1"/>
        <v>-21100695.15339227</v>
      </c>
      <c r="H30" s="58">
        <f t="shared" si="2"/>
        <v>-8661528.5752792582</v>
      </c>
      <c r="I30" s="102">
        <f t="shared" si="3"/>
        <v>222098018.41660768</v>
      </c>
      <c r="J30" s="58">
        <f t="shared" si="3"/>
        <v>233993956.9947207</v>
      </c>
      <c r="K30" s="102">
        <f t="shared" si="4"/>
        <v>11895938.578113019</v>
      </c>
      <c r="L30" s="102">
        <f t="shared" si="5"/>
        <v>-2498147.1014037342</v>
      </c>
      <c r="M30" s="106">
        <f t="shared" si="6"/>
        <v>200398.8512671534</v>
      </c>
      <c r="N30" s="106">
        <f t="shared" si="9"/>
        <v>231495809.89331695</v>
      </c>
      <c r="P30" s="196">
        <f t="shared" si="7"/>
        <v>6.0796857363918837E-3</v>
      </c>
      <c r="Q30" s="196">
        <f t="shared" si="8"/>
        <v>2.1606414734021695E-3</v>
      </c>
      <c r="R30" s="115">
        <f>(AVERAGE(N29:N30))*(ROR!$E$6/12)</f>
        <v>1382647.4647453472</v>
      </c>
    </row>
    <row r="31" spans="2:18" x14ac:dyDescent="0.25">
      <c r="B31" s="184">
        <v>45199</v>
      </c>
      <c r="C31" s="198">
        <v>243198713.56999996</v>
      </c>
      <c r="D31" s="211">
        <f>('Plant Additions (as filed)'!D31+'Gas Quality'!$D$15)</f>
        <v>242655485.56999996</v>
      </c>
      <c r="E31" s="198">
        <v>1478571.7500003839</v>
      </c>
      <c r="F31" s="211">
        <f>('Plant Additions (as filed)'!F31+'Gas Quality'!$D$17)</f>
        <v>524291.50587108359</v>
      </c>
      <c r="G31" s="102">
        <f t="shared" si="1"/>
        <v>-22579266.903392654</v>
      </c>
      <c r="H31" s="58">
        <f t="shared" si="2"/>
        <v>-9185820.0811503418</v>
      </c>
      <c r="I31" s="102">
        <f t="shared" si="3"/>
        <v>220619446.66660732</v>
      </c>
      <c r="J31" s="58">
        <f t="shared" si="3"/>
        <v>233469665.48884961</v>
      </c>
      <c r="K31" s="102">
        <f t="shared" si="4"/>
        <v>12850218.82224229</v>
      </c>
      <c r="L31" s="102">
        <f t="shared" si="5"/>
        <v>-2698545.9526708806</v>
      </c>
      <c r="M31" s="106">
        <f t="shared" si="6"/>
        <v>200398.85126714641</v>
      </c>
      <c r="N31" s="106">
        <f t="shared" si="9"/>
        <v>230771119.53617874</v>
      </c>
      <c r="P31" s="196">
        <f t="shared" si="7"/>
        <v>6.0796857363918837E-3</v>
      </c>
      <c r="Q31" s="196">
        <f t="shared" si="8"/>
        <v>2.1606414734021695E-3</v>
      </c>
      <c r="R31" s="115">
        <f>(AVERAGE(N30:N31))*(ROR!$E$6/12)</f>
        <v>1378325.8945822797</v>
      </c>
    </row>
    <row r="32" spans="2:18" ht="15.75" thickBot="1" x14ac:dyDescent="0.3">
      <c r="B32" s="184">
        <v>45230</v>
      </c>
      <c r="C32" s="198">
        <v>243198713.56999996</v>
      </c>
      <c r="D32" s="211">
        <f>('Plant Additions (as filed)'!D32+'Gas Quality'!$D$15)</f>
        <v>242655485.56999996</v>
      </c>
      <c r="E32" s="198">
        <v>1478571.7500003839</v>
      </c>
      <c r="F32" s="211">
        <f>('Plant Additions (as filed)'!F32+'Gas Quality'!$D$17)</f>
        <v>524291.50587108359</v>
      </c>
      <c r="G32" s="102">
        <f t="shared" si="1"/>
        <v>-24057838.653393038</v>
      </c>
      <c r="H32" s="58">
        <f t="shared" si="2"/>
        <v>-9710111.5870214254</v>
      </c>
      <c r="I32" s="102">
        <f t="shared" si="3"/>
        <v>219140874.91660693</v>
      </c>
      <c r="J32" s="58">
        <f t="shared" si="3"/>
        <v>232945373.98297852</v>
      </c>
      <c r="K32" s="102">
        <f t="shared" si="4"/>
        <v>13804499.06637159</v>
      </c>
      <c r="L32" s="102">
        <f t="shared" si="5"/>
        <v>-2898944.803938034</v>
      </c>
      <c r="M32" s="106">
        <f t="shared" si="6"/>
        <v>200398.8512671534</v>
      </c>
      <c r="N32" s="106">
        <f t="shared" si="9"/>
        <v>230046429.17904049</v>
      </c>
      <c r="P32" s="196">
        <f t="shared" si="7"/>
        <v>6.0796857363918837E-3</v>
      </c>
      <c r="Q32" s="196">
        <f t="shared" si="8"/>
        <v>2.1606414734021695E-3</v>
      </c>
      <c r="R32" s="115">
        <f>(AVERAGE(N31:N32))*(ROR!$E$6/12)</f>
        <v>1374004.3244192121</v>
      </c>
    </row>
    <row r="33" spans="2:18" x14ac:dyDescent="0.25">
      <c r="B33" s="185">
        <v>45260</v>
      </c>
      <c r="C33" s="198">
        <v>243198713.56999996</v>
      </c>
      <c r="D33" s="211">
        <f>('Plant Additions (as filed)'!D33+'Gas Quality'!$D$15)</f>
        <v>242655485.56999996</v>
      </c>
      <c r="E33" s="198">
        <v>1478571.7500003839</v>
      </c>
      <c r="F33" s="211">
        <f>('Plant Additions (as filed)'!F33+'Gas Quality'!$D$17)</f>
        <v>524291.50587108359</v>
      </c>
      <c r="G33" s="138">
        <f t="shared" si="1"/>
        <v>-25536410.403393421</v>
      </c>
      <c r="H33" s="124">
        <f t="shared" si="2"/>
        <v>-10234403.092892509</v>
      </c>
      <c r="I33" s="138">
        <f t="shared" si="3"/>
        <v>217662303.16660655</v>
      </c>
      <c r="J33" s="124">
        <f t="shared" si="3"/>
        <v>232421082.47710747</v>
      </c>
      <c r="K33" s="138">
        <f t="shared" si="4"/>
        <v>14758779.31050092</v>
      </c>
      <c r="L33" s="138">
        <f t="shared" si="5"/>
        <v>-3099343.655205193</v>
      </c>
      <c r="M33" s="140">
        <f t="shared" si="6"/>
        <v>200398.85126715899</v>
      </c>
      <c r="N33" s="140">
        <f t="shared" si="9"/>
        <v>229321738.82190228</v>
      </c>
      <c r="O33" s="115"/>
      <c r="P33" s="196">
        <f t="shared" si="7"/>
        <v>6.0796857363918837E-3</v>
      </c>
      <c r="Q33" s="196">
        <f t="shared" si="8"/>
        <v>2.1606414734021695E-3</v>
      </c>
      <c r="R33" s="115">
        <f>(AVERAGE(N32:N33))*(ROR!$E$6/12)</f>
        <v>1369682.7542561444</v>
      </c>
    </row>
    <row r="34" spans="2:18" x14ac:dyDescent="0.25">
      <c r="B34" s="184">
        <v>45291</v>
      </c>
      <c r="C34" s="198">
        <v>243198713.56999996</v>
      </c>
      <c r="D34" s="211">
        <f>('Plant Additions (as filed)'!D34+'Gas Quality'!$D$15)</f>
        <v>242655485.56999996</v>
      </c>
      <c r="E34" s="198">
        <v>1478571.7500003839</v>
      </c>
      <c r="F34" s="211">
        <f>('Plant Additions (as filed)'!F34+'Gas Quality'!$D$17)</f>
        <v>524291.50587108359</v>
      </c>
      <c r="G34" s="102">
        <f t="shared" si="1"/>
        <v>-27014982.153393805</v>
      </c>
      <c r="H34" s="58">
        <f t="shared" si="2"/>
        <v>-10758694.598763593</v>
      </c>
      <c r="I34" s="102">
        <f t="shared" si="3"/>
        <v>216183731.41660616</v>
      </c>
      <c r="J34" s="58">
        <f t="shared" si="3"/>
        <v>231896790.97123638</v>
      </c>
      <c r="K34" s="102">
        <f t="shared" si="4"/>
        <v>15713059.55463022</v>
      </c>
      <c r="L34" s="102">
        <f t="shared" si="5"/>
        <v>-3299742.5064723459</v>
      </c>
      <c r="M34" s="106">
        <f t="shared" si="6"/>
        <v>200398.85126715293</v>
      </c>
      <c r="N34" s="106">
        <f t="shared" si="9"/>
        <v>228597048.46476403</v>
      </c>
      <c r="O34" s="115"/>
      <c r="P34" s="196">
        <f t="shared" si="7"/>
        <v>6.0796857363918837E-3</v>
      </c>
      <c r="Q34" s="196">
        <f t="shared" si="8"/>
        <v>2.1606414734021695E-3</v>
      </c>
      <c r="R34" s="115">
        <f>(AVERAGE(N33:N34))*(ROR!$E$6/12)</f>
        <v>1365361.1840930767</v>
      </c>
    </row>
    <row r="35" spans="2:18" x14ac:dyDescent="0.25">
      <c r="B35" s="184">
        <v>45322</v>
      </c>
      <c r="C35" s="198">
        <v>243198713.56999996</v>
      </c>
      <c r="D35" s="211">
        <f>('Plant Additions (as filed)'!D35+'Gas Quality'!$D$15)</f>
        <v>242655485.56999996</v>
      </c>
      <c r="E35" s="198">
        <v>1348164.9220808002</v>
      </c>
      <c r="F35" s="211">
        <f>('Plant Additions (as filed)'!F35+'Gas Quality'!$D$17)</f>
        <v>524291.50587108359</v>
      </c>
      <c r="G35" s="102">
        <f t="shared" si="1"/>
        <v>-28363147.075474605</v>
      </c>
      <c r="H35" s="58">
        <f t="shared" si="2"/>
        <v>-11282986.104634676</v>
      </c>
      <c r="I35" s="102">
        <f t="shared" si="3"/>
        <v>214835566.49452537</v>
      </c>
      <c r="J35" s="58">
        <f t="shared" si="3"/>
        <v>231372499.46536529</v>
      </c>
      <c r="K35" s="102">
        <f t="shared" si="4"/>
        <v>16536932.970839918</v>
      </c>
      <c r="L35" s="102">
        <f t="shared" si="5"/>
        <v>-3472755.9238763824</v>
      </c>
      <c r="M35" s="106">
        <f t="shared" si="6"/>
        <v>173013.4174040365</v>
      </c>
      <c r="N35" s="106">
        <f t="shared" si="9"/>
        <v>227899743.54148892</v>
      </c>
      <c r="O35" s="115"/>
      <c r="P35" s="196">
        <f t="shared" si="7"/>
        <v>5.5434706141764085E-3</v>
      </c>
      <c r="Q35" s="196">
        <f t="shared" si="8"/>
        <v>2.1606414734021695E-3</v>
      </c>
      <c r="R35" s="115">
        <f>(AVERAGE(N34:N35))*(ROR!$E$6/12)</f>
        <v>1361121.2681653108</v>
      </c>
    </row>
    <row r="36" spans="2:18" x14ac:dyDescent="0.25">
      <c r="B36" s="184">
        <v>45350</v>
      </c>
      <c r="C36" s="198">
        <v>243198713.56999996</v>
      </c>
      <c r="D36" s="211">
        <f>('Plant Additions (as filed)'!D36+'Gas Quality'!$D$15)</f>
        <v>242655485.56999996</v>
      </c>
      <c r="E36" s="198">
        <v>1348164.9220808002</v>
      </c>
      <c r="F36" s="211">
        <f>('Plant Additions (as filed)'!F36+'Gas Quality'!$D$17)</f>
        <v>524291.50587108359</v>
      </c>
      <c r="G36" s="102">
        <f t="shared" si="1"/>
        <v>-29711311.997555405</v>
      </c>
      <c r="H36" s="58">
        <f t="shared" si="2"/>
        <v>-11807277.61050576</v>
      </c>
      <c r="I36" s="102">
        <f t="shared" si="3"/>
        <v>213487401.57244456</v>
      </c>
      <c r="J36" s="58">
        <f t="shared" si="3"/>
        <v>230848207.9594942</v>
      </c>
      <c r="K36" s="102">
        <f t="shared" si="4"/>
        <v>17360806.387049645</v>
      </c>
      <c r="L36" s="102">
        <f t="shared" si="5"/>
        <v>-3645769.3412804254</v>
      </c>
      <c r="M36" s="106">
        <f t="shared" si="6"/>
        <v>173013.41740404302</v>
      </c>
      <c r="N36" s="106">
        <f t="shared" si="9"/>
        <v>227202438.61821377</v>
      </c>
      <c r="O36" s="115"/>
      <c r="P36" s="196">
        <f t="shared" si="7"/>
        <v>5.5434706141764085E-3</v>
      </c>
      <c r="Q36" s="196">
        <f t="shared" si="8"/>
        <v>2.1606414734021695E-3</v>
      </c>
      <c r="R36" s="115">
        <f>(AVERAGE(N35:N36))*(ROR!$E$6/12)</f>
        <v>1356963.0064728467</v>
      </c>
    </row>
    <row r="37" spans="2:18" x14ac:dyDescent="0.25">
      <c r="B37" s="184">
        <v>45382</v>
      </c>
      <c r="C37" s="198">
        <v>243198713.56999996</v>
      </c>
      <c r="D37" s="211">
        <f>('Plant Additions (as filed)'!D37+'Gas Quality'!$D$15)</f>
        <v>242655485.56999996</v>
      </c>
      <c r="E37" s="198">
        <v>1348164.9220808002</v>
      </c>
      <c r="F37" s="211">
        <f>('Plant Additions (as filed)'!F37+'Gas Quality'!$D$17)</f>
        <v>524291.50587108359</v>
      </c>
      <c r="G37" s="102">
        <f t="shared" si="1"/>
        <v>-31059476.919636205</v>
      </c>
      <c r="H37" s="58">
        <f t="shared" si="2"/>
        <v>-12331569.116376843</v>
      </c>
      <c r="I37" s="102">
        <f t="shared" si="3"/>
        <v>212139236.65036374</v>
      </c>
      <c r="J37" s="58">
        <f t="shared" si="3"/>
        <v>230323916.45362312</v>
      </c>
      <c r="K37" s="102">
        <f t="shared" si="4"/>
        <v>18184679.803259373</v>
      </c>
      <c r="L37" s="102">
        <f t="shared" si="5"/>
        <v>-3818782.758684468</v>
      </c>
      <c r="M37" s="106">
        <f t="shared" si="6"/>
        <v>173013.41740404256</v>
      </c>
      <c r="N37" s="106">
        <f t="shared" si="9"/>
        <v>226505133.69493866</v>
      </c>
      <c r="O37" s="115"/>
      <c r="P37" s="196">
        <f t="shared" si="7"/>
        <v>5.5434706141764085E-3</v>
      </c>
      <c r="Q37" s="196">
        <f t="shared" si="8"/>
        <v>2.1606414734021695E-3</v>
      </c>
      <c r="R37" s="115">
        <f>(AVERAGE(N36:N37))*(ROR!$E$6/12)</f>
        <v>1352804.7447803828</v>
      </c>
    </row>
    <row r="38" spans="2:18" x14ac:dyDescent="0.25">
      <c r="B38" s="184">
        <v>45412</v>
      </c>
      <c r="C38" s="198">
        <v>243198713.56999996</v>
      </c>
      <c r="D38" s="211">
        <f>('Plant Additions (as filed)'!D38+'Gas Quality'!$D$15)</f>
        <v>242655485.56999996</v>
      </c>
      <c r="E38" s="198">
        <v>1348164.9220808002</v>
      </c>
      <c r="F38" s="211">
        <f>('Plant Additions (as filed)'!F38+'Gas Quality'!$D$17)</f>
        <v>524291.50587108359</v>
      </c>
      <c r="G38" s="102">
        <f t="shared" si="1"/>
        <v>-32407641.841717005</v>
      </c>
      <c r="H38" s="58">
        <f t="shared" si="2"/>
        <v>-12855860.622247927</v>
      </c>
      <c r="I38" s="102">
        <f t="shared" si="3"/>
        <v>210791071.72828296</v>
      </c>
      <c r="J38" s="58">
        <f t="shared" si="3"/>
        <v>229799624.94775203</v>
      </c>
      <c r="K38" s="102">
        <f t="shared" si="4"/>
        <v>19008553.21946907</v>
      </c>
      <c r="L38" s="102">
        <f t="shared" si="5"/>
        <v>-3991796.1760885045</v>
      </c>
      <c r="M38" s="106">
        <f t="shared" si="6"/>
        <v>173013.4174040365</v>
      </c>
      <c r="N38" s="106">
        <f t="shared" si="9"/>
        <v>225807828.77166352</v>
      </c>
      <c r="O38" s="115"/>
      <c r="P38" s="196">
        <f t="shared" si="7"/>
        <v>5.5434706141764085E-3</v>
      </c>
      <c r="Q38" s="196">
        <f t="shared" si="8"/>
        <v>2.1606414734021695E-3</v>
      </c>
      <c r="R38" s="115">
        <f>(AVERAGE(N37:N38))*(ROR!$E$6/12)</f>
        <v>1348646.483087919</v>
      </c>
    </row>
    <row r="39" spans="2:18" x14ac:dyDescent="0.25">
      <c r="B39" s="184">
        <v>45443</v>
      </c>
      <c r="C39" s="198">
        <v>243198713.56999996</v>
      </c>
      <c r="D39" s="211">
        <f>('Plant Additions (as filed)'!D39+'Gas Quality'!$D$15)</f>
        <v>242655485.56999996</v>
      </c>
      <c r="E39" s="198">
        <v>1348164.9220808002</v>
      </c>
      <c r="F39" s="211">
        <f>('Plant Additions (as filed)'!F39+'Gas Quality'!$D$17)</f>
        <v>524291.50587108359</v>
      </c>
      <c r="G39" s="102">
        <f t="shared" si="1"/>
        <v>-33755806.763797805</v>
      </c>
      <c r="H39" s="58">
        <f t="shared" si="2"/>
        <v>-13380152.12811901</v>
      </c>
      <c r="I39" s="102">
        <f t="shared" si="3"/>
        <v>209442906.80620217</v>
      </c>
      <c r="J39" s="58">
        <f t="shared" si="3"/>
        <v>229275333.44188094</v>
      </c>
      <c r="K39" s="102">
        <f t="shared" si="4"/>
        <v>19832426.635678768</v>
      </c>
      <c r="L39" s="102">
        <f t="shared" si="5"/>
        <v>-4164809.593492541</v>
      </c>
      <c r="M39" s="106">
        <f t="shared" si="6"/>
        <v>173013.4174040365</v>
      </c>
      <c r="N39" s="106">
        <f t="shared" si="9"/>
        <v>225110523.8483884</v>
      </c>
      <c r="O39" s="115"/>
      <c r="P39" s="196">
        <f t="shared" si="7"/>
        <v>5.5434706141764085E-3</v>
      </c>
      <c r="Q39" s="196">
        <f t="shared" si="8"/>
        <v>2.1606414734021695E-3</v>
      </c>
      <c r="R39" s="115">
        <f>(AVERAGE(N38:N39))*(ROR!$E$6/12)</f>
        <v>1344488.2213954548</v>
      </c>
    </row>
    <row r="40" spans="2:18" x14ac:dyDescent="0.25">
      <c r="B40" s="184">
        <v>45473</v>
      </c>
      <c r="C40" s="198">
        <v>243198713.56999996</v>
      </c>
      <c r="D40" s="211">
        <f>('Plant Additions (as filed)'!D40+'Gas Quality'!$D$15)</f>
        <v>242655485.56999996</v>
      </c>
      <c r="E40" s="198">
        <v>1348164.9220808002</v>
      </c>
      <c r="F40" s="211">
        <f>('Plant Additions (as filed)'!F40+'Gas Quality'!$D$17)</f>
        <v>524291.50587108359</v>
      </c>
      <c r="G40" s="102">
        <f t="shared" si="1"/>
        <v>-35103971.685878605</v>
      </c>
      <c r="H40" s="58">
        <f t="shared" si="2"/>
        <v>-13904443.633990094</v>
      </c>
      <c r="I40" s="102">
        <f t="shared" si="3"/>
        <v>208094741.88412136</v>
      </c>
      <c r="J40" s="58">
        <f t="shared" si="3"/>
        <v>228751041.93600988</v>
      </c>
      <c r="K40" s="102">
        <f t="shared" si="4"/>
        <v>20656300.051888525</v>
      </c>
      <c r="L40" s="102">
        <f t="shared" si="5"/>
        <v>-4337823.0108965905</v>
      </c>
      <c r="M40" s="106">
        <f t="shared" si="6"/>
        <v>173013.41740404954</v>
      </c>
      <c r="N40" s="106">
        <f t="shared" si="9"/>
        <v>224413218.92511329</v>
      </c>
      <c r="O40" s="115"/>
      <c r="P40" s="196">
        <f t="shared" si="7"/>
        <v>5.5434706141764085E-3</v>
      </c>
      <c r="Q40" s="196">
        <f t="shared" si="8"/>
        <v>2.1606414734021695E-3</v>
      </c>
      <c r="R40" s="115">
        <f>(AVERAGE(N39:N40))*(ROR!$E$6/12)</f>
        <v>1340329.9597029909</v>
      </c>
    </row>
    <row r="41" spans="2:18" x14ac:dyDescent="0.25">
      <c r="B41" s="184">
        <v>45504</v>
      </c>
      <c r="C41" s="198">
        <v>243198713.56999996</v>
      </c>
      <c r="D41" s="211">
        <f>('Plant Additions (as filed)'!D41+'Gas Quality'!$D$15)</f>
        <v>242655485.56999996</v>
      </c>
      <c r="E41" s="198">
        <v>1348164.9220808002</v>
      </c>
      <c r="F41" s="211">
        <f>('Plant Additions (as filed)'!F41+'Gas Quality'!$D$17)</f>
        <v>524291.50587108359</v>
      </c>
      <c r="G41" s="102">
        <f t="shared" si="1"/>
        <v>-36452136.607959405</v>
      </c>
      <c r="H41" s="58">
        <f t="shared" si="2"/>
        <v>-14428735.139861178</v>
      </c>
      <c r="I41" s="102">
        <f t="shared" si="3"/>
        <v>206746576.96204054</v>
      </c>
      <c r="J41" s="58">
        <f t="shared" si="3"/>
        <v>228226750.4301388</v>
      </c>
      <c r="K41" s="102">
        <f t="shared" si="4"/>
        <v>21480173.468098253</v>
      </c>
      <c r="L41" s="102">
        <f t="shared" si="5"/>
        <v>-4510836.4283006331</v>
      </c>
      <c r="M41" s="106">
        <f t="shared" si="6"/>
        <v>173013.41740404256</v>
      </c>
      <c r="N41" s="106">
        <f t="shared" si="9"/>
        <v>223715914.00183818</v>
      </c>
      <c r="O41" s="115"/>
      <c r="P41" s="196">
        <f t="shared" si="7"/>
        <v>5.5434706141764085E-3</v>
      </c>
      <c r="Q41" s="196">
        <f t="shared" si="8"/>
        <v>2.1606414734021695E-3</v>
      </c>
      <c r="R41" s="115">
        <f>(AVERAGE(N40:N41))*(ROR!$E$6/12)</f>
        <v>1336171.6980105271</v>
      </c>
    </row>
    <row r="42" spans="2:18" x14ac:dyDescent="0.25">
      <c r="B42" s="184">
        <v>45535</v>
      </c>
      <c r="C42" s="198">
        <v>243198713.56999996</v>
      </c>
      <c r="D42" s="211">
        <f>('Plant Additions (as filed)'!D42+'Gas Quality'!$D$15)</f>
        <v>242655485.56999996</v>
      </c>
      <c r="E42" s="198">
        <v>1348164.9220808002</v>
      </c>
      <c r="F42" s="211">
        <f>('Plant Additions (as filed)'!F42+'Gas Quality'!$D$17)</f>
        <v>524291.50587108359</v>
      </c>
      <c r="G42" s="102">
        <f t="shared" si="1"/>
        <v>-37800301.530040205</v>
      </c>
      <c r="H42" s="58">
        <f t="shared" si="2"/>
        <v>-14953026.645732261</v>
      </c>
      <c r="I42" s="102">
        <f t="shared" si="3"/>
        <v>205398412.03995976</v>
      </c>
      <c r="J42" s="58">
        <f t="shared" si="3"/>
        <v>227702458.92426771</v>
      </c>
      <c r="K42" s="102">
        <f t="shared" si="4"/>
        <v>22304046.884307951</v>
      </c>
      <c r="L42" s="102">
        <f t="shared" si="5"/>
        <v>-4683849.8457046691</v>
      </c>
      <c r="M42" s="106">
        <f t="shared" si="6"/>
        <v>173013.41740403604</v>
      </c>
      <c r="N42" s="106">
        <f t="shared" si="9"/>
        <v>223018609.07856303</v>
      </c>
      <c r="O42" s="115"/>
      <c r="P42" s="196">
        <f t="shared" si="7"/>
        <v>5.5434706141764085E-3</v>
      </c>
      <c r="Q42" s="196">
        <f t="shared" si="8"/>
        <v>2.1606414734021695E-3</v>
      </c>
      <c r="R42" s="115">
        <f>(AVERAGE(N41:N42))*(ROR!$E$6/12)</f>
        <v>1332013.4363180629</v>
      </c>
    </row>
    <row r="43" spans="2:18" x14ac:dyDescent="0.25">
      <c r="B43" s="184">
        <v>45565</v>
      </c>
      <c r="C43" s="198">
        <v>243198713.56999996</v>
      </c>
      <c r="D43" s="211">
        <f>('Plant Additions (as filed)'!D43+'Gas Quality'!$D$15)</f>
        <v>242655485.56999996</v>
      </c>
      <c r="E43" s="198">
        <v>1348164.9220808002</v>
      </c>
      <c r="F43" s="211">
        <f>('Plant Additions (as filed)'!F43+'Gas Quality'!$D$17)</f>
        <v>524291.50587108359</v>
      </c>
      <c r="G43" s="102">
        <f t="shared" si="1"/>
        <v>-39148466.452121004</v>
      </c>
      <c r="H43" s="58">
        <f t="shared" si="2"/>
        <v>-15477318.151603345</v>
      </c>
      <c r="I43" s="102">
        <f t="shared" si="3"/>
        <v>204050247.11787897</v>
      </c>
      <c r="J43" s="58">
        <f t="shared" si="3"/>
        <v>227178167.41839662</v>
      </c>
      <c r="K43" s="102">
        <f t="shared" si="4"/>
        <v>23127920.300517648</v>
      </c>
      <c r="L43" s="102">
        <f t="shared" si="5"/>
        <v>-4856863.2631087061</v>
      </c>
      <c r="M43" s="106">
        <f t="shared" si="6"/>
        <v>173013.41740403697</v>
      </c>
      <c r="N43" s="106">
        <f t="shared" si="9"/>
        <v>222321304.15528792</v>
      </c>
      <c r="O43" s="115"/>
      <c r="P43" s="196">
        <f t="shared" si="7"/>
        <v>5.5434706141764085E-3</v>
      </c>
      <c r="Q43" s="196">
        <f t="shared" si="8"/>
        <v>2.1606414734021695E-3</v>
      </c>
      <c r="R43" s="115">
        <f>(AVERAGE(N42:N43))*(ROR!$E$6/12)</f>
        <v>1327855.1746255991</v>
      </c>
    </row>
    <row r="44" spans="2:18" ht="15.75" thickBot="1" x14ac:dyDescent="0.3">
      <c r="B44" s="184">
        <v>45596</v>
      </c>
      <c r="C44" s="212">
        <v>243198713.56999996</v>
      </c>
      <c r="D44" s="213">
        <f>('Plant Additions (as filed)'!D44+'Gas Quality'!$D$15)</f>
        <v>242655485.56999996</v>
      </c>
      <c r="E44" s="212">
        <v>1348164.9220808002</v>
      </c>
      <c r="F44" s="214">
        <f>('Plant Additions (as filed)'!F44+'Gas Quality'!$D$17)</f>
        <v>524291.50587108359</v>
      </c>
      <c r="G44" s="102">
        <f t="shared" si="1"/>
        <v>-40496631.374201804</v>
      </c>
      <c r="H44" s="58">
        <f t="shared" si="2"/>
        <v>-16001609.657474428</v>
      </c>
      <c r="I44" s="102">
        <f t="shared" si="3"/>
        <v>202702082.19579816</v>
      </c>
      <c r="J44" s="58">
        <f t="shared" si="3"/>
        <v>226653875.91252553</v>
      </c>
      <c r="K44" s="102">
        <f t="shared" si="4"/>
        <v>23951793.716727376</v>
      </c>
      <c r="L44" s="102">
        <f t="shared" si="5"/>
        <v>-5029876.6805127487</v>
      </c>
      <c r="M44" s="106">
        <f t="shared" si="6"/>
        <v>173013.41740404256</v>
      </c>
      <c r="N44" s="106">
        <f t="shared" si="9"/>
        <v>221623999.23201278</v>
      </c>
      <c r="O44" s="115"/>
      <c r="P44" s="196">
        <f t="shared" si="7"/>
        <v>5.5434706141764085E-3</v>
      </c>
      <c r="Q44" s="196">
        <f t="shared" si="8"/>
        <v>2.1606414734021695E-3</v>
      </c>
      <c r="R44" s="115">
        <f>(AVERAGE(N43:N44))*(ROR!$E$6/12)</f>
        <v>1323696.9129331349</v>
      </c>
    </row>
    <row r="45" spans="2:18" ht="15.75" thickBot="1" x14ac:dyDescent="0.3">
      <c r="B45" s="186">
        <v>45626</v>
      </c>
      <c r="C45" s="215">
        <v>243198713.56999996</v>
      </c>
      <c r="D45" s="216">
        <f>('Plant Additions (as filed)'!D45+'Gas Quality'!$D$15)</f>
        <v>242655485.56999996</v>
      </c>
      <c r="E45" s="215">
        <v>1348164.9220808002</v>
      </c>
      <c r="F45" s="217">
        <f>('Plant Additions (as filed)'!F45+'Gas Quality'!$D$17)</f>
        <v>524291.50587108359</v>
      </c>
      <c r="G45" s="187">
        <f t="shared" si="1"/>
        <v>-41844796.296282604</v>
      </c>
      <c r="H45" s="189">
        <f t="shared" si="2"/>
        <v>-16525901.163345512</v>
      </c>
      <c r="I45" s="187">
        <f t="shared" si="3"/>
        <v>201353917.27371734</v>
      </c>
      <c r="J45" s="189">
        <f t="shared" si="3"/>
        <v>226129584.40665445</v>
      </c>
      <c r="K45" s="187">
        <f t="shared" si="4"/>
        <v>24775667.132937104</v>
      </c>
      <c r="L45" s="187">
        <f t="shared" si="5"/>
        <v>-5202890.0979167912</v>
      </c>
      <c r="M45" s="190">
        <f t="shared" si="6"/>
        <v>173013.41740404256</v>
      </c>
      <c r="N45" s="190">
        <f t="shared" si="9"/>
        <v>220926694.30873767</v>
      </c>
      <c r="O45" s="115"/>
      <c r="P45" s="196">
        <f t="shared" si="7"/>
        <v>5.5434706141764085E-3</v>
      </c>
      <c r="Q45" s="196">
        <f t="shared" si="8"/>
        <v>2.1606414734021695E-3</v>
      </c>
      <c r="R45" s="115">
        <f>(AVERAGE(N44:N45))*(ROR!$E$6/12)</f>
        <v>1319538.6512406711</v>
      </c>
    </row>
    <row r="46" spans="2:18" x14ac:dyDescent="0.25">
      <c r="B46" s="66"/>
      <c r="O46" s="115"/>
    </row>
    <row r="47" spans="2:18" x14ac:dyDescent="0.25">
      <c r="B47" s="146" t="s">
        <v>162</v>
      </c>
    </row>
    <row r="48" spans="2:18" x14ac:dyDescent="0.25">
      <c r="N48" s="115"/>
    </row>
    <row r="49" spans="2:14" x14ac:dyDescent="0.25">
      <c r="B49" t="s">
        <v>179</v>
      </c>
      <c r="C49" s="157"/>
      <c r="E49" s="129" t="s">
        <v>80</v>
      </c>
      <c r="N49" s="115"/>
    </row>
    <row r="50" spans="2:14" x14ac:dyDescent="0.25">
      <c r="B50" s="113" t="s">
        <v>77</v>
      </c>
      <c r="C50" s="177">
        <f>(D32+D44+SUM(D33:D43)*2)/24</f>
        <v>242655485.57000002</v>
      </c>
      <c r="D50" s="152"/>
      <c r="E50" s="152">
        <f>+'Plant Additions (as filed)'!D12</f>
        <v>242210482.39999998</v>
      </c>
      <c r="F50" t="s">
        <v>232</v>
      </c>
      <c r="N50" s="115"/>
    </row>
    <row r="51" spans="2:14" x14ac:dyDescent="0.25">
      <c r="B51" t="s">
        <v>186</v>
      </c>
      <c r="C51" s="114">
        <f>(H32+H44+SUM(H33:H43)*2)/24</f>
        <v>-12855860.622247927</v>
      </c>
      <c r="D51" s="152"/>
      <c r="E51" s="233">
        <f>+D12</f>
        <v>196176947.68941176</v>
      </c>
      <c r="F51" t="s">
        <v>233</v>
      </c>
    </row>
    <row r="52" spans="2:14" x14ac:dyDescent="0.25">
      <c r="B52" t="s">
        <v>87</v>
      </c>
      <c r="C52" s="232">
        <f>(L32+L44+SUM(L33:L43)*2)/24</f>
        <v>-3987231.9371113214</v>
      </c>
      <c r="D52" s="234"/>
      <c r="E52" s="234">
        <f>+E51-E50</f>
        <v>-46033534.710588217</v>
      </c>
      <c r="F52" t="s">
        <v>203</v>
      </c>
    </row>
    <row r="53" spans="2:14" x14ac:dyDescent="0.25">
      <c r="C53" s="114">
        <f>SUM(C50:C52)</f>
        <v>225812393.01064077</v>
      </c>
      <c r="D53" s="155"/>
      <c r="E53" s="152"/>
    </row>
    <row r="54" spans="2:14" x14ac:dyDescent="0.25">
      <c r="E54" s="152"/>
    </row>
  </sheetData>
  <printOptions horizontalCentered="1"/>
  <pageMargins left="0.2" right="0.2" top="0.25" bottom="0.25" header="0.3" footer="0.3"/>
  <pageSetup scale="75" orientation="landscape" r:id="rId1"/>
  <headerFooter>
    <oddFooter>&amp;R&amp;"Times New Roman,Regular"&amp;10Exh. SEF-3 page 2 of 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98FE1-EC8C-4D55-8842-EB681F7DD473}">
  <sheetPr>
    <pageSetUpPr fitToPage="1"/>
  </sheetPr>
  <dimension ref="A1:O52"/>
  <sheetViews>
    <sheetView workbookViewId="0">
      <pane xSplit="2" ySplit="9" topLeftCell="C10" activePane="bottomRight" state="frozen"/>
      <selection activeCell="C35" sqref="C35"/>
      <selection pane="topRight" activeCell="C35" sqref="C35"/>
      <selection pane="bottomLeft" activeCell="C35" sqref="C35"/>
      <selection pane="bottomRight" activeCell="D12" sqref="D12"/>
    </sheetView>
  </sheetViews>
  <sheetFormatPr defaultColWidth="9.140625" defaultRowHeight="15" x14ac:dyDescent="0.25"/>
  <cols>
    <col min="1" max="1" width="3.85546875" style="1" customWidth="1"/>
    <col min="2" max="2" width="20.42578125" customWidth="1"/>
    <col min="3" max="3" width="14.5703125" bestFit="1" customWidth="1"/>
    <col min="4" max="7" width="12.7109375" customWidth="1"/>
    <col min="8" max="8" width="12.5703125" customWidth="1"/>
    <col min="9" max="14" width="12.7109375" customWidth="1"/>
    <col min="15" max="15" width="12.28515625" bestFit="1" customWidth="1"/>
  </cols>
  <sheetData>
    <row r="1" spans="2:14" x14ac:dyDescent="0.25">
      <c r="B1" s="72" t="s">
        <v>184</v>
      </c>
      <c r="C1" s="73"/>
      <c r="D1" s="73"/>
      <c r="E1" s="73"/>
      <c r="F1" s="73"/>
      <c r="M1" s="74"/>
    </row>
    <row r="2" spans="2:14" x14ac:dyDescent="0.25">
      <c r="B2" s="5" t="s">
        <v>128</v>
      </c>
      <c r="C2" s="26"/>
      <c r="D2" s="30"/>
      <c r="E2" s="75" t="s">
        <v>214</v>
      </c>
      <c r="F2" s="210">
        <f>(F23/D23)*12</f>
        <v>2.5926956189662537E-2</v>
      </c>
      <c r="G2" s="76"/>
      <c r="H2" s="202"/>
      <c r="I2" s="77"/>
      <c r="J2" s="78"/>
      <c r="K2" s="73"/>
      <c r="L2" s="73"/>
      <c r="M2" s="74"/>
      <c r="N2" s="195"/>
    </row>
    <row r="3" spans="2:14" ht="15.75" thickBot="1" x14ac:dyDescent="0.3">
      <c r="B3" s="25"/>
      <c r="F3" s="26"/>
      <c r="G3" s="26"/>
      <c r="H3" s="26"/>
      <c r="I3" s="26"/>
      <c r="J3" s="176"/>
      <c r="K3" s="176"/>
    </row>
    <row r="4" spans="2:14" ht="15.75" thickBot="1" x14ac:dyDescent="0.3">
      <c r="B4" s="26"/>
      <c r="C4" s="145" t="s">
        <v>161</v>
      </c>
      <c r="D4" s="143"/>
      <c r="E4" s="143"/>
      <c r="F4" s="143"/>
      <c r="G4" s="143"/>
      <c r="H4" s="144"/>
      <c r="I4" s="26"/>
      <c r="J4" s="26"/>
      <c r="K4" s="26"/>
      <c r="L4" s="26"/>
      <c r="M4" s="26"/>
      <c r="N4" s="26"/>
    </row>
    <row r="5" spans="2:14" x14ac:dyDescent="0.25">
      <c r="B5" s="79" t="s">
        <v>82</v>
      </c>
      <c r="C5" s="141" t="s">
        <v>83</v>
      </c>
      <c r="D5" s="142"/>
      <c r="E5" s="141" t="s">
        <v>84</v>
      </c>
      <c r="F5" s="142"/>
      <c r="G5" s="141" t="s">
        <v>81</v>
      </c>
      <c r="H5" s="142"/>
      <c r="I5" s="80" t="s">
        <v>85</v>
      </c>
      <c r="J5" s="81"/>
      <c r="K5" s="82" t="s">
        <v>86</v>
      </c>
      <c r="L5" s="83" t="s">
        <v>87</v>
      </c>
      <c r="M5" s="83" t="s">
        <v>59</v>
      </c>
      <c r="N5" s="82" t="s">
        <v>165</v>
      </c>
    </row>
    <row r="6" spans="2:14" x14ac:dyDescent="0.25">
      <c r="B6" s="84"/>
      <c r="C6" s="85"/>
      <c r="D6" s="86"/>
      <c r="E6" s="87"/>
      <c r="F6" s="88"/>
      <c r="G6" s="87"/>
      <c r="H6" s="86"/>
      <c r="I6" s="85"/>
      <c r="J6" s="89"/>
      <c r="K6" s="90"/>
      <c r="L6" s="91"/>
      <c r="M6" s="91" t="s">
        <v>164</v>
      </c>
      <c r="N6" s="90" t="s">
        <v>166</v>
      </c>
    </row>
    <row r="7" spans="2:14" x14ac:dyDescent="0.25">
      <c r="B7" s="92"/>
      <c r="C7" s="93" t="s">
        <v>88</v>
      </c>
      <c r="D7" s="89" t="s">
        <v>89</v>
      </c>
      <c r="E7" s="93" t="s">
        <v>90</v>
      </c>
      <c r="F7" s="89" t="s">
        <v>129</v>
      </c>
      <c r="G7" s="93" t="s">
        <v>88</v>
      </c>
      <c r="H7" s="89" t="s">
        <v>89</v>
      </c>
      <c r="I7" s="93" t="s">
        <v>88</v>
      </c>
      <c r="J7" s="89" t="s">
        <v>91</v>
      </c>
      <c r="K7" s="90" t="s">
        <v>92</v>
      </c>
      <c r="L7" s="94"/>
      <c r="M7" s="91" t="s">
        <v>93</v>
      </c>
      <c r="N7" s="147"/>
    </row>
    <row r="8" spans="2:14" x14ac:dyDescent="0.25">
      <c r="B8" s="92"/>
      <c r="C8" s="93"/>
      <c r="D8" s="89"/>
      <c r="E8" s="93" t="s">
        <v>94</v>
      </c>
      <c r="F8" s="89" t="s">
        <v>130</v>
      </c>
      <c r="G8" s="93" t="s">
        <v>95</v>
      </c>
      <c r="H8" s="89" t="s">
        <v>96</v>
      </c>
      <c r="I8" s="93"/>
      <c r="J8" s="89"/>
      <c r="K8" s="90" t="s">
        <v>185</v>
      </c>
      <c r="L8" s="94">
        <v>0.21</v>
      </c>
      <c r="M8" s="91" t="s">
        <v>97</v>
      </c>
      <c r="N8" s="147"/>
    </row>
    <row r="9" spans="2:14" x14ac:dyDescent="0.25">
      <c r="B9" s="95"/>
      <c r="C9" s="96" t="s">
        <v>98</v>
      </c>
      <c r="D9" s="97" t="s">
        <v>63</v>
      </c>
      <c r="E9" s="96"/>
      <c r="F9" s="97" t="s">
        <v>163</v>
      </c>
      <c r="G9" s="96" t="s">
        <v>99</v>
      </c>
      <c r="H9" s="97" t="s">
        <v>100</v>
      </c>
      <c r="I9" s="96" t="s">
        <v>101</v>
      </c>
      <c r="J9" s="97" t="s">
        <v>102</v>
      </c>
      <c r="K9" s="98" t="s">
        <v>103</v>
      </c>
      <c r="L9" s="99" t="s">
        <v>71</v>
      </c>
      <c r="M9" s="100" t="s">
        <v>104</v>
      </c>
      <c r="N9" s="148" t="s">
        <v>167</v>
      </c>
    </row>
    <row r="10" spans="2:14" x14ac:dyDescent="0.25">
      <c r="B10" s="101"/>
      <c r="C10" s="102"/>
      <c r="D10" s="103"/>
      <c r="E10" s="102"/>
      <c r="F10" s="103"/>
      <c r="G10" s="104"/>
      <c r="H10" s="105"/>
      <c r="I10" s="102"/>
      <c r="J10" s="103"/>
      <c r="K10" s="106"/>
      <c r="L10" s="107"/>
      <c r="M10" s="103"/>
      <c r="N10" s="149"/>
    </row>
    <row r="11" spans="2:14" x14ac:dyDescent="0.25">
      <c r="B11" s="184">
        <v>44592</v>
      </c>
      <c r="C11" s="102">
        <v>0</v>
      </c>
      <c r="D11" s="103">
        <v>0</v>
      </c>
      <c r="E11" s="102">
        <v>770282.29714848334</v>
      </c>
      <c r="F11" s="58">
        <v>0</v>
      </c>
      <c r="G11" s="102">
        <v>-770282.29714848334</v>
      </c>
      <c r="H11" s="58">
        <v>0</v>
      </c>
      <c r="I11" s="102">
        <v>-770282.29714848334</v>
      </c>
      <c r="J11" s="58">
        <v>0</v>
      </c>
      <c r="K11" s="102">
        <v>770282.29714848334</v>
      </c>
      <c r="L11" s="102">
        <v>-161759.2824011815</v>
      </c>
      <c r="M11" s="106">
        <v>161759.2824011815</v>
      </c>
      <c r="N11" s="106">
        <v>-161759.2824011815</v>
      </c>
    </row>
    <row r="12" spans="2:14" x14ac:dyDescent="0.25">
      <c r="B12" s="184">
        <v>44620</v>
      </c>
      <c r="C12" s="102">
        <v>242210482.39999998</v>
      </c>
      <c r="D12" s="235">
        <v>242210482.39999998</v>
      </c>
      <c r="E12" s="102">
        <v>771840.64653689996</v>
      </c>
      <c r="F12" s="58">
        <v>270932.72951333335</v>
      </c>
      <c r="G12" s="102">
        <v>-1542122.9436853833</v>
      </c>
      <c r="H12" s="58">
        <v>-270932.72951333335</v>
      </c>
      <c r="I12" s="102">
        <v>240668359.45631459</v>
      </c>
      <c r="J12" s="58">
        <v>241939549.67048663</v>
      </c>
      <c r="K12" s="102">
        <v>1271190.2141720355</v>
      </c>
      <c r="L12" s="102">
        <v>-266949.94497612742</v>
      </c>
      <c r="M12" s="106">
        <v>105190.66257494592</v>
      </c>
      <c r="N12" s="106">
        <v>241672599.72551051</v>
      </c>
    </row>
    <row r="13" spans="2:14" x14ac:dyDescent="0.25">
      <c r="B13" s="184">
        <v>44651</v>
      </c>
      <c r="C13" s="102">
        <v>242400844.05000004</v>
      </c>
      <c r="D13" s="103">
        <v>242400844.05000004</v>
      </c>
      <c r="E13" s="102">
        <v>772222.23552633915</v>
      </c>
      <c r="F13" s="58">
        <v>523580.40328349994</v>
      </c>
      <c r="G13" s="102">
        <v>-2314345.1792117227</v>
      </c>
      <c r="H13" s="58">
        <v>-794513.13279683329</v>
      </c>
      <c r="I13" s="102">
        <v>240086498.87078831</v>
      </c>
      <c r="J13" s="58">
        <v>241606330.91720322</v>
      </c>
      <c r="K13" s="102">
        <v>1519832.0464149117</v>
      </c>
      <c r="L13" s="102">
        <v>-319164.72974713147</v>
      </c>
      <c r="M13" s="106">
        <v>52214.784771004051</v>
      </c>
      <c r="N13" s="106">
        <v>241287166.18745607</v>
      </c>
    </row>
    <row r="14" spans="2:14" x14ac:dyDescent="0.25">
      <c r="B14" s="184">
        <v>44681</v>
      </c>
      <c r="C14" s="102">
        <v>242473352.72000003</v>
      </c>
      <c r="D14" s="103">
        <v>242473352.72000003</v>
      </c>
      <c r="E14" s="102">
        <v>772346.7097157056</v>
      </c>
      <c r="F14" s="58">
        <v>523852.83881937491</v>
      </c>
      <c r="G14" s="102">
        <v>-3086691.8889274281</v>
      </c>
      <c r="H14" s="58">
        <v>-1318365.9716162081</v>
      </c>
      <c r="I14" s="102">
        <v>239386660.8310726</v>
      </c>
      <c r="J14" s="58">
        <v>241154986.74838382</v>
      </c>
      <c r="K14" s="102">
        <v>1768325.9173112214</v>
      </c>
      <c r="L14" s="102">
        <v>-371348.44263535645</v>
      </c>
      <c r="M14" s="106">
        <v>52183.712888224982</v>
      </c>
      <c r="N14" s="106">
        <v>240783638.30574846</v>
      </c>
    </row>
    <row r="15" spans="2:14" x14ac:dyDescent="0.25">
      <c r="B15" s="184">
        <v>44712</v>
      </c>
      <c r="C15" s="102">
        <v>242597388.97000003</v>
      </c>
      <c r="D15" s="103">
        <v>242597388.97000003</v>
      </c>
      <c r="E15" s="102">
        <v>772683.33304100577</v>
      </c>
      <c r="F15" s="58">
        <v>524057.44885795837</v>
      </c>
      <c r="G15" s="102">
        <v>-3859375.2219684338</v>
      </c>
      <c r="H15" s="58">
        <v>-1842423.4204741665</v>
      </c>
      <c r="I15" s="102">
        <v>238738013.74803159</v>
      </c>
      <c r="J15" s="58">
        <v>240754965.54952586</v>
      </c>
      <c r="K15" s="102">
        <v>2016951.8014942706</v>
      </c>
      <c r="L15" s="102">
        <v>-423559.87831379683</v>
      </c>
      <c r="M15" s="106">
        <v>52211.435678440379</v>
      </c>
      <c r="N15" s="106">
        <v>240331405.67121205</v>
      </c>
    </row>
    <row r="16" spans="2:14" x14ac:dyDescent="0.25">
      <c r="B16" s="184">
        <v>44742</v>
      </c>
      <c r="C16" s="102">
        <v>242654035.06999996</v>
      </c>
      <c r="D16" s="103">
        <v>242654035.06999996</v>
      </c>
      <c r="E16" s="102">
        <v>772811.68793569983</v>
      </c>
      <c r="F16" s="58">
        <v>524246.68028308335</v>
      </c>
      <c r="G16" s="102">
        <v>-4632186.9099041335</v>
      </c>
      <c r="H16" s="58">
        <v>-2366670.1007572496</v>
      </c>
      <c r="I16" s="102">
        <v>238021848.16009584</v>
      </c>
      <c r="J16" s="58">
        <v>240287364.96924272</v>
      </c>
      <c r="K16" s="102">
        <v>2265516.8091468811</v>
      </c>
      <c r="L16" s="102">
        <v>-475758.529920845</v>
      </c>
      <c r="M16" s="106">
        <v>52198.651607048174</v>
      </c>
      <c r="N16" s="106">
        <v>239811606.43932188</v>
      </c>
    </row>
    <row r="17" spans="2:14" x14ac:dyDescent="0.25">
      <c r="B17" s="184">
        <v>44773</v>
      </c>
      <c r="C17" s="102">
        <v>242711756.40999997</v>
      </c>
      <c r="D17" s="103">
        <v>242711756.40999997</v>
      </c>
      <c r="E17" s="102">
        <v>772910.87736794993</v>
      </c>
      <c r="F17" s="58">
        <v>524365.07417308341</v>
      </c>
      <c r="G17" s="102">
        <v>-5405097.7872720836</v>
      </c>
      <c r="H17" s="58">
        <v>-2891035.1749303332</v>
      </c>
      <c r="I17" s="102">
        <v>237306658.62272787</v>
      </c>
      <c r="J17" s="58">
        <v>239820721.23506963</v>
      </c>
      <c r="K17" s="102">
        <v>2514062.6123417616</v>
      </c>
      <c r="L17" s="102">
        <v>-527953.14859176986</v>
      </c>
      <c r="M17" s="106">
        <v>52194.618670924858</v>
      </c>
      <c r="N17" s="106">
        <v>239292768.08647788</v>
      </c>
    </row>
    <row r="18" spans="2:14" x14ac:dyDescent="0.25">
      <c r="B18" s="184">
        <v>44804</v>
      </c>
      <c r="C18" s="102">
        <v>242786181.20999995</v>
      </c>
      <c r="D18" s="103">
        <v>242786181.20999995</v>
      </c>
      <c r="E18" s="102">
        <v>773023.4997649499</v>
      </c>
      <c r="F18" s="58">
        <v>524501.69168520835</v>
      </c>
      <c r="G18" s="102">
        <v>-6178121.2870370336</v>
      </c>
      <c r="H18" s="58">
        <v>-3415536.8666155413</v>
      </c>
      <c r="I18" s="102">
        <v>236608059.9229629</v>
      </c>
      <c r="J18" s="58">
        <v>239370644.34338441</v>
      </c>
      <c r="K18" s="102">
        <v>2762584.4204215109</v>
      </c>
      <c r="L18" s="102">
        <v>-580142.72828851722</v>
      </c>
      <c r="M18" s="106">
        <v>52189.579696747358</v>
      </c>
      <c r="N18" s="106">
        <v>238790501.61509588</v>
      </c>
    </row>
    <row r="19" spans="2:14" x14ac:dyDescent="0.25">
      <c r="B19" s="184">
        <v>44834</v>
      </c>
      <c r="C19" s="102">
        <v>242951019.96999997</v>
      </c>
      <c r="D19" s="103">
        <v>242951019.96999997</v>
      </c>
      <c r="E19" s="102">
        <v>773269.34723881667</v>
      </c>
      <c r="F19" s="58">
        <v>524748.74707250006</v>
      </c>
      <c r="G19" s="102">
        <v>-6951390.6342758499</v>
      </c>
      <c r="H19" s="58">
        <v>-3940285.6136880415</v>
      </c>
      <c r="I19" s="102">
        <v>235999629.33572412</v>
      </c>
      <c r="J19" s="58">
        <v>239010734.35631192</v>
      </c>
      <c r="K19" s="102">
        <v>3011105.0205878019</v>
      </c>
      <c r="L19" s="102">
        <v>-632332.05432343844</v>
      </c>
      <c r="M19" s="106">
        <v>52189.326034921221</v>
      </c>
      <c r="N19" s="106">
        <v>238378402.30198848</v>
      </c>
    </row>
    <row r="20" spans="2:14" x14ac:dyDescent="0.25">
      <c r="B20" s="184">
        <v>44865</v>
      </c>
      <c r="C20" s="102">
        <v>243004226.10999998</v>
      </c>
      <c r="D20" s="103">
        <v>243004226.10999998</v>
      </c>
      <c r="E20" s="102">
        <v>773394.37288928335</v>
      </c>
      <c r="F20" s="58">
        <v>524974.30275483336</v>
      </c>
      <c r="G20" s="102">
        <v>-7724785.007165133</v>
      </c>
      <c r="H20" s="58">
        <v>-4465259.9164428748</v>
      </c>
      <c r="I20" s="102">
        <v>235279441.10283485</v>
      </c>
      <c r="J20" s="58">
        <v>238538966.19355711</v>
      </c>
      <c r="K20" s="102">
        <v>3259525.0907222629</v>
      </c>
      <c r="L20" s="102">
        <v>-684500.26905167522</v>
      </c>
      <c r="M20" s="106">
        <v>52168.214728236781</v>
      </c>
      <c r="N20" s="106">
        <v>237854465.92450544</v>
      </c>
    </row>
    <row r="21" spans="2:14" x14ac:dyDescent="0.25">
      <c r="B21" s="184">
        <v>44895</v>
      </c>
      <c r="C21" s="102">
        <v>243073721.75999996</v>
      </c>
      <c r="D21" s="103">
        <v>243073721.75999996</v>
      </c>
      <c r="E21" s="102">
        <v>773586.55926474987</v>
      </c>
      <c r="F21" s="58">
        <v>525102.2152886251</v>
      </c>
      <c r="G21" s="102">
        <v>-8498371.5664298832</v>
      </c>
      <c r="H21" s="58">
        <v>-4990362.1317314999</v>
      </c>
      <c r="I21" s="102">
        <v>234575350.19357008</v>
      </c>
      <c r="J21" s="58">
        <v>238083359.62826845</v>
      </c>
      <c r="K21" s="102">
        <v>3508009.4346983731</v>
      </c>
      <c r="L21" s="102">
        <v>-736681.98128665832</v>
      </c>
      <c r="M21" s="106">
        <v>52181.712234983104</v>
      </c>
      <c r="N21" s="106">
        <v>237346677.64698181</v>
      </c>
    </row>
    <row r="22" spans="2:14" x14ac:dyDescent="0.25">
      <c r="B22" s="184">
        <v>44926</v>
      </c>
      <c r="C22" s="102">
        <v>243176936.39999998</v>
      </c>
      <c r="D22" s="103">
        <v>243176936.39999998</v>
      </c>
      <c r="E22" s="102">
        <v>773813.37816588336</v>
      </c>
      <c r="F22" s="58">
        <v>525282.01068087504</v>
      </c>
      <c r="G22" s="102">
        <v>-9272184.9445957672</v>
      </c>
      <c r="H22" s="58">
        <v>-5515644.1424123747</v>
      </c>
      <c r="I22" s="102">
        <v>233904751.45540422</v>
      </c>
      <c r="J22" s="58">
        <v>237661292.25758761</v>
      </c>
      <c r="K22" s="102">
        <v>3756540.8021833897</v>
      </c>
      <c r="L22" s="102">
        <v>-788873.56845851184</v>
      </c>
      <c r="M22" s="106">
        <v>52191.58717185352</v>
      </c>
      <c r="N22" s="106">
        <v>236872418.68912911</v>
      </c>
    </row>
    <row r="23" spans="2:14" x14ac:dyDescent="0.25">
      <c r="B23" s="184">
        <v>44957</v>
      </c>
      <c r="C23" s="102">
        <v>243164613.76999995</v>
      </c>
      <c r="D23" s="103">
        <v>243164613.76999995</v>
      </c>
      <c r="E23" s="102">
        <v>1478521.4387653836</v>
      </c>
      <c r="F23" s="58">
        <v>525376.52400758339</v>
      </c>
      <c r="G23" s="102">
        <v>-10750706.383361151</v>
      </c>
      <c r="H23" s="58">
        <v>-6041020.6664199578</v>
      </c>
      <c r="I23" s="102">
        <v>232413907.38663879</v>
      </c>
      <c r="J23" s="58">
        <v>237123593.10358</v>
      </c>
      <c r="K23" s="102">
        <v>4709685.7169412076</v>
      </c>
      <c r="L23" s="102">
        <v>-989034.00055765361</v>
      </c>
      <c r="M23" s="106">
        <v>200160.43209914176</v>
      </c>
      <c r="N23" s="106">
        <v>236134559.10302234</v>
      </c>
    </row>
    <row r="24" spans="2:14" x14ac:dyDescent="0.25">
      <c r="B24" s="184">
        <v>44985</v>
      </c>
      <c r="C24" s="102">
        <v>243189559.47999993</v>
      </c>
      <c r="D24" s="103">
        <v>243189559.47999993</v>
      </c>
      <c r="E24" s="102">
        <v>1478558.2700288168</v>
      </c>
      <c r="F24" s="58">
        <v>525389.54664079181</v>
      </c>
      <c r="G24" s="102">
        <v>-12229264.653389968</v>
      </c>
      <c r="H24" s="58">
        <v>-6566410.2130607497</v>
      </c>
      <c r="I24" s="102">
        <v>230960294.82660997</v>
      </c>
      <c r="J24" s="58">
        <v>236623149.26693919</v>
      </c>
      <c r="K24" s="102">
        <v>5662854.4403292239</v>
      </c>
      <c r="L24" s="102">
        <v>-1189199.432469137</v>
      </c>
      <c r="M24" s="106">
        <v>200165.43191148341</v>
      </c>
      <c r="N24" s="106">
        <v>235433949.83447006</v>
      </c>
    </row>
    <row r="25" spans="2:14" x14ac:dyDescent="0.25">
      <c r="B25" s="184">
        <v>45016</v>
      </c>
      <c r="C25" s="102">
        <v>243198713.56999996</v>
      </c>
      <c r="D25" s="103">
        <v>243198713.56999996</v>
      </c>
      <c r="E25" s="102">
        <v>1478571.7500003839</v>
      </c>
      <c r="F25" s="58">
        <v>525424.75129912503</v>
      </c>
      <c r="G25" s="102">
        <v>-13707836.403390352</v>
      </c>
      <c r="H25" s="58">
        <v>-7091834.9643598748</v>
      </c>
      <c r="I25" s="102">
        <v>229490877.16660962</v>
      </c>
      <c r="J25" s="58">
        <v>236106878.60564008</v>
      </c>
      <c r="K25" s="102">
        <v>6616001.4390304685</v>
      </c>
      <c r="L25" s="102">
        <v>-1389360.3021963984</v>
      </c>
      <c r="M25" s="106">
        <v>200160.86972726136</v>
      </c>
      <c r="N25" s="106">
        <v>234717518.30344367</v>
      </c>
    </row>
    <row r="26" spans="2:14" x14ac:dyDescent="0.25">
      <c r="B26" s="184">
        <v>45046</v>
      </c>
      <c r="C26" s="102">
        <v>243198713.56999996</v>
      </c>
      <c r="D26" s="103">
        <v>243198713.56999996</v>
      </c>
      <c r="E26" s="102">
        <v>1478571.7500003839</v>
      </c>
      <c r="F26" s="58">
        <v>525465.19325083343</v>
      </c>
      <c r="G26" s="102">
        <v>-15186408.153390735</v>
      </c>
      <c r="H26" s="58">
        <v>-7617300.1576107079</v>
      </c>
      <c r="I26" s="102">
        <v>228012305.41660923</v>
      </c>
      <c r="J26" s="58">
        <v>235581413.41238925</v>
      </c>
      <c r="K26" s="102">
        <v>7569107.995780021</v>
      </c>
      <c r="L26" s="102">
        <v>-1589512.6791138044</v>
      </c>
      <c r="M26" s="106">
        <v>200152.37691740599</v>
      </c>
      <c r="N26" s="106">
        <v>233991900.73327544</v>
      </c>
    </row>
    <row r="27" spans="2:14" x14ac:dyDescent="0.25">
      <c r="B27" s="184">
        <v>45077</v>
      </c>
      <c r="C27" s="102">
        <v>243198713.56999996</v>
      </c>
      <c r="D27" s="103">
        <v>243198713.56999996</v>
      </c>
      <c r="E27" s="102">
        <v>1478571.7500003839</v>
      </c>
      <c r="F27" s="58">
        <v>525465.19325083343</v>
      </c>
      <c r="G27" s="102">
        <v>-16664979.903391119</v>
      </c>
      <c r="H27" s="58">
        <v>-8142765.350861541</v>
      </c>
      <c r="I27" s="102">
        <v>226533733.66660884</v>
      </c>
      <c r="J27" s="58">
        <v>235055948.21913841</v>
      </c>
      <c r="K27" s="102">
        <v>8522214.5525295734</v>
      </c>
      <c r="L27" s="102">
        <v>-1789665.0560312103</v>
      </c>
      <c r="M27" s="106">
        <v>200152.37691740599</v>
      </c>
      <c r="N27" s="106">
        <v>233266283.16310722</v>
      </c>
    </row>
    <row r="28" spans="2:14" x14ac:dyDescent="0.25">
      <c r="B28" s="184">
        <v>45107</v>
      </c>
      <c r="C28" s="102">
        <v>243198713.56999996</v>
      </c>
      <c r="D28" s="103">
        <v>243198713.56999996</v>
      </c>
      <c r="E28" s="102">
        <v>1478571.7500003839</v>
      </c>
      <c r="F28" s="58">
        <v>525465.19325083343</v>
      </c>
      <c r="G28" s="102">
        <v>-18143551.653391503</v>
      </c>
      <c r="H28" s="58">
        <v>-8668230.544112375</v>
      </c>
      <c r="I28" s="102">
        <v>225055161.91660845</v>
      </c>
      <c r="J28" s="58">
        <v>234530483.02588758</v>
      </c>
      <c r="K28" s="102">
        <v>9475321.1092791259</v>
      </c>
      <c r="L28" s="102">
        <v>-1989817.4329486163</v>
      </c>
      <c r="M28" s="106">
        <v>200152.37691740599</v>
      </c>
      <c r="N28" s="106">
        <v>232540665.59293896</v>
      </c>
    </row>
    <row r="29" spans="2:14" x14ac:dyDescent="0.25">
      <c r="B29" s="184">
        <v>45138</v>
      </c>
      <c r="C29" s="102">
        <v>243198713.56999996</v>
      </c>
      <c r="D29" s="103">
        <v>243198713.56999996</v>
      </c>
      <c r="E29" s="102">
        <v>1478571.7500003839</v>
      </c>
      <c r="F29" s="58">
        <v>525465.19325083343</v>
      </c>
      <c r="G29" s="102">
        <v>-19622123.403391887</v>
      </c>
      <c r="H29" s="58">
        <v>-9193695.7373632081</v>
      </c>
      <c r="I29" s="102">
        <v>223576590.16660807</v>
      </c>
      <c r="J29" s="58">
        <v>234005017.83263674</v>
      </c>
      <c r="K29" s="102">
        <v>10428427.666028678</v>
      </c>
      <c r="L29" s="102">
        <v>-2189969.8098660223</v>
      </c>
      <c r="M29" s="106">
        <v>200152.37691740599</v>
      </c>
      <c r="N29" s="106">
        <v>231815048.02277073</v>
      </c>
    </row>
    <row r="30" spans="2:14" x14ac:dyDescent="0.25">
      <c r="B30" s="184">
        <v>45169</v>
      </c>
      <c r="C30" s="102">
        <v>243198713.56999996</v>
      </c>
      <c r="D30" s="103">
        <v>243198713.56999996</v>
      </c>
      <c r="E30" s="102">
        <v>1478571.7500003839</v>
      </c>
      <c r="F30" s="58">
        <v>525465.19325083343</v>
      </c>
      <c r="G30" s="102">
        <v>-21100695.15339227</v>
      </c>
      <c r="H30" s="58">
        <v>-9719160.9306140412</v>
      </c>
      <c r="I30" s="102">
        <v>222098018.41660768</v>
      </c>
      <c r="J30" s="58">
        <v>233479552.63938591</v>
      </c>
      <c r="K30" s="102">
        <v>11381534.222778231</v>
      </c>
      <c r="L30" s="102">
        <v>-2390122.1867834283</v>
      </c>
      <c r="M30" s="106">
        <v>200152.37691740599</v>
      </c>
      <c r="N30" s="106">
        <v>231089430.45260248</v>
      </c>
    </row>
    <row r="31" spans="2:14" x14ac:dyDescent="0.25">
      <c r="B31" s="184">
        <v>45199</v>
      </c>
      <c r="C31" s="102">
        <v>243198713.56999996</v>
      </c>
      <c r="D31" s="103">
        <v>243198713.56999996</v>
      </c>
      <c r="E31" s="102">
        <v>1478571.7500003839</v>
      </c>
      <c r="F31" s="58">
        <v>525465.19325083343</v>
      </c>
      <c r="G31" s="102">
        <v>-22579266.903392654</v>
      </c>
      <c r="H31" s="58">
        <v>-10244626.123864874</v>
      </c>
      <c r="I31" s="102">
        <v>220619446.66660732</v>
      </c>
      <c r="J31" s="58">
        <v>232954087.4461351</v>
      </c>
      <c r="K31" s="102">
        <v>12334640.779527783</v>
      </c>
      <c r="L31" s="102">
        <v>-2590274.5637008343</v>
      </c>
      <c r="M31" s="106">
        <v>200152.37691740599</v>
      </c>
      <c r="N31" s="106">
        <v>230363812.88243428</v>
      </c>
    </row>
    <row r="32" spans="2:14" ht="15.75" thickBot="1" x14ac:dyDescent="0.3">
      <c r="B32" s="184">
        <v>45230</v>
      </c>
      <c r="C32" s="102">
        <v>243198713.56999996</v>
      </c>
      <c r="D32" s="103">
        <v>243198713.56999996</v>
      </c>
      <c r="E32" s="102">
        <v>1478571.7500003839</v>
      </c>
      <c r="F32" s="58">
        <v>525465.19325083343</v>
      </c>
      <c r="G32" s="102">
        <v>-24057838.653393038</v>
      </c>
      <c r="H32" s="58">
        <v>-10770091.317115707</v>
      </c>
      <c r="I32" s="102">
        <v>219140874.91660693</v>
      </c>
      <c r="J32" s="58">
        <v>232428622.25288427</v>
      </c>
      <c r="K32" s="102">
        <v>13287747.336277336</v>
      </c>
      <c r="L32" s="102">
        <v>-2790426.9406182403</v>
      </c>
      <c r="M32" s="106">
        <v>200152.37691740599</v>
      </c>
      <c r="N32" s="106">
        <v>229638195.31226602</v>
      </c>
    </row>
    <row r="33" spans="2:15" x14ac:dyDescent="0.25">
      <c r="B33" s="185">
        <v>45260</v>
      </c>
      <c r="C33" s="138">
        <v>243198713.56999996</v>
      </c>
      <c r="D33" s="139">
        <v>243198713.56999996</v>
      </c>
      <c r="E33" s="138">
        <v>1478571.7500003839</v>
      </c>
      <c r="F33" s="124">
        <v>525465.19325083343</v>
      </c>
      <c r="G33" s="138">
        <v>-25536410.403393421</v>
      </c>
      <c r="H33" s="124">
        <v>-11295556.51036654</v>
      </c>
      <c r="I33" s="138">
        <v>217662303.16660655</v>
      </c>
      <c r="J33" s="124">
        <v>231903157.05963343</v>
      </c>
      <c r="K33" s="138">
        <v>14240853.893026888</v>
      </c>
      <c r="L33" s="138">
        <v>-2990579.3175356463</v>
      </c>
      <c r="M33" s="140">
        <v>200152.37691740599</v>
      </c>
      <c r="N33" s="140">
        <v>228912577.7420978</v>
      </c>
      <c r="O33" s="115"/>
    </row>
    <row r="34" spans="2:15" x14ac:dyDescent="0.25">
      <c r="B34" s="184">
        <v>45291</v>
      </c>
      <c r="C34" s="102">
        <v>243198713.56999996</v>
      </c>
      <c r="D34" s="103">
        <v>243198713.56999996</v>
      </c>
      <c r="E34" s="102">
        <v>1478571.7500003839</v>
      </c>
      <c r="F34" s="58">
        <v>525465.19325083343</v>
      </c>
      <c r="G34" s="102">
        <v>-27014982.153393805</v>
      </c>
      <c r="H34" s="58">
        <v>-11821021.703617373</v>
      </c>
      <c r="I34" s="102">
        <v>216183731.41660616</v>
      </c>
      <c r="J34" s="58">
        <v>231377691.8663826</v>
      </c>
      <c r="K34" s="102">
        <v>15193960.449776441</v>
      </c>
      <c r="L34" s="102">
        <v>-3190731.6944530522</v>
      </c>
      <c r="M34" s="106">
        <v>200152.37691740599</v>
      </c>
      <c r="N34" s="106">
        <v>228186960.17192954</v>
      </c>
      <c r="O34" s="115"/>
    </row>
    <row r="35" spans="2:15" x14ac:dyDescent="0.25">
      <c r="B35" s="184">
        <v>45322</v>
      </c>
      <c r="C35" s="102">
        <v>243198713.56999996</v>
      </c>
      <c r="D35" s="103">
        <v>243198713.56999996</v>
      </c>
      <c r="E35" s="102">
        <v>1348164.9220808002</v>
      </c>
      <c r="F35" s="58">
        <v>525465.19325083343</v>
      </c>
      <c r="G35" s="102">
        <v>-28363147.075474605</v>
      </c>
      <c r="H35" s="58">
        <v>-12346486.896868207</v>
      </c>
      <c r="I35" s="102">
        <v>214835566.49452537</v>
      </c>
      <c r="J35" s="58">
        <v>230852226.67313176</v>
      </c>
      <c r="K35" s="102">
        <v>16016660.178606391</v>
      </c>
      <c r="L35" s="102">
        <v>-3363498.6375073418</v>
      </c>
      <c r="M35" s="106">
        <v>172766.94305428956</v>
      </c>
      <c r="N35" s="106">
        <v>227488728.03562441</v>
      </c>
      <c r="O35" s="115"/>
    </row>
    <row r="36" spans="2:15" x14ac:dyDescent="0.25">
      <c r="B36" s="184">
        <v>45350</v>
      </c>
      <c r="C36" s="102">
        <v>243198713.56999996</v>
      </c>
      <c r="D36" s="103">
        <v>243198713.56999996</v>
      </c>
      <c r="E36" s="102">
        <v>1348164.9220808002</v>
      </c>
      <c r="F36" s="58">
        <v>525465.19325083343</v>
      </c>
      <c r="G36" s="102">
        <v>-29711311.997555405</v>
      </c>
      <c r="H36" s="58">
        <v>-12871952.09011904</v>
      </c>
      <c r="I36" s="102">
        <v>213487401.57244456</v>
      </c>
      <c r="J36" s="58">
        <v>230326761.47988093</v>
      </c>
      <c r="K36" s="102">
        <v>16839359.907436371</v>
      </c>
      <c r="L36" s="102">
        <v>-3536265.5805616379</v>
      </c>
      <c r="M36" s="106">
        <v>172766.94305429608</v>
      </c>
      <c r="N36" s="106">
        <v>226790495.89931929</v>
      </c>
      <c r="O36" s="115"/>
    </row>
    <row r="37" spans="2:15" x14ac:dyDescent="0.25">
      <c r="B37" s="184">
        <v>45382</v>
      </c>
      <c r="C37" s="102">
        <v>243198713.56999996</v>
      </c>
      <c r="D37" s="103">
        <v>243198713.56999996</v>
      </c>
      <c r="E37" s="102">
        <v>1348164.9220808002</v>
      </c>
      <c r="F37" s="58">
        <v>525465.19325083343</v>
      </c>
      <c r="G37" s="102">
        <v>-31059476.919636205</v>
      </c>
      <c r="H37" s="58">
        <v>-13397417.283369873</v>
      </c>
      <c r="I37" s="102">
        <v>212139236.65036374</v>
      </c>
      <c r="J37" s="58">
        <v>229801296.28663009</v>
      </c>
      <c r="K37" s="102">
        <v>17662059.636266351</v>
      </c>
      <c r="L37" s="102">
        <v>-3709032.5236159335</v>
      </c>
      <c r="M37" s="106">
        <v>172766.94305429561</v>
      </c>
      <c r="N37" s="106">
        <v>226092263.76301417</v>
      </c>
      <c r="O37" s="115"/>
    </row>
    <row r="38" spans="2:15" x14ac:dyDescent="0.25">
      <c r="B38" s="184">
        <v>45412</v>
      </c>
      <c r="C38" s="102">
        <v>243198713.56999996</v>
      </c>
      <c r="D38" s="103">
        <v>243198713.56999996</v>
      </c>
      <c r="E38" s="102">
        <v>1348164.9220808002</v>
      </c>
      <c r="F38" s="58">
        <v>525465.19325083343</v>
      </c>
      <c r="G38" s="102">
        <v>-32407641.841717005</v>
      </c>
      <c r="H38" s="58">
        <v>-13922882.476620706</v>
      </c>
      <c r="I38" s="102">
        <v>210791071.72828296</v>
      </c>
      <c r="J38" s="58">
        <v>229275831.09337926</v>
      </c>
      <c r="K38" s="102">
        <v>18484759.365096301</v>
      </c>
      <c r="L38" s="102">
        <v>-3881799.466670223</v>
      </c>
      <c r="M38" s="106">
        <v>172766.94305428956</v>
      </c>
      <c r="N38" s="106">
        <v>225394031.62670904</v>
      </c>
      <c r="O38" s="115"/>
    </row>
    <row r="39" spans="2:15" x14ac:dyDescent="0.25">
      <c r="B39" s="184">
        <v>45443</v>
      </c>
      <c r="C39" s="102">
        <v>243198713.56999996</v>
      </c>
      <c r="D39" s="103">
        <v>243198713.56999996</v>
      </c>
      <c r="E39" s="102">
        <v>1348164.9220808002</v>
      </c>
      <c r="F39" s="58">
        <v>525465.19325083343</v>
      </c>
      <c r="G39" s="102">
        <v>-33755806.763797805</v>
      </c>
      <c r="H39" s="58">
        <v>-14448347.669871539</v>
      </c>
      <c r="I39" s="102">
        <v>209442906.80620217</v>
      </c>
      <c r="J39" s="58">
        <v>228750365.90012842</v>
      </c>
      <c r="K39" s="102">
        <v>19307459.093926251</v>
      </c>
      <c r="L39" s="102">
        <v>-4054566.4097245126</v>
      </c>
      <c r="M39" s="106">
        <v>172766.94305428956</v>
      </c>
      <c r="N39" s="106">
        <v>224695799.49040392</v>
      </c>
      <c r="O39" s="115"/>
    </row>
    <row r="40" spans="2:15" x14ac:dyDescent="0.25">
      <c r="B40" s="184">
        <v>45473</v>
      </c>
      <c r="C40" s="102">
        <v>243198713.56999996</v>
      </c>
      <c r="D40" s="103">
        <v>243198713.56999996</v>
      </c>
      <c r="E40" s="102">
        <v>1348164.9220808002</v>
      </c>
      <c r="F40" s="58">
        <v>525465.19325083343</v>
      </c>
      <c r="G40" s="102">
        <v>-35103971.685878605</v>
      </c>
      <c r="H40" s="58">
        <v>-14973812.863122372</v>
      </c>
      <c r="I40" s="102">
        <v>208094741.88412136</v>
      </c>
      <c r="J40" s="58">
        <v>228224900.70687759</v>
      </c>
      <c r="K40" s="102">
        <v>20130158.822756231</v>
      </c>
      <c r="L40" s="102">
        <v>-4227333.3527788082</v>
      </c>
      <c r="M40" s="106">
        <v>172766.94305429561</v>
      </c>
      <c r="N40" s="106">
        <v>223997567.35409877</v>
      </c>
      <c r="O40" s="115"/>
    </row>
    <row r="41" spans="2:15" x14ac:dyDescent="0.25">
      <c r="B41" s="184">
        <v>45504</v>
      </c>
      <c r="C41" s="102">
        <v>243198713.56999996</v>
      </c>
      <c r="D41" s="103">
        <v>243198713.56999996</v>
      </c>
      <c r="E41" s="102">
        <v>1348164.9220808002</v>
      </c>
      <c r="F41" s="58">
        <v>525465.19325083343</v>
      </c>
      <c r="G41" s="102">
        <v>-36452136.607959405</v>
      </c>
      <c r="H41" s="58">
        <v>-15499278.056373205</v>
      </c>
      <c r="I41" s="102">
        <v>206746576.96204054</v>
      </c>
      <c r="J41" s="58">
        <v>227699435.51362675</v>
      </c>
      <c r="K41" s="102">
        <v>20952858.551586211</v>
      </c>
      <c r="L41" s="102">
        <v>-4400100.2958331043</v>
      </c>
      <c r="M41" s="106">
        <v>172766.94305429608</v>
      </c>
      <c r="N41" s="106">
        <v>223299335.21779364</v>
      </c>
      <c r="O41" s="115"/>
    </row>
    <row r="42" spans="2:15" x14ac:dyDescent="0.25">
      <c r="B42" s="184">
        <v>45535</v>
      </c>
      <c r="C42" s="102">
        <v>243198713.56999996</v>
      </c>
      <c r="D42" s="103">
        <v>243198713.56999996</v>
      </c>
      <c r="E42" s="102">
        <v>1348164.9220808002</v>
      </c>
      <c r="F42" s="58">
        <v>525465.19325083343</v>
      </c>
      <c r="G42" s="102">
        <v>-37800301.530040205</v>
      </c>
      <c r="H42" s="58">
        <v>-16024743.249624038</v>
      </c>
      <c r="I42" s="102">
        <v>205398412.03995976</v>
      </c>
      <c r="J42" s="58">
        <v>227173970.32037592</v>
      </c>
      <c r="K42" s="102">
        <v>21775558.280416161</v>
      </c>
      <c r="L42" s="102">
        <v>-4572867.2388873938</v>
      </c>
      <c r="M42" s="106">
        <v>172766.94305428956</v>
      </c>
      <c r="N42" s="106">
        <v>222601103.08148852</v>
      </c>
      <c r="O42" s="115"/>
    </row>
    <row r="43" spans="2:15" x14ac:dyDescent="0.25">
      <c r="B43" s="184">
        <v>45565</v>
      </c>
      <c r="C43" s="102">
        <v>243198713.56999996</v>
      </c>
      <c r="D43" s="103">
        <v>243198713.56999996</v>
      </c>
      <c r="E43" s="102">
        <v>1348164.9220808002</v>
      </c>
      <c r="F43" s="58">
        <v>525465.19325083343</v>
      </c>
      <c r="G43" s="102">
        <v>-39148466.452121004</v>
      </c>
      <c r="H43" s="58">
        <v>-16550208.442874871</v>
      </c>
      <c r="I43" s="102">
        <v>204050247.11787897</v>
      </c>
      <c r="J43" s="58">
        <v>226648505.12712508</v>
      </c>
      <c r="K43" s="102">
        <v>22598258.009246111</v>
      </c>
      <c r="L43" s="102">
        <v>-4745634.1819416834</v>
      </c>
      <c r="M43" s="106">
        <v>172766.94305428956</v>
      </c>
      <c r="N43" s="106">
        <v>221902870.9451834</v>
      </c>
      <c r="O43" s="115"/>
    </row>
    <row r="44" spans="2:15" ht="15.75" thickBot="1" x14ac:dyDescent="0.3">
      <c r="B44" s="184">
        <v>45596</v>
      </c>
      <c r="C44" s="102">
        <v>243198713.56999996</v>
      </c>
      <c r="D44" s="103">
        <v>243198713.56999996</v>
      </c>
      <c r="E44" s="102">
        <v>1348164.9220808002</v>
      </c>
      <c r="F44" s="58">
        <v>525465.19325083343</v>
      </c>
      <c r="G44" s="102">
        <v>-40496631.374201804</v>
      </c>
      <c r="H44" s="58">
        <v>-17075673.636125706</v>
      </c>
      <c r="I44" s="102">
        <v>202702082.19579816</v>
      </c>
      <c r="J44" s="58">
        <v>226123039.93387425</v>
      </c>
      <c r="K44" s="102">
        <v>23420957.738076091</v>
      </c>
      <c r="L44" s="102">
        <v>-4918401.1249959785</v>
      </c>
      <c r="M44" s="106">
        <v>172766.94305429514</v>
      </c>
      <c r="N44" s="106">
        <v>221204638.80887827</v>
      </c>
      <c r="O44" s="115"/>
    </row>
    <row r="45" spans="2:15" ht="15.75" thickBot="1" x14ac:dyDescent="0.3">
      <c r="B45" s="186">
        <v>45626</v>
      </c>
      <c r="C45" s="187">
        <v>243198713.56999996</v>
      </c>
      <c r="D45" s="188">
        <v>243198713.56999996</v>
      </c>
      <c r="E45" s="187">
        <v>1348164.9220808002</v>
      </c>
      <c r="F45" s="189">
        <v>525465.19325083343</v>
      </c>
      <c r="G45" s="187">
        <v>-41844796.296282604</v>
      </c>
      <c r="H45" s="189">
        <v>-17601138.829376541</v>
      </c>
      <c r="I45" s="187">
        <v>201353917.27371734</v>
      </c>
      <c r="J45" s="189">
        <v>225597574.74062341</v>
      </c>
      <c r="K45" s="187">
        <v>24243657.466906071</v>
      </c>
      <c r="L45" s="187">
        <v>-5091168.0680502746</v>
      </c>
      <c r="M45" s="190">
        <v>172766.94305429608</v>
      </c>
      <c r="N45" s="190">
        <v>220506406.67257315</v>
      </c>
      <c r="O45" s="115"/>
    </row>
    <row r="46" spans="2:15" x14ac:dyDescent="0.25">
      <c r="B46" s="66"/>
      <c r="O46" s="115"/>
    </row>
    <row r="47" spans="2:15" x14ac:dyDescent="0.25">
      <c r="B47" s="146" t="s">
        <v>162</v>
      </c>
    </row>
    <row r="49" spans="2:3" x14ac:dyDescent="0.25">
      <c r="B49" t="s">
        <v>179</v>
      </c>
      <c r="C49" s="157"/>
    </row>
    <row r="50" spans="2:3" x14ac:dyDescent="0.25">
      <c r="B50" s="113" t="s">
        <v>77</v>
      </c>
      <c r="C50" s="177">
        <v>243198713.57000002</v>
      </c>
    </row>
    <row r="51" spans="2:3" x14ac:dyDescent="0.25">
      <c r="B51" t="s">
        <v>186</v>
      </c>
      <c r="C51" s="114">
        <v>-13922882.476620706</v>
      </c>
    </row>
    <row r="52" spans="2:3" x14ac:dyDescent="0.25">
      <c r="B52" t="s">
        <v>87</v>
      </c>
      <c r="C52" s="114">
        <v>-3877235.2276930367</v>
      </c>
    </row>
  </sheetData>
  <printOptions horizontalCentered="1"/>
  <pageMargins left="0.2" right="0.2" top="0.25" bottom="0.25" header="0.3" footer="0.3"/>
  <pageSetup scale="75" orientation="landscape" r:id="rId1"/>
  <headerFooter>
    <oddFooter>&amp;R&amp;"Times New Roman,Regular"&amp;10Exh. SEF-3 page 2 of 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E9F50-1218-4561-B5C7-EF2B3C3CBB3E}">
  <sheetPr>
    <tabColor theme="5"/>
  </sheetPr>
  <dimension ref="A1:E17"/>
  <sheetViews>
    <sheetView zoomScale="140" zoomScaleNormal="140" workbookViewId="0">
      <selection activeCell="D9" sqref="D9"/>
    </sheetView>
  </sheetViews>
  <sheetFormatPr defaultRowHeight="15" x14ac:dyDescent="0.25"/>
  <cols>
    <col min="1" max="1" width="3.85546875" customWidth="1"/>
    <col min="2" max="2" width="14.28515625" customWidth="1"/>
    <col min="3" max="3" width="13.28515625" bestFit="1" customWidth="1"/>
    <col min="4" max="4" width="11.5703125" bestFit="1" customWidth="1"/>
  </cols>
  <sheetData>
    <row r="1" spans="1:5" ht="15.75" x14ac:dyDescent="0.25">
      <c r="A1" s="117" t="s">
        <v>223</v>
      </c>
    </row>
    <row r="2" spans="1:5" ht="15.75" x14ac:dyDescent="0.25">
      <c r="A2" s="117" t="s">
        <v>224</v>
      </c>
    </row>
    <row r="3" spans="1:5" ht="15.75" x14ac:dyDescent="0.25">
      <c r="A3" s="117"/>
    </row>
    <row r="4" spans="1:5" ht="15.75" x14ac:dyDescent="0.25">
      <c r="A4" s="117"/>
    </row>
    <row r="7" spans="1:5" x14ac:dyDescent="0.25">
      <c r="C7" s="207" t="s">
        <v>213</v>
      </c>
      <c r="D7" s="207"/>
    </row>
    <row r="8" spans="1:5" x14ac:dyDescent="0.25">
      <c r="C8" s="208" t="s">
        <v>211</v>
      </c>
      <c r="D8" s="208" t="s">
        <v>212</v>
      </c>
    </row>
    <row r="9" spans="1:5" x14ac:dyDescent="0.25">
      <c r="B9" s="218">
        <v>5432280</v>
      </c>
      <c r="C9" s="209">
        <f>0.9*B9</f>
        <v>4889052</v>
      </c>
      <c r="D9" s="209">
        <f>0.1*B9</f>
        <v>543228</v>
      </c>
    </row>
    <row r="11" spans="1:5" x14ac:dyDescent="0.25">
      <c r="C11" s="207" t="s">
        <v>217</v>
      </c>
      <c r="D11" s="207"/>
    </row>
    <row r="12" spans="1:5" x14ac:dyDescent="0.25">
      <c r="C12" s="208" t="s">
        <v>211</v>
      </c>
      <c r="D12" s="208" t="s">
        <v>212</v>
      </c>
    </row>
    <row r="13" spans="1:5" x14ac:dyDescent="0.25">
      <c r="C13" s="114">
        <f>1*B9</f>
        <v>5432280</v>
      </c>
      <c r="D13" s="114">
        <f>0*B9</f>
        <v>0</v>
      </c>
    </row>
    <row r="15" spans="1:5" x14ac:dyDescent="0.25">
      <c r="C15" t="s">
        <v>203</v>
      </c>
      <c r="D15" s="114">
        <f>D13-D9</f>
        <v>-543228</v>
      </c>
    </row>
    <row r="16" spans="1:5" x14ac:dyDescent="0.25">
      <c r="C16" t="s">
        <v>168</v>
      </c>
      <c r="D16" s="114">
        <f>D15*'Plant Additions (as filed)'!F2</f>
        <v>-14084.248556998</v>
      </c>
      <c r="E16" t="s">
        <v>216</v>
      </c>
    </row>
    <row r="17" spans="4:5" x14ac:dyDescent="0.25">
      <c r="D17" s="114">
        <f>D16/12</f>
        <v>-1173.6873797498333</v>
      </c>
      <c r="E17" t="s">
        <v>215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35" sqref="C35"/>
    </sheetView>
  </sheetViews>
  <sheetFormatPr defaultRowHeight="15" x14ac:dyDescent="0.25"/>
  <sheetData/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16"/>
  <sheetViews>
    <sheetView zoomScale="120" zoomScaleNormal="120" workbookViewId="0">
      <selection activeCell="D8" sqref="D8"/>
    </sheetView>
  </sheetViews>
  <sheetFormatPr defaultRowHeight="15" x14ac:dyDescent="0.25"/>
  <cols>
    <col min="1" max="1" width="2" customWidth="1"/>
    <col min="2" max="2" width="3" customWidth="1"/>
    <col min="3" max="3" width="22.5703125" customWidth="1"/>
    <col min="4" max="4" width="16.7109375" customWidth="1"/>
    <col min="5" max="5" width="21" customWidth="1"/>
  </cols>
  <sheetData>
    <row r="2" spans="2:5" x14ac:dyDescent="0.25">
      <c r="B2" s="5" t="s">
        <v>133</v>
      </c>
    </row>
    <row r="3" spans="2:5" x14ac:dyDescent="0.25">
      <c r="D3" s="2" t="s">
        <v>171</v>
      </c>
      <c r="E3" s="2" t="s">
        <v>172</v>
      </c>
    </row>
    <row r="4" spans="2:5" x14ac:dyDescent="0.25">
      <c r="C4" s="3" t="s">
        <v>79</v>
      </c>
      <c r="D4" s="3" t="s">
        <v>130</v>
      </c>
      <c r="E4" s="3" t="s">
        <v>173</v>
      </c>
    </row>
    <row r="5" spans="2:5" x14ac:dyDescent="0.25">
      <c r="C5" t="s">
        <v>134</v>
      </c>
      <c r="D5" s="4">
        <f>'LNG O&amp;M Deferral'!F110</f>
        <v>2219773.4122170513</v>
      </c>
      <c r="E5" s="4">
        <f>'LNG O&amp;M Deferral'!$M$59</f>
        <v>6137673.4847801458</v>
      </c>
    </row>
    <row r="6" spans="2:5" x14ac:dyDescent="0.25">
      <c r="C6" t="s">
        <v>168</v>
      </c>
      <c r="D6" s="152">
        <f>'LNG Depreciation Deferral'!F109</f>
        <v>2427527.8967553563</v>
      </c>
      <c r="E6" s="152">
        <f>'LNG Depreciation Deferral'!$M$59</f>
        <v>6712114.6345285606</v>
      </c>
    </row>
    <row r="7" spans="2:5" x14ac:dyDescent="0.25">
      <c r="C7" t="s">
        <v>169</v>
      </c>
      <c r="D7" s="152">
        <f>'LNG Return Deferral'!F111</f>
        <v>4070735.1581540164</v>
      </c>
      <c r="E7" s="152">
        <f>'LNG Return Deferral'!$M$59</f>
        <v>11255582.712295862</v>
      </c>
    </row>
    <row r="8" spans="2:5" ht="15.75" thickBot="1" x14ac:dyDescent="0.3">
      <c r="C8" t="s">
        <v>21</v>
      </c>
      <c r="D8" s="153">
        <f>SUM(D5:D7)</f>
        <v>8718036.4671264235</v>
      </c>
      <c r="E8" s="130">
        <f>SUM(E5:E7)</f>
        <v>24105370.83160457</v>
      </c>
    </row>
    <row r="9" spans="2:5" ht="15.75" thickTop="1" x14ac:dyDescent="0.25">
      <c r="C9" t="s">
        <v>156</v>
      </c>
      <c r="D9" s="154">
        <v>0.79</v>
      </c>
      <c r="E9" s="129" t="s">
        <v>174</v>
      </c>
    </row>
    <row r="10" spans="2:5" ht="15.75" thickBot="1" x14ac:dyDescent="0.3">
      <c r="C10" t="s">
        <v>170</v>
      </c>
      <c r="D10" s="130">
        <f>-D8*D9</f>
        <v>-6887248.8090298753</v>
      </c>
      <c r="E10" s="129" t="s">
        <v>174</v>
      </c>
    </row>
    <row r="11" spans="2:5" ht="15.75" thickTop="1" x14ac:dyDescent="0.25"/>
    <row r="13" spans="2:5" x14ac:dyDescent="0.25">
      <c r="C13" t="s">
        <v>132</v>
      </c>
      <c r="E13" s="114">
        <f>SUM(E5:E6)</f>
        <v>12849788.119308706</v>
      </c>
    </row>
    <row r="14" spans="2:5" x14ac:dyDescent="0.25">
      <c r="C14" t="s">
        <v>175</v>
      </c>
      <c r="E14" s="155">
        <f>E7</f>
        <v>11255582.712295862</v>
      </c>
    </row>
    <row r="15" spans="2:5" ht="15.75" thickBot="1" x14ac:dyDescent="0.3">
      <c r="C15" t="s">
        <v>21</v>
      </c>
      <c r="E15" s="130">
        <f>SUM(E13:E14)</f>
        <v>24105370.83160457</v>
      </c>
    </row>
    <row r="16" spans="2:5" ht="15.75" thickTop="1" x14ac:dyDescent="0.25"/>
  </sheetData>
  <pageMargins left="0.7" right="0.7" top="0.75" bottom="0.75" header="0.3" footer="0.3"/>
  <pageSetup orientation="portrait" horizontalDpi="1200" verticalDpi="1200" r:id="rId1"/>
  <headerFooter>
    <oddFooter>&amp;R&amp;"Times New Roman,Regular"&amp;10Exh. SEF-3 page 3 of 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54653-32F6-476A-B1CB-2C820FCE235C}">
  <sheetPr>
    <pageSetUpPr fitToPage="1"/>
  </sheetPr>
  <dimension ref="B2:H16"/>
  <sheetViews>
    <sheetView workbookViewId="0">
      <selection sqref="A1:H18"/>
    </sheetView>
  </sheetViews>
  <sheetFormatPr defaultRowHeight="15" x14ac:dyDescent="0.25"/>
  <cols>
    <col min="3" max="3" width="20.85546875" bestFit="1" customWidth="1"/>
    <col min="4" max="4" width="14.28515625" bestFit="1" customWidth="1"/>
    <col min="5" max="5" width="17.5703125" bestFit="1" customWidth="1"/>
    <col min="7" max="8" width="16.5703125" customWidth="1"/>
  </cols>
  <sheetData>
    <row r="2" spans="2:8" x14ac:dyDescent="0.25">
      <c r="B2" s="5" t="s">
        <v>133</v>
      </c>
      <c r="G2" s="200" t="s">
        <v>201</v>
      </c>
    </row>
    <row r="3" spans="2:8" x14ac:dyDescent="0.25">
      <c r="D3" s="2" t="s">
        <v>171</v>
      </c>
      <c r="E3" s="2" t="s">
        <v>172</v>
      </c>
      <c r="G3" s="2" t="s">
        <v>171</v>
      </c>
      <c r="H3" s="2" t="s">
        <v>172</v>
      </c>
    </row>
    <row r="4" spans="2:8" x14ac:dyDescent="0.25">
      <c r="C4" s="3" t="s">
        <v>79</v>
      </c>
      <c r="D4" s="3" t="s">
        <v>130</v>
      </c>
      <c r="E4" s="3" t="s">
        <v>173</v>
      </c>
      <c r="G4" s="3" t="s">
        <v>130</v>
      </c>
      <c r="H4" s="3" t="s">
        <v>173</v>
      </c>
    </row>
    <row r="5" spans="2:8" x14ac:dyDescent="0.25">
      <c r="C5" t="s">
        <v>134</v>
      </c>
      <c r="D5" s="4">
        <v>2219773.4122170513</v>
      </c>
      <c r="E5" s="4">
        <v>6137673.4847801458</v>
      </c>
      <c r="G5" s="4">
        <f>'Total Deferrals'!D5</f>
        <v>2219773.4122170513</v>
      </c>
      <c r="H5" s="4">
        <f>'Total Deferrals'!E5</f>
        <v>6137673.4847801458</v>
      </c>
    </row>
    <row r="6" spans="2:8" x14ac:dyDescent="0.25">
      <c r="C6" t="s">
        <v>168</v>
      </c>
      <c r="D6" s="152">
        <v>2692522.8292789259</v>
      </c>
      <c r="E6" s="152">
        <v>7444825.6229562331</v>
      </c>
      <c r="G6" s="201">
        <f>'Total Deferrals'!D6</f>
        <v>2427527.8967553563</v>
      </c>
      <c r="H6" s="201">
        <f>'Total Deferrals'!E6</f>
        <v>6712114.6345285606</v>
      </c>
    </row>
    <row r="7" spans="2:8" x14ac:dyDescent="0.25">
      <c r="C7" t="s">
        <v>169</v>
      </c>
      <c r="D7" s="152">
        <v>8788337.428970933</v>
      </c>
      <c r="E7" s="152">
        <v>24299752.991104633</v>
      </c>
      <c r="G7" s="4">
        <f>'Total Deferrals'!D7</f>
        <v>4070735.1581540164</v>
      </c>
      <c r="H7" s="4">
        <f>'Total Deferrals'!E7</f>
        <v>11255582.712295862</v>
      </c>
    </row>
    <row r="8" spans="2:8" ht="15.75" thickBot="1" x14ac:dyDescent="0.3">
      <c r="C8" t="s">
        <v>21</v>
      </c>
      <c r="D8" s="153">
        <v>13700633.670466911</v>
      </c>
      <c r="E8" s="130">
        <v>37882252.098841012</v>
      </c>
      <c r="G8" s="4">
        <f>'Total Deferrals'!D8</f>
        <v>8718036.4671264235</v>
      </c>
      <c r="H8" s="4">
        <f>'Total Deferrals'!E8</f>
        <v>24105370.83160457</v>
      </c>
    </row>
    <row r="9" spans="2:8" ht="15.75" thickTop="1" x14ac:dyDescent="0.25">
      <c r="C9" t="s">
        <v>156</v>
      </c>
      <c r="D9" s="154">
        <v>0.79</v>
      </c>
      <c r="E9" s="129" t="s">
        <v>174</v>
      </c>
      <c r="G9" s="154">
        <f>'Total Deferrals'!D9</f>
        <v>0.79</v>
      </c>
      <c r="H9" s="4"/>
    </row>
    <row r="10" spans="2:8" ht="15.75" thickBot="1" x14ac:dyDescent="0.3">
      <c r="C10" t="s">
        <v>170</v>
      </c>
      <c r="D10" s="130">
        <v>-10823500.59966886</v>
      </c>
      <c r="E10" s="129" t="s">
        <v>174</v>
      </c>
      <c r="G10" s="4">
        <f>'Total Deferrals'!D10</f>
        <v>-6887248.8090298753</v>
      </c>
      <c r="H10" s="4" t="str">
        <f>'Total Deferrals'!E10</f>
        <v>n/a</v>
      </c>
    </row>
    <row r="11" spans="2:8" ht="15.75" thickTop="1" x14ac:dyDescent="0.25">
      <c r="G11" s="4"/>
      <c r="H11" s="4"/>
    </row>
    <row r="12" spans="2:8" x14ac:dyDescent="0.25">
      <c r="G12" s="4"/>
      <c r="H12" s="4"/>
    </row>
    <row r="13" spans="2:8" x14ac:dyDescent="0.25">
      <c r="C13" t="s">
        <v>132</v>
      </c>
      <c r="E13" s="114">
        <v>13582499.107736379</v>
      </c>
      <c r="G13" s="4"/>
      <c r="H13" s="4">
        <f>'Total Deferrals'!E13</f>
        <v>12849788.119308706</v>
      </c>
    </row>
    <row r="14" spans="2:8" x14ac:dyDescent="0.25">
      <c r="C14" t="s">
        <v>175</v>
      </c>
      <c r="E14" s="155">
        <v>24299752.991104633</v>
      </c>
      <c r="G14" s="4"/>
      <c r="H14" s="4">
        <f>'Total Deferrals'!E14</f>
        <v>11255582.712295862</v>
      </c>
    </row>
    <row r="15" spans="2:8" ht="15.75" thickBot="1" x14ac:dyDescent="0.3">
      <c r="C15" t="s">
        <v>21</v>
      </c>
      <c r="E15" s="130">
        <v>37882252.098841012</v>
      </c>
      <c r="G15" s="4"/>
      <c r="H15" s="4">
        <f>'Total Deferrals'!E15</f>
        <v>24105370.83160457</v>
      </c>
    </row>
    <row r="16" spans="2:8" ht="15.75" thickTop="1" x14ac:dyDescent="0.25"/>
  </sheetData>
  <pageMargins left="0.7" right="0.7" top="0.75" bottom="0.75" header="0.3" footer="0.3"/>
  <pageSetup orientation="landscape" horizontalDpi="1200" verticalDpi="1200" r:id="rId1"/>
  <headerFooter>
    <oddFooter>&amp;R&amp;"Times New Roman,Regular"&amp;10Exh. SEF-3 page 3 of 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11"/>
  <sheetViews>
    <sheetView zoomScale="95" zoomScaleNormal="95" workbookViewId="0">
      <pane xSplit="1" ySplit="9" topLeftCell="B25" activePane="bottomRight" state="frozen"/>
      <selection activeCell="C35" sqref="C35"/>
      <selection pane="topRight" activeCell="C35" sqref="C35"/>
      <selection pane="bottomLeft" activeCell="C35" sqref="C35"/>
      <selection pane="bottomRight" activeCell="C26" sqref="C26:C37"/>
    </sheetView>
  </sheetViews>
  <sheetFormatPr defaultColWidth="9.140625" defaultRowHeight="12.75" outlineLevelRow="1" x14ac:dyDescent="0.2"/>
  <cols>
    <col min="1" max="1" width="17.28515625" style="26" customWidth="1"/>
    <col min="2" max="2" width="8.85546875" style="26" bestFit="1" customWidth="1"/>
    <col min="3" max="3" width="14.7109375" style="26" bestFit="1" customWidth="1"/>
    <col min="4" max="5" width="16.140625" style="26" bestFit="1" customWidth="1"/>
    <col min="6" max="6" width="13.28515625" style="26" bestFit="1" customWidth="1"/>
    <col min="7" max="7" width="17" style="26" bestFit="1" customWidth="1"/>
    <col min="8" max="8" width="12.7109375" style="26" bestFit="1" customWidth="1"/>
    <col min="9" max="9" width="12" style="26" bestFit="1" customWidth="1"/>
    <col min="10" max="10" width="15.7109375" style="26" bestFit="1" customWidth="1"/>
    <col min="11" max="11" width="17.5703125" style="26" bestFit="1" customWidth="1"/>
    <col min="12" max="12" width="11.85546875" style="26" bestFit="1" customWidth="1"/>
    <col min="13" max="13" width="12" style="26" bestFit="1" customWidth="1"/>
    <col min="14" max="14" width="11.85546875" style="26" bestFit="1" customWidth="1"/>
    <col min="15" max="15" width="10.85546875" style="26" bestFit="1" customWidth="1"/>
    <col min="16" max="16" width="9.7109375" style="26" bestFit="1" customWidth="1"/>
    <col min="17" max="16384" width="9.140625" style="26"/>
  </cols>
  <sheetData>
    <row r="1" spans="1:14" x14ac:dyDescent="0.2">
      <c r="A1" s="25" t="s">
        <v>43</v>
      </c>
    </row>
    <row r="2" spans="1:14" x14ac:dyDescent="0.2">
      <c r="A2" s="25" t="s">
        <v>78</v>
      </c>
    </row>
    <row r="3" spans="1:14" x14ac:dyDescent="0.2">
      <c r="A3" s="25" t="s">
        <v>45</v>
      </c>
      <c r="G3" s="202">
        <f>D38/ROR!E6</f>
        <v>23173994.317897163</v>
      </c>
    </row>
    <row r="4" spans="1:14" x14ac:dyDescent="0.2">
      <c r="C4" s="27"/>
      <c r="D4" s="28"/>
      <c r="E4" s="29"/>
      <c r="F4" s="30"/>
      <c r="G4" s="30"/>
      <c r="H4" s="30"/>
      <c r="I4" s="30"/>
      <c r="J4" s="29"/>
      <c r="K4" s="31"/>
      <c r="L4" s="29"/>
      <c r="M4" s="29"/>
    </row>
    <row r="5" spans="1:14" x14ac:dyDescent="0.2">
      <c r="C5" s="25" t="s">
        <v>46</v>
      </c>
      <c r="D5" s="32"/>
      <c r="E5" s="29"/>
      <c r="F5" s="30"/>
      <c r="G5" s="30"/>
      <c r="H5" s="30"/>
      <c r="I5" s="30"/>
      <c r="J5" s="30"/>
      <c r="K5" s="30"/>
      <c r="L5" s="30"/>
      <c r="M5" s="30"/>
    </row>
    <row r="6" spans="1:14" x14ac:dyDescent="0.2">
      <c r="A6" s="33"/>
      <c r="B6" s="33"/>
      <c r="C6" s="34" t="s">
        <v>47</v>
      </c>
      <c r="D6" s="34" t="s">
        <v>48</v>
      </c>
      <c r="E6" s="34" t="s">
        <v>49</v>
      </c>
      <c r="F6" s="34" t="s">
        <v>50</v>
      </c>
      <c r="G6" s="34" t="s">
        <v>51</v>
      </c>
      <c r="H6" s="34" t="s">
        <v>52</v>
      </c>
      <c r="I6" s="34" t="s">
        <v>41</v>
      </c>
      <c r="J6" s="34" t="s">
        <v>50</v>
      </c>
      <c r="K6" s="34" t="s">
        <v>51</v>
      </c>
      <c r="L6" s="34" t="s">
        <v>53</v>
      </c>
      <c r="M6" s="35" t="s">
        <v>54</v>
      </c>
      <c r="N6" s="36" t="s">
        <v>48</v>
      </c>
    </row>
    <row r="7" spans="1:14" x14ac:dyDescent="0.2">
      <c r="A7" s="30" t="s">
        <v>55</v>
      </c>
      <c r="B7" s="37"/>
      <c r="C7" s="30" t="s">
        <v>56</v>
      </c>
      <c r="D7" s="30"/>
      <c r="E7" s="30" t="s">
        <v>48</v>
      </c>
      <c r="F7" s="30" t="s">
        <v>57</v>
      </c>
      <c r="G7" s="30" t="s">
        <v>57</v>
      </c>
      <c r="H7" s="30" t="s">
        <v>57</v>
      </c>
      <c r="I7" s="30" t="s">
        <v>58</v>
      </c>
      <c r="J7" s="30" t="s">
        <v>59</v>
      </c>
      <c r="K7" s="30" t="s">
        <v>59</v>
      </c>
      <c r="L7" s="30" t="s">
        <v>41</v>
      </c>
      <c r="M7" s="38" t="s">
        <v>53</v>
      </c>
      <c r="N7" s="39" t="s">
        <v>60</v>
      </c>
    </row>
    <row r="8" spans="1:14" x14ac:dyDescent="0.2">
      <c r="A8" s="30" t="s">
        <v>61</v>
      </c>
      <c r="B8" s="37"/>
      <c r="C8" s="30" t="s">
        <v>62</v>
      </c>
      <c r="D8" s="30" t="s">
        <v>63</v>
      </c>
      <c r="E8" s="30" t="s">
        <v>64</v>
      </c>
      <c r="F8" s="30" t="s">
        <v>65</v>
      </c>
      <c r="G8" s="40" t="s">
        <v>66</v>
      </c>
      <c r="H8" s="30" t="s">
        <v>67</v>
      </c>
      <c r="I8" s="30" t="s">
        <v>68</v>
      </c>
      <c r="J8" s="30" t="s">
        <v>69</v>
      </c>
      <c r="K8" s="30" t="s">
        <v>70</v>
      </c>
      <c r="L8" s="30" t="s">
        <v>71</v>
      </c>
      <c r="M8" s="38" t="s">
        <v>72</v>
      </c>
      <c r="N8" s="39" t="s">
        <v>73</v>
      </c>
    </row>
    <row r="9" spans="1:14" x14ac:dyDescent="0.2">
      <c r="A9" s="41"/>
      <c r="B9" s="41"/>
      <c r="C9" s="42"/>
      <c r="D9" s="42"/>
      <c r="E9" s="42"/>
      <c r="F9" s="43" t="s">
        <v>74</v>
      </c>
      <c r="G9" s="42"/>
      <c r="H9" s="42"/>
      <c r="I9" s="42"/>
      <c r="J9" s="42" t="s">
        <v>75</v>
      </c>
      <c r="K9" s="44"/>
      <c r="L9" s="42"/>
      <c r="M9" s="45"/>
      <c r="N9" s="46"/>
    </row>
    <row r="10" spans="1:14" x14ac:dyDescent="0.2">
      <c r="A10" s="47"/>
      <c r="C10" s="30"/>
      <c r="D10" s="48"/>
      <c r="E10" s="49"/>
      <c r="F10" s="30"/>
      <c r="G10" s="30"/>
      <c r="H10" s="48"/>
      <c r="I10" s="48"/>
      <c r="J10" s="50"/>
      <c r="K10" s="50"/>
      <c r="L10" s="50"/>
      <c r="M10" s="51"/>
      <c r="N10" s="52"/>
    </row>
    <row r="11" spans="1:14" x14ac:dyDescent="0.2">
      <c r="A11" s="53" t="s">
        <v>76</v>
      </c>
      <c r="B11" s="53"/>
      <c r="C11" s="54"/>
      <c r="D11" s="48"/>
      <c r="E11" s="55"/>
      <c r="F11" s="48"/>
      <c r="G11" s="48"/>
      <c r="H11" s="48"/>
      <c r="I11" s="48"/>
      <c r="J11" s="55"/>
      <c r="K11" s="55"/>
      <c r="L11" s="55"/>
      <c r="M11" s="51"/>
      <c r="N11" s="56"/>
    </row>
    <row r="12" spans="1:14" hidden="1" outlineLevel="1" x14ac:dyDescent="0.2">
      <c r="A12" s="53">
        <v>44165</v>
      </c>
      <c r="B12" s="53"/>
      <c r="C12" s="54"/>
      <c r="D12" s="48"/>
      <c r="E12" s="55"/>
      <c r="F12" s="48"/>
      <c r="G12" s="48"/>
      <c r="H12" s="48"/>
      <c r="I12" s="48"/>
      <c r="J12" s="55"/>
      <c r="K12" s="55"/>
      <c r="L12" s="55"/>
      <c r="M12" s="50"/>
      <c r="N12" s="56"/>
    </row>
    <row r="13" spans="1:14" hidden="1" outlineLevel="1" x14ac:dyDescent="0.2">
      <c r="A13" s="53">
        <v>44196</v>
      </c>
      <c r="B13" s="53"/>
      <c r="C13" s="54"/>
      <c r="D13" s="48"/>
      <c r="E13" s="55"/>
      <c r="F13" s="48"/>
      <c r="G13" s="48"/>
      <c r="H13" s="48"/>
      <c r="I13" s="48"/>
      <c r="J13" s="55"/>
      <c r="K13" s="55"/>
      <c r="L13" s="55"/>
      <c r="M13" s="50"/>
      <c r="N13" s="56"/>
    </row>
    <row r="14" spans="1:14" hidden="1" outlineLevel="1" x14ac:dyDescent="0.2">
      <c r="A14" s="53">
        <v>44227</v>
      </c>
      <c r="B14" s="53"/>
      <c r="C14" s="54"/>
      <c r="D14" s="48"/>
      <c r="E14" s="55"/>
      <c r="F14" s="48"/>
      <c r="G14" s="48"/>
      <c r="H14" s="48"/>
      <c r="I14" s="48"/>
      <c r="J14" s="55"/>
      <c r="K14" s="55"/>
      <c r="L14" s="55"/>
      <c r="M14" s="50"/>
      <c r="N14" s="56"/>
    </row>
    <row r="15" spans="1:14" hidden="1" outlineLevel="1" x14ac:dyDescent="0.2">
      <c r="A15" s="53">
        <v>44255</v>
      </c>
      <c r="B15" s="53"/>
      <c r="C15" s="54"/>
      <c r="D15" s="48"/>
      <c r="E15" s="55"/>
      <c r="F15" s="48"/>
      <c r="G15" s="48"/>
      <c r="H15" s="48"/>
      <c r="I15" s="48"/>
      <c r="J15" s="55"/>
      <c r="K15" s="55"/>
      <c r="L15" s="55"/>
      <c r="M15" s="50"/>
      <c r="N15" s="56"/>
    </row>
    <row r="16" spans="1:14" hidden="1" outlineLevel="1" x14ac:dyDescent="0.2">
      <c r="A16" s="53">
        <v>44286</v>
      </c>
      <c r="B16" s="53"/>
      <c r="C16" s="54"/>
      <c r="D16" s="48"/>
      <c r="E16" s="55"/>
      <c r="F16" s="48"/>
      <c r="G16" s="48"/>
      <c r="H16" s="48"/>
      <c r="I16" s="48"/>
      <c r="J16" s="55"/>
      <c r="K16" s="55"/>
      <c r="L16" s="55"/>
      <c r="M16" s="50"/>
      <c r="N16" s="56"/>
    </row>
    <row r="17" spans="1:14" hidden="1" outlineLevel="1" x14ac:dyDescent="0.2">
      <c r="A17" s="53">
        <v>44316</v>
      </c>
      <c r="B17" s="53"/>
      <c r="C17" s="54"/>
      <c r="D17" s="48"/>
      <c r="E17" s="55"/>
      <c r="F17" s="48"/>
      <c r="G17" s="48"/>
      <c r="H17" s="48"/>
      <c r="I17" s="48"/>
      <c r="J17" s="55"/>
      <c r="K17" s="55"/>
      <c r="L17" s="55"/>
      <c r="M17" s="50"/>
      <c r="N17" s="56"/>
    </row>
    <row r="18" spans="1:14" hidden="1" outlineLevel="1" x14ac:dyDescent="0.2">
      <c r="A18" s="53">
        <v>44347</v>
      </c>
      <c r="B18" s="53"/>
      <c r="C18" s="54"/>
      <c r="D18" s="48"/>
      <c r="E18" s="55"/>
      <c r="F18" s="48"/>
      <c r="G18" s="48"/>
      <c r="H18" s="48"/>
      <c r="I18" s="48"/>
      <c r="J18" s="55"/>
      <c r="K18" s="55"/>
      <c r="L18" s="55"/>
      <c r="M18" s="50"/>
      <c r="N18" s="56"/>
    </row>
    <row r="19" spans="1:14" hidden="1" outlineLevel="1" x14ac:dyDescent="0.2">
      <c r="A19" s="53">
        <v>44377</v>
      </c>
      <c r="B19" s="53"/>
      <c r="C19" s="54"/>
      <c r="D19" s="48"/>
      <c r="E19" s="55"/>
      <c r="F19" s="48"/>
      <c r="G19" s="48"/>
      <c r="H19" s="48"/>
      <c r="I19" s="48"/>
      <c r="J19" s="55"/>
      <c r="K19" s="55"/>
      <c r="L19" s="55"/>
      <c r="M19" s="50"/>
      <c r="N19" s="56"/>
    </row>
    <row r="20" spans="1:14" hidden="1" outlineLevel="1" x14ac:dyDescent="0.2">
      <c r="A20" s="53">
        <v>44408</v>
      </c>
      <c r="B20" s="53"/>
      <c r="C20" s="54"/>
      <c r="D20" s="48"/>
      <c r="E20" s="55"/>
      <c r="F20" s="48"/>
      <c r="G20" s="48"/>
      <c r="H20" s="48"/>
      <c r="I20" s="48"/>
      <c r="J20" s="55"/>
      <c r="K20" s="55"/>
      <c r="L20" s="55"/>
      <c r="M20" s="50"/>
      <c r="N20" s="56"/>
    </row>
    <row r="21" spans="1:14" hidden="1" outlineLevel="1" x14ac:dyDescent="0.2">
      <c r="A21" s="53">
        <v>44439</v>
      </c>
      <c r="B21" s="53"/>
      <c r="C21" s="54"/>
      <c r="D21" s="48"/>
      <c r="E21" s="55"/>
      <c r="F21" s="48"/>
      <c r="G21" s="48"/>
      <c r="H21" s="48"/>
      <c r="I21" s="48"/>
      <c r="J21" s="55"/>
      <c r="K21" s="55"/>
      <c r="L21" s="55"/>
      <c r="M21" s="50"/>
      <c r="N21" s="56"/>
    </row>
    <row r="22" spans="1:14" hidden="1" outlineLevel="1" x14ac:dyDescent="0.2">
      <c r="A22" s="53">
        <v>44469</v>
      </c>
      <c r="B22" s="53"/>
      <c r="C22" s="54"/>
      <c r="D22" s="48"/>
      <c r="E22" s="55"/>
      <c r="F22" s="48"/>
      <c r="G22" s="48"/>
      <c r="H22" s="48"/>
      <c r="I22" s="48"/>
      <c r="J22" s="55"/>
      <c r="K22" s="55"/>
      <c r="L22" s="55"/>
      <c r="M22" s="50"/>
      <c r="N22" s="56"/>
    </row>
    <row r="23" spans="1:14" hidden="1" outlineLevel="1" x14ac:dyDescent="0.2">
      <c r="A23" s="53">
        <v>44500</v>
      </c>
      <c r="B23" s="53"/>
      <c r="C23" s="54"/>
      <c r="D23" s="48"/>
      <c r="E23" s="55"/>
      <c r="F23" s="48"/>
      <c r="G23" s="48"/>
      <c r="H23" s="48"/>
      <c r="I23" s="48"/>
      <c r="J23" s="55"/>
      <c r="K23" s="55"/>
      <c r="L23" s="55"/>
      <c r="M23" s="50"/>
      <c r="N23" s="56"/>
    </row>
    <row r="24" spans="1:14" collapsed="1" x14ac:dyDescent="0.2">
      <c r="A24" s="53">
        <v>44530</v>
      </c>
      <c r="B24" s="53"/>
      <c r="C24" s="54"/>
      <c r="D24" s="55">
        <f>D11+C24</f>
        <v>0</v>
      </c>
      <c r="E24" s="55">
        <f t="shared" ref="E24:E37" si="0">(D12+D24+SUM(D13:D23)*2)/24</f>
        <v>0</v>
      </c>
      <c r="F24" s="55">
        <v>0</v>
      </c>
      <c r="G24" s="55">
        <v>0</v>
      </c>
      <c r="H24" s="55">
        <v>0</v>
      </c>
      <c r="I24" s="55">
        <v>0</v>
      </c>
      <c r="J24" s="55">
        <f t="shared" ref="J24:J87" si="1">(-C24*0.21)+(F24*0.21)</f>
        <v>0</v>
      </c>
      <c r="K24" s="55">
        <f t="shared" ref="K24:K87" si="2">K23+J24</f>
        <v>0</v>
      </c>
      <c r="L24" s="55">
        <v>0</v>
      </c>
      <c r="M24" s="55">
        <v>0</v>
      </c>
      <c r="N24" s="56">
        <v>0</v>
      </c>
    </row>
    <row r="25" spans="1:14" x14ac:dyDescent="0.2">
      <c r="A25" s="53">
        <v>44561</v>
      </c>
      <c r="B25" s="53"/>
      <c r="C25" s="54"/>
      <c r="D25" s="55">
        <f t="shared" ref="D25:D88" si="3">D24+C25</f>
        <v>0</v>
      </c>
      <c r="E25" s="55">
        <f t="shared" si="0"/>
        <v>0</v>
      </c>
      <c r="F25" s="55">
        <v>0</v>
      </c>
      <c r="G25" s="55">
        <v>0</v>
      </c>
      <c r="H25" s="55">
        <v>0</v>
      </c>
      <c r="I25" s="55">
        <v>0</v>
      </c>
      <c r="J25" s="55">
        <f t="shared" si="1"/>
        <v>0</v>
      </c>
      <c r="K25" s="55">
        <f t="shared" si="2"/>
        <v>0</v>
      </c>
      <c r="L25" s="55">
        <v>0</v>
      </c>
      <c r="M25" s="55">
        <v>0</v>
      </c>
      <c r="N25" s="56">
        <v>0</v>
      </c>
    </row>
    <row r="26" spans="1:14" x14ac:dyDescent="0.2">
      <c r="A26" s="53">
        <v>44592</v>
      </c>
      <c r="B26" s="53"/>
      <c r="C26" s="203">
        <f>'LNG Return Deferral (as-filed)'!C26*'Plant Additions'!$C$3*0</f>
        <v>0</v>
      </c>
      <c r="D26" s="55">
        <f t="shared" si="3"/>
        <v>0</v>
      </c>
      <c r="E26" s="55">
        <f t="shared" si="0"/>
        <v>0</v>
      </c>
      <c r="F26" s="109"/>
      <c r="G26" s="55">
        <f t="shared" ref="G26:G37" si="4">G25-F26</f>
        <v>0</v>
      </c>
      <c r="H26" s="55">
        <f t="shared" ref="H26:H37" si="5">(G14+G26+SUM(G15:G25)*2)/24</f>
        <v>0</v>
      </c>
      <c r="I26" s="55">
        <f>E26+H26</f>
        <v>0</v>
      </c>
      <c r="J26" s="55">
        <f t="shared" si="1"/>
        <v>0</v>
      </c>
      <c r="K26" s="55">
        <f t="shared" si="2"/>
        <v>0</v>
      </c>
      <c r="L26" s="55">
        <f t="shared" ref="L26:L36" si="6">(K14+K26+SUM(K15:K25)*2)/24</f>
        <v>0</v>
      </c>
      <c r="M26" s="55">
        <f>I26+L26</f>
        <v>0</v>
      </c>
      <c r="N26" s="56">
        <f t="shared" ref="N26:N35" si="7">+D26+G26+K26</f>
        <v>0</v>
      </c>
    </row>
    <row r="27" spans="1:14" x14ac:dyDescent="0.2">
      <c r="A27" s="53">
        <v>44620</v>
      </c>
      <c r="B27" s="53"/>
      <c r="C27" s="203">
        <f>'LNG Return Deferral (as-filed)'!C27*'Plant Additions'!$C$3*0</f>
        <v>0</v>
      </c>
      <c r="D27" s="55">
        <f t="shared" si="3"/>
        <v>0</v>
      </c>
      <c r="E27" s="55">
        <f t="shared" si="0"/>
        <v>0</v>
      </c>
      <c r="F27" s="109"/>
      <c r="G27" s="55">
        <f t="shared" si="4"/>
        <v>0</v>
      </c>
      <c r="H27" s="55">
        <f t="shared" si="5"/>
        <v>0</v>
      </c>
      <c r="I27" s="55">
        <f t="shared" ref="I27:I37" si="8">E27+H27</f>
        <v>0</v>
      </c>
      <c r="J27" s="55">
        <f t="shared" si="1"/>
        <v>0</v>
      </c>
      <c r="K27" s="55">
        <f t="shared" si="2"/>
        <v>0</v>
      </c>
      <c r="L27" s="55">
        <f t="shared" si="6"/>
        <v>0</v>
      </c>
      <c r="M27" s="55">
        <f t="shared" ref="M27:M36" si="9">I27+L27</f>
        <v>0</v>
      </c>
      <c r="N27" s="56">
        <f t="shared" si="7"/>
        <v>0</v>
      </c>
    </row>
    <row r="28" spans="1:14" x14ac:dyDescent="0.2">
      <c r="A28" s="53">
        <v>44651</v>
      </c>
      <c r="B28" s="53"/>
      <c r="C28" s="203">
        <f>'LNG Return Deferral (as-filed)'!C28*'Plant Additions'!$C$3*0</f>
        <v>0</v>
      </c>
      <c r="D28" s="55">
        <f t="shared" si="3"/>
        <v>0</v>
      </c>
      <c r="E28" s="55">
        <f t="shared" si="0"/>
        <v>0</v>
      </c>
      <c r="F28" s="109"/>
      <c r="G28" s="55">
        <f t="shared" si="4"/>
        <v>0</v>
      </c>
      <c r="H28" s="55">
        <f t="shared" si="5"/>
        <v>0</v>
      </c>
      <c r="I28" s="55">
        <f t="shared" si="8"/>
        <v>0</v>
      </c>
      <c r="J28" s="55">
        <f t="shared" si="1"/>
        <v>0</v>
      </c>
      <c r="K28" s="55">
        <f t="shared" si="2"/>
        <v>0</v>
      </c>
      <c r="L28" s="55">
        <f t="shared" si="6"/>
        <v>0</v>
      </c>
      <c r="M28" s="55">
        <f t="shared" si="9"/>
        <v>0</v>
      </c>
      <c r="N28" s="56">
        <f t="shared" si="7"/>
        <v>0</v>
      </c>
    </row>
    <row r="29" spans="1:14" x14ac:dyDescent="0.2">
      <c r="A29" s="53">
        <v>44681</v>
      </c>
      <c r="B29" s="53"/>
      <c r="C29" s="203">
        <f>'LNG Return Deferral (as-filed)'!C29*'Plant Additions'!$C$3*0</f>
        <v>0</v>
      </c>
      <c r="D29" s="55">
        <f t="shared" si="3"/>
        <v>0</v>
      </c>
      <c r="E29" s="55">
        <f t="shared" si="0"/>
        <v>0</v>
      </c>
      <c r="F29" s="109"/>
      <c r="G29" s="55">
        <f t="shared" si="4"/>
        <v>0</v>
      </c>
      <c r="H29" s="55">
        <f t="shared" si="5"/>
        <v>0</v>
      </c>
      <c r="I29" s="55">
        <f t="shared" si="8"/>
        <v>0</v>
      </c>
      <c r="J29" s="55">
        <f t="shared" si="1"/>
        <v>0</v>
      </c>
      <c r="K29" s="55">
        <f t="shared" si="2"/>
        <v>0</v>
      </c>
      <c r="L29" s="55">
        <f t="shared" si="6"/>
        <v>0</v>
      </c>
      <c r="M29" s="55">
        <f t="shared" si="9"/>
        <v>0</v>
      </c>
      <c r="N29" s="56">
        <f t="shared" si="7"/>
        <v>0</v>
      </c>
    </row>
    <row r="30" spans="1:14" x14ac:dyDescent="0.2">
      <c r="A30" s="53">
        <v>44712</v>
      </c>
      <c r="B30" s="53"/>
      <c r="C30" s="203">
        <f>'LNG Return Deferral (as-filed)'!C30*'Plant Additions'!$C$3*0</f>
        <v>0</v>
      </c>
      <c r="D30" s="55">
        <f t="shared" si="3"/>
        <v>0</v>
      </c>
      <c r="E30" s="55">
        <f t="shared" si="0"/>
        <v>0</v>
      </c>
      <c r="F30" s="109"/>
      <c r="G30" s="55">
        <f t="shared" si="4"/>
        <v>0</v>
      </c>
      <c r="H30" s="55">
        <f t="shared" si="5"/>
        <v>0</v>
      </c>
      <c r="I30" s="55">
        <f t="shared" si="8"/>
        <v>0</v>
      </c>
      <c r="J30" s="55">
        <f t="shared" si="1"/>
        <v>0</v>
      </c>
      <c r="K30" s="55">
        <f t="shared" si="2"/>
        <v>0</v>
      </c>
      <c r="L30" s="55">
        <f t="shared" si="6"/>
        <v>0</v>
      </c>
      <c r="M30" s="55">
        <f t="shared" si="9"/>
        <v>0</v>
      </c>
      <c r="N30" s="56">
        <f t="shared" si="7"/>
        <v>0</v>
      </c>
    </row>
    <row r="31" spans="1:14" x14ac:dyDescent="0.2">
      <c r="A31" s="53">
        <v>44742</v>
      </c>
      <c r="B31" s="53"/>
      <c r="C31" s="203">
        <f>'LNG Return Deferral (as-filed)'!C31*'Plant Additions'!$C$3*0</f>
        <v>0</v>
      </c>
      <c r="D31" s="55">
        <f t="shared" si="3"/>
        <v>0</v>
      </c>
      <c r="E31" s="55">
        <f t="shared" si="0"/>
        <v>0</v>
      </c>
      <c r="F31" s="109"/>
      <c r="G31" s="55">
        <f t="shared" si="4"/>
        <v>0</v>
      </c>
      <c r="H31" s="55">
        <f t="shared" si="5"/>
        <v>0</v>
      </c>
      <c r="I31" s="55">
        <f t="shared" si="8"/>
        <v>0</v>
      </c>
      <c r="J31" s="55">
        <f t="shared" si="1"/>
        <v>0</v>
      </c>
      <c r="K31" s="55">
        <f t="shared" si="2"/>
        <v>0</v>
      </c>
      <c r="L31" s="55">
        <f t="shared" si="6"/>
        <v>0</v>
      </c>
      <c r="M31" s="55">
        <f t="shared" si="9"/>
        <v>0</v>
      </c>
      <c r="N31" s="56">
        <f t="shared" si="7"/>
        <v>0</v>
      </c>
    </row>
    <row r="32" spans="1:14" x14ac:dyDescent="0.2">
      <c r="A32" s="53">
        <v>44773</v>
      </c>
      <c r="C32" s="203">
        <f>'LNG Return Deferral (as-filed)'!C32*'Plant Additions'!$C$3*0</f>
        <v>0</v>
      </c>
      <c r="D32" s="55">
        <f t="shared" si="3"/>
        <v>0</v>
      </c>
      <c r="E32" s="55">
        <f t="shared" si="0"/>
        <v>0</v>
      </c>
      <c r="F32" s="109"/>
      <c r="G32" s="55">
        <f t="shared" si="4"/>
        <v>0</v>
      </c>
      <c r="H32" s="55">
        <f t="shared" si="5"/>
        <v>0</v>
      </c>
      <c r="I32" s="55">
        <f t="shared" si="8"/>
        <v>0</v>
      </c>
      <c r="J32" s="55">
        <f t="shared" si="1"/>
        <v>0</v>
      </c>
      <c r="K32" s="55">
        <f t="shared" si="2"/>
        <v>0</v>
      </c>
      <c r="L32" s="55">
        <f t="shared" si="6"/>
        <v>0</v>
      </c>
      <c r="M32" s="55">
        <f t="shared" si="9"/>
        <v>0</v>
      </c>
      <c r="N32" s="56">
        <f t="shared" si="7"/>
        <v>0</v>
      </c>
    </row>
    <row r="33" spans="1:15" x14ac:dyDescent="0.2">
      <c r="A33" s="53">
        <v>44804</v>
      </c>
      <c r="C33" s="203">
        <f>'LNG Return Deferral (as-filed)'!C33*'Plant Additions'!$C$3*0</f>
        <v>0</v>
      </c>
      <c r="D33" s="55">
        <f t="shared" si="3"/>
        <v>0</v>
      </c>
      <c r="E33" s="55">
        <f t="shared" si="0"/>
        <v>0</v>
      </c>
      <c r="F33" s="109"/>
      <c r="G33" s="55">
        <f t="shared" si="4"/>
        <v>0</v>
      </c>
      <c r="H33" s="55">
        <f t="shared" si="5"/>
        <v>0</v>
      </c>
      <c r="I33" s="55">
        <f t="shared" si="8"/>
        <v>0</v>
      </c>
      <c r="J33" s="55">
        <f t="shared" si="1"/>
        <v>0</v>
      </c>
      <c r="K33" s="55">
        <f t="shared" si="2"/>
        <v>0</v>
      </c>
      <c r="L33" s="55">
        <f t="shared" si="6"/>
        <v>0</v>
      </c>
      <c r="M33" s="55">
        <f t="shared" si="9"/>
        <v>0</v>
      </c>
      <c r="N33" s="56">
        <f t="shared" si="7"/>
        <v>0</v>
      </c>
    </row>
    <row r="34" spans="1:15" x14ac:dyDescent="0.2">
      <c r="A34" s="53">
        <v>44834</v>
      </c>
      <c r="C34" s="203">
        <f>'LNG Return Deferral (as-filed)'!C34*'Plant Additions'!$C$3*0</f>
        <v>0</v>
      </c>
      <c r="D34" s="55">
        <f t="shared" si="3"/>
        <v>0</v>
      </c>
      <c r="E34" s="55">
        <f t="shared" si="0"/>
        <v>0</v>
      </c>
      <c r="F34" s="109"/>
      <c r="G34" s="55">
        <f t="shared" si="4"/>
        <v>0</v>
      </c>
      <c r="H34" s="55">
        <f t="shared" si="5"/>
        <v>0</v>
      </c>
      <c r="I34" s="55">
        <f t="shared" si="8"/>
        <v>0</v>
      </c>
      <c r="J34" s="55">
        <f t="shared" si="1"/>
        <v>0</v>
      </c>
      <c r="K34" s="55">
        <f t="shared" si="2"/>
        <v>0</v>
      </c>
      <c r="L34" s="55">
        <f t="shared" si="6"/>
        <v>0</v>
      </c>
      <c r="M34" s="55">
        <f t="shared" si="9"/>
        <v>0</v>
      </c>
      <c r="N34" s="56">
        <f t="shared" si="7"/>
        <v>0</v>
      </c>
    </row>
    <row r="35" spans="1:15" x14ac:dyDescent="0.2">
      <c r="A35" s="53">
        <v>44865</v>
      </c>
      <c r="C35" s="203">
        <f>'LNG Return Deferral (as-filed)'!C35*'Plant Additions'!$C$3*0</f>
        <v>0</v>
      </c>
      <c r="D35" s="55">
        <f t="shared" si="3"/>
        <v>0</v>
      </c>
      <c r="E35" s="55">
        <f t="shared" si="0"/>
        <v>0</v>
      </c>
      <c r="F35" s="109"/>
      <c r="G35" s="55">
        <f t="shared" si="4"/>
        <v>0</v>
      </c>
      <c r="H35" s="55">
        <f t="shared" si="5"/>
        <v>0</v>
      </c>
      <c r="I35" s="55">
        <f t="shared" si="8"/>
        <v>0</v>
      </c>
      <c r="J35" s="55">
        <f t="shared" si="1"/>
        <v>0</v>
      </c>
      <c r="K35" s="55">
        <f t="shared" si="2"/>
        <v>0</v>
      </c>
      <c r="L35" s="55">
        <f t="shared" si="6"/>
        <v>0</v>
      </c>
      <c r="M35" s="55">
        <f t="shared" si="9"/>
        <v>0</v>
      </c>
      <c r="N35" s="56">
        <f t="shared" si="7"/>
        <v>0</v>
      </c>
    </row>
    <row r="36" spans="1:15" x14ac:dyDescent="0.2">
      <c r="A36" s="53">
        <v>44895</v>
      </c>
      <c r="C36" s="203">
        <f>'LNG Return Deferral (as-filed)'!C36*'Plant Additions'!$C$3*0</f>
        <v>0</v>
      </c>
      <c r="D36" s="55">
        <f t="shared" si="3"/>
        <v>0</v>
      </c>
      <c r="E36" s="55">
        <f t="shared" si="0"/>
        <v>0</v>
      </c>
      <c r="F36" s="109"/>
      <c r="G36" s="55">
        <f t="shared" si="4"/>
        <v>0</v>
      </c>
      <c r="H36" s="55">
        <f t="shared" si="5"/>
        <v>0</v>
      </c>
      <c r="I36" s="55">
        <f t="shared" si="8"/>
        <v>0</v>
      </c>
      <c r="J36" s="55">
        <f t="shared" si="1"/>
        <v>0</v>
      </c>
      <c r="K36" s="55">
        <f t="shared" si="2"/>
        <v>0</v>
      </c>
      <c r="L36" s="55">
        <f t="shared" si="6"/>
        <v>0</v>
      </c>
      <c r="M36" s="55">
        <f t="shared" si="9"/>
        <v>0</v>
      </c>
      <c r="N36" s="56">
        <f t="shared" ref="N36:N96" si="10">+D36+G36+K36</f>
        <v>0</v>
      </c>
    </row>
    <row r="37" spans="1:15" x14ac:dyDescent="0.2">
      <c r="A37" s="53">
        <v>44926</v>
      </c>
      <c r="C37" s="203">
        <f>'LNG Return Deferral (as-filed)'!C37*'Plant Additions'!$C$3*0</f>
        <v>0</v>
      </c>
      <c r="D37" s="55">
        <f t="shared" si="3"/>
        <v>0</v>
      </c>
      <c r="E37" s="55">
        <f t="shared" si="0"/>
        <v>0</v>
      </c>
      <c r="F37" s="109"/>
      <c r="G37" s="55">
        <f t="shared" si="4"/>
        <v>0</v>
      </c>
      <c r="H37" s="55">
        <f t="shared" si="5"/>
        <v>0</v>
      </c>
      <c r="I37" s="55">
        <f t="shared" si="8"/>
        <v>0</v>
      </c>
      <c r="J37" s="55">
        <f t="shared" si="1"/>
        <v>0</v>
      </c>
      <c r="K37" s="55">
        <f t="shared" si="2"/>
        <v>0</v>
      </c>
      <c r="L37" s="55">
        <f t="shared" ref="L37" si="11">(K25+K37+SUM(K26:K36)*2)/24</f>
        <v>0</v>
      </c>
      <c r="M37" s="55">
        <f t="shared" ref="M37:M96" si="12">L37+I37</f>
        <v>0</v>
      </c>
      <c r="N37" s="56">
        <f t="shared" si="10"/>
        <v>0</v>
      </c>
    </row>
    <row r="38" spans="1:15" x14ac:dyDescent="0.2">
      <c r="A38" s="53">
        <v>44957</v>
      </c>
      <c r="B38" s="53"/>
      <c r="C38" s="54">
        <f>'LNG Return Deferral (as-filed)'!C38</f>
        <v>1658331.0333887211</v>
      </c>
      <c r="D38" s="55">
        <f t="shared" si="3"/>
        <v>1658331.0333887211</v>
      </c>
      <c r="E38" s="55">
        <f>(D26+D38+SUM(D27:D37)*2)/24</f>
        <v>69097.126391196711</v>
      </c>
      <c r="F38" s="109"/>
      <c r="G38" s="55">
        <f t="shared" ref="G38:G96" si="13">G37-F38</f>
        <v>0</v>
      </c>
      <c r="H38" s="55">
        <f t="shared" ref="H38:H96" si="14">(G26+G38+SUM(G27:G37)*2)/24</f>
        <v>0</v>
      </c>
      <c r="I38" s="55">
        <f t="shared" ref="I38:I96" si="15">E38+H38</f>
        <v>69097.126391196711</v>
      </c>
      <c r="J38" s="55">
        <f t="shared" si="1"/>
        <v>-348249.5170116314</v>
      </c>
      <c r="K38" s="58">
        <f t="shared" si="2"/>
        <v>-348249.5170116314</v>
      </c>
      <c r="L38" s="55">
        <f t="shared" ref="L38:L96" si="16">(K26+K38+SUM(K27:K37)*2)/24</f>
        <v>-14510.396542151308</v>
      </c>
      <c r="M38" s="59">
        <f t="shared" si="12"/>
        <v>54586.729849045405</v>
      </c>
      <c r="N38" s="56">
        <f t="shared" si="10"/>
        <v>1310081.5163770895</v>
      </c>
    </row>
    <row r="39" spans="1:15" x14ac:dyDescent="0.2">
      <c r="A39" s="53">
        <v>44985</v>
      </c>
      <c r="B39" s="53"/>
      <c r="C39" s="54">
        <f>'LNG Return Deferral (as-filed)'!C39</f>
        <v>1645181.6462852815</v>
      </c>
      <c r="D39" s="55">
        <f t="shared" si="3"/>
        <v>3303512.6796740023</v>
      </c>
      <c r="E39" s="55">
        <f t="shared" ref="E39:E96" si="17">(D27+D39+SUM(D28:D38)*2)/24</f>
        <v>275840.61443547689</v>
      </c>
      <c r="F39" s="109"/>
      <c r="G39" s="55">
        <f t="shared" si="13"/>
        <v>0</v>
      </c>
      <c r="H39" s="55">
        <f t="shared" si="14"/>
        <v>0</v>
      </c>
      <c r="I39" s="55">
        <f t="shared" si="15"/>
        <v>275840.61443547689</v>
      </c>
      <c r="J39" s="55">
        <f t="shared" si="1"/>
        <v>-345488.14571990911</v>
      </c>
      <c r="K39" s="58">
        <f t="shared" si="2"/>
        <v>-693737.66273154051</v>
      </c>
      <c r="L39" s="55">
        <f t="shared" si="16"/>
        <v>-57926.52903145014</v>
      </c>
      <c r="M39" s="59">
        <f t="shared" si="12"/>
        <v>217914.08540402676</v>
      </c>
      <c r="N39" s="56">
        <f t="shared" si="10"/>
        <v>2609775.016942462</v>
      </c>
    </row>
    <row r="40" spans="1:15" x14ac:dyDescent="0.2">
      <c r="A40" s="53">
        <v>45016</v>
      </c>
      <c r="B40" s="53"/>
      <c r="C40" s="54">
        <f>'LNG Return Deferral (as-filed)'!C40</f>
        <v>1640175.3164569223</v>
      </c>
      <c r="D40" s="55">
        <f t="shared" si="3"/>
        <v>4943687.9961309247</v>
      </c>
      <c r="E40" s="55">
        <f t="shared" si="17"/>
        <v>619473.97592734883</v>
      </c>
      <c r="F40" s="109"/>
      <c r="G40" s="55">
        <f t="shared" si="13"/>
        <v>0</v>
      </c>
      <c r="H40" s="55">
        <f t="shared" si="14"/>
        <v>0</v>
      </c>
      <c r="I40" s="55">
        <f t="shared" si="15"/>
        <v>619473.97592734883</v>
      </c>
      <c r="J40" s="55">
        <f t="shared" si="1"/>
        <v>-344436.8164559537</v>
      </c>
      <c r="K40" s="58">
        <f t="shared" si="2"/>
        <v>-1038174.4791874941</v>
      </c>
      <c r="L40" s="55">
        <f t="shared" si="16"/>
        <v>-130089.53494474325</v>
      </c>
      <c r="M40" s="59">
        <f t="shared" si="12"/>
        <v>489384.44098260556</v>
      </c>
      <c r="N40" s="56">
        <f t="shared" si="10"/>
        <v>3905513.5169434305</v>
      </c>
    </row>
    <row r="41" spans="1:15" x14ac:dyDescent="0.2">
      <c r="A41" s="53">
        <v>45046</v>
      </c>
      <c r="B41" s="53"/>
      <c r="C41" s="54">
        <f>'LNG Return Deferral (as-filed)'!C41</f>
        <v>1635104.7957885899</v>
      </c>
      <c r="D41" s="55">
        <f t="shared" si="3"/>
        <v>6578792.7919195145</v>
      </c>
      <c r="E41" s="55">
        <f t="shared" si="17"/>
        <v>1099577.3420961171</v>
      </c>
      <c r="F41" s="109"/>
      <c r="G41" s="55">
        <f t="shared" si="13"/>
        <v>0</v>
      </c>
      <c r="H41" s="55">
        <f t="shared" si="14"/>
        <v>0</v>
      </c>
      <c r="I41" s="55">
        <f t="shared" si="15"/>
        <v>1099577.3420961171</v>
      </c>
      <c r="J41" s="55">
        <f t="shared" si="1"/>
        <v>-343372.00711560383</v>
      </c>
      <c r="K41" s="58">
        <f t="shared" si="2"/>
        <v>-1381546.486303098</v>
      </c>
      <c r="L41" s="55">
        <f t="shared" si="16"/>
        <v>-230911.24184018458</v>
      </c>
      <c r="M41" s="59">
        <f t="shared" si="12"/>
        <v>868666.10025593254</v>
      </c>
      <c r="N41" s="56">
        <f t="shared" si="10"/>
        <v>5197246.305616416</v>
      </c>
    </row>
    <row r="42" spans="1:15" x14ac:dyDescent="0.2">
      <c r="A42" s="53">
        <v>45077</v>
      </c>
      <c r="B42" s="53"/>
      <c r="C42" s="54">
        <f>'LNG Return Deferral (as-filed)'!C42</f>
        <v>1630034.2751202572</v>
      </c>
      <c r="D42" s="55">
        <f t="shared" si="3"/>
        <v>8208827.0670397719</v>
      </c>
      <c r="E42" s="55">
        <f t="shared" si="17"/>
        <v>1715728.1695527539</v>
      </c>
      <c r="F42" s="109"/>
      <c r="G42" s="55">
        <f t="shared" si="13"/>
        <v>0</v>
      </c>
      <c r="H42" s="55">
        <f t="shared" si="14"/>
        <v>0</v>
      </c>
      <c r="I42" s="55">
        <f t="shared" si="15"/>
        <v>1715728.1695527539</v>
      </c>
      <c r="J42" s="55">
        <f t="shared" si="1"/>
        <v>-342307.19777525397</v>
      </c>
      <c r="K42" s="58">
        <f t="shared" si="2"/>
        <v>-1723853.6840783521</v>
      </c>
      <c r="L42" s="55">
        <f t="shared" si="16"/>
        <v>-360302.9156060784</v>
      </c>
      <c r="M42" s="59">
        <f t="shared" si="12"/>
        <v>1355425.2539466755</v>
      </c>
      <c r="N42" s="56">
        <f t="shared" si="10"/>
        <v>6484973.3829614203</v>
      </c>
    </row>
    <row r="43" spans="1:15" x14ac:dyDescent="0.2">
      <c r="A43" s="53">
        <v>45107</v>
      </c>
      <c r="B43" s="53"/>
      <c r="C43" s="54">
        <f>'LNG Return Deferral (as-filed)'!C43</f>
        <v>1624963.754451924</v>
      </c>
      <c r="D43" s="55">
        <f t="shared" si="3"/>
        <v>9833790.8214916959</v>
      </c>
      <c r="E43" s="55">
        <f t="shared" si="17"/>
        <v>2467503.9149082317</v>
      </c>
      <c r="F43" s="109"/>
      <c r="G43" s="55">
        <f t="shared" si="13"/>
        <v>0</v>
      </c>
      <c r="H43" s="55">
        <f t="shared" si="14"/>
        <v>0</v>
      </c>
      <c r="I43" s="55">
        <f t="shared" si="15"/>
        <v>2467503.9149082317</v>
      </c>
      <c r="J43" s="55">
        <f t="shared" si="1"/>
        <v>-341242.38843490405</v>
      </c>
      <c r="K43" s="58">
        <f t="shared" si="2"/>
        <v>-2065096.0725132562</v>
      </c>
      <c r="L43" s="55">
        <f t="shared" si="16"/>
        <v>-518175.82213072869</v>
      </c>
      <c r="M43" s="59">
        <f t="shared" si="12"/>
        <v>1949328.092777503</v>
      </c>
      <c r="N43" s="56">
        <f t="shared" si="10"/>
        <v>7768694.7489784397</v>
      </c>
      <c r="O43" s="55"/>
    </row>
    <row r="44" spans="1:15" x14ac:dyDescent="0.2">
      <c r="A44" s="53">
        <v>45138</v>
      </c>
      <c r="B44" s="53"/>
      <c r="C44" s="54">
        <f>'LNG Return Deferral (as-filed)'!C44</f>
        <v>1619893.2337835913</v>
      </c>
      <c r="D44" s="55">
        <f t="shared" si="3"/>
        <v>11453684.055275287</v>
      </c>
      <c r="E44" s="55">
        <f t="shared" si="17"/>
        <v>3354482.034773523</v>
      </c>
      <c r="F44" s="109"/>
      <c r="G44" s="55">
        <f t="shared" si="13"/>
        <v>0</v>
      </c>
      <c r="H44" s="55">
        <f t="shared" si="14"/>
        <v>0</v>
      </c>
      <c r="I44" s="55">
        <f t="shared" si="15"/>
        <v>3354482.034773523</v>
      </c>
      <c r="J44" s="55">
        <f t="shared" si="1"/>
        <v>-340177.57909455418</v>
      </c>
      <c r="K44" s="58">
        <f t="shared" si="2"/>
        <v>-2405273.6516078105</v>
      </c>
      <c r="L44" s="55">
        <f t="shared" si="16"/>
        <v>-704441.22730243986</v>
      </c>
      <c r="M44" s="59">
        <f t="shared" si="12"/>
        <v>2650040.807471083</v>
      </c>
      <c r="N44" s="56">
        <f t="shared" si="10"/>
        <v>9048410.403667476</v>
      </c>
      <c r="O44" s="55"/>
    </row>
    <row r="45" spans="1:15" x14ac:dyDescent="0.2">
      <c r="A45" s="53">
        <v>45169</v>
      </c>
      <c r="B45" s="53"/>
      <c r="C45" s="54">
        <f>'LNG Return Deferral (as-filed)'!C45</f>
        <v>1614822.7131152584</v>
      </c>
      <c r="D45" s="55">
        <f t="shared" si="3"/>
        <v>13068506.768390546</v>
      </c>
      <c r="E45" s="55">
        <f t="shared" si="17"/>
        <v>4376239.9857595991</v>
      </c>
      <c r="F45" s="109"/>
      <c r="G45" s="55">
        <f t="shared" si="13"/>
        <v>0</v>
      </c>
      <c r="H45" s="55">
        <f t="shared" si="14"/>
        <v>0</v>
      </c>
      <c r="I45" s="55">
        <f t="shared" si="15"/>
        <v>4376239.9857595991</v>
      </c>
      <c r="J45" s="55">
        <f t="shared" si="1"/>
        <v>-339112.76975420426</v>
      </c>
      <c r="K45" s="58">
        <f t="shared" si="2"/>
        <v>-2744386.421362015</v>
      </c>
      <c r="L45" s="55">
        <f t="shared" si="16"/>
        <v>-919010.39700951602</v>
      </c>
      <c r="M45" s="59">
        <f t="shared" si="12"/>
        <v>3457229.588750083</v>
      </c>
      <c r="N45" s="56">
        <f t="shared" si="10"/>
        <v>10324120.347028531</v>
      </c>
      <c r="O45" s="55"/>
    </row>
    <row r="46" spans="1:15" x14ac:dyDescent="0.2">
      <c r="A46" s="53">
        <v>45199</v>
      </c>
      <c r="B46" s="53"/>
      <c r="C46" s="54">
        <f>'LNG Return Deferral (as-filed)'!C46</f>
        <v>1609752.1924469257</v>
      </c>
      <c r="D46" s="55">
        <f t="shared" si="3"/>
        <v>14678258.960837472</v>
      </c>
      <c r="E46" s="55">
        <f t="shared" si="17"/>
        <v>5532355.2244774327</v>
      </c>
      <c r="F46" s="109"/>
      <c r="G46" s="55">
        <f t="shared" si="13"/>
        <v>0</v>
      </c>
      <c r="H46" s="55">
        <f t="shared" si="14"/>
        <v>0</v>
      </c>
      <c r="I46" s="55">
        <f t="shared" si="15"/>
        <v>5532355.2244774327</v>
      </c>
      <c r="J46" s="55">
        <f t="shared" si="1"/>
        <v>-338047.96041385439</v>
      </c>
      <c r="K46" s="58">
        <f t="shared" si="2"/>
        <v>-3082434.3817758695</v>
      </c>
      <c r="L46" s="55">
        <f t="shared" si="16"/>
        <v>-1161794.5971402612</v>
      </c>
      <c r="M46" s="59">
        <f t="shared" si="12"/>
        <v>4370560.6273371717</v>
      </c>
      <c r="N46" s="56">
        <f t="shared" si="10"/>
        <v>11595824.579061603</v>
      </c>
      <c r="O46" s="55"/>
    </row>
    <row r="47" spans="1:15" ht="13.5" thickBot="1" x14ac:dyDescent="0.25">
      <c r="A47" s="53">
        <v>45230</v>
      </c>
      <c r="B47" s="53"/>
      <c r="C47" s="54">
        <f>'LNG Return Deferral (as-filed)'!C47</f>
        <v>1604681.671778593</v>
      </c>
      <c r="D47" s="55">
        <f t="shared" si="3"/>
        <v>16282940.632616065</v>
      </c>
      <c r="E47" s="55">
        <f t="shared" si="17"/>
        <v>6822405.2075379975</v>
      </c>
      <c r="F47" s="109"/>
      <c r="G47" s="55">
        <f t="shared" si="13"/>
        <v>0</v>
      </c>
      <c r="H47" s="55">
        <f t="shared" si="14"/>
        <v>0</v>
      </c>
      <c r="I47" s="55">
        <f t="shared" si="15"/>
        <v>6822405.2075379975</v>
      </c>
      <c r="J47" s="55">
        <f t="shared" si="1"/>
        <v>-336983.15107350453</v>
      </c>
      <c r="K47" s="58">
        <f t="shared" si="2"/>
        <v>-3419417.5328493742</v>
      </c>
      <c r="L47" s="55">
        <f t="shared" si="16"/>
        <v>-1432705.0935829794</v>
      </c>
      <c r="M47" s="59">
        <f t="shared" si="12"/>
        <v>5389700.1139550181</v>
      </c>
      <c r="N47" s="56">
        <f t="shared" si="10"/>
        <v>12863523.09976669</v>
      </c>
      <c r="O47" s="55"/>
    </row>
    <row r="48" spans="1:15" x14ac:dyDescent="0.2">
      <c r="A48" s="120">
        <v>45260</v>
      </c>
      <c r="B48" s="120" t="s">
        <v>146</v>
      </c>
      <c r="C48" s="121"/>
      <c r="D48" s="122">
        <f t="shared" si="3"/>
        <v>16282940.632616065</v>
      </c>
      <c r="E48" s="122">
        <f t="shared" si="17"/>
        <v>8179316.9269226706</v>
      </c>
      <c r="F48" s="133">
        <f t="shared" ref="F48:F95" si="18">D48/48</f>
        <v>339227.92984616803</v>
      </c>
      <c r="G48" s="122">
        <f t="shared" si="13"/>
        <v>-339227.92984616803</v>
      </c>
      <c r="H48" s="122">
        <f t="shared" si="14"/>
        <v>-14134.497076923668</v>
      </c>
      <c r="I48" s="122">
        <f t="shared" si="15"/>
        <v>8165182.4298457466</v>
      </c>
      <c r="J48" s="122">
        <f t="shared" si="1"/>
        <v>71237.865267695277</v>
      </c>
      <c r="K48" s="124">
        <f t="shared" si="2"/>
        <v>-3348179.6675816788</v>
      </c>
      <c r="L48" s="122">
        <f t="shared" si="16"/>
        <v>-1714688.3102676068</v>
      </c>
      <c r="M48" s="125">
        <f t="shared" si="12"/>
        <v>6450494.1195781399</v>
      </c>
      <c r="N48" s="126">
        <f t="shared" si="10"/>
        <v>12595533.035188219</v>
      </c>
      <c r="O48" s="55"/>
    </row>
    <row r="49" spans="1:15" x14ac:dyDescent="0.2">
      <c r="A49" s="53">
        <v>45291</v>
      </c>
      <c r="B49" s="53" t="s">
        <v>146</v>
      </c>
      <c r="C49" s="55"/>
      <c r="D49" s="55">
        <f t="shared" si="3"/>
        <v>16282940.632616065</v>
      </c>
      <c r="E49" s="55">
        <f t="shared" si="17"/>
        <v>9536228.6463073436</v>
      </c>
      <c r="F49" s="109">
        <f t="shared" si="18"/>
        <v>339227.92984616803</v>
      </c>
      <c r="G49" s="55">
        <f t="shared" si="13"/>
        <v>-678455.85969233606</v>
      </c>
      <c r="H49" s="55">
        <f t="shared" si="14"/>
        <v>-56537.988307694672</v>
      </c>
      <c r="I49" s="55">
        <f t="shared" si="15"/>
        <v>9479690.6579996496</v>
      </c>
      <c r="J49" s="55">
        <f t="shared" si="1"/>
        <v>71237.865267695277</v>
      </c>
      <c r="K49" s="58">
        <f t="shared" si="2"/>
        <v>-3276941.8023139834</v>
      </c>
      <c r="L49" s="55">
        <f t="shared" si="16"/>
        <v>-1990735.0381799259</v>
      </c>
      <c r="M49" s="59">
        <f t="shared" si="12"/>
        <v>7488955.619819724</v>
      </c>
      <c r="N49" s="56">
        <f t="shared" si="10"/>
        <v>12327542.970609747</v>
      </c>
      <c r="O49" s="55"/>
    </row>
    <row r="50" spans="1:15" x14ac:dyDescent="0.2">
      <c r="A50" s="53">
        <v>45322</v>
      </c>
      <c r="B50" s="53" t="s">
        <v>146</v>
      </c>
      <c r="C50" s="55"/>
      <c r="D50" s="55">
        <f t="shared" si="3"/>
        <v>16282940.632616065</v>
      </c>
      <c r="E50" s="55">
        <f t="shared" si="17"/>
        <v>10824043.239300817</v>
      </c>
      <c r="F50" s="109">
        <f t="shared" si="18"/>
        <v>339227.92984616803</v>
      </c>
      <c r="G50" s="55">
        <f t="shared" si="13"/>
        <v>-1017683.7895385041</v>
      </c>
      <c r="H50" s="55">
        <f t="shared" si="14"/>
        <v>-127210.47369231301</v>
      </c>
      <c r="I50" s="55">
        <f t="shared" si="15"/>
        <v>10696832.765608504</v>
      </c>
      <c r="J50" s="55">
        <f t="shared" si="1"/>
        <v>71237.865267695277</v>
      </c>
      <c r="K50" s="58">
        <f t="shared" si="2"/>
        <v>-3205703.937046288</v>
      </c>
      <c r="L50" s="55">
        <f t="shared" si="16"/>
        <v>-2246334.880777786</v>
      </c>
      <c r="M50" s="59">
        <f t="shared" si="12"/>
        <v>8450497.8848307189</v>
      </c>
      <c r="N50" s="56">
        <f t="shared" si="10"/>
        <v>12059552.906031273</v>
      </c>
      <c r="O50" s="55"/>
    </row>
    <row r="51" spans="1:15" x14ac:dyDescent="0.2">
      <c r="A51" s="53">
        <v>45351</v>
      </c>
      <c r="B51" s="53" t="s">
        <v>146</v>
      </c>
      <c r="C51" s="55"/>
      <c r="D51" s="55">
        <f t="shared" si="3"/>
        <v>16282940.632616065</v>
      </c>
      <c r="E51" s="55">
        <f t="shared" si="17"/>
        <v>11974211.470641211</v>
      </c>
      <c r="F51" s="109">
        <f t="shared" si="18"/>
        <v>339227.92984616803</v>
      </c>
      <c r="G51" s="55">
        <f t="shared" si="13"/>
        <v>-1356911.7193846721</v>
      </c>
      <c r="H51" s="55">
        <f t="shared" si="14"/>
        <v>-226151.95323077869</v>
      </c>
      <c r="I51" s="55">
        <f t="shared" si="15"/>
        <v>11748059.517410431</v>
      </c>
      <c r="J51" s="55">
        <f t="shared" si="1"/>
        <v>71237.865267695277</v>
      </c>
      <c r="K51" s="58">
        <f t="shared" si="2"/>
        <v>-3134466.0717785927</v>
      </c>
      <c r="L51" s="55">
        <f t="shared" si="16"/>
        <v>-2467092.4986561905</v>
      </c>
      <c r="M51" s="59">
        <f t="shared" si="12"/>
        <v>9280967.0187542401</v>
      </c>
      <c r="N51" s="56">
        <f t="shared" si="10"/>
        <v>11791562.8414528</v>
      </c>
    </row>
    <row r="52" spans="1:15" x14ac:dyDescent="0.2">
      <c r="A52" s="53">
        <v>45382</v>
      </c>
      <c r="B52" s="53" t="s">
        <v>146</v>
      </c>
      <c r="C52" s="55"/>
      <c r="D52" s="55">
        <f t="shared" si="3"/>
        <v>16282940.632616065</v>
      </c>
      <c r="E52" s="55">
        <f t="shared" si="17"/>
        <v>12987489.828534013</v>
      </c>
      <c r="F52" s="109">
        <f t="shared" si="18"/>
        <v>339227.92984616803</v>
      </c>
      <c r="G52" s="55">
        <f t="shared" si="13"/>
        <v>-1696139.6492308402</v>
      </c>
      <c r="H52" s="55">
        <f t="shared" si="14"/>
        <v>-353362.4269230917</v>
      </c>
      <c r="I52" s="55">
        <f t="shared" si="15"/>
        <v>12634127.40161092</v>
      </c>
      <c r="J52" s="55">
        <f t="shared" si="1"/>
        <v>71237.865267695277</v>
      </c>
      <c r="K52" s="58">
        <f t="shared" si="2"/>
        <v>-3063228.2065108973</v>
      </c>
      <c r="L52" s="55">
        <f t="shared" si="16"/>
        <v>-2653166.7543382929</v>
      </c>
      <c r="M52" s="59">
        <f t="shared" si="12"/>
        <v>9980960.6472726278</v>
      </c>
      <c r="N52" s="56">
        <f t="shared" si="10"/>
        <v>11523572.776874328</v>
      </c>
    </row>
    <row r="53" spans="1:15" x14ac:dyDescent="0.2">
      <c r="A53" s="53">
        <v>45412</v>
      </c>
      <c r="B53" s="53" t="s">
        <v>146</v>
      </c>
      <c r="C53" s="55"/>
      <c r="D53" s="55">
        <f t="shared" si="3"/>
        <v>16282940.632616065</v>
      </c>
      <c r="E53" s="55">
        <f t="shared" si="17"/>
        <v>13864298.181749916</v>
      </c>
      <c r="F53" s="109">
        <f t="shared" si="18"/>
        <v>339227.92984616803</v>
      </c>
      <c r="G53" s="55">
        <f t="shared" si="13"/>
        <v>-2035367.5790770082</v>
      </c>
      <c r="H53" s="55">
        <f t="shared" si="14"/>
        <v>-508841.8947692521</v>
      </c>
      <c r="I53" s="55">
        <f t="shared" si="15"/>
        <v>13355456.286980664</v>
      </c>
      <c r="J53" s="55">
        <f t="shared" si="1"/>
        <v>71237.865267695277</v>
      </c>
      <c r="K53" s="58">
        <f t="shared" si="2"/>
        <v>-2991990.3412432019</v>
      </c>
      <c r="L53" s="55">
        <f t="shared" si="16"/>
        <v>-2804645.820265939</v>
      </c>
      <c r="M53" s="59">
        <f t="shared" si="12"/>
        <v>10550810.466714725</v>
      </c>
      <c r="N53" s="56">
        <f t="shared" si="10"/>
        <v>11255582.712295854</v>
      </c>
    </row>
    <row r="54" spans="1:15" x14ac:dyDescent="0.2">
      <c r="A54" s="53">
        <v>45443</v>
      </c>
      <c r="B54" s="53" t="s">
        <v>146</v>
      </c>
      <c r="C54" s="55"/>
      <c r="D54" s="55">
        <f t="shared" si="3"/>
        <v>16282940.632616065</v>
      </c>
      <c r="E54" s="55">
        <f t="shared" si="17"/>
        <v>14605059.07367795</v>
      </c>
      <c r="F54" s="109">
        <f t="shared" si="18"/>
        <v>339227.92984616803</v>
      </c>
      <c r="G54" s="55">
        <f t="shared" si="13"/>
        <v>-2374595.5089231762</v>
      </c>
      <c r="H54" s="55">
        <f t="shared" si="14"/>
        <v>-692590.35676925979</v>
      </c>
      <c r="I54" s="55">
        <f t="shared" si="15"/>
        <v>13912468.71690869</v>
      </c>
      <c r="J54" s="55">
        <f t="shared" si="1"/>
        <v>71237.865267695277</v>
      </c>
      <c r="K54" s="58">
        <f t="shared" si="2"/>
        <v>-2920752.4759755065</v>
      </c>
      <c r="L54" s="55">
        <f t="shared" si="16"/>
        <v>-2921618.4305508249</v>
      </c>
      <c r="M54" s="59">
        <f t="shared" si="12"/>
        <v>10990850.286357865</v>
      </c>
      <c r="N54" s="56">
        <f t="shared" si="10"/>
        <v>10987592.647717383</v>
      </c>
    </row>
    <row r="55" spans="1:15" x14ac:dyDescent="0.2">
      <c r="A55" s="53">
        <v>45473</v>
      </c>
      <c r="B55" s="53" t="s">
        <v>146</v>
      </c>
      <c r="C55" s="55"/>
      <c r="D55" s="55">
        <f t="shared" si="3"/>
        <v>16282940.632616065</v>
      </c>
      <c r="E55" s="55">
        <f t="shared" si="17"/>
        <v>15210195.047707146</v>
      </c>
      <c r="F55" s="109">
        <f t="shared" si="18"/>
        <v>339227.92984616803</v>
      </c>
      <c r="G55" s="55">
        <f t="shared" si="13"/>
        <v>-2713823.4387693442</v>
      </c>
      <c r="H55" s="55">
        <f t="shared" si="14"/>
        <v>-904607.81292311475</v>
      </c>
      <c r="I55" s="55">
        <f t="shared" si="15"/>
        <v>14305587.234784031</v>
      </c>
      <c r="J55" s="55">
        <f t="shared" si="1"/>
        <v>71237.865267695277</v>
      </c>
      <c r="K55" s="58">
        <f t="shared" si="2"/>
        <v>-2849514.6107078111</v>
      </c>
      <c r="L55" s="55">
        <f t="shared" si="16"/>
        <v>-3004173.3193046465</v>
      </c>
      <c r="M55" s="59">
        <f t="shared" si="12"/>
        <v>11301413.915479384</v>
      </c>
      <c r="N55" s="56">
        <f t="shared" si="10"/>
        <v>10719602.583138909</v>
      </c>
    </row>
    <row r="56" spans="1:15" x14ac:dyDescent="0.2">
      <c r="A56" s="53">
        <v>45504</v>
      </c>
      <c r="B56" s="53" t="s">
        <v>146</v>
      </c>
      <c r="C56" s="55"/>
      <c r="D56" s="55">
        <f t="shared" si="3"/>
        <v>16282940.632616065</v>
      </c>
      <c r="E56" s="55">
        <f t="shared" si="17"/>
        <v>15680128.647226527</v>
      </c>
      <c r="F56" s="109">
        <f t="shared" si="18"/>
        <v>339227.92984616803</v>
      </c>
      <c r="G56" s="55">
        <f t="shared" si="13"/>
        <v>-3053051.3686155123</v>
      </c>
      <c r="H56" s="55">
        <f t="shared" si="14"/>
        <v>-1144894.2632308172</v>
      </c>
      <c r="I56" s="55">
        <f t="shared" si="15"/>
        <v>14535234.38399571</v>
      </c>
      <c r="J56" s="55">
        <f t="shared" si="1"/>
        <v>71237.865267695277</v>
      </c>
      <c r="K56" s="58">
        <f t="shared" si="2"/>
        <v>-2778276.7454401157</v>
      </c>
      <c r="L56" s="55">
        <f t="shared" si="16"/>
        <v>-3052399.2206390984</v>
      </c>
      <c r="M56" s="59">
        <f t="shared" si="12"/>
        <v>11482835.163356612</v>
      </c>
      <c r="N56" s="56">
        <f t="shared" si="10"/>
        <v>10451612.518560437</v>
      </c>
    </row>
    <row r="57" spans="1:15" x14ac:dyDescent="0.2">
      <c r="A57" s="53">
        <v>45535</v>
      </c>
      <c r="B57" s="53" t="s">
        <v>146</v>
      </c>
      <c r="C57" s="55"/>
      <c r="D57" s="55">
        <f t="shared" si="3"/>
        <v>16282940.632616065</v>
      </c>
      <c r="E57" s="55">
        <f t="shared" si="17"/>
        <v>16015282.41562512</v>
      </c>
      <c r="F57" s="109">
        <f t="shared" si="18"/>
        <v>339227.92984616803</v>
      </c>
      <c r="G57" s="55">
        <f t="shared" si="13"/>
        <v>-3392279.2984616803</v>
      </c>
      <c r="H57" s="55">
        <f t="shared" si="14"/>
        <v>-1413449.7076923668</v>
      </c>
      <c r="I57" s="55">
        <f t="shared" si="15"/>
        <v>14601832.707932753</v>
      </c>
      <c r="J57" s="55">
        <f t="shared" si="1"/>
        <v>71237.865267695277</v>
      </c>
      <c r="K57" s="58">
        <f t="shared" si="2"/>
        <v>-2707038.8801724203</v>
      </c>
      <c r="L57" s="55">
        <f t="shared" si="16"/>
        <v>-3066384.8686658782</v>
      </c>
      <c r="M57" s="59">
        <f t="shared" si="12"/>
        <v>11535447.839266876</v>
      </c>
      <c r="N57" s="56">
        <f t="shared" si="10"/>
        <v>10183622.453981966</v>
      </c>
    </row>
    <row r="58" spans="1:15" x14ac:dyDescent="0.2">
      <c r="A58" s="53">
        <v>45565</v>
      </c>
      <c r="B58" s="53" t="s">
        <v>146</v>
      </c>
      <c r="C58" s="55"/>
      <c r="D58" s="55">
        <f t="shared" si="3"/>
        <v>16282940.632616065</v>
      </c>
      <c r="E58" s="55">
        <f t="shared" si="17"/>
        <v>16216078.896291962</v>
      </c>
      <c r="F58" s="109">
        <f t="shared" si="18"/>
        <v>339227.92984616803</v>
      </c>
      <c r="G58" s="55">
        <f t="shared" si="13"/>
        <v>-3731507.2283078483</v>
      </c>
      <c r="H58" s="55">
        <f t="shared" si="14"/>
        <v>-1710274.1463077639</v>
      </c>
      <c r="I58" s="55">
        <f t="shared" si="15"/>
        <v>14505804.749984197</v>
      </c>
      <c r="J58" s="55">
        <f t="shared" si="1"/>
        <v>71237.865267695277</v>
      </c>
      <c r="K58" s="58">
        <f t="shared" si="2"/>
        <v>-2635801.0149047249</v>
      </c>
      <c r="L58" s="55">
        <f t="shared" si="16"/>
        <v>-3046218.9974966808</v>
      </c>
      <c r="M58" s="59">
        <f t="shared" si="12"/>
        <v>11459585.752487516</v>
      </c>
      <c r="N58" s="56">
        <f t="shared" si="10"/>
        <v>9915632.3894034922</v>
      </c>
    </row>
    <row r="59" spans="1:15" ht="13.5" thickBot="1" x14ac:dyDescent="0.25">
      <c r="A59" s="53">
        <v>45596</v>
      </c>
      <c r="B59" s="53" t="s">
        <v>146</v>
      </c>
      <c r="C59" s="55"/>
      <c r="D59" s="55">
        <f t="shared" si="3"/>
        <v>16282940.632616065</v>
      </c>
      <c r="E59" s="55">
        <f t="shared" si="17"/>
        <v>16282940.632616071</v>
      </c>
      <c r="F59" s="109">
        <f t="shared" si="18"/>
        <v>339227.92984616803</v>
      </c>
      <c r="G59" s="55">
        <f t="shared" si="13"/>
        <v>-4070735.1581540164</v>
      </c>
      <c r="H59" s="55">
        <f t="shared" si="14"/>
        <v>-2035367.5790770082</v>
      </c>
      <c r="I59" s="55">
        <f t="shared" si="15"/>
        <v>14247573.053539064</v>
      </c>
      <c r="J59" s="55">
        <f t="shared" si="1"/>
        <v>71237.865267695277</v>
      </c>
      <c r="K59" s="58">
        <f t="shared" si="2"/>
        <v>-2564563.1496370295</v>
      </c>
      <c r="L59" s="55">
        <f t="shared" si="16"/>
        <v>-2991990.3412432019</v>
      </c>
      <c r="M59" s="59">
        <f t="shared" si="12"/>
        <v>11255582.712295862</v>
      </c>
      <c r="N59" s="56">
        <f t="shared" si="10"/>
        <v>9647642.3248250186</v>
      </c>
    </row>
    <row r="60" spans="1:15" x14ac:dyDescent="0.2">
      <c r="A60" s="120">
        <v>45626</v>
      </c>
      <c r="B60" s="127" t="s">
        <v>147</v>
      </c>
      <c r="C60" s="122"/>
      <c r="D60" s="122">
        <f t="shared" si="3"/>
        <v>16282940.632616065</v>
      </c>
      <c r="E60" s="122">
        <f t="shared" si="17"/>
        <v>16282940.632616071</v>
      </c>
      <c r="F60" s="133">
        <f t="shared" si="18"/>
        <v>339227.92984616803</v>
      </c>
      <c r="G60" s="122">
        <f t="shared" si="13"/>
        <v>-4409963.0880001839</v>
      </c>
      <c r="H60" s="122">
        <f t="shared" si="14"/>
        <v>-2374595.5089231762</v>
      </c>
      <c r="I60" s="122">
        <f t="shared" si="15"/>
        <v>13908345.123692894</v>
      </c>
      <c r="J60" s="122">
        <f t="shared" si="1"/>
        <v>71237.865267695277</v>
      </c>
      <c r="K60" s="124">
        <f t="shared" si="2"/>
        <v>-2493325.2843693341</v>
      </c>
      <c r="L60" s="122">
        <f t="shared" si="16"/>
        <v>-2920752.4759755065</v>
      </c>
      <c r="M60" s="125">
        <f t="shared" si="12"/>
        <v>10987592.647717388</v>
      </c>
      <c r="N60" s="126">
        <f t="shared" si="10"/>
        <v>9379652.2602465469</v>
      </c>
    </row>
    <row r="61" spans="1:15" x14ac:dyDescent="0.2">
      <c r="A61" s="53">
        <v>45657</v>
      </c>
      <c r="B61" s="26" t="s">
        <v>147</v>
      </c>
      <c r="C61" s="55"/>
      <c r="D61" s="55">
        <f t="shared" si="3"/>
        <v>16282940.632616065</v>
      </c>
      <c r="E61" s="55">
        <f t="shared" si="17"/>
        <v>16282940.632616071</v>
      </c>
      <c r="F61" s="109">
        <f t="shared" si="18"/>
        <v>339227.92984616803</v>
      </c>
      <c r="G61" s="55">
        <f t="shared" si="13"/>
        <v>-4749191.0178463515</v>
      </c>
      <c r="H61" s="55">
        <f t="shared" si="14"/>
        <v>-2713823.4387693438</v>
      </c>
      <c r="I61" s="55">
        <f t="shared" si="15"/>
        <v>13569117.193846727</v>
      </c>
      <c r="J61" s="55">
        <f t="shared" si="1"/>
        <v>71237.865267695277</v>
      </c>
      <c r="K61" s="58">
        <f t="shared" si="2"/>
        <v>-2422087.4191016387</v>
      </c>
      <c r="L61" s="55">
        <f t="shared" si="16"/>
        <v>-2849514.6107078106</v>
      </c>
      <c r="M61" s="59">
        <f t="shared" si="12"/>
        <v>10719602.583138917</v>
      </c>
      <c r="N61" s="56">
        <f t="shared" si="10"/>
        <v>9111662.1956680752</v>
      </c>
    </row>
    <row r="62" spans="1:15" x14ac:dyDescent="0.2">
      <c r="A62" s="53">
        <v>45688</v>
      </c>
      <c r="B62" s="26" t="s">
        <v>147</v>
      </c>
      <c r="C62" s="55"/>
      <c r="D62" s="55">
        <f t="shared" si="3"/>
        <v>16282940.632616065</v>
      </c>
      <c r="E62" s="55">
        <f t="shared" si="17"/>
        <v>16282940.632616071</v>
      </c>
      <c r="F62" s="109">
        <f t="shared" si="18"/>
        <v>339227.92984616803</v>
      </c>
      <c r="G62" s="55">
        <f t="shared" si="13"/>
        <v>-5088418.9476925191</v>
      </c>
      <c r="H62" s="55">
        <f t="shared" si="14"/>
        <v>-3053051.3686155118</v>
      </c>
      <c r="I62" s="55">
        <f t="shared" si="15"/>
        <v>13229889.264000559</v>
      </c>
      <c r="J62" s="55">
        <f t="shared" si="1"/>
        <v>71237.865267695277</v>
      </c>
      <c r="K62" s="58">
        <f t="shared" si="2"/>
        <v>-2350849.5538339433</v>
      </c>
      <c r="L62" s="55">
        <f t="shared" si="16"/>
        <v>-2778276.7454401152</v>
      </c>
      <c r="M62" s="59">
        <f t="shared" si="12"/>
        <v>10451612.518560443</v>
      </c>
      <c r="N62" s="56">
        <f t="shared" si="10"/>
        <v>8843672.1310896035</v>
      </c>
    </row>
    <row r="63" spans="1:15" x14ac:dyDescent="0.2">
      <c r="A63" s="53">
        <v>45716</v>
      </c>
      <c r="B63" s="26" t="s">
        <v>147</v>
      </c>
      <c r="C63" s="55"/>
      <c r="D63" s="55">
        <f t="shared" si="3"/>
        <v>16282940.632616065</v>
      </c>
      <c r="E63" s="55">
        <f t="shared" si="17"/>
        <v>16282940.632616071</v>
      </c>
      <c r="F63" s="109">
        <f t="shared" si="18"/>
        <v>339227.92984616803</v>
      </c>
      <c r="G63" s="55">
        <f t="shared" si="13"/>
        <v>-5427646.8775386866</v>
      </c>
      <c r="H63" s="55">
        <f t="shared" si="14"/>
        <v>-3392279.2984616808</v>
      </c>
      <c r="I63" s="55">
        <f t="shared" si="15"/>
        <v>12890661.33415439</v>
      </c>
      <c r="J63" s="55">
        <f t="shared" si="1"/>
        <v>71237.865267695277</v>
      </c>
      <c r="K63" s="58">
        <f t="shared" si="2"/>
        <v>-2279611.6885662479</v>
      </c>
      <c r="L63" s="55">
        <f t="shared" si="16"/>
        <v>-2707038.8801724203</v>
      </c>
      <c r="M63" s="59">
        <f t="shared" si="12"/>
        <v>10183622.45398197</v>
      </c>
      <c r="N63" s="56">
        <f t="shared" si="10"/>
        <v>8575682.0665111318</v>
      </c>
    </row>
    <row r="64" spans="1:15" x14ac:dyDescent="0.2">
      <c r="A64" s="53">
        <v>45747</v>
      </c>
      <c r="B64" s="26" t="s">
        <v>147</v>
      </c>
      <c r="C64" s="55"/>
      <c r="D64" s="55">
        <f t="shared" si="3"/>
        <v>16282940.632616065</v>
      </c>
      <c r="E64" s="55">
        <f t="shared" si="17"/>
        <v>16282940.632616071</v>
      </c>
      <c r="F64" s="109">
        <f t="shared" si="18"/>
        <v>339227.92984616803</v>
      </c>
      <c r="G64" s="55">
        <f t="shared" si="13"/>
        <v>-5766874.8073848542</v>
      </c>
      <c r="H64" s="55">
        <f t="shared" si="14"/>
        <v>-3731507.2283078483</v>
      </c>
      <c r="I64" s="55">
        <f t="shared" si="15"/>
        <v>12551433.404308222</v>
      </c>
      <c r="J64" s="55">
        <f t="shared" si="1"/>
        <v>71237.865267695277</v>
      </c>
      <c r="K64" s="58">
        <f t="shared" si="2"/>
        <v>-2208373.8232985525</v>
      </c>
      <c r="L64" s="55">
        <f t="shared" si="16"/>
        <v>-2635801.0149047249</v>
      </c>
      <c r="M64" s="59">
        <f t="shared" si="12"/>
        <v>9915632.3894034978</v>
      </c>
      <c r="N64" s="56">
        <f t="shared" si="10"/>
        <v>8307692.0019326583</v>
      </c>
    </row>
    <row r="65" spans="1:14" x14ac:dyDescent="0.2">
      <c r="A65" s="53">
        <v>45777</v>
      </c>
      <c r="B65" s="26" t="s">
        <v>147</v>
      </c>
      <c r="C65" s="55"/>
      <c r="D65" s="55">
        <f t="shared" si="3"/>
        <v>16282940.632616065</v>
      </c>
      <c r="E65" s="55">
        <f t="shared" si="17"/>
        <v>16282940.632616071</v>
      </c>
      <c r="F65" s="109">
        <f t="shared" si="18"/>
        <v>339227.92984616803</v>
      </c>
      <c r="G65" s="55">
        <f t="shared" si="13"/>
        <v>-6106102.7372310217</v>
      </c>
      <c r="H65" s="55">
        <f t="shared" si="14"/>
        <v>-4070735.1581540164</v>
      </c>
      <c r="I65" s="55">
        <f t="shared" si="15"/>
        <v>12212205.474462055</v>
      </c>
      <c r="J65" s="55">
        <f t="shared" si="1"/>
        <v>71237.865267695277</v>
      </c>
      <c r="K65" s="58">
        <f t="shared" si="2"/>
        <v>-2137135.9580308571</v>
      </c>
      <c r="L65" s="55">
        <f t="shared" si="16"/>
        <v>-2564563.149637029</v>
      </c>
      <c r="M65" s="59">
        <f t="shared" si="12"/>
        <v>9647642.3248250261</v>
      </c>
      <c r="N65" s="56">
        <f t="shared" si="10"/>
        <v>8039701.9373541865</v>
      </c>
    </row>
    <row r="66" spans="1:14" x14ac:dyDescent="0.2">
      <c r="A66" s="53">
        <v>45808</v>
      </c>
      <c r="B66" s="26" t="s">
        <v>147</v>
      </c>
      <c r="C66" s="55"/>
      <c r="D66" s="55">
        <f t="shared" si="3"/>
        <v>16282940.632616065</v>
      </c>
      <c r="E66" s="55">
        <f t="shared" si="17"/>
        <v>16282940.632616071</v>
      </c>
      <c r="F66" s="109">
        <f t="shared" si="18"/>
        <v>339227.92984616803</v>
      </c>
      <c r="G66" s="55">
        <f t="shared" si="13"/>
        <v>-6445330.6670771893</v>
      </c>
      <c r="H66" s="55">
        <f t="shared" si="14"/>
        <v>-4409963.0880001849</v>
      </c>
      <c r="I66" s="55">
        <f t="shared" si="15"/>
        <v>11872977.544615887</v>
      </c>
      <c r="J66" s="55">
        <f t="shared" si="1"/>
        <v>71237.865267695277</v>
      </c>
      <c r="K66" s="58">
        <f t="shared" si="2"/>
        <v>-2065898.0927631618</v>
      </c>
      <c r="L66" s="55">
        <f t="shared" si="16"/>
        <v>-2493325.2843693341</v>
      </c>
      <c r="M66" s="59">
        <f t="shared" si="12"/>
        <v>9379652.2602465525</v>
      </c>
      <c r="N66" s="56">
        <f t="shared" si="10"/>
        <v>7771711.8727757148</v>
      </c>
    </row>
    <row r="67" spans="1:14" x14ac:dyDescent="0.2">
      <c r="A67" s="53">
        <v>45838</v>
      </c>
      <c r="B67" s="26" t="s">
        <v>147</v>
      </c>
      <c r="C67" s="55"/>
      <c r="D67" s="55">
        <f t="shared" si="3"/>
        <v>16282940.632616065</v>
      </c>
      <c r="E67" s="55">
        <f t="shared" si="17"/>
        <v>16282940.632616071</v>
      </c>
      <c r="F67" s="109">
        <f t="shared" si="18"/>
        <v>339227.92984616803</v>
      </c>
      <c r="G67" s="55">
        <f t="shared" si="13"/>
        <v>-6784558.5969233569</v>
      </c>
      <c r="H67" s="55">
        <f t="shared" si="14"/>
        <v>-4749191.0178463524</v>
      </c>
      <c r="I67" s="55">
        <f t="shared" si="15"/>
        <v>11533749.61476972</v>
      </c>
      <c r="J67" s="55">
        <f t="shared" si="1"/>
        <v>71237.865267695277</v>
      </c>
      <c r="K67" s="58">
        <f t="shared" si="2"/>
        <v>-1994660.2274954664</v>
      </c>
      <c r="L67" s="55">
        <f t="shared" si="16"/>
        <v>-2422087.4191016387</v>
      </c>
      <c r="M67" s="59">
        <f t="shared" si="12"/>
        <v>9111662.1956680808</v>
      </c>
      <c r="N67" s="56">
        <f t="shared" si="10"/>
        <v>7503721.8081972422</v>
      </c>
    </row>
    <row r="68" spans="1:14" x14ac:dyDescent="0.2">
      <c r="A68" s="53">
        <v>45869</v>
      </c>
      <c r="B68" s="26" t="s">
        <v>147</v>
      </c>
      <c r="C68" s="55"/>
      <c r="D68" s="55">
        <f t="shared" si="3"/>
        <v>16282940.632616065</v>
      </c>
      <c r="E68" s="55">
        <f t="shared" si="17"/>
        <v>16282940.632616071</v>
      </c>
      <c r="F68" s="109">
        <f t="shared" si="18"/>
        <v>339227.92984616803</v>
      </c>
      <c r="G68" s="55">
        <f t="shared" si="13"/>
        <v>-7123786.5267695244</v>
      </c>
      <c r="H68" s="55">
        <f t="shared" si="14"/>
        <v>-5088418.94769252</v>
      </c>
      <c r="I68" s="55">
        <f t="shared" si="15"/>
        <v>11194521.684923552</v>
      </c>
      <c r="J68" s="55">
        <f t="shared" si="1"/>
        <v>71237.865267695277</v>
      </c>
      <c r="K68" s="58">
        <f t="shared" si="2"/>
        <v>-1923422.362227771</v>
      </c>
      <c r="L68" s="55">
        <f t="shared" si="16"/>
        <v>-2350849.5538339433</v>
      </c>
      <c r="M68" s="59">
        <f t="shared" si="12"/>
        <v>8843672.1310896091</v>
      </c>
      <c r="N68" s="56">
        <f t="shared" si="10"/>
        <v>7235731.7436187696</v>
      </c>
    </row>
    <row r="69" spans="1:14" x14ac:dyDescent="0.2">
      <c r="A69" s="53">
        <v>45900</v>
      </c>
      <c r="B69" s="26" t="s">
        <v>147</v>
      </c>
      <c r="C69" s="55"/>
      <c r="D69" s="55">
        <f t="shared" si="3"/>
        <v>16282940.632616065</v>
      </c>
      <c r="E69" s="55">
        <f t="shared" si="17"/>
        <v>16282940.632616071</v>
      </c>
      <c r="F69" s="109">
        <f t="shared" si="18"/>
        <v>339227.92984616803</v>
      </c>
      <c r="G69" s="55">
        <f t="shared" si="13"/>
        <v>-7463014.456615692</v>
      </c>
      <c r="H69" s="55">
        <f t="shared" si="14"/>
        <v>-5427646.8775386875</v>
      </c>
      <c r="I69" s="55">
        <f t="shared" si="15"/>
        <v>10855293.755077384</v>
      </c>
      <c r="J69" s="55">
        <f t="shared" si="1"/>
        <v>71237.865267695277</v>
      </c>
      <c r="K69" s="58">
        <f t="shared" si="2"/>
        <v>-1852184.4969600756</v>
      </c>
      <c r="L69" s="55">
        <f t="shared" si="16"/>
        <v>-2279611.6885662479</v>
      </c>
      <c r="M69" s="59">
        <f t="shared" si="12"/>
        <v>8575682.0665111355</v>
      </c>
      <c r="N69" s="56">
        <f t="shared" si="10"/>
        <v>6967741.6790402979</v>
      </c>
    </row>
    <row r="70" spans="1:14" x14ac:dyDescent="0.2">
      <c r="A70" s="53">
        <v>45930</v>
      </c>
      <c r="B70" s="26" t="s">
        <v>147</v>
      </c>
      <c r="C70" s="55"/>
      <c r="D70" s="55">
        <f t="shared" si="3"/>
        <v>16282940.632616065</v>
      </c>
      <c r="E70" s="55">
        <f t="shared" si="17"/>
        <v>16282940.632616071</v>
      </c>
      <c r="F70" s="109">
        <f t="shared" si="18"/>
        <v>339227.92984616803</v>
      </c>
      <c r="G70" s="55">
        <f t="shared" si="13"/>
        <v>-7802242.3864618596</v>
      </c>
      <c r="H70" s="55">
        <f t="shared" si="14"/>
        <v>-5766874.8073848551</v>
      </c>
      <c r="I70" s="55">
        <f t="shared" si="15"/>
        <v>10516065.825231217</v>
      </c>
      <c r="J70" s="55">
        <f t="shared" si="1"/>
        <v>71237.865267695277</v>
      </c>
      <c r="K70" s="58">
        <f t="shared" si="2"/>
        <v>-1780946.6316923802</v>
      </c>
      <c r="L70" s="55">
        <f t="shared" si="16"/>
        <v>-2208373.8232985525</v>
      </c>
      <c r="M70" s="59">
        <f t="shared" si="12"/>
        <v>8307692.0019326638</v>
      </c>
      <c r="N70" s="56">
        <f t="shared" si="10"/>
        <v>6699751.6144618262</v>
      </c>
    </row>
    <row r="71" spans="1:14" ht="13.5" thickBot="1" x14ac:dyDescent="0.25">
      <c r="A71" s="53">
        <v>45961</v>
      </c>
      <c r="B71" s="26" t="s">
        <v>147</v>
      </c>
      <c r="C71" s="55"/>
      <c r="D71" s="55">
        <f t="shared" si="3"/>
        <v>16282940.632616065</v>
      </c>
      <c r="E71" s="55">
        <f t="shared" si="17"/>
        <v>16282940.632616071</v>
      </c>
      <c r="F71" s="109">
        <f t="shared" si="18"/>
        <v>339227.92984616803</v>
      </c>
      <c r="G71" s="55">
        <f t="shared" si="13"/>
        <v>-8141470.3163080271</v>
      </c>
      <c r="H71" s="55">
        <f t="shared" si="14"/>
        <v>-6106102.7372310227</v>
      </c>
      <c r="I71" s="55">
        <f t="shared" si="15"/>
        <v>10176837.895385049</v>
      </c>
      <c r="J71" s="55">
        <f t="shared" si="1"/>
        <v>71237.865267695277</v>
      </c>
      <c r="K71" s="58">
        <f t="shared" si="2"/>
        <v>-1709708.7664246848</v>
      </c>
      <c r="L71" s="55">
        <f t="shared" si="16"/>
        <v>-2137135.9580308571</v>
      </c>
      <c r="M71" s="59">
        <f t="shared" si="12"/>
        <v>8039701.9373541921</v>
      </c>
      <c r="N71" s="56">
        <f t="shared" si="10"/>
        <v>6431761.5498833535</v>
      </c>
    </row>
    <row r="72" spans="1:14" x14ac:dyDescent="0.2">
      <c r="A72" s="120">
        <v>45991</v>
      </c>
      <c r="B72" s="127" t="s">
        <v>148</v>
      </c>
      <c r="C72" s="122"/>
      <c r="D72" s="122">
        <f t="shared" si="3"/>
        <v>16282940.632616065</v>
      </c>
      <c r="E72" s="122">
        <f t="shared" si="17"/>
        <v>16282940.632616071</v>
      </c>
      <c r="F72" s="133">
        <f t="shared" si="18"/>
        <v>339227.92984616803</v>
      </c>
      <c r="G72" s="122">
        <f t="shared" si="13"/>
        <v>-8480698.2461541947</v>
      </c>
      <c r="H72" s="122">
        <f t="shared" si="14"/>
        <v>-6445330.6670771902</v>
      </c>
      <c r="I72" s="122">
        <f t="shared" si="15"/>
        <v>9837609.9655388817</v>
      </c>
      <c r="J72" s="122">
        <f t="shared" si="1"/>
        <v>71237.865267695277</v>
      </c>
      <c r="K72" s="124">
        <f t="shared" si="2"/>
        <v>-1638470.9011569894</v>
      </c>
      <c r="L72" s="122">
        <f t="shared" si="16"/>
        <v>-2065898.092763162</v>
      </c>
      <c r="M72" s="125">
        <f t="shared" si="12"/>
        <v>7771711.8727757195</v>
      </c>
      <c r="N72" s="126">
        <f t="shared" si="10"/>
        <v>6163771.4853048809</v>
      </c>
    </row>
    <row r="73" spans="1:14" x14ac:dyDescent="0.2">
      <c r="A73" s="53">
        <v>46022</v>
      </c>
      <c r="B73" s="26" t="s">
        <v>148</v>
      </c>
      <c r="C73" s="55"/>
      <c r="D73" s="55">
        <f t="shared" si="3"/>
        <v>16282940.632616065</v>
      </c>
      <c r="E73" s="55">
        <f t="shared" si="17"/>
        <v>16282940.632616071</v>
      </c>
      <c r="F73" s="109">
        <f t="shared" si="18"/>
        <v>339227.92984616803</v>
      </c>
      <c r="G73" s="55">
        <f t="shared" si="13"/>
        <v>-8819926.1760003623</v>
      </c>
      <c r="H73" s="55">
        <f t="shared" si="14"/>
        <v>-6784558.5969233578</v>
      </c>
      <c r="I73" s="55">
        <f t="shared" si="15"/>
        <v>9498382.0356927142</v>
      </c>
      <c r="J73" s="55">
        <f t="shared" si="1"/>
        <v>71237.865267695277</v>
      </c>
      <c r="K73" s="58">
        <f t="shared" si="2"/>
        <v>-1567233.035889294</v>
      </c>
      <c r="L73" s="55">
        <f t="shared" si="16"/>
        <v>-1994660.2274954661</v>
      </c>
      <c r="M73" s="59">
        <f t="shared" si="12"/>
        <v>7503721.8081972478</v>
      </c>
      <c r="N73" s="56">
        <f t="shared" si="10"/>
        <v>5895781.4207264092</v>
      </c>
    </row>
    <row r="74" spans="1:14" x14ac:dyDescent="0.2">
      <c r="A74" s="53">
        <v>46053</v>
      </c>
      <c r="B74" s="26" t="s">
        <v>148</v>
      </c>
      <c r="D74" s="55">
        <f t="shared" si="3"/>
        <v>16282940.632616065</v>
      </c>
      <c r="E74" s="55">
        <f t="shared" si="17"/>
        <v>16282940.632616071</v>
      </c>
      <c r="F74" s="109">
        <f t="shared" si="18"/>
        <v>339227.92984616803</v>
      </c>
      <c r="G74" s="55">
        <f t="shared" si="13"/>
        <v>-9159154.1058465298</v>
      </c>
      <c r="H74" s="55">
        <f t="shared" si="14"/>
        <v>-7123786.5267695235</v>
      </c>
      <c r="I74" s="55">
        <f t="shared" si="15"/>
        <v>9159154.1058465466</v>
      </c>
      <c r="J74" s="55">
        <f t="shared" si="1"/>
        <v>71237.865267695277</v>
      </c>
      <c r="K74" s="58">
        <f t="shared" si="2"/>
        <v>-1495995.1706215986</v>
      </c>
      <c r="L74" s="55">
        <f t="shared" si="16"/>
        <v>-1923422.3622277707</v>
      </c>
      <c r="M74" s="59">
        <f t="shared" si="12"/>
        <v>7235731.7436187761</v>
      </c>
      <c r="N74" s="56">
        <f t="shared" si="10"/>
        <v>5627791.3561479375</v>
      </c>
    </row>
    <row r="75" spans="1:14" x14ac:dyDescent="0.2">
      <c r="A75" s="53">
        <v>46081</v>
      </c>
      <c r="B75" s="26" t="s">
        <v>148</v>
      </c>
      <c r="D75" s="55">
        <f t="shared" si="3"/>
        <v>16282940.632616065</v>
      </c>
      <c r="E75" s="55">
        <f t="shared" si="17"/>
        <v>16282940.632616071</v>
      </c>
      <c r="F75" s="109">
        <f t="shared" si="18"/>
        <v>339227.92984616803</v>
      </c>
      <c r="G75" s="55">
        <f t="shared" si="13"/>
        <v>-9498382.0356926974</v>
      </c>
      <c r="H75" s="55">
        <f t="shared" si="14"/>
        <v>-7463014.4566156911</v>
      </c>
      <c r="I75" s="55">
        <f t="shared" si="15"/>
        <v>8819926.176000379</v>
      </c>
      <c r="J75" s="55">
        <f t="shared" si="1"/>
        <v>71237.865267695277</v>
      </c>
      <c r="K75" s="58">
        <f t="shared" si="2"/>
        <v>-1424757.3053539032</v>
      </c>
      <c r="L75" s="55">
        <f t="shared" si="16"/>
        <v>-1852184.4969600756</v>
      </c>
      <c r="M75" s="59">
        <f t="shared" si="12"/>
        <v>6967741.6790403035</v>
      </c>
      <c r="N75" s="56">
        <f t="shared" si="10"/>
        <v>5359801.2915694648</v>
      </c>
    </row>
    <row r="76" spans="1:14" x14ac:dyDescent="0.2">
      <c r="A76" s="53">
        <v>46112</v>
      </c>
      <c r="B76" s="26" t="s">
        <v>148</v>
      </c>
      <c r="D76" s="55">
        <f t="shared" si="3"/>
        <v>16282940.632616065</v>
      </c>
      <c r="E76" s="55">
        <f t="shared" si="17"/>
        <v>16282940.632616071</v>
      </c>
      <c r="F76" s="109">
        <f t="shared" si="18"/>
        <v>339227.92984616803</v>
      </c>
      <c r="G76" s="55">
        <f t="shared" si="13"/>
        <v>-9837609.965538865</v>
      </c>
      <c r="H76" s="55">
        <f t="shared" si="14"/>
        <v>-7802242.3864618586</v>
      </c>
      <c r="I76" s="55">
        <f t="shared" si="15"/>
        <v>8480698.2461542115</v>
      </c>
      <c r="J76" s="55">
        <f t="shared" si="1"/>
        <v>71237.865267695277</v>
      </c>
      <c r="K76" s="58">
        <f t="shared" si="2"/>
        <v>-1353519.4400862078</v>
      </c>
      <c r="L76" s="55">
        <f t="shared" si="16"/>
        <v>-1780946.6316923799</v>
      </c>
      <c r="M76" s="59">
        <f t="shared" si="12"/>
        <v>6699751.6144618317</v>
      </c>
      <c r="N76" s="56">
        <f t="shared" si="10"/>
        <v>5091811.2269909922</v>
      </c>
    </row>
    <row r="77" spans="1:14" x14ac:dyDescent="0.2">
      <c r="A77" s="53">
        <v>46142</v>
      </c>
      <c r="B77" s="26" t="s">
        <v>148</v>
      </c>
      <c r="D77" s="55">
        <f t="shared" si="3"/>
        <v>16282940.632616065</v>
      </c>
      <c r="E77" s="55">
        <f t="shared" si="17"/>
        <v>16282940.632616071</v>
      </c>
      <c r="F77" s="109">
        <f t="shared" si="18"/>
        <v>339227.92984616803</v>
      </c>
      <c r="G77" s="55">
        <f t="shared" si="13"/>
        <v>-10176837.895385033</v>
      </c>
      <c r="H77" s="55">
        <f t="shared" si="14"/>
        <v>-8141470.3163080262</v>
      </c>
      <c r="I77" s="55">
        <f t="shared" si="15"/>
        <v>8141470.3163080448</v>
      </c>
      <c r="J77" s="55">
        <f t="shared" si="1"/>
        <v>71237.865267695277</v>
      </c>
      <c r="K77" s="58">
        <f t="shared" si="2"/>
        <v>-1282281.5748185124</v>
      </c>
      <c r="L77" s="55">
        <f t="shared" si="16"/>
        <v>-1709708.7664246848</v>
      </c>
      <c r="M77" s="59">
        <f t="shared" si="12"/>
        <v>6431761.54988336</v>
      </c>
      <c r="N77" s="56">
        <f t="shared" si="10"/>
        <v>4823821.1624125205</v>
      </c>
    </row>
    <row r="78" spans="1:14" x14ac:dyDescent="0.2">
      <c r="A78" s="53">
        <v>46173</v>
      </c>
      <c r="B78" s="26" t="s">
        <v>148</v>
      </c>
      <c r="D78" s="55">
        <f t="shared" si="3"/>
        <v>16282940.632616065</v>
      </c>
      <c r="E78" s="55">
        <f t="shared" si="17"/>
        <v>16282940.632616071</v>
      </c>
      <c r="F78" s="109">
        <f t="shared" si="18"/>
        <v>339227.92984616803</v>
      </c>
      <c r="G78" s="55">
        <f t="shared" si="13"/>
        <v>-10516065.8252312</v>
      </c>
      <c r="H78" s="55">
        <f t="shared" si="14"/>
        <v>-8480698.2461541947</v>
      </c>
      <c r="I78" s="55">
        <f t="shared" si="15"/>
        <v>7802242.3864618763</v>
      </c>
      <c r="J78" s="55">
        <f t="shared" si="1"/>
        <v>71237.865267695277</v>
      </c>
      <c r="K78" s="58">
        <f t="shared" si="2"/>
        <v>-1211043.709550817</v>
      </c>
      <c r="L78" s="55">
        <f t="shared" si="16"/>
        <v>-1638470.9011569889</v>
      </c>
      <c r="M78" s="59">
        <f t="shared" si="12"/>
        <v>6163771.4853048874</v>
      </c>
      <c r="N78" s="56">
        <f t="shared" si="10"/>
        <v>4555831.0978340488</v>
      </c>
    </row>
    <row r="79" spans="1:14" x14ac:dyDescent="0.2">
      <c r="A79" s="53">
        <v>46203</v>
      </c>
      <c r="B79" s="26" t="s">
        <v>148</v>
      </c>
      <c r="D79" s="55">
        <f t="shared" si="3"/>
        <v>16282940.632616065</v>
      </c>
      <c r="E79" s="55">
        <f t="shared" si="17"/>
        <v>16282940.632616071</v>
      </c>
      <c r="F79" s="109">
        <f t="shared" si="18"/>
        <v>339227.92984616803</v>
      </c>
      <c r="G79" s="55">
        <f t="shared" si="13"/>
        <v>-10855293.755077368</v>
      </c>
      <c r="H79" s="55">
        <f t="shared" si="14"/>
        <v>-8819926.1760003623</v>
      </c>
      <c r="I79" s="55">
        <f t="shared" si="15"/>
        <v>7463014.4566157088</v>
      </c>
      <c r="J79" s="55">
        <f t="shared" si="1"/>
        <v>71237.865267695277</v>
      </c>
      <c r="K79" s="58">
        <f t="shared" si="2"/>
        <v>-1139805.8442831216</v>
      </c>
      <c r="L79" s="55">
        <f t="shared" si="16"/>
        <v>-1567233.035889294</v>
      </c>
      <c r="M79" s="55">
        <f t="shared" si="12"/>
        <v>5895781.4207264148</v>
      </c>
      <c r="N79" s="56">
        <f t="shared" si="10"/>
        <v>4287841.0332555762</v>
      </c>
    </row>
    <row r="80" spans="1:14" x14ac:dyDescent="0.2">
      <c r="A80" s="53">
        <v>46234</v>
      </c>
      <c r="B80" s="26" t="s">
        <v>148</v>
      </c>
      <c r="D80" s="55">
        <f t="shared" si="3"/>
        <v>16282940.632616065</v>
      </c>
      <c r="E80" s="55">
        <f t="shared" si="17"/>
        <v>16282940.632616071</v>
      </c>
      <c r="F80" s="109">
        <f t="shared" si="18"/>
        <v>339227.92984616803</v>
      </c>
      <c r="G80" s="55">
        <f t="shared" si="13"/>
        <v>-11194521.684923535</v>
      </c>
      <c r="H80" s="55">
        <f t="shared" si="14"/>
        <v>-9159154.105846528</v>
      </c>
      <c r="I80" s="55">
        <f t="shared" si="15"/>
        <v>7123786.5267695431</v>
      </c>
      <c r="J80" s="55">
        <f t="shared" si="1"/>
        <v>71237.865267695277</v>
      </c>
      <c r="K80" s="58">
        <f t="shared" si="2"/>
        <v>-1068567.9790154262</v>
      </c>
      <c r="L80" s="55">
        <f t="shared" si="16"/>
        <v>-1495995.1706215988</v>
      </c>
      <c r="M80" s="55">
        <f t="shared" si="12"/>
        <v>5627791.356147944</v>
      </c>
      <c r="N80" s="56">
        <f t="shared" si="10"/>
        <v>4019850.968677104</v>
      </c>
    </row>
    <row r="81" spans="1:14" x14ac:dyDescent="0.2">
      <c r="A81" s="53">
        <v>46265</v>
      </c>
      <c r="B81" s="26" t="s">
        <v>148</v>
      </c>
      <c r="D81" s="55">
        <f t="shared" si="3"/>
        <v>16282940.632616065</v>
      </c>
      <c r="E81" s="55">
        <f t="shared" si="17"/>
        <v>16282940.632616071</v>
      </c>
      <c r="F81" s="109">
        <f t="shared" si="18"/>
        <v>339227.92984616803</v>
      </c>
      <c r="G81" s="55">
        <f t="shared" si="13"/>
        <v>-11533749.614769703</v>
      </c>
      <c r="H81" s="55">
        <f t="shared" si="14"/>
        <v>-9498382.0356926955</v>
      </c>
      <c r="I81" s="55">
        <f t="shared" si="15"/>
        <v>6784558.5969233755</v>
      </c>
      <c r="J81" s="55">
        <f t="shared" si="1"/>
        <v>71237.865267695277</v>
      </c>
      <c r="K81" s="58">
        <f t="shared" si="2"/>
        <v>-997330.11374773097</v>
      </c>
      <c r="L81" s="55">
        <f t="shared" si="16"/>
        <v>-1424757.3053539032</v>
      </c>
      <c r="M81" s="55">
        <f t="shared" si="12"/>
        <v>5359801.2915694723</v>
      </c>
      <c r="N81" s="56">
        <f t="shared" si="10"/>
        <v>3751860.9040986318</v>
      </c>
    </row>
    <row r="82" spans="1:14" x14ac:dyDescent="0.2">
      <c r="A82" s="53">
        <v>46295</v>
      </c>
      <c r="B82" s="26" t="s">
        <v>148</v>
      </c>
      <c r="D82" s="55">
        <f t="shared" si="3"/>
        <v>16282940.632616065</v>
      </c>
      <c r="E82" s="55">
        <f t="shared" si="17"/>
        <v>16282940.632616071</v>
      </c>
      <c r="F82" s="109">
        <f t="shared" si="18"/>
        <v>339227.92984616803</v>
      </c>
      <c r="G82" s="55">
        <f t="shared" si="13"/>
        <v>-11872977.54461587</v>
      </c>
      <c r="H82" s="55">
        <f t="shared" si="14"/>
        <v>-9837609.9655388631</v>
      </c>
      <c r="I82" s="55">
        <f t="shared" si="15"/>
        <v>6445330.6670772079</v>
      </c>
      <c r="J82" s="55">
        <f t="shared" si="1"/>
        <v>71237.865267695277</v>
      </c>
      <c r="K82" s="58">
        <f t="shared" si="2"/>
        <v>-926092.24848003569</v>
      </c>
      <c r="L82" s="55">
        <f t="shared" si="16"/>
        <v>-1353519.4400862078</v>
      </c>
      <c r="M82" s="55">
        <f t="shared" si="12"/>
        <v>5091811.2269909997</v>
      </c>
      <c r="N82" s="56">
        <f t="shared" si="10"/>
        <v>3483870.8395201592</v>
      </c>
    </row>
    <row r="83" spans="1:14" ht="13.5" thickBot="1" x14ac:dyDescent="0.25">
      <c r="A83" s="53">
        <v>46326</v>
      </c>
      <c r="B83" s="26" t="s">
        <v>148</v>
      </c>
      <c r="D83" s="55">
        <f t="shared" si="3"/>
        <v>16282940.632616065</v>
      </c>
      <c r="E83" s="55">
        <f t="shared" si="17"/>
        <v>16282940.632616071</v>
      </c>
      <c r="F83" s="109">
        <f t="shared" si="18"/>
        <v>339227.92984616803</v>
      </c>
      <c r="G83" s="55">
        <f t="shared" si="13"/>
        <v>-12212205.474462038</v>
      </c>
      <c r="H83" s="55">
        <f t="shared" si="14"/>
        <v>-10176837.895385031</v>
      </c>
      <c r="I83" s="55">
        <f t="shared" si="15"/>
        <v>6106102.7372310404</v>
      </c>
      <c r="J83" s="55">
        <f t="shared" si="1"/>
        <v>71237.865267695277</v>
      </c>
      <c r="K83" s="58">
        <f t="shared" si="2"/>
        <v>-854854.38321234041</v>
      </c>
      <c r="L83" s="55">
        <f t="shared" si="16"/>
        <v>-1282281.5748185122</v>
      </c>
      <c r="M83" s="55">
        <f t="shared" si="12"/>
        <v>4823821.1624125279</v>
      </c>
      <c r="N83" s="56">
        <f t="shared" si="10"/>
        <v>3215880.774941687</v>
      </c>
    </row>
    <row r="84" spans="1:14" x14ac:dyDescent="0.2">
      <c r="A84" s="120">
        <v>46356</v>
      </c>
      <c r="B84" s="127" t="s">
        <v>149</v>
      </c>
      <c r="C84" s="127"/>
      <c r="D84" s="122">
        <f t="shared" si="3"/>
        <v>16282940.632616065</v>
      </c>
      <c r="E84" s="122">
        <f t="shared" si="17"/>
        <v>16282940.632616071</v>
      </c>
      <c r="F84" s="133">
        <f t="shared" si="18"/>
        <v>339227.92984616803</v>
      </c>
      <c r="G84" s="122">
        <f t="shared" si="13"/>
        <v>-12551433.404308205</v>
      </c>
      <c r="H84" s="122">
        <f t="shared" si="14"/>
        <v>-10516065.825231198</v>
      </c>
      <c r="I84" s="122">
        <f t="shared" si="15"/>
        <v>5766874.8073848728</v>
      </c>
      <c r="J84" s="122">
        <f t="shared" si="1"/>
        <v>71237.865267695277</v>
      </c>
      <c r="K84" s="124">
        <f t="shared" si="2"/>
        <v>-783616.51794464514</v>
      </c>
      <c r="L84" s="122">
        <f t="shared" si="16"/>
        <v>-1211043.709550817</v>
      </c>
      <c r="M84" s="122">
        <f t="shared" si="12"/>
        <v>4555831.0978340562</v>
      </c>
      <c r="N84" s="126">
        <f t="shared" si="10"/>
        <v>2947890.7103632148</v>
      </c>
    </row>
    <row r="85" spans="1:14" x14ac:dyDescent="0.2">
      <c r="A85" s="53">
        <v>46387</v>
      </c>
      <c r="B85" s="26" t="s">
        <v>149</v>
      </c>
      <c r="D85" s="55">
        <f t="shared" si="3"/>
        <v>16282940.632616065</v>
      </c>
      <c r="E85" s="55">
        <f t="shared" si="17"/>
        <v>16282940.632616071</v>
      </c>
      <c r="F85" s="109">
        <f t="shared" si="18"/>
        <v>339227.92984616803</v>
      </c>
      <c r="G85" s="55">
        <f t="shared" si="13"/>
        <v>-12890661.334154373</v>
      </c>
      <c r="H85" s="55">
        <f t="shared" si="14"/>
        <v>-10855293.755077366</v>
      </c>
      <c r="I85" s="55">
        <f t="shared" si="15"/>
        <v>5427646.8775387052</v>
      </c>
      <c r="J85" s="55">
        <f t="shared" si="1"/>
        <v>71237.865267695277</v>
      </c>
      <c r="K85" s="58">
        <f t="shared" si="2"/>
        <v>-712378.65267694986</v>
      </c>
      <c r="L85" s="55">
        <f t="shared" si="16"/>
        <v>-1139805.8442831219</v>
      </c>
      <c r="M85" s="55">
        <f t="shared" si="12"/>
        <v>4287841.0332555836</v>
      </c>
      <c r="N85" s="56">
        <f t="shared" si="10"/>
        <v>2679900.6457847427</v>
      </c>
    </row>
    <row r="86" spans="1:14" x14ac:dyDescent="0.2">
      <c r="A86" s="53">
        <v>46418</v>
      </c>
      <c r="B86" s="26" t="s">
        <v>149</v>
      </c>
      <c r="D86" s="55">
        <f t="shared" si="3"/>
        <v>16282940.632616065</v>
      </c>
      <c r="E86" s="55">
        <f t="shared" si="17"/>
        <v>16282940.632616071</v>
      </c>
      <c r="F86" s="109">
        <f t="shared" si="18"/>
        <v>339227.92984616803</v>
      </c>
      <c r="G86" s="55">
        <f t="shared" si="13"/>
        <v>-13229889.264000541</v>
      </c>
      <c r="H86" s="55">
        <f t="shared" si="14"/>
        <v>-11194521.684923535</v>
      </c>
      <c r="I86" s="55">
        <f t="shared" si="15"/>
        <v>5088418.9476925358</v>
      </c>
      <c r="J86" s="55">
        <f t="shared" si="1"/>
        <v>71237.865267695277</v>
      </c>
      <c r="K86" s="58">
        <f t="shared" si="2"/>
        <v>-641140.78740925458</v>
      </c>
      <c r="L86" s="55">
        <f t="shared" si="16"/>
        <v>-1068567.9790154265</v>
      </c>
      <c r="M86" s="55">
        <f t="shared" si="12"/>
        <v>4019850.9686771091</v>
      </c>
      <c r="N86" s="56">
        <f t="shared" si="10"/>
        <v>2411910.5812062705</v>
      </c>
    </row>
    <row r="87" spans="1:14" x14ac:dyDescent="0.2">
      <c r="A87" s="53">
        <v>46446</v>
      </c>
      <c r="B87" s="26" t="s">
        <v>149</v>
      </c>
      <c r="D87" s="55">
        <f t="shared" si="3"/>
        <v>16282940.632616065</v>
      </c>
      <c r="E87" s="55">
        <f t="shared" si="17"/>
        <v>16282940.632616071</v>
      </c>
      <c r="F87" s="109">
        <f t="shared" si="18"/>
        <v>339227.92984616803</v>
      </c>
      <c r="G87" s="55">
        <f t="shared" si="13"/>
        <v>-13569117.193846708</v>
      </c>
      <c r="H87" s="55">
        <f t="shared" si="14"/>
        <v>-11533749.614769703</v>
      </c>
      <c r="I87" s="55">
        <f t="shared" si="15"/>
        <v>4749191.0178463683</v>
      </c>
      <c r="J87" s="55">
        <f t="shared" si="1"/>
        <v>71237.865267695277</v>
      </c>
      <c r="K87" s="58">
        <f t="shared" si="2"/>
        <v>-569902.92214155931</v>
      </c>
      <c r="L87" s="55">
        <f t="shared" si="16"/>
        <v>-997330.11374773097</v>
      </c>
      <c r="M87" s="55">
        <f t="shared" si="12"/>
        <v>3751860.9040986374</v>
      </c>
      <c r="N87" s="56">
        <f t="shared" si="10"/>
        <v>2143920.5166277979</v>
      </c>
    </row>
    <row r="88" spans="1:14" x14ac:dyDescent="0.2">
      <c r="A88" s="53">
        <v>46477</v>
      </c>
      <c r="B88" s="26" t="s">
        <v>149</v>
      </c>
      <c r="D88" s="55">
        <f t="shared" si="3"/>
        <v>16282940.632616065</v>
      </c>
      <c r="E88" s="55">
        <f t="shared" si="17"/>
        <v>16282940.632616071</v>
      </c>
      <c r="F88" s="109">
        <f t="shared" si="18"/>
        <v>339227.92984616803</v>
      </c>
      <c r="G88" s="55">
        <f t="shared" si="13"/>
        <v>-13908345.123692876</v>
      </c>
      <c r="H88" s="55">
        <f t="shared" si="14"/>
        <v>-11872977.54461587</v>
      </c>
      <c r="I88" s="55">
        <f t="shared" si="15"/>
        <v>4409963.0880002007</v>
      </c>
      <c r="J88" s="55">
        <f t="shared" ref="J88:J96" si="19">(-C88*0.21)+(F88*0.21)</f>
        <v>71237.865267695277</v>
      </c>
      <c r="K88" s="58">
        <f t="shared" ref="K88:K96" si="20">K87+J88</f>
        <v>-498665.05687386403</v>
      </c>
      <c r="L88" s="55">
        <f t="shared" si="16"/>
        <v>-926092.24848003592</v>
      </c>
      <c r="M88" s="55">
        <f t="shared" si="12"/>
        <v>3483870.8395201648</v>
      </c>
      <c r="N88" s="56">
        <f t="shared" si="10"/>
        <v>1875930.4520493257</v>
      </c>
    </row>
    <row r="89" spans="1:14" x14ac:dyDescent="0.2">
      <c r="A89" s="53">
        <v>46507</v>
      </c>
      <c r="B89" s="26" t="s">
        <v>149</v>
      </c>
      <c r="D89" s="55">
        <f t="shared" ref="D89:D96" si="21">D88+C89</f>
        <v>16282940.632616065</v>
      </c>
      <c r="E89" s="55">
        <f t="shared" si="17"/>
        <v>16282940.632616071</v>
      </c>
      <c r="F89" s="109">
        <f t="shared" si="18"/>
        <v>339227.92984616803</v>
      </c>
      <c r="G89" s="55">
        <f t="shared" si="13"/>
        <v>-14247573.053539043</v>
      </c>
      <c r="H89" s="55">
        <f t="shared" si="14"/>
        <v>-12212205.474462034</v>
      </c>
      <c r="I89" s="55">
        <f t="shared" si="15"/>
        <v>4070735.1581540368</v>
      </c>
      <c r="J89" s="55">
        <f t="shared" si="19"/>
        <v>71237.865267695277</v>
      </c>
      <c r="K89" s="58">
        <f t="shared" si="20"/>
        <v>-427427.19160616875</v>
      </c>
      <c r="L89" s="55">
        <f t="shared" si="16"/>
        <v>-854854.38321234041</v>
      </c>
      <c r="M89" s="55">
        <f t="shared" si="12"/>
        <v>3215880.7749416963</v>
      </c>
      <c r="N89" s="56">
        <f t="shared" si="10"/>
        <v>1607940.3874708535</v>
      </c>
    </row>
    <row r="90" spans="1:14" x14ac:dyDescent="0.2">
      <c r="A90" s="53">
        <v>46538</v>
      </c>
      <c r="B90" s="26" t="s">
        <v>149</v>
      </c>
      <c r="D90" s="55">
        <f t="shared" si="21"/>
        <v>16282940.632616065</v>
      </c>
      <c r="E90" s="55">
        <f t="shared" si="17"/>
        <v>16282940.632616071</v>
      </c>
      <c r="F90" s="109">
        <f t="shared" si="18"/>
        <v>339227.92984616803</v>
      </c>
      <c r="G90" s="55">
        <f t="shared" si="13"/>
        <v>-14586800.983385211</v>
      </c>
      <c r="H90" s="55">
        <f t="shared" si="14"/>
        <v>-12551433.404308202</v>
      </c>
      <c r="I90" s="55">
        <f t="shared" si="15"/>
        <v>3731507.2283078693</v>
      </c>
      <c r="J90" s="55">
        <f t="shared" si="19"/>
        <v>71237.865267695277</v>
      </c>
      <c r="K90" s="58">
        <f t="shared" si="20"/>
        <v>-356189.32633847347</v>
      </c>
      <c r="L90" s="55">
        <f t="shared" si="16"/>
        <v>-783616.51794464514</v>
      </c>
      <c r="M90" s="55">
        <f t="shared" si="12"/>
        <v>2947890.7103632241</v>
      </c>
      <c r="N90" s="56">
        <f t="shared" si="10"/>
        <v>1339950.3228923811</v>
      </c>
    </row>
    <row r="91" spans="1:14" x14ac:dyDescent="0.2">
      <c r="A91" s="53">
        <v>46568</v>
      </c>
      <c r="B91" s="26" t="s">
        <v>149</v>
      </c>
      <c r="D91" s="55">
        <f t="shared" si="21"/>
        <v>16282940.632616065</v>
      </c>
      <c r="E91" s="55">
        <f t="shared" si="17"/>
        <v>16282940.632616071</v>
      </c>
      <c r="F91" s="109">
        <f t="shared" si="18"/>
        <v>339227.92984616803</v>
      </c>
      <c r="G91" s="55">
        <f t="shared" si="13"/>
        <v>-14926028.913231378</v>
      </c>
      <c r="H91" s="55">
        <f t="shared" si="14"/>
        <v>-12890661.334154369</v>
      </c>
      <c r="I91" s="55">
        <f t="shared" si="15"/>
        <v>3392279.2984617017</v>
      </c>
      <c r="J91" s="55">
        <f t="shared" si="19"/>
        <v>71237.865267695277</v>
      </c>
      <c r="K91" s="58">
        <f t="shared" si="20"/>
        <v>-284951.4610707782</v>
      </c>
      <c r="L91" s="55">
        <f t="shared" si="16"/>
        <v>-712378.65267694986</v>
      </c>
      <c r="M91" s="55">
        <f t="shared" si="12"/>
        <v>2679900.645784752</v>
      </c>
      <c r="N91" s="56">
        <f t="shared" si="10"/>
        <v>1071960.2583139087</v>
      </c>
    </row>
    <row r="92" spans="1:14" x14ac:dyDescent="0.2">
      <c r="A92" s="53">
        <v>46599</v>
      </c>
      <c r="B92" s="26" t="s">
        <v>149</v>
      </c>
      <c r="D92" s="55">
        <f t="shared" si="21"/>
        <v>16282940.632616065</v>
      </c>
      <c r="E92" s="55">
        <f t="shared" si="17"/>
        <v>16282940.632616071</v>
      </c>
      <c r="F92" s="109">
        <f t="shared" si="18"/>
        <v>339227.92984616803</v>
      </c>
      <c r="G92" s="55">
        <f t="shared" si="13"/>
        <v>-15265256.843077546</v>
      </c>
      <c r="H92" s="55">
        <f t="shared" si="14"/>
        <v>-13229889.264000537</v>
      </c>
      <c r="I92" s="55">
        <f t="shared" si="15"/>
        <v>3053051.3686155342</v>
      </c>
      <c r="J92" s="55">
        <f t="shared" si="19"/>
        <v>71237.865267695277</v>
      </c>
      <c r="K92" s="58">
        <f t="shared" si="20"/>
        <v>-213713.59580308292</v>
      </c>
      <c r="L92" s="55">
        <f t="shared" si="16"/>
        <v>-641140.78740925447</v>
      </c>
      <c r="M92" s="55">
        <f t="shared" si="12"/>
        <v>2411910.5812062798</v>
      </c>
      <c r="N92" s="56">
        <f t="shared" si="10"/>
        <v>803970.19373543654</v>
      </c>
    </row>
    <row r="93" spans="1:14" x14ac:dyDescent="0.2">
      <c r="A93" s="53">
        <v>46630</v>
      </c>
      <c r="B93" s="26" t="s">
        <v>149</v>
      </c>
      <c r="D93" s="55">
        <f t="shared" si="21"/>
        <v>16282940.632616065</v>
      </c>
      <c r="E93" s="55">
        <f t="shared" si="17"/>
        <v>16282940.632616071</v>
      </c>
      <c r="F93" s="109">
        <f t="shared" si="18"/>
        <v>339227.92984616803</v>
      </c>
      <c r="G93" s="55">
        <f t="shared" si="13"/>
        <v>-15604484.772923714</v>
      </c>
      <c r="H93" s="55">
        <f t="shared" si="14"/>
        <v>-13569117.193846704</v>
      </c>
      <c r="I93" s="55">
        <f t="shared" si="15"/>
        <v>2713823.4387693666</v>
      </c>
      <c r="J93" s="55">
        <f t="shared" si="19"/>
        <v>71237.865267695277</v>
      </c>
      <c r="K93" s="58">
        <f t="shared" si="20"/>
        <v>-142475.73053538764</v>
      </c>
      <c r="L93" s="55">
        <f t="shared" si="16"/>
        <v>-569902.92214155931</v>
      </c>
      <c r="M93" s="55">
        <f t="shared" si="12"/>
        <v>2143920.5166278072</v>
      </c>
      <c r="N93" s="56">
        <f t="shared" si="10"/>
        <v>535980.12915696425</v>
      </c>
    </row>
    <row r="94" spans="1:14" x14ac:dyDescent="0.2">
      <c r="A94" s="53">
        <v>46660</v>
      </c>
      <c r="B94" s="26" t="s">
        <v>149</v>
      </c>
      <c r="D94" s="55">
        <f t="shared" si="21"/>
        <v>16282940.632616065</v>
      </c>
      <c r="E94" s="55">
        <f t="shared" si="17"/>
        <v>16282940.632616071</v>
      </c>
      <c r="F94" s="109">
        <f t="shared" si="18"/>
        <v>339227.92984616803</v>
      </c>
      <c r="G94" s="55">
        <f t="shared" si="13"/>
        <v>-15943712.702769881</v>
      </c>
      <c r="H94" s="55">
        <f t="shared" si="14"/>
        <v>-13908345.123692872</v>
      </c>
      <c r="I94" s="55">
        <f t="shared" si="15"/>
        <v>2374595.508923199</v>
      </c>
      <c r="J94" s="55">
        <f t="shared" si="19"/>
        <v>71237.865267695277</v>
      </c>
      <c r="K94" s="58">
        <f t="shared" si="20"/>
        <v>-71237.865267692367</v>
      </c>
      <c r="L94" s="55">
        <f t="shared" si="16"/>
        <v>-498665.05687386403</v>
      </c>
      <c r="M94" s="55">
        <f t="shared" si="12"/>
        <v>1875930.452049335</v>
      </c>
      <c r="N94" s="56">
        <f t="shared" si="10"/>
        <v>267990.06457849196</v>
      </c>
    </row>
    <row r="95" spans="1:14" ht="13.5" thickBot="1" x14ac:dyDescent="0.25">
      <c r="A95" s="53">
        <v>46691</v>
      </c>
      <c r="B95" s="26" t="s">
        <v>149</v>
      </c>
      <c r="D95" s="55">
        <f t="shared" si="21"/>
        <v>16282940.632616065</v>
      </c>
      <c r="E95" s="55">
        <f t="shared" si="17"/>
        <v>16282940.632616071</v>
      </c>
      <c r="F95" s="109">
        <f t="shared" si="18"/>
        <v>339227.92984616803</v>
      </c>
      <c r="G95" s="55">
        <f t="shared" si="13"/>
        <v>-16282940.632616049</v>
      </c>
      <c r="H95" s="55">
        <f t="shared" si="14"/>
        <v>-14247573.05353904</v>
      </c>
      <c r="I95" s="55">
        <f t="shared" si="15"/>
        <v>2035367.5790770315</v>
      </c>
      <c r="J95" s="55">
        <f t="shared" si="19"/>
        <v>71237.865267695277</v>
      </c>
      <c r="K95" s="58">
        <f t="shared" si="20"/>
        <v>2.9103830456733704E-9</v>
      </c>
      <c r="L95" s="55">
        <f t="shared" si="16"/>
        <v>-427427.19160616869</v>
      </c>
      <c r="M95" s="55">
        <f t="shared" si="12"/>
        <v>1607940.3874708628</v>
      </c>
      <c r="N95" s="56">
        <f t="shared" si="10"/>
        <v>1.9674189388751984E-8</v>
      </c>
    </row>
    <row r="96" spans="1:14" x14ac:dyDescent="0.2">
      <c r="A96" s="120">
        <v>46721</v>
      </c>
      <c r="B96" s="127" t="s">
        <v>150</v>
      </c>
      <c r="C96" s="127"/>
      <c r="D96" s="122">
        <f t="shared" si="21"/>
        <v>16282940.632616065</v>
      </c>
      <c r="E96" s="122">
        <f t="shared" si="17"/>
        <v>16282940.632616071</v>
      </c>
      <c r="F96" s="151"/>
      <c r="G96" s="122">
        <f t="shared" si="13"/>
        <v>-16282940.632616049</v>
      </c>
      <c r="H96" s="122">
        <f t="shared" si="14"/>
        <v>-14572666.486308284</v>
      </c>
      <c r="I96" s="122">
        <f t="shared" si="15"/>
        <v>1710274.1463077869</v>
      </c>
      <c r="J96" s="122">
        <f t="shared" si="19"/>
        <v>0</v>
      </c>
      <c r="K96" s="124">
        <f t="shared" si="20"/>
        <v>2.9103830456733704E-9</v>
      </c>
      <c r="L96" s="122">
        <f t="shared" si="16"/>
        <v>-359157.57072462741</v>
      </c>
      <c r="M96" s="122">
        <f t="shared" si="12"/>
        <v>1351116.5755831595</v>
      </c>
      <c r="N96" s="126">
        <f t="shared" si="10"/>
        <v>1.9674189388751984E-8</v>
      </c>
    </row>
    <row r="97" spans="1:14" x14ac:dyDescent="0.2">
      <c r="A97" s="53">
        <v>46752</v>
      </c>
      <c r="B97" s="26" t="s">
        <v>150</v>
      </c>
      <c r="D97" s="55">
        <f t="shared" ref="D97:D106" si="22">D96+C97</f>
        <v>16282940.632616065</v>
      </c>
      <c r="E97" s="55">
        <f t="shared" ref="E97:E106" si="23">(D85+D97+SUM(D86:D96)*2)/24</f>
        <v>16282940.632616071</v>
      </c>
      <c r="F97" s="57"/>
      <c r="G97" s="55">
        <f t="shared" ref="G97:G106" si="24">G96-F97</f>
        <v>-16282940.632616049</v>
      </c>
      <c r="H97" s="55">
        <f t="shared" ref="H97:H106" si="25">(G85+G97+SUM(G86:G96)*2)/24</f>
        <v>-14869490.924923681</v>
      </c>
      <c r="I97" s="55">
        <f t="shared" ref="I97:I106" si="26">E97+H97</f>
        <v>1413449.7076923903</v>
      </c>
      <c r="J97" s="55">
        <f t="shared" ref="J97:J106" si="27">(-C97*0.21)+(F97*0.21)</f>
        <v>0</v>
      </c>
      <c r="K97" s="58">
        <f t="shared" ref="K97:K106" si="28">K96+J97</f>
        <v>2.9103830456733704E-9</v>
      </c>
      <c r="L97" s="55">
        <f t="shared" ref="L97:L106" si="29">(K85+K97+SUM(K86:K96)*2)/24</f>
        <v>-296824.43861539406</v>
      </c>
      <c r="M97" s="55">
        <f t="shared" ref="M97:M106" si="30">L97+I97</f>
        <v>1116625.2690769963</v>
      </c>
      <c r="N97" s="56">
        <f t="shared" ref="N97:N106" si="31">+D97+G97+K97</f>
        <v>1.9674189388751984E-8</v>
      </c>
    </row>
    <row r="98" spans="1:14" x14ac:dyDescent="0.2">
      <c r="A98" s="53">
        <v>46783</v>
      </c>
      <c r="B98" s="26" t="s">
        <v>150</v>
      </c>
      <c r="D98" s="55">
        <f t="shared" si="22"/>
        <v>16282940.632616065</v>
      </c>
      <c r="E98" s="55">
        <f t="shared" si="23"/>
        <v>16282940.632616071</v>
      </c>
      <c r="F98" s="57"/>
      <c r="G98" s="55">
        <f t="shared" si="24"/>
        <v>-16282940.632616049</v>
      </c>
      <c r="H98" s="55">
        <f t="shared" si="25"/>
        <v>-15138046.369385229</v>
      </c>
      <c r="I98" s="55">
        <f t="shared" si="26"/>
        <v>1144894.2632308416</v>
      </c>
      <c r="J98" s="55">
        <f t="shared" si="27"/>
        <v>0</v>
      </c>
      <c r="K98" s="58">
        <f t="shared" si="28"/>
        <v>2.9103830456733704E-9</v>
      </c>
      <c r="L98" s="55">
        <f t="shared" si="29"/>
        <v>-240427.79527846863</v>
      </c>
      <c r="M98" s="55">
        <f t="shared" si="30"/>
        <v>904466.46795237297</v>
      </c>
      <c r="N98" s="56">
        <f t="shared" si="31"/>
        <v>1.9674189388751984E-8</v>
      </c>
    </row>
    <row r="99" spans="1:14" x14ac:dyDescent="0.2">
      <c r="A99" s="53">
        <v>46812</v>
      </c>
      <c r="B99" s="26" t="s">
        <v>150</v>
      </c>
      <c r="D99" s="55">
        <f t="shared" si="22"/>
        <v>16282940.632616065</v>
      </c>
      <c r="E99" s="55">
        <f t="shared" si="23"/>
        <v>16282940.632616071</v>
      </c>
      <c r="F99" s="57"/>
      <c r="G99" s="55">
        <f t="shared" si="24"/>
        <v>-16282940.632616049</v>
      </c>
      <c r="H99" s="55">
        <f t="shared" si="25"/>
        <v>-15378332.819692932</v>
      </c>
      <c r="I99" s="55">
        <f t="shared" si="26"/>
        <v>904607.81292313896</v>
      </c>
      <c r="J99" s="55">
        <f t="shared" si="27"/>
        <v>0</v>
      </c>
      <c r="K99" s="58">
        <f t="shared" si="28"/>
        <v>2.9103830456733704E-9</v>
      </c>
      <c r="L99" s="55">
        <f t="shared" si="29"/>
        <v>-189967.6407138512</v>
      </c>
      <c r="M99" s="55">
        <f t="shared" si="30"/>
        <v>714640.17220928776</v>
      </c>
      <c r="N99" s="56">
        <f t="shared" si="31"/>
        <v>1.9674189388751984E-8</v>
      </c>
    </row>
    <row r="100" spans="1:14" x14ac:dyDescent="0.2">
      <c r="A100" s="53">
        <v>46843</v>
      </c>
      <c r="B100" s="26" t="s">
        <v>150</v>
      </c>
      <c r="D100" s="55">
        <f t="shared" si="22"/>
        <v>16282940.632616065</v>
      </c>
      <c r="E100" s="55">
        <f t="shared" si="23"/>
        <v>16282940.632616071</v>
      </c>
      <c r="F100" s="57"/>
      <c r="G100" s="55">
        <f t="shared" si="24"/>
        <v>-16282940.632616049</v>
      </c>
      <c r="H100" s="55">
        <f t="shared" si="25"/>
        <v>-15590350.275846787</v>
      </c>
      <c r="I100" s="55">
        <f t="shared" si="26"/>
        <v>692590.35676928423</v>
      </c>
      <c r="J100" s="55">
        <f t="shared" si="27"/>
        <v>0</v>
      </c>
      <c r="K100" s="58">
        <f t="shared" si="28"/>
        <v>2.9103830456733704E-9</v>
      </c>
      <c r="L100" s="55">
        <f t="shared" si="29"/>
        <v>-145443.97492154167</v>
      </c>
      <c r="M100" s="55">
        <f t="shared" si="30"/>
        <v>547146.3818477426</v>
      </c>
      <c r="N100" s="56">
        <f t="shared" si="31"/>
        <v>1.9674189388751984E-8</v>
      </c>
    </row>
    <row r="101" spans="1:14" x14ac:dyDescent="0.2">
      <c r="A101" s="53">
        <v>46873</v>
      </c>
      <c r="B101" s="26" t="s">
        <v>150</v>
      </c>
      <c r="D101" s="55">
        <f t="shared" si="22"/>
        <v>16282940.632616065</v>
      </c>
      <c r="E101" s="55">
        <f t="shared" si="23"/>
        <v>16282940.632616071</v>
      </c>
      <c r="F101" s="57"/>
      <c r="G101" s="55">
        <f t="shared" si="24"/>
        <v>-16282940.632616049</v>
      </c>
      <c r="H101" s="55">
        <f t="shared" si="25"/>
        <v>-15774098.737846794</v>
      </c>
      <c r="I101" s="55">
        <f t="shared" si="26"/>
        <v>508841.89476927742</v>
      </c>
      <c r="J101" s="55">
        <f t="shared" si="27"/>
        <v>0</v>
      </c>
      <c r="K101" s="58">
        <f t="shared" si="28"/>
        <v>2.9103830456733704E-9</v>
      </c>
      <c r="L101" s="55">
        <f t="shared" si="29"/>
        <v>-106856.79790154006</v>
      </c>
      <c r="M101" s="55">
        <f t="shared" si="30"/>
        <v>401985.09686773736</v>
      </c>
      <c r="N101" s="56">
        <f t="shared" si="31"/>
        <v>1.9674189388751984E-8</v>
      </c>
    </row>
    <row r="102" spans="1:14" x14ac:dyDescent="0.2">
      <c r="A102" s="53">
        <v>46904</v>
      </c>
      <c r="B102" s="26" t="s">
        <v>150</v>
      </c>
      <c r="D102" s="55">
        <f t="shared" si="22"/>
        <v>16282940.632616065</v>
      </c>
      <c r="E102" s="55">
        <f t="shared" si="23"/>
        <v>16282940.632616071</v>
      </c>
      <c r="F102" s="57"/>
      <c r="G102" s="55">
        <f t="shared" si="24"/>
        <v>-16282940.632616049</v>
      </c>
      <c r="H102" s="55">
        <f t="shared" si="25"/>
        <v>-15929578.205692954</v>
      </c>
      <c r="I102" s="55">
        <f t="shared" si="26"/>
        <v>353362.42692311667</v>
      </c>
      <c r="J102" s="55">
        <f t="shared" si="27"/>
        <v>0</v>
      </c>
      <c r="K102" s="58">
        <f t="shared" si="28"/>
        <v>2.9103830456733704E-9</v>
      </c>
      <c r="L102" s="55">
        <f t="shared" si="29"/>
        <v>-74206.109653846346</v>
      </c>
      <c r="M102" s="55">
        <f t="shared" si="30"/>
        <v>279156.31726927031</v>
      </c>
      <c r="N102" s="56">
        <f t="shared" si="31"/>
        <v>1.9674189388751984E-8</v>
      </c>
    </row>
    <row r="103" spans="1:14" x14ac:dyDescent="0.2">
      <c r="A103" s="53">
        <v>46934</v>
      </c>
      <c r="B103" s="26" t="s">
        <v>150</v>
      </c>
      <c r="D103" s="55">
        <f t="shared" si="22"/>
        <v>16282940.632616065</v>
      </c>
      <c r="E103" s="55">
        <f t="shared" si="23"/>
        <v>16282940.632616071</v>
      </c>
      <c r="F103" s="57"/>
      <c r="G103" s="55">
        <f t="shared" si="24"/>
        <v>-16282940.632616049</v>
      </c>
      <c r="H103" s="55">
        <f t="shared" si="25"/>
        <v>-16056788.679385267</v>
      </c>
      <c r="I103" s="55">
        <f t="shared" si="26"/>
        <v>226151.95323080383</v>
      </c>
      <c r="J103" s="55">
        <f t="shared" si="27"/>
        <v>0</v>
      </c>
      <c r="K103" s="58">
        <f t="shared" si="28"/>
        <v>2.9103830456733704E-9</v>
      </c>
      <c r="L103" s="55">
        <f t="shared" si="29"/>
        <v>-47491.91017846061</v>
      </c>
      <c r="M103" s="55">
        <f t="shared" si="30"/>
        <v>178660.04305234322</v>
      </c>
      <c r="N103" s="56">
        <f t="shared" si="31"/>
        <v>1.9674189388751984E-8</v>
      </c>
    </row>
    <row r="104" spans="1:14" x14ac:dyDescent="0.2">
      <c r="A104" s="53">
        <v>46965</v>
      </c>
      <c r="B104" s="26" t="s">
        <v>150</v>
      </c>
      <c r="D104" s="55">
        <f t="shared" si="22"/>
        <v>16282940.632616065</v>
      </c>
      <c r="E104" s="55">
        <f t="shared" si="23"/>
        <v>16282940.632616071</v>
      </c>
      <c r="F104" s="57"/>
      <c r="G104" s="55">
        <f t="shared" si="24"/>
        <v>-16282940.632616049</v>
      </c>
      <c r="H104" s="55">
        <f t="shared" si="25"/>
        <v>-16155730.158923732</v>
      </c>
      <c r="I104" s="55">
        <f t="shared" si="26"/>
        <v>127210.47369233891</v>
      </c>
      <c r="J104" s="55">
        <f t="shared" si="27"/>
        <v>0</v>
      </c>
      <c r="K104" s="58">
        <f t="shared" si="28"/>
        <v>2.9103830456733704E-9</v>
      </c>
      <c r="L104" s="55">
        <f t="shared" si="29"/>
        <v>-26714.199475382818</v>
      </c>
      <c r="M104" s="55">
        <f t="shared" si="30"/>
        <v>100496.2742169561</v>
      </c>
      <c r="N104" s="56">
        <f t="shared" si="31"/>
        <v>1.9674189388751984E-8</v>
      </c>
    </row>
    <row r="105" spans="1:14" x14ac:dyDescent="0.2">
      <c r="A105" s="53">
        <v>46996</v>
      </c>
      <c r="B105" s="26" t="s">
        <v>150</v>
      </c>
      <c r="D105" s="55">
        <f t="shared" si="22"/>
        <v>16282940.632616065</v>
      </c>
      <c r="E105" s="55">
        <f t="shared" si="23"/>
        <v>16282940.632616071</v>
      </c>
      <c r="F105" s="57"/>
      <c r="G105" s="55">
        <f t="shared" si="24"/>
        <v>-16282940.632616049</v>
      </c>
      <c r="H105" s="55">
        <f t="shared" si="25"/>
        <v>-16226402.644308351</v>
      </c>
      <c r="I105" s="55">
        <f t="shared" si="26"/>
        <v>56537.98830772005</v>
      </c>
      <c r="J105" s="55">
        <f t="shared" si="27"/>
        <v>0</v>
      </c>
      <c r="K105" s="58">
        <f t="shared" si="28"/>
        <v>2.9103830456733704E-9</v>
      </c>
      <c r="L105" s="55">
        <f t="shared" si="29"/>
        <v>-11872.97754461297</v>
      </c>
      <c r="M105" s="55">
        <f t="shared" si="30"/>
        <v>44665.010763107079</v>
      </c>
      <c r="N105" s="56">
        <f t="shared" si="31"/>
        <v>1.9674189388751984E-8</v>
      </c>
    </row>
    <row r="106" spans="1:14" x14ac:dyDescent="0.2">
      <c r="A106" s="53">
        <v>47026</v>
      </c>
      <c r="B106" s="26" t="s">
        <v>150</v>
      </c>
      <c r="D106" s="55">
        <f t="shared" si="22"/>
        <v>16282940.632616065</v>
      </c>
      <c r="E106" s="55">
        <f t="shared" si="23"/>
        <v>16282940.632616071</v>
      </c>
      <c r="F106" s="57"/>
      <c r="G106" s="55">
        <f t="shared" si="24"/>
        <v>-16282940.632616049</v>
      </c>
      <c r="H106" s="55">
        <f t="shared" si="25"/>
        <v>-16268806.135539122</v>
      </c>
      <c r="I106" s="55">
        <f t="shared" si="26"/>
        <v>14134.497076949105</v>
      </c>
      <c r="J106" s="55">
        <f t="shared" si="27"/>
        <v>0</v>
      </c>
      <c r="K106" s="58">
        <f t="shared" si="28"/>
        <v>2.9103830456733704E-9</v>
      </c>
      <c r="L106" s="55">
        <f t="shared" si="29"/>
        <v>-2968.2443861510596</v>
      </c>
      <c r="M106" s="55">
        <f t="shared" si="30"/>
        <v>11166.252690798045</v>
      </c>
      <c r="N106" s="56">
        <f t="shared" si="31"/>
        <v>1.9674189388751984E-8</v>
      </c>
    </row>
    <row r="107" spans="1:14" x14ac:dyDescent="0.2">
      <c r="A107" s="60">
        <v>47057</v>
      </c>
      <c r="B107" s="61" t="s">
        <v>150</v>
      </c>
      <c r="C107" s="61"/>
      <c r="D107" s="62">
        <f t="shared" ref="D107" si="32">D106+C107</f>
        <v>16282940.632616065</v>
      </c>
      <c r="E107" s="62">
        <f t="shared" ref="E107" si="33">(D95+D107+SUM(D96:D106)*2)/24</f>
        <v>16282940.632616071</v>
      </c>
      <c r="F107" s="65"/>
      <c r="G107" s="62">
        <f t="shared" ref="G107" si="34">G106-F107</f>
        <v>-16282940.632616049</v>
      </c>
      <c r="H107" s="62">
        <f t="shared" ref="H107" si="35">(G95+G107+SUM(G96:G106)*2)/24</f>
        <v>-16282940.632616045</v>
      </c>
      <c r="I107" s="62">
        <f t="shared" ref="I107" si="36">E107+H107</f>
        <v>2.6077032089233398E-8</v>
      </c>
      <c r="J107" s="62">
        <f t="shared" ref="J107" si="37">(-C107*0.21)+(F107*0.21)</f>
        <v>0</v>
      </c>
      <c r="K107" s="63">
        <f t="shared" ref="K107" si="38">K106+J107</f>
        <v>2.9103830456733704E-9</v>
      </c>
      <c r="L107" s="62">
        <f t="shared" ref="L107" si="39">(K95+K107+SUM(K96:K106)*2)/24</f>
        <v>2.9103830456733704E-9</v>
      </c>
      <c r="M107" s="62">
        <f t="shared" ref="M107" si="40">L107+I107</f>
        <v>2.8987415134906769E-8</v>
      </c>
      <c r="N107" s="64">
        <f t="shared" ref="N107" si="41">+D107+G107+K107</f>
        <v>1.9674189388751984E-8</v>
      </c>
    </row>
    <row r="108" spans="1:14" x14ac:dyDescent="0.2">
      <c r="A108" s="134"/>
      <c r="B108" s="33"/>
      <c r="C108" s="33"/>
      <c r="D108" s="135"/>
      <c r="E108" s="135"/>
      <c r="F108" s="150"/>
      <c r="G108" s="135"/>
      <c r="H108" s="135"/>
      <c r="I108" s="135"/>
      <c r="J108" s="135"/>
      <c r="K108" s="137"/>
      <c r="L108" s="135"/>
      <c r="M108" s="135"/>
      <c r="N108" s="135"/>
    </row>
    <row r="109" spans="1:14" x14ac:dyDescent="0.2">
      <c r="A109" s="53"/>
      <c r="D109" s="55"/>
      <c r="E109" s="55"/>
      <c r="F109" s="57"/>
      <c r="G109" s="55"/>
      <c r="H109" s="55"/>
      <c r="I109" s="55"/>
      <c r="J109" s="55"/>
      <c r="K109" s="58"/>
      <c r="L109" s="55"/>
      <c r="M109" s="55"/>
      <c r="N109" s="55"/>
    </row>
    <row r="111" spans="1:14" x14ac:dyDescent="0.2">
      <c r="A111" s="26" t="s">
        <v>138</v>
      </c>
      <c r="F111" s="116">
        <f>SUM(F48:F59)</f>
        <v>4070735.1581540164</v>
      </c>
    </row>
  </sheetData>
  <printOptions horizontalCentered="1"/>
  <pageMargins left="0.2" right="0.2" top="0.5" bottom="0.5" header="0.3" footer="0.3"/>
  <pageSetup scale="68" firstPageNumber="8" fitToHeight="0" orientation="landscape" useFirstPageNumber="1" r:id="rId1"/>
  <headerFooter>
    <oddFooter>&amp;R&amp;"Times New Roman,Regular"Exh. SEF-3 page &amp;P of 16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2023-05-25T07:00:00+00:00</OpenedDate>
    <SignificantOrder xmlns="dc463f71-b30c-4ab2-9473-d307f9d35888">false</SignificantOrder>
    <Date1 xmlns="dc463f71-b30c-4ab2-9473-d307f9d35888">2023-09-08T18:07:56+00:00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230393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1A869FC564E24E898CF4C8794BB580" ma:contentTypeVersion="24" ma:contentTypeDescription="" ma:contentTypeScope="" ma:versionID="49cba3d21e268f439e5e06a001ee85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5565C4-976F-4652-A08E-4D285F2DE1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9944EC-F8BA-40A8-9350-39C46B41BB81}">
  <ds:schemaRefs>
    <ds:schemaRef ds:uri="http://schemas.microsoft.com/sharepoint/v3/field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33ad2d5e-fc6d-494c-9cdd-2bd12f852f32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CA10AAA-E440-4817-9521-292F6FD87A8A}"/>
</file>

<file path=customXml/itemProps4.xml><?xml version="1.0" encoding="utf-8"?>
<ds:datastoreItem xmlns:ds="http://schemas.openxmlformats.org/officeDocument/2006/customXml" ds:itemID="{2241AF52-EFEE-4E3F-9BC0-A166477E20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8</vt:i4>
      </vt:variant>
    </vt:vector>
  </HeadingPairs>
  <TitlesOfParts>
    <vt:vector size="24" baseType="lpstr">
      <vt:lpstr>Bonney Lake Calculation</vt:lpstr>
      <vt:lpstr>BAE-2 Staff vs PSE LNG RR</vt:lpstr>
      <vt:lpstr>Plant Additions</vt:lpstr>
      <vt:lpstr>Plant Additions (as filed)</vt:lpstr>
      <vt:lpstr>Gas Quality</vt:lpstr>
      <vt:lpstr>Deferrals ---&gt;</vt:lpstr>
      <vt:lpstr>Total Deferrals</vt:lpstr>
      <vt:lpstr>Total Deferrals (as-filed)</vt:lpstr>
      <vt:lpstr>LNG Return Deferral</vt:lpstr>
      <vt:lpstr>LNG Return Deferral (as-filed)</vt:lpstr>
      <vt:lpstr>LNG O&amp;M Deferral</vt:lpstr>
      <vt:lpstr>LNG Depreciation Deferral</vt:lpstr>
      <vt:lpstr>ROR</vt:lpstr>
      <vt:lpstr>O&amp;M</vt:lpstr>
      <vt:lpstr>Gas Conv Factor</vt:lpstr>
      <vt:lpstr>Summary  (as-filed)</vt:lpstr>
      <vt:lpstr>'Gas Conv Factor'!Print_Area</vt:lpstr>
      <vt:lpstr>ROR!Print_Area</vt:lpstr>
      <vt:lpstr>'Total Deferrals (as-filed)'!Print_Area</vt:lpstr>
      <vt:lpstr>'LNG Depreciation Deferral'!Print_Titles</vt:lpstr>
      <vt:lpstr>'LNG O&amp;M Deferral'!Print_Titles</vt:lpstr>
      <vt:lpstr>'LNG Return Deferral'!Print_Titles</vt:lpstr>
      <vt:lpstr>'LNG Return Deferral (as-filed)'!Print_Titles</vt:lpstr>
      <vt:lpstr>'O&amp;M'!Print_Titles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Oliver, Crystal (UTC)</cp:lastModifiedBy>
  <cp:lastPrinted>2023-08-31T21:55:38Z</cp:lastPrinted>
  <dcterms:created xsi:type="dcterms:W3CDTF">2022-08-17T20:22:00Z</dcterms:created>
  <dcterms:modified xsi:type="dcterms:W3CDTF">2023-09-07T17:57:32Z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0x0101006E56B4D1795A2E4DB2F0B01679ED314A00951A869FC564E24E898CF4C8794BB580</vt:lpwstr>
  </property>
  <property fmtid="{D5CDD505-2E9C-101B-9397-08002B2CF9AE}" pid="3" name="_docset_NoMedatataSyncRequired">
    <vt:lpwstr>False</vt:lpwstr>
  </property>
</Properties>
</file>