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ariel\Non-Confidential Workpapers\"/>
    </mc:Choice>
  </mc:AlternateContent>
  <xr:revisionPtr revIDLastSave="0" documentId="13_ncr:1_{95D3BBEA-6089-4125-AD53-3DD5ED91A6CF}" xr6:coauthVersionLast="47" xr6:coauthVersionMax="47" xr10:uidLastSave="{00000000-0000-0000-0000-000000000000}"/>
  <bookViews>
    <workbookView xWindow="-120" yWindow="480" windowWidth="19440" windowHeight="15000" tabRatio="716" autoFilterDateGrouping="0" xr2:uid="{00000000-000D-0000-FFFF-FFFF00000000}"/>
  </bookViews>
  <sheets>
    <sheet name="Summary" sheetId="4" r:id="rId1"/>
    <sheet name="Pro Forma Adj" sheetId="1" r:id="rId2"/>
    <sheet name="Interest Calc" sheetId="7" r:id="rId3"/>
    <sheet name="Variables" sheetId="3" r:id="rId4"/>
    <sheet name="Exhibit No. SLC-3 pg 1" sheetId="16" r:id="rId5"/>
    <sheet name="Exhibit No. SLC-3 pg 2 - 3" sheetId="15" r:id="rId6"/>
    <sheet name="Exhibit No. SLC-5 pg 3" sheetId="11" r:id="rId7"/>
    <sheet name="Tab 13" sheetId="17" r:id="rId8"/>
    <sheet name="Tab 14" sheetId="18" r:id="rId9"/>
    <sheet name="Tab 15" sheetId="19" r:id="rId10"/>
    <sheet name="Tab 16" sheetId="2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4">'Exhibit No. SLC-3 pg 1'!$A$1:$G$46</definedName>
    <definedName name="_xlnm.Print_Area" localSheetId="5">'Exhibit No. SLC-3 pg 2 - 3'!$A$1:$L$83</definedName>
    <definedName name="_xlnm.Print_Area" localSheetId="6">'Exhibit No. SLC-5 pg 3'!$A$1:$G$80</definedName>
    <definedName name="_xlnm.Print_Area" localSheetId="1">'Pro Forma Adj'!$A$7:$W$87</definedName>
    <definedName name="_xlnm.Print_Area" localSheetId="0">Summary!$A$1:$N$84</definedName>
    <definedName name="_xlnm.Print_Area" localSheetId="7">'Tab 13'!$A$7:$E$86</definedName>
    <definedName name="_xlnm.Print_Area" localSheetId="8">'Tab 14'!$A$7:$L$86</definedName>
    <definedName name="_xlnm.Print_Area" localSheetId="9">'Tab 15'!$A$7:$H$86</definedName>
    <definedName name="_xlnm.Print_Area" localSheetId="10">'Tab 16'!$A$7:$D$86</definedName>
    <definedName name="_xlnm.Print_Area" localSheetId="3">Variables!$A$1:$H$34</definedName>
    <definedName name="_xlnm.Print_Titles" localSheetId="5">'Exhibit No. SLC-3 pg 2 - 3'!$A:$B,'Exhibit No. SLC-3 pg 2 - 3'!$1:$4</definedName>
    <definedName name="_xlnm.Print_Titles" localSheetId="1">'Pro Forma Adj'!$A:$A</definedName>
    <definedName name="_xlnm.Print_Titles" localSheetId="7">'Tab 13'!$A:$A</definedName>
    <definedName name="_xlnm.Print_Titles" localSheetId="8">'Tab 14'!$A:$A</definedName>
    <definedName name="_xlnm.Print_Titles" localSheetId="9">'Tab 15'!$A:$A</definedName>
    <definedName name="_xlnm.Print_Titles" localSheetId="10">'Tab 16'!$A:$A</definedName>
    <definedName name="Restated_Op_revenue">Summary!$J$37</definedName>
    <definedName name="Restated_rate_base">Summary!$J$64</definedName>
    <definedName name="Restated_ROE">Summary!$J$67</definedName>
    <definedName name="Unadj_Op_revenue">Summary!$F$37</definedName>
    <definedName name="Unadj_rate_base">Summary!$F$64</definedName>
    <definedName name="Unadj_ROE">Summary!$F$67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C10" i="3"/>
  <c r="D9" i="3"/>
  <c r="C9" i="3"/>
  <c r="D8" i="3"/>
  <c r="C8" i="3"/>
  <c r="D24" i="3"/>
  <c r="D23" i="3"/>
  <c r="D22" i="3"/>
  <c r="D21" i="3"/>
  <c r="D20" i="3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W59" i="1"/>
  <c r="W45" i="1"/>
  <c r="V79" i="1"/>
  <c r="V59" i="1"/>
  <c r="V45" i="1"/>
  <c r="V35" i="1"/>
  <c r="V31" i="1"/>
  <c r="U59" i="1"/>
  <c r="U35" i="1"/>
  <c r="G33" i="19"/>
  <c r="T79" i="1"/>
  <c r="T78" i="1"/>
  <c r="T34" i="1"/>
  <c r="S78" i="1"/>
  <c r="S79" i="1"/>
  <c r="S59" i="1"/>
  <c r="S35" i="1"/>
  <c r="R63" i="1"/>
  <c r="R59" i="1"/>
  <c r="Q32" i="1"/>
  <c r="N57" i="1"/>
  <c r="N43" i="1"/>
  <c r="N30" i="1"/>
  <c r="N22" i="1"/>
  <c r="M79" i="1"/>
  <c r="M78" i="1"/>
  <c r="M59" i="1"/>
  <c r="M57" i="1"/>
  <c r="M43" i="1"/>
  <c r="M35" i="1"/>
  <c r="M30" i="1"/>
  <c r="L79" i="1"/>
  <c r="L78" i="1"/>
  <c r="L59" i="1"/>
  <c r="L57" i="1"/>
  <c r="L43" i="1"/>
  <c r="L35" i="1"/>
  <c r="L30" i="1"/>
  <c r="K59" i="1"/>
  <c r="K57" i="1"/>
  <c r="J59" i="1"/>
  <c r="J57" i="1"/>
  <c r="J43" i="1"/>
  <c r="I63" i="1"/>
  <c r="I59" i="1"/>
  <c r="H58" i="1"/>
  <c r="H57" i="1"/>
  <c r="G31" i="1"/>
  <c r="G30" i="1"/>
  <c r="F79" i="1"/>
  <c r="F78" i="1"/>
  <c r="F59" i="1"/>
  <c r="F43" i="1"/>
  <c r="F35" i="1"/>
  <c r="O57" i="1"/>
  <c r="O43" i="1"/>
  <c r="O30" i="1"/>
  <c r="E15" i="1"/>
  <c r="D28" i="1"/>
  <c r="D26" i="1"/>
  <c r="D25" i="1"/>
  <c r="D24" i="1"/>
  <c r="D23" i="1"/>
  <c r="D22" i="1"/>
  <c r="D21" i="1"/>
  <c r="D19" i="1"/>
  <c r="C15" i="1"/>
  <c r="D78" i="20" l="1"/>
  <c r="C78" i="20"/>
  <c r="D77" i="20"/>
  <c r="C77" i="20"/>
  <c r="D76" i="20"/>
  <c r="C76" i="20"/>
  <c r="B76" i="20" s="1"/>
  <c r="D75" i="20"/>
  <c r="C75" i="20"/>
  <c r="B75" i="20" s="1"/>
  <c r="D74" i="20"/>
  <c r="C74" i="20"/>
  <c r="D63" i="20"/>
  <c r="C63" i="20"/>
  <c r="D62" i="20"/>
  <c r="C62" i="20"/>
  <c r="D61" i="20"/>
  <c r="C61" i="20"/>
  <c r="B61" i="20" s="1"/>
  <c r="D60" i="20"/>
  <c r="C60" i="20"/>
  <c r="B60" i="20" s="1"/>
  <c r="D59" i="20"/>
  <c r="C59" i="20"/>
  <c r="D58" i="20"/>
  <c r="C58" i="20"/>
  <c r="D57" i="20"/>
  <c r="C57" i="20"/>
  <c r="D56" i="20"/>
  <c r="C56" i="20"/>
  <c r="B56" i="20" s="1"/>
  <c r="D52" i="20"/>
  <c r="C52" i="20"/>
  <c r="D51" i="20"/>
  <c r="C51" i="20"/>
  <c r="D50" i="20"/>
  <c r="C50" i="20"/>
  <c r="B50" i="20" s="1"/>
  <c r="D49" i="20"/>
  <c r="C49" i="20"/>
  <c r="B49" i="20" s="1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C53" i="20" s="1"/>
  <c r="D36" i="20"/>
  <c r="C36" i="20"/>
  <c r="D35" i="20"/>
  <c r="C35" i="20"/>
  <c r="D34" i="20"/>
  <c r="C34" i="20"/>
  <c r="B34" i="20" s="1"/>
  <c r="D31" i="20"/>
  <c r="C31" i="20"/>
  <c r="D30" i="20"/>
  <c r="C30" i="20"/>
  <c r="D29" i="20"/>
  <c r="C29" i="20"/>
  <c r="B29" i="20" s="1"/>
  <c r="D27" i="20"/>
  <c r="C27" i="20"/>
  <c r="D26" i="20"/>
  <c r="C26" i="20"/>
  <c r="D25" i="20"/>
  <c r="C25" i="20"/>
  <c r="B25" i="20" s="1"/>
  <c r="D24" i="20"/>
  <c r="C24" i="20"/>
  <c r="B24" i="20" s="1"/>
  <c r="D23" i="20"/>
  <c r="C23" i="20"/>
  <c r="D22" i="20"/>
  <c r="C22" i="20"/>
  <c r="D21" i="20"/>
  <c r="C21" i="20"/>
  <c r="B21" i="20" s="1"/>
  <c r="D20" i="20"/>
  <c r="D28" i="20" s="1"/>
  <c r="C20" i="20"/>
  <c r="C28" i="20" s="1"/>
  <c r="D19" i="20"/>
  <c r="C19" i="20"/>
  <c r="D18" i="20"/>
  <c r="C18" i="20"/>
  <c r="D14" i="20"/>
  <c r="C14" i="20"/>
  <c r="D13" i="20"/>
  <c r="C13" i="20"/>
  <c r="D12" i="20"/>
  <c r="C12" i="20"/>
  <c r="B12" i="20" s="1"/>
  <c r="D11" i="20"/>
  <c r="D15" i="20" s="1"/>
  <c r="C11" i="20"/>
  <c r="B11" i="20" s="1"/>
  <c r="D8" i="20"/>
  <c r="C8" i="20"/>
  <c r="D7" i="20"/>
  <c r="C7" i="20"/>
  <c r="H78" i="19"/>
  <c r="G78" i="19"/>
  <c r="F78" i="19"/>
  <c r="E78" i="19"/>
  <c r="D78" i="19"/>
  <c r="C78" i="19"/>
  <c r="H77" i="19"/>
  <c r="G77" i="19"/>
  <c r="F77" i="19"/>
  <c r="E77" i="19"/>
  <c r="D77" i="19"/>
  <c r="C77" i="19"/>
  <c r="H76" i="19"/>
  <c r="G76" i="19"/>
  <c r="F76" i="19"/>
  <c r="E76" i="19"/>
  <c r="D76" i="19"/>
  <c r="H75" i="19"/>
  <c r="G75" i="19"/>
  <c r="F75" i="19"/>
  <c r="E75" i="19"/>
  <c r="D75" i="19"/>
  <c r="C75" i="19"/>
  <c r="B75" i="19" s="1"/>
  <c r="H74" i="19"/>
  <c r="G74" i="19"/>
  <c r="F74" i="19"/>
  <c r="E74" i="19"/>
  <c r="D74" i="19"/>
  <c r="C74" i="19"/>
  <c r="H63" i="19"/>
  <c r="G63" i="19"/>
  <c r="F63" i="19"/>
  <c r="E63" i="19"/>
  <c r="D63" i="19"/>
  <c r="C63" i="19"/>
  <c r="H62" i="19"/>
  <c r="G62" i="19"/>
  <c r="F62" i="19"/>
  <c r="E62" i="19"/>
  <c r="D62" i="19"/>
  <c r="C62" i="19"/>
  <c r="H61" i="19"/>
  <c r="G61" i="19"/>
  <c r="F61" i="19"/>
  <c r="E61" i="19"/>
  <c r="D61" i="19"/>
  <c r="C61" i="19"/>
  <c r="H60" i="19"/>
  <c r="G60" i="19"/>
  <c r="F60" i="19"/>
  <c r="E60" i="19"/>
  <c r="D60" i="19"/>
  <c r="C60" i="19"/>
  <c r="B60" i="19" s="1"/>
  <c r="H59" i="19"/>
  <c r="G59" i="19"/>
  <c r="F59" i="19"/>
  <c r="E59" i="19"/>
  <c r="D59" i="19"/>
  <c r="C59" i="19"/>
  <c r="H58" i="19"/>
  <c r="H64" i="19" s="1"/>
  <c r="G58" i="19"/>
  <c r="F58" i="19"/>
  <c r="E58" i="19"/>
  <c r="D58" i="19"/>
  <c r="C58" i="19"/>
  <c r="H57" i="19"/>
  <c r="G57" i="19"/>
  <c r="G64" i="19" s="1"/>
  <c r="F57" i="19"/>
  <c r="F64" i="19" s="1"/>
  <c r="E57" i="19"/>
  <c r="B57" i="19" s="1"/>
  <c r="D57" i="19"/>
  <c r="C57" i="19"/>
  <c r="H56" i="19"/>
  <c r="G56" i="19"/>
  <c r="F56" i="19"/>
  <c r="E56" i="19"/>
  <c r="D56" i="19"/>
  <c r="D64" i="19" s="1"/>
  <c r="C56" i="19"/>
  <c r="C64" i="19" s="1"/>
  <c r="H52" i="19"/>
  <c r="G52" i="19"/>
  <c r="F52" i="19"/>
  <c r="E52" i="19"/>
  <c r="D52" i="19"/>
  <c r="C52" i="19"/>
  <c r="B52" i="19" s="1"/>
  <c r="H51" i="19"/>
  <c r="G51" i="19"/>
  <c r="F51" i="19"/>
  <c r="E51" i="19"/>
  <c r="D51" i="19"/>
  <c r="B51" i="19" s="1"/>
  <c r="C51" i="19"/>
  <c r="H50" i="19"/>
  <c r="G50" i="19"/>
  <c r="F50" i="19"/>
  <c r="E50" i="19"/>
  <c r="B50" i="19" s="1"/>
  <c r="D50" i="19"/>
  <c r="C50" i="19"/>
  <c r="H49" i="19"/>
  <c r="G49" i="19"/>
  <c r="F49" i="19"/>
  <c r="E49" i="19"/>
  <c r="D49" i="19"/>
  <c r="C49" i="19"/>
  <c r="H48" i="19"/>
  <c r="G48" i="19"/>
  <c r="F48" i="19"/>
  <c r="B48" i="19" s="1"/>
  <c r="E48" i="19"/>
  <c r="D48" i="19"/>
  <c r="C48" i="19"/>
  <c r="H47" i="19"/>
  <c r="G47" i="19"/>
  <c r="F47" i="19"/>
  <c r="E47" i="19"/>
  <c r="D47" i="19"/>
  <c r="B47" i="19" s="1"/>
  <c r="C47" i="19"/>
  <c r="H46" i="19"/>
  <c r="G46" i="19"/>
  <c r="F46" i="19"/>
  <c r="E46" i="19"/>
  <c r="B46" i="19" s="1"/>
  <c r="D46" i="19"/>
  <c r="C46" i="19"/>
  <c r="H45" i="19"/>
  <c r="G45" i="19"/>
  <c r="F45" i="19"/>
  <c r="E45" i="19"/>
  <c r="D45" i="19"/>
  <c r="C45" i="19"/>
  <c r="B45" i="19" s="1"/>
  <c r="H44" i="19"/>
  <c r="G44" i="19"/>
  <c r="F44" i="19"/>
  <c r="E44" i="19"/>
  <c r="D44" i="19"/>
  <c r="C44" i="19"/>
  <c r="C53" i="19" s="1"/>
  <c r="H43" i="19"/>
  <c r="G43" i="19"/>
  <c r="G53" i="19" s="1"/>
  <c r="F43" i="19"/>
  <c r="E43" i="19"/>
  <c r="D43" i="19"/>
  <c r="B43" i="19" s="1"/>
  <c r="C43" i="19"/>
  <c r="H42" i="19"/>
  <c r="G42" i="19"/>
  <c r="F42" i="19"/>
  <c r="F53" i="19" s="1"/>
  <c r="E42" i="19"/>
  <c r="E53" i="19" s="1"/>
  <c r="D42" i="19"/>
  <c r="C42" i="19"/>
  <c r="H36" i="19"/>
  <c r="G36" i="19"/>
  <c r="F36" i="19"/>
  <c r="E36" i="19"/>
  <c r="D36" i="19"/>
  <c r="C36" i="19"/>
  <c r="H35" i="19"/>
  <c r="G35" i="19"/>
  <c r="B35" i="19" s="1"/>
  <c r="F35" i="19"/>
  <c r="E35" i="19"/>
  <c r="D35" i="19"/>
  <c r="C35" i="19"/>
  <c r="H34" i="19"/>
  <c r="G34" i="19"/>
  <c r="F34" i="19"/>
  <c r="E34" i="19"/>
  <c r="D34" i="19"/>
  <c r="C34" i="19"/>
  <c r="H31" i="19"/>
  <c r="G31" i="19"/>
  <c r="F31" i="19"/>
  <c r="E31" i="19"/>
  <c r="D31" i="19"/>
  <c r="B31" i="19" s="1"/>
  <c r="C31" i="19"/>
  <c r="H30" i="19"/>
  <c r="G30" i="19"/>
  <c r="B30" i="19" s="1"/>
  <c r="F30" i="19"/>
  <c r="E30" i="19"/>
  <c r="D30" i="19"/>
  <c r="C30" i="19"/>
  <c r="H29" i="19"/>
  <c r="G29" i="19"/>
  <c r="F29" i="19"/>
  <c r="E29" i="19"/>
  <c r="D29" i="19"/>
  <c r="C29" i="19"/>
  <c r="H27" i="19"/>
  <c r="G27" i="19"/>
  <c r="F27" i="19"/>
  <c r="E27" i="19"/>
  <c r="D27" i="19"/>
  <c r="C27" i="19"/>
  <c r="H26" i="19"/>
  <c r="G26" i="19"/>
  <c r="B26" i="19" s="1"/>
  <c r="F26" i="19"/>
  <c r="E26" i="19"/>
  <c r="D26" i="19"/>
  <c r="C26" i="19"/>
  <c r="H25" i="19"/>
  <c r="G25" i="19"/>
  <c r="F25" i="19"/>
  <c r="E25" i="19"/>
  <c r="D25" i="19"/>
  <c r="C25" i="19"/>
  <c r="H24" i="19"/>
  <c r="G24" i="19"/>
  <c r="F24" i="19"/>
  <c r="E24" i="19"/>
  <c r="D24" i="19"/>
  <c r="C24" i="19"/>
  <c r="B24" i="19" s="1"/>
  <c r="H23" i="19"/>
  <c r="G23" i="19"/>
  <c r="F23" i="19"/>
  <c r="E23" i="19"/>
  <c r="D23" i="19"/>
  <c r="C23" i="19"/>
  <c r="H22" i="19"/>
  <c r="G22" i="19"/>
  <c r="B22" i="19" s="1"/>
  <c r="F22" i="19"/>
  <c r="E22" i="19"/>
  <c r="D22" i="19"/>
  <c r="C22" i="19"/>
  <c r="H21" i="19"/>
  <c r="G21" i="19"/>
  <c r="F21" i="19"/>
  <c r="F28" i="19" s="1"/>
  <c r="E21" i="19"/>
  <c r="B21" i="19" s="1"/>
  <c r="D21" i="19"/>
  <c r="C21" i="19"/>
  <c r="H20" i="19"/>
  <c r="G20" i="19"/>
  <c r="F20" i="19"/>
  <c r="E20" i="19"/>
  <c r="E28" i="19" s="1"/>
  <c r="D20" i="19"/>
  <c r="D28" i="19" s="1"/>
  <c r="C20" i="19"/>
  <c r="B20" i="19" s="1"/>
  <c r="H19" i="19"/>
  <c r="G19" i="19"/>
  <c r="F19" i="19"/>
  <c r="E19" i="19"/>
  <c r="D19" i="19"/>
  <c r="C19" i="19"/>
  <c r="C28" i="19" s="1"/>
  <c r="H18" i="19"/>
  <c r="G18" i="19"/>
  <c r="G28" i="19" s="1"/>
  <c r="F18" i="19"/>
  <c r="E18" i="19"/>
  <c r="D18" i="19"/>
  <c r="C18" i="19"/>
  <c r="H14" i="19"/>
  <c r="G14" i="19"/>
  <c r="F14" i="19"/>
  <c r="E14" i="19"/>
  <c r="D14" i="19"/>
  <c r="C14" i="19"/>
  <c r="H13" i="19"/>
  <c r="G13" i="19"/>
  <c r="B13" i="19" s="1"/>
  <c r="F13" i="19"/>
  <c r="E13" i="19"/>
  <c r="D13" i="19"/>
  <c r="C13" i="19"/>
  <c r="H12" i="19"/>
  <c r="H15" i="19" s="1"/>
  <c r="G12" i="19"/>
  <c r="F12" i="19"/>
  <c r="F15" i="19" s="1"/>
  <c r="E12" i="19"/>
  <c r="B12" i="19" s="1"/>
  <c r="D12" i="19"/>
  <c r="C12" i="19"/>
  <c r="H11" i="19"/>
  <c r="G11" i="19"/>
  <c r="F11" i="19"/>
  <c r="E11" i="19"/>
  <c r="D11" i="19"/>
  <c r="C11" i="19"/>
  <c r="C15" i="19" s="1"/>
  <c r="H8" i="19"/>
  <c r="G8" i="19"/>
  <c r="F8" i="19"/>
  <c r="E8" i="19"/>
  <c r="D8" i="19"/>
  <c r="C8" i="19"/>
  <c r="H7" i="19"/>
  <c r="G7" i="19"/>
  <c r="F7" i="19"/>
  <c r="E7" i="19"/>
  <c r="D7" i="19"/>
  <c r="C7" i="19"/>
  <c r="B85" i="20"/>
  <c r="B81" i="20"/>
  <c r="B78" i="20"/>
  <c r="B77" i="20"/>
  <c r="B74" i="20"/>
  <c r="B63" i="20"/>
  <c r="B62" i="20"/>
  <c r="B59" i="20"/>
  <c r="B58" i="20"/>
  <c r="B57" i="20"/>
  <c r="B52" i="20"/>
  <c r="B51" i="20"/>
  <c r="B48" i="20"/>
  <c r="B47" i="20"/>
  <c r="B46" i="20"/>
  <c r="B45" i="20"/>
  <c r="B43" i="20"/>
  <c r="B38" i="20"/>
  <c r="B36" i="20"/>
  <c r="B35" i="20"/>
  <c r="B33" i="20"/>
  <c r="B31" i="20"/>
  <c r="B30" i="20"/>
  <c r="B27" i="20"/>
  <c r="B26" i="20"/>
  <c r="B23" i="20"/>
  <c r="B22" i="20"/>
  <c r="B19" i="20"/>
  <c r="B18" i="20"/>
  <c r="B14" i="20"/>
  <c r="B13" i="20"/>
  <c r="B85" i="19"/>
  <c r="B81" i="19"/>
  <c r="B74" i="19"/>
  <c r="B63" i="19"/>
  <c r="B61" i="19"/>
  <c r="B59" i="19"/>
  <c r="H53" i="19"/>
  <c r="D53" i="19"/>
  <c r="B49" i="19"/>
  <c r="B38" i="19"/>
  <c r="B36" i="19"/>
  <c r="B33" i="19"/>
  <c r="H28" i="19"/>
  <c r="B27" i="19"/>
  <c r="B25" i="19"/>
  <c r="B23" i="19"/>
  <c r="B19" i="19"/>
  <c r="D15" i="19"/>
  <c r="B85" i="18"/>
  <c r="B81" i="18"/>
  <c r="B76" i="18"/>
  <c r="B75" i="18"/>
  <c r="B74" i="18"/>
  <c r="B63" i="18"/>
  <c r="B61" i="18"/>
  <c r="B60" i="18"/>
  <c r="B59" i="18"/>
  <c r="B57" i="18"/>
  <c r="B52" i="18"/>
  <c r="B51" i="18"/>
  <c r="B50" i="18"/>
  <c r="B49" i="18"/>
  <c r="B48" i="18"/>
  <c r="B47" i="18"/>
  <c r="B46" i="18"/>
  <c r="B45" i="18"/>
  <c r="B44" i="18"/>
  <c r="B43" i="18"/>
  <c r="B38" i="18"/>
  <c r="B36" i="18"/>
  <c r="B35" i="18"/>
  <c r="B33" i="18"/>
  <c r="B31" i="18"/>
  <c r="B30" i="18"/>
  <c r="B27" i="18"/>
  <c r="B26" i="18"/>
  <c r="B25" i="18"/>
  <c r="B24" i="18"/>
  <c r="B23" i="18"/>
  <c r="B22" i="18"/>
  <c r="B20" i="18"/>
  <c r="B19" i="18"/>
  <c r="B18" i="18"/>
  <c r="B15" i="18"/>
  <c r="B14" i="18"/>
  <c r="B13" i="18"/>
  <c r="B12" i="18"/>
  <c r="B11" i="18"/>
  <c r="L78" i="18"/>
  <c r="K78" i="18"/>
  <c r="J78" i="18"/>
  <c r="I78" i="18"/>
  <c r="H78" i="18"/>
  <c r="G78" i="18"/>
  <c r="F78" i="18"/>
  <c r="E78" i="18"/>
  <c r="D78" i="18"/>
  <c r="L77" i="18"/>
  <c r="K77" i="18"/>
  <c r="J77" i="18"/>
  <c r="I77" i="18"/>
  <c r="H77" i="18"/>
  <c r="G77" i="18"/>
  <c r="F77" i="18"/>
  <c r="E77" i="18"/>
  <c r="D77" i="18"/>
  <c r="L76" i="18"/>
  <c r="K76" i="18"/>
  <c r="J76" i="18"/>
  <c r="I76" i="18"/>
  <c r="H76" i="18"/>
  <c r="G76" i="18"/>
  <c r="F76" i="18"/>
  <c r="E76" i="18"/>
  <c r="D76" i="18"/>
  <c r="L75" i="18"/>
  <c r="K75" i="18"/>
  <c r="J75" i="18"/>
  <c r="I75" i="18"/>
  <c r="H75" i="18"/>
  <c r="G75" i="18"/>
  <c r="F75" i="18"/>
  <c r="E75" i="18"/>
  <c r="D75" i="18"/>
  <c r="L74" i="18"/>
  <c r="K74" i="18"/>
  <c r="J74" i="18"/>
  <c r="I74" i="18"/>
  <c r="H74" i="18"/>
  <c r="G74" i="18"/>
  <c r="F74" i="18"/>
  <c r="E74" i="18"/>
  <c r="D74" i="18"/>
  <c r="C78" i="18"/>
  <c r="C77" i="18"/>
  <c r="C76" i="18"/>
  <c r="C75" i="18"/>
  <c r="C74" i="18"/>
  <c r="L62" i="18"/>
  <c r="K62" i="18"/>
  <c r="J62" i="18"/>
  <c r="I62" i="18"/>
  <c r="H62" i="18"/>
  <c r="G62" i="18"/>
  <c r="F62" i="18"/>
  <c r="E62" i="18"/>
  <c r="D62" i="18"/>
  <c r="C62" i="18"/>
  <c r="L61" i="18"/>
  <c r="K61" i="18"/>
  <c r="J61" i="18"/>
  <c r="I61" i="18"/>
  <c r="H61" i="18"/>
  <c r="G61" i="18"/>
  <c r="F61" i="18"/>
  <c r="E61" i="18"/>
  <c r="D61" i="18"/>
  <c r="C61" i="18"/>
  <c r="L60" i="18"/>
  <c r="K60" i="18"/>
  <c r="J60" i="18"/>
  <c r="I60" i="18"/>
  <c r="H60" i="18"/>
  <c r="G60" i="18"/>
  <c r="F60" i="18"/>
  <c r="E60" i="18"/>
  <c r="D60" i="18"/>
  <c r="C60" i="18"/>
  <c r="L59" i="18"/>
  <c r="K59" i="18"/>
  <c r="J59" i="18"/>
  <c r="I59" i="18"/>
  <c r="H59" i="18"/>
  <c r="G59" i="18"/>
  <c r="F59" i="18"/>
  <c r="E59" i="18"/>
  <c r="D59" i="18"/>
  <c r="C59" i="18"/>
  <c r="L58" i="18"/>
  <c r="K58" i="18"/>
  <c r="J58" i="18"/>
  <c r="I58" i="18"/>
  <c r="H58" i="18"/>
  <c r="G58" i="18"/>
  <c r="F58" i="18"/>
  <c r="E58" i="18"/>
  <c r="D58" i="18"/>
  <c r="C58" i="18"/>
  <c r="L57" i="18"/>
  <c r="K57" i="18"/>
  <c r="J57" i="18"/>
  <c r="I57" i="18"/>
  <c r="H57" i="18"/>
  <c r="G57" i="18"/>
  <c r="F57" i="18"/>
  <c r="E57" i="18"/>
  <c r="D57" i="18"/>
  <c r="C57" i="18"/>
  <c r="L56" i="18"/>
  <c r="K56" i="18"/>
  <c r="J56" i="18"/>
  <c r="I56" i="18"/>
  <c r="H56" i="18"/>
  <c r="G56" i="18"/>
  <c r="F56" i="18"/>
  <c r="E56" i="18"/>
  <c r="D56" i="18"/>
  <c r="C56" i="18"/>
  <c r="L52" i="18"/>
  <c r="K52" i="18"/>
  <c r="J52" i="18"/>
  <c r="I52" i="18"/>
  <c r="H52" i="18"/>
  <c r="G52" i="18"/>
  <c r="F52" i="18"/>
  <c r="E52" i="18"/>
  <c r="D52" i="18"/>
  <c r="C52" i="18"/>
  <c r="L51" i="18"/>
  <c r="K51" i="18"/>
  <c r="J51" i="18"/>
  <c r="I51" i="18"/>
  <c r="H51" i="18"/>
  <c r="G51" i="18"/>
  <c r="F51" i="18"/>
  <c r="E51" i="18"/>
  <c r="D51" i="18"/>
  <c r="C51" i="18"/>
  <c r="L50" i="18"/>
  <c r="K50" i="18"/>
  <c r="J50" i="18"/>
  <c r="I50" i="18"/>
  <c r="H50" i="18"/>
  <c r="G50" i="18"/>
  <c r="F50" i="18"/>
  <c r="E50" i="18"/>
  <c r="D50" i="18"/>
  <c r="C50" i="18"/>
  <c r="L49" i="18"/>
  <c r="K49" i="18"/>
  <c r="J49" i="18"/>
  <c r="I49" i="18"/>
  <c r="H49" i="18"/>
  <c r="G49" i="18"/>
  <c r="F49" i="18"/>
  <c r="E49" i="18"/>
  <c r="D49" i="18"/>
  <c r="C49" i="18"/>
  <c r="L48" i="18"/>
  <c r="K48" i="18"/>
  <c r="J48" i="18"/>
  <c r="I48" i="18"/>
  <c r="H48" i="18"/>
  <c r="G48" i="18"/>
  <c r="F48" i="18"/>
  <c r="E48" i="18"/>
  <c r="D48" i="18"/>
  <c r="C48" i="18"/>
  <c r="L47" i="18"/>
  <c r="K47" i="18"/>
  <c r="J47" i="18"/>
  <c r="I47" i="18"/>
  <c r="H47" i="18"/>
  <c r="G47" i="18"/>
  <c r="F47" i="18"/>
  <c r="E47" i="18"/>
  <c r="D47" i="18"/>
  <c r="C47" i="18"/>
  <c r="L46" i="18"/>
  <c r="K46" i="18"/>
  <c r="J46" i="18"/>
  <c r="I46" i="18"/>
  <c r="H46" i="18"/>
  <c r="G46" i="18"/>
  <c r="F46" i="18"/>
  <c r="E46" i="18"/>
  <c r="D46" i="18"/>
  <c r="C46" i="18"/>
  <c r="L45" i="18"/>
  <c r="K45" i="18"/>
  <c r="J45" i="18"/>
  <c r="I45" i="18"/>
  <c r="H45" i="18"/>
  <c r="G45" i="18"/>
  <c r="F45" i="18"/>
  <c r="E45" i="18"/>
  <c r="D45" i="18"/>
  <c r="C45" i="18"/>
  <c r="L44" i="18"/>
  <c r="K44" i="18"/>
  <c r="J44" i="18"/>
  <c r="I44" i="18"/>
  <c r="H44" i="18"/>
  <c r="G44" i="18"/>
  <c r="F44" i="18"/>
  <c r="E44" i="18"/>
  <c r="E53" i="18" s="1"/>
  <c r="D44" i="18"/>
  <c r="C44" i="18"/>
  <c r="L43" i="18"/>
  <c r="K43" i="18"/>
  <c r="J43" i="18"/>
  <c r="I43" i="18"/>
  <c r="H43" i="18"/>
  <c r="G43" i="18"/>
  <c r="F43" i="18"/>
  <c r="E43" i="18"/>
  <c r="D43" i="18"/>
  <c r="C43" i="18"/>
  <c r="L42" i="18"/>
  <c r="K42" i="18"/>
  <c r="K53" i="18" s="1"/>
  <c r="J42" i="18"/>
  <c r="J53" i="18" s="1"/>
  <c r="I42" i="18"/>
  <c r="I53" i="18" s="1"/>
  <c r="H42" i="18"/>
  <c r="G42" i="18"/>
  <c r="G53" i="18" s="1"/>
  <c r="F42" i="18"/>
  <c r="E42" i="18"/>
  <c r="D42" i="18"/>
  <c r="C42" i="18"/>
  <c r="L36" i="18"/>
  <c r="K36" i="18"/>
  <c r="J36" i="18"/>
  <c r="I36" i="18"/>
  <c r="H36" i="18"/>
  <c r="G36" i="18"/>
  <c r="F36" i="18"/>
  <c r="E36" i="18"/>
  <c r="D36" i="18"/>
  <c r="C36" i="18"/>
  <c r="L35" i="18"/>
  <c r="K35" i="18"/>
  <c r="J35" i="18"/>
  <c r="I35" i="18"/>
  <c r="H35" i="18"/>
  <c r="G35" i="18"/>
  <c r="F35" i="18"/>
  <c r="E35" i="18"/>
  <c r="D35" i="18"/>
  <c r="C35" i="18"/>
  <c r="L34" i="18"/>
  <c r="K34" i="18"/>
  <c r="J34" i="18"/>
  <c r="I34" i="18"/>
  <c r="H34" i="18"/>
  <c r="G34" i="18"/>
  <c r="F34" i="18"/>
  <c r="E34" i="18"/>
  <c r="D34" i="18"/>
  <c r="C34" i="18"/>
  <c r="L31" i="18"/>
  <c r="K31" i="18"/>
  <c r="J31" i="18"/>
  <c r="I31" i="18"/>
  <c r="H31" i="18"/>
  <c r="G31" i="18"/>
  <c r="F31" i="18"/>
  <c r="E31" i="18"/>
  <c r="D31" i="18"/>
  <c r="C31" i="18"/>
  <c r="L30" i="18"/>
  <c r="K30" i="18"/>
  <c r="J30" i="18"/>
  <c r="I30" i="18"/>
  <c r="H30" i="18"/>
  <c r="G30" i="18"/>
  <c r="F30" i="18"/>
  <c r="E30" i="18"/>
  <c r="D30" i="18"/>
  <c r="C30" i="18"/>
  <c r="L29" i="18"/>
  <c r="K29" i="18"/>
  <c r="J29" i="18"/>
  <c r="I29" i="18"/>
  <c r="H29" i="18"/>
  <c r="G29" i="18"/>
  <c r="F29" i="18"/>
  <c r="E29" i="18"/>
  <c r="D29" i="18"/>
  <c r="C29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H28" i="18" s="1"/>
  <c r="G24" i="18"/>
  <c r="F24" i="18"/>
  <c r="E24" i="18"/>
  <c r="D24" i="18"/>
  <c r="L23" i="18"/>
  <c r="K23" i="18"/>
  <c r="J23" i="18"/>
  <c r="I23" i="18"/>
  <c r="I28" i="18" s="1"/>
  <c r="H23" i="18"/>
  <c r="G23" i="18"/>
  <c r="F23" i="18"/>
  <c r="E23" i="18"/>
  <c r="D23" i="18"/>
  <c r="L22" i="18"/>
  <c r="K22" i="18"/>
  <c r="J22" i="18"/>
  <c r="J28" i="18" s="1"/>
  <c r="I22" i="18"/>
  <c r="H22" i="18"/>
  <c r="G22" i="18"/>
  <c r="F22" i="18"/>
  <c r="E22" i="18"/>
  <c r="D22" i="18"/>
  <c r="L21" i="18"/>
  <c r="K21" i="18"/>
  <c r="K28" i="18" s="1"/>
  <c r="B28" i="18" s="1"/>
  <c r="J21" i="18"/>
  <c r="I21" i="18"/>
  <c r="H21" i="18"/>
  <c r="G21" i="18"/>
  <c r="F21" i="18"/>
  <c r="E21" i="18"/>
  <c r="D21" i="18"/>
  <c r="L20" i="18"/>
  <c r="L28" i="18" s="1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E28" i="18" s="1"/>
  <c r="D19" i="18"/>
  <c r="L18" i="18"/>
  <c r="K18" i="18"/>
  <c r="J18" i="18"/>
  <c r="I18" i="18"/>
  <c r="H18" i="18"/>
  <c r="G18" i="18"/>
  <c r="G28" i="18" s="1"/>
  <c r="F18" i="18"/>
  <c r="F28" i="18" s="1"/>
  <c r="E18" i="18"/>
  <c r="D18" i="18"/>
  <c r="L53" i="18"/>
  <c r="L14" i="18"/>
  <c r="L13" i="18"/>
  <c r="L12" i="18"/>
  <c r="L11" i="18"/>
  <c r="L15" i="18" s="1"/>
  <c r="L8" i="18"/>
  <c r="L7" i="18"/>
  <c r="K14" i="18"/>
  <c r="J14" i="18"/>
  <c r="I14" i="18"/>
  <c r="H14" i="18"/>
  <c r="G14" i="18"/>
  <c r="K13" i="18"/>
  <c r="J13" i="18"/>
  <c r="I13" i="18"/>
  <c r="H13" i="18"/>
  <c r="G13" i="18"/>
  <c r="K12" i="18"/>
  <c r="J12" i="18"/>
  <c r="I12" i="18"/>
  <c r="I15" i="18" s="1"/>
  <c r="H12" i="18"/>
  <c r="G12" i="18"/>
  <c r="K11" i="18"/>
  <c r="K15" i="18" s="1"/>
  <c r="J11" i="18"/>
  <c r="J15" i="18" s="1"/>
  <c r="I11" i="18"/>
  <c r="H11" i="18"/>
  <c r="G11" i="18"/>
  <c r="K8" i="18"/>
  <c r="K7" i="18"/>
  <c r="J8" i="18"/>
  <c r="J7" i="18"/>
  <c r="C27" i="18"/>
  <c r="C26" i="18"/>
  <c r="C25" i="18"/>
  <c r="C24" i="18"/>
  <c r="C23" i="18"/>
  <c r="C22" i="18"/>
  <c r="C21" i="18"/>
  <c r="C20" i="18"/>
  <c r="C19" i="18"/>
  <c r="C28" i="18" s="1"/>
  <c r="C18" i="18"/>
  <c r="F11" i="18"/>
  <c r="E11" i="18"/>
  <c r="D11" i="18"/>
  <c r="D15" i="18" s="1"/>
  <c r="F14" i="18"/>
  <c r="E14" i="18"/>
  <c r="D14" i="18"/>
  <c r="C14" i="18"/>
  <c r="F13" i="18"/>
  <c r="E13" i="18"/>
  <c r="D13" i="18"/>
  <c r="C13" i="18"/>
  <c r="F12" i="18"/>
  <c r="E12" i="18"/>
  <c r="D12" i="18"/>
  <c r="C12" i="18"/>
  <c r="C15" i="18" s="1"/>
  <c r="C11" i="18"/>
  <c r="I8" i="18"/>
  <c r="H8" i="18"/>
  <c r="G8" i="18"/>
  <c r="F8" i="18"/>
  <c r="E8" i="18"/>
  <c r="D8" i="18"/>
  <c r="C8" i="18"/>
  <c r="I7" i="18"/>
  <c r="H7" i="18"/>
  <c r="G7" i="18"/>
  <c r="F7" i="18"/>
  <c r="E7" i="18"/>
  <c r="D7" i="18"/>
  <c r="C7" i="18"/>
  <c r="E8" i="17"/>
  <c r="D8" i="17"/>
  <c r="E7" i="17"/>
  <c r="D7" i="17"/>
  <c r="C7" i="17"/>
  <c r="C8" i="17"/>
  <c r="E78" i="17"/>
  <c r="D78" i="17"/>
  <c r="C78" i="17"/>
  <c r="E77" i="17"/>
  <c r="D77" i="17"/>
  <c r="C77" i="17"/>
  <c r="E76" i="17"/>
  <c r="D76" i="17"/>
  <c r="B76" i="17" s="1"/>
  <c r="C76" i="17"/>
  <c r="E75" i="17"/>
  <c r="D75" i="17"/>
  <c r="C75" i="17"/>
  <c r="E74" i="17"/>
  <c r="D74" i="17"/>
  <c r="C74" i="17"/>
  <c r="B74" i="17" s="1"/>
  <c r="E63" i="17"/>
  <c r="D63" i="17"/>
  <c r="C63" i="17"/>
  <c r="E62" i="17"/>
  <c r="D62" i="17"/>
  <c r="C62" i="17"/>
  <c r="B62" i="17" s="1"/>
  <c r="E61" i="17"/>
  <c r="D61" i="17"/>
  <c r="B61" i="17" s="1"/>
  <c r="C61" i="17"/>
  <c r="E60" i="17"/>
  <c r="D60" i="17"/>
  <c r="C60" i="17"/>
  <c r="E59" i="17"/>
  <c r="D59" i="17"/>
  <c r="C59" i="17"/>
  <c r="B59" i="17" s="1"/>
  <c r="E58" i="17"/>
  <c r="B58" i="17" s="1"/>
  <c r="D58" i="17"/>
  <c r="C58" i="17"/>
  <c r="E57" i="17"/>
  <c r="D57" i="17"/>
  <c r="C57" i="17"/>
  <c r="E56" i="17"/>
  <c r="D56" i="17"/>
  <c r="D64" i="17" s="1"/>
  <c r="C56" i="17"/>
  <c r="B56" i="17" s="1"/>
  <c r="E52" i="17"/>
  <c r="D52" i="17"/>
  <c r="C52" i="17"/>
  <c r="E51" i="17"/>
  <c r="D51" i="17"/>
  <c r="C51" i="17"/>
  <c r="E50" i="17"/>
  <c r="D50" i="17"/>
  <c r="B50" i="17" s="1"/>
  <c r="C50" i="17"/>
  <c r="E49" i="17"/>
  <c r="D49" i="17"/>
  <c r="C49" i="17"/>
  <c r="E48" i="17"/>
  <c r="D48" i="17"/>
  <c r="C48" i="17"/>
  <c r="E47" i="17"/>
  <c r="D47" i="17"/>
  <c r="C47" i="17"/>
  <c r="E46" i="17"/>
  <c r="D46" i="17"/>
  <c r="C46" i="17"/>
  <c r="E45" i="17"/>
  <c r="D45" i="17"/>
  <c r="C45" i="17"/>
  <c r="C53" i="17" s="1"/>
  <c r="E44" i="17"/>
  <c r="D44" i="17"/>
  <c r="C44" i="17"/>
  <c r="E43" i="17"/>
  <c r="D43" i="17"/>
  <c r="C43" i="17"/>
  <c r="E42" i="17"/>
  <c r="D42" i="17"/>
  <c r="D53" i="17" s="1"/>
  <c r="C42" i="17"/>
  <c r="E36" i="17"/>
  <c r="D36" i="17"/>
  <c r="C36" i="17"/>
  <c r="E35" i="17"/>
  <c r="D35" i="17"/>
  <c r="C35" i="17"/>
  <c r="E34" i="17"/>
  <c r="D34" i="17"/>
  <c r="B34" i="17" s="1"/>
  <c r="C34" i="17"/>
  <c r="E33" i="17"/>
  <c r="D33" i="17"/>
  <c r="C33" i="17"/>
  <c r="E31" i="17"/>
  <c r="D31" i="17"/>
  <c r="C31" i="17"/>
  <c r="E30" i="17"/>
  <c r="D30" i="17"/>
  <c r="C30" i="17"/>
  <c r="E29" i="17"/>
  <c r="D29" i="17"/>
  <c r="B29" i="17" s="1"/>
  <c r="C29" i="17"/>
  <c r="E27" i="17"/>
  <c r="C27" i="17"/>
  <c r="E26" i="17"/>
  <c r="D26" i="17"/>
  <c r="C26" i="17"/>
  <c r="E25" i="17"/>
  <c r="C25" i="17"/>
  <c r="E24" i="17"/>
  <c r="C24" i="17"/>
  <c r="E23" i="17"/>
  <c r="C23" i="17"/>
  <c r="E22" i="17"/>
  <c r="C22" i="17"/>
  <c r="E21" i="17"/>
  <c r="C21" i="17"/>
  <c r="E20" i="17"/>
  <c r="C20" i="17"/>
  <c r="C28" i="17" s="1"/>
  <c r="E19" i="17"/>
  <c r="D19" i="17"/>
  <c r="C19" i="17"/>
  <c r="E18" i="17"/>
  <c r="C18" i="17"/>
  <c r="E14" i="17"/>
  <c r="E15" i="17" s="1"/>
  <c r="D14" i="17"/>
  <c r="C14" i="17"/>
  <c r="C15" i="17" s="1"/>
  <c r="E13" i="17"/>
  <c r="D13" i="17"/>
  <c r="C13" i="17"/>
  <c r="E12" i="17"/>
  <c r="D12" i="17"/>
  <c r="D15" i="17" s="1"/>
  <c r="C12" i="17"/>
  <c r="E11" i="17"/>
  <c r="D11" i="17"/>
  <c r="C11" i="17"/>
  <c r="D64" i="18"/>
  <c r="H53" i="18"/>
  <c r="F53" i="18"/>
  <c r="E15" i="18"/>
  <c r="B85" i="17"/>
  <c r="B81" i="17"/>
  <c r="B78" i="17"/>
  <c r="B77" i="17"/>
  <c r="B75" i="17"/>
  <c r="B63" i="17"/>
  <c r="B60" i="17"/>
  <c r="B57" i="17"/>
  <c r="E53" i="17"/>
  <c r="B52" i="17"/>
  <c r="B51" i="17"/>
  <c r="B49" i="17"/>
  <c r="B48" i="17"/>
  <c r="B47" i="17"/>
  <c r="B46" i="17"/>
  <c r="B43" i="17"/>
  <c r="B38" i="17"/>
  <c r="B36" i="17"/>
  <c r="B35" i="17"/>
  <c r="B33" i="17"/>
  <c r="B31" i="17"/>
  <c r="B30" i="17"/>
  <c r="B26" i="17"/>
  <c r="B19" i="17"/>
  <c r="B13" i="17"/>
  <c r="B11" i="17"/>
  <c r="K64" i="18" l="1"/>
  <c r="I64" i="18"/>
  <c r="D64" i="20"/>
  <c r="D53" i="20"/>
  <c r="B78" i="19"/>
  <c r="B77" i="19"/>
  <c r="B34" i="19"/>
  <c r="B62" i="19"/>
  <c r="B21" i="18"/>
  <c r="B58" i="18"/>
  <c r="J64" i="18"/>
  <c r="B34" i="18"/>
  <c r="B78" i="18"/>
  <c r="B77" i="18"/>
  <c r="B29" i="18"/>
  <c r="B62" i="18"/>
  <c r="H64" i="18"/>
  <c r="H66" i="18" s="1"/>
  <c r="B56" i="18"/>
  <c r="B42" i="18"/>
  <c r="L64" i="18"/>
  <c r="C53" i="18"/>
  <c r="B53" i="18" s="1"/>
  <c r="B14" i="17"/>
  <c r="C64" i="20"/>
  <c r="C66" i="20" s="1"/>
  <c r="B42" i="20"/>
  <c r="B20" i="20"/>
  <c r="D73" i="20"/>
  <c r="D79" i="20" s="1"/>
  <c r="D82" i="20" s="1"/>
  <c r="D84" i="20" s="1"/>
  <c r="D86" i="20" s="1"/>
  <c r="D32" i="20" s="1"/>
  <c r="D37" i="20" s="1"/>
  <c r="D39" i="20" s="1"/>
  <c r="C15" i="20"/>
  <c r="B15" i="20" s="1"/>
  <c r="C66" i="19"/>
  <c r="B18" i="19"/>
  <c r="E15" i="19"/>
  <c r="G15" i="19"/>
  <c r="B11" i="19"/>
  <c r="F66" i="19"/>
  <c r="B44" i="20"/>
  <c r="D66" i="20"/>
  <c r="G66" i="19"/>
  <c r="B53" i="20"/>
  <c r="B28" i="20"/>
  <c r="D73" i="19"/>
  <c r="D79" i="19" s="1"/>
  <c r="D82" i="19" s="1"/>
  <c r="D84" i="19" s="1"/>
  <c r="D86" i="19" s="1"/>
  <c r="D32" i="19" s="1"/>
  <c r="D37" i="19" s="1"/>
  <c r="D39" i="19" s="1"/>
  <c r="E73" i="19"/>
  <c r="E79" i="19" s="1"/>
  <c r="E82" i="19" s="1"/>
  <c r="E84" i="19" s="1"/>
  <c r="E86" i="19" s="1"/>
  <c r="E32" i="19" s="1"/>
  <c r="E37" i="19" s="1"/>
  <c r="E39" i="19" s="1"/>
  <c r="D66" i="19"/>
  <c r="B58" i="19"/>
  <c r="B29" i="19"/>
  <c r="C73" i="19"/>
  <c r="H66" i="19"/>
  <c r="B44" i="19"/>
  <c r="B56" i="19"/>
  <c r="E64" i="19"/>
  <c r="E66" i="19" s="1"/>
  <c r="B14" i="19"/>
  <c r="B42" i="19"/>
  <c r="H73" i="19"/>
  <c r="H79" i="19" s="1"/>
  <c r="H82" i="19" s="1"/>
  <c r="H84" i="19" s="1"/>
  <c r="H86" i="19" s="1"/>
  <c r="H32" i="19" s="1"/>
  <c r="H37" i="19" s="1"/>
  <c r="H39" i="19" s="1"/>
  <c r="F73" i="19"/>
  <c r="F79" i="19" s="1"/>
  <c r="F82" i="19" s="1"/>
  <c r="F84" i="19" s="1"/>
  <c r="F86" i="19" s="1"/>
  <c r="F32" i="19" s="1"/>
  <c r="F37" i="19" s="1"/>
  <c r="F39" i="19" s="1"/>
  <c r="B15" i="19"/>
  <c r="G73" i="19"/>
  <c r="G79" i="19" s="1"/>
  <c r="G82" i="19" s="1"/>
  <c r="G84" i="19" s="1"/>
  <c r="G86" i="19" s="1"/>
  <c r="G32" i="19" s="1"/>
  <c r="G37" i="19" s="1"/>
  <c r="G39" i="19" s="1"/>
  <c r="J66" i="18"/>
  <c r="K66" i="18"/>
  <c r="C64" i="18"/>
  <c r="L66" i="18"/>
  <c r="L73" i="18"/>
  <c r="K73" i="18"/>
  <c r="K79" i="18" s="1"/>
  <c r="K82" i="18" s="1"/>
  <c r="K84" i="18" s="1"/>
  <c r="K86" i="18" s="1"/>
  <c r="J73" i="18"/>
  <c r="J79" i="18" s="1"/>
  <c r="J82" i="18" s="1"/>
  <c r="J84" i="18" s="1"/>
  <c r="J86" i="18" s="1"/>
  <c r="G15" i="18"/>
  <c r="H15" i="18"/>
  <c r="D28" i="18"/>
  <c r="D73" i="18" s="1"/>
  <c r="D79" i="18" s="1"/>
  <c r="D82" i="18" s="1"/>
  <c r="D84" i="18" s="1"/>
  <c r="D86" i="18" s="1"/>
  <c r="F15" i="18"/>
  <c r="F73" i="18" s="1"/>
  <c r="F79" i="18" s="1"/>
  <c r="F82" i="18" s="1"/>
  <c r="F84" i="18" s="1"/>
  <c r="F86" i="18" s="1"/>
  <c r="I66" i="18"/>
  <c r="C64" i="17"/>
  <c r="C66" i="17"/>
  <c r="E64" i="17"/>
  <c r="D66" i="17"/>
  <c r="B66" i="17" s="1"/>
  <c r="E66" i="17"/>
  <c r="B45" i="17"/>
  <c r="E28" i="17"/>
  <c r="E73" i="17"/>
  <c r="E79" i="17" s="1"/>
  <c r="E82" i="17" s="1"/>
  <c r="E84" i="17" s="1"/>
  <c r="E86" i="17" s="1"/>
  <c r="E32" i="17" s="1"/>
  <c r="E37" i="17" s="1"/>
  <c r="E39" i="17" s="1"/>
  <c r="B12" i="17"/>
  <c r="F64" i="18"/>
  <c r="F66" i="18" s="1"/>
  <c r="E73" i="18"/>
  <c r="E79" i="18" s="1"/>
  <c r="E82" i="18" s="1"/>
  <c r="E84" i="18" s="1"/>
  <c r="E86" i="18" s="1"/>
  <c r="I73" i="18"/>
  <c r="I79" i="18" s="1"/>
  <c r="I82" i="18" s="1"/>
  <c r="I84" i="18" s="1"/>
  <c r="I86" i="18" s="1"/>
  <c r="G64" i="18"/>
  <c r="G66" i="18" s="1"/>
  <c r="D53" i="18"/>
  <c r="C73" i="18"/>
  <c r="C79" i="18" s="1"/>
  <c r="E64" i="18"/>
  <c r="E66" i="18" s="1"/>
  <c r="G73" i="18"/>
  <c r="G79" i="18" s="1"/>
  <c r="G82" i="18" s="1"/>
  <c r="G84" i="18" s="1"/>
  <c r="G86" i="18" s="1"/>
  <c r="H73" i="18"/>
  <c r="H79" i="18" s="1"/>
  <c r="H82" i="18" s="1"/>
  <c r="H84" i="18" s="1"/>
  <c r="H86" i="18" s="1"/>
  <c r="B15" i="17"/>
  <c r="C73" i="17"/>
  <c r="B42" i="17"/>
  <c r="B44" i="17"/>
  <c r="B53" i="17"/>
  <c r="F79" i="11"/>
  <c r="F72" i="11"/>
  <c r="F71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B64" i="20" l="1"/>
  <c r="B64" i="18"/>
  <c r="L79" i="18"/>
  <c r="L82" i="18" s="1"/>
  <c r="L84" i="18" s="1"/>
  <c r="L86" i="18" s="1"/>
  <c r="L32" i="18" s="1"/>
  <c r="L37" i="18" s="1"/>
  <c r="L39" i="18" s="1"/>
  <c r="B73" i="18"/>
  <c r="C82" i="18"/>
  <c r="B79" i="18"/>
  <c r="C66" i="18"/>
  <c r="B66" i="18" s="1"/>
  <c r="C73" i="20"/>
  <c r="C79" i="20" s="1"/>
  <c r="C82" i="20" s="1"/>
  <c r="C84" i="20" s="1"/>
  <c r="C86" i="20" s="1"/>
  <c r="C32" i="20" s="1"/>
  <c r="C37" i="20" s="1"/>
  <c r="C39" i="20" s="1"/>
  <c r="B66" i="20"/>
  <c r="B66" i="19"/>
  <c r="B64" i="19"/>
  <c r="B53" i="19"/>
  <c r="B28" i="19"/>
  <c r="F32" i="18"/>
  <c r="F37" i="18" s="1"/>
  <c r="F39" i="18" s="1"/>
  <c r="I32" i="18"/>
  <c r="I37" i="18" s="1"/>
  <c r="I39" i="18" s="1"/>
  <c r="J32" i="18"/>
  <c r="J37" i="18" s="1"/>
  <c r="J39" i="18" s="1"/>
  <c r="K32" i="18"/>
  <c r="K37" i="18" s="1"/>
  <c r="K39" i="18" s="1"/>
  <c r="G32" i="18"/>
  <c r="G37" i="18" s="1"/>
  <c r="G39" i="18" s="1"/>
  <c r="D32" i="18"/>
  <c r="D37" i="18" s="1"/>
  <c r="D39" i="18" s="1"/>
  <c r="E32" i="18"/>
  <c r="E37" i="18" s="1"/>
  <c r="E39" i="18" s="1"/>
  <c r="H32" i="18"/>
  <c r="H37" i="18" s="1"/>
  <c r="H39" i="18" s="1"/>
  <c r="D66" i="18"/>
  <c r="B64" i="17"/>
  <c r="C79" i="17"/>
  <c r="B79" i="20" l="1"/>
  <c r="B73" i="20"/>
  <c r="C84" i="18"/>
  <c r="B82" i="18"/>
  <c r="B82" i="20"/>
  <c r="B73" i="19"/>
  <c r="C82" i="17"/>
  <c r="C86" i="18" l="1"/>
  <c r="B84" i="18"/>
  <c r="B84" i="20"/>
  <c r="C84" i="17"/>
  <c r="C32" i="18" l="1"/>
  <c r="B86" i="18"/>
  <c r="B86" i="20"/>
  <c r="C86" i="17"/>
  <c r="C37" i="18" l="1"/>
  <c r="B32" i="18"/>
  <c r="B32" i="20"/>
  <c r="C32" i="17"/>
  <c r="C39" i="18" l="1"/>
  <c r="B37" i="18"/>
  <c r="B37" i="20"/>
  <c r="C37" i="17"/>
  <c r="B39" i="18" l="1"/>
  <c r="B39" i="20"/>
  <c r="C39" i="17"/>
  <c r="C73" i="15" l="1"/>
  <c r="D27" i="17" l="1"/>
  <c r="B27" i="17" s="1"/>
  <c r="D25" i="17"/>
  <c r="B25" i="17" s="1"/>
  <c r="D24" i="17"/>
  <c r="B24" i="17" s="1"/>
  <c r="D23" i="17"/>
  <c r="B23" i="17" s="1"/>
  <c r="D22" i="17"/>
  <c r="B22" i="17" s="1"/>
  <c r="D21" i="17"/>
  <c r="B21" i="17" s="1"/>
  <c r="D20" i="17"/>
  <c r="B20" i="17" s="1"/>
  <c r="D18" i="17"/>
  <c r="B18" i="17" l="1"/>
  <c r="D28" i="17"/>
  <c r="D73" i="17" l="1"/>
  <c r="B28" i="17"/>
  <c r="T67" i="1"/>
  <c r="Q67" i="1"/>
  <c r="P67" i="1"/>
  <c r="G67" i="1"/>
  <c r="E67" i="1"/>
  <c r="D67" i="1"/>
  <c r="C67" i="1"/>
  <c r="D79" i="17" l="1"/>
  <c r="B73" i="17"/>
  <c r="H80" i="15"/>
  <c r="G80" i="15"/>
  <c r="F80" i="15"/>
  <c r="E80" i="15"/>
  <c r="J80" i="15" s="1"/>
  <c r="E77" i="15"/>
  <c r="E76" i="15"/>
  <c r="E75" i="15"/>
  <c r="G74" i="15"/>
  <c r="E74" i="15"/>
  <c r="G73" i="15"/>
  <c r="E73" i="15"/>
  <c r="H63" i="15"/>
  <c r="G63" i="15"/>
  <c r="F63" i="15"/>
  <c r="E63" i="15"/>
  <c r="E62" i="15"/>
  <c r="G61" i="15"/>
  <c r="E61" i="15"/>
  <c r="G60" i="15"/>
  <c r="E60" i="15"/>
  <c r="G59" i="15"/>
  <c r="E59" i="15"/>
  <c r="E58" i="15"/>
  <c r="G57" i="15"/>
  <c r="E57" i="15"/>
  <c r="G56" i="15"/>
  <c r="E56" i="15"/>
  <c r="G52" i="15"/>
  <c r="E52" i="15"/>
  <c r="G51" i="15"/>
  <c r="E51" i="15"/>
  <c r="G50" i="15"/>
  <c r="E50" i="15"/>
  <c r="G49" i="15"/>
  <c r="E49" i="15"/>
  <c r="G48" i="15"/>
  <c r="E48" i="15"/>
  <c r="G47" i="15"/>
  <c r="E47" i="15"/>
  <c r="G46" i="15"/>
  <c r="E46" i="15"/>
  <c r="G45" i="15"/>
  <c r="E45" i="15"/>
  <c r="G44" i="15"/>
  <c r="E44" i="15"/>
  <c r="G43" i="15"/>
  <c r="E43" i="15"/>
  <c r="G42" i="15"/>
  <c r="E42" i="15"/>
  <c r="G36" i="15"/>
  <c r="E36" i="15"/>
  <c r="G35" i="15"/>
  <c r="E35" i="15"/>
  <c r="E34" i="15"/>
  <c r="E33" i="15"/>
  <c r="E31" i="15"/>
  <c r="G30" i="15"/>
  <c r="E30" i="15"/>
  <c r="G29" i="15"/>
  <c r="E29" i="15"/>
  <c r="G27" i="15"/>
  <c r="G22" i="15"/>
  <c r="G23" i="15"/>
  <c r="G24" i="15"/>
  <c r="G25" i="15"/>
  <c r="E26" i="15"/>
  <c r="G26" i="15"/>
  <c r="G21" i="15"/>
  <c r="G20" i="15"/>
  <c r="G19" i="15"/>
  <c r="E19" i="15"/>
  <c r="G18" i="15"/>
  <c r="G11" i="15"/>
  <c r="G12" i="15"/>
  <c r="G13" i="15"/>
  <c r="G14" i="15"/>
  <c r="E12" i="15"/>
  <c r="E13" i="15"/>
  <c r="E11" i="15"/>
  <c r="G79" i="11"/>
  <c r="E79" i="11"/>
  <c r="D79" i="11"/>
  <c r="G72" i="11"/>
  <c r="H77" i="15" s="1"/>
  <c r="G77" i="15"/>
  <c r="D72" i="11"/>
  <c r="G71" i="11"/>
  <c r="H76" i="15" s="1"/>
  <c r="G76" i="15"/>
  <c r="D71" i="11"/>
  <c r="G70" i="11"/>
  <c r="H75" i="15" s="1"/>
  <c r="E70" i="11"/>
  <c r="F75" i="15" s="1"/>
  <c r="D70" i="11"/>
  <c r="G69" i="11"/>
  <c r="H74" i="15" s="1"/>
  <c r="E69" i="11"/>
  <c r="F74" i="15" s="1"/>
  <c r="D69" i="11"/>
  <c r="G68" i="11"/>
  <c r="H73" i="15" s="1"/>
  <c r="E68" i="11"/>
  <c r="F73" i="15" s="1"/>
  <c r="D68" i="11"/>
  <c r="G57" i="11"/>
  <c r="H62" i="15" s="1"/>
  <c r="G62" i="15"/>
  <c r="E57" i="11"/>
  <c r="F62" i="15" s="1"/>
  <c r="D57" i="11"/>
  <c r="G56" i="11"/>
  <c r="H61" i="15" s="1"/>
  <c r="E56" i="11"/>
  <c r="F61" i="15" s="1"/>
  <c r="D56" i="11"/>
  <c r="G55" i="11"/>
  <c r="H60" i="15" s="1"/>
  <c r="E55" i="11"/>
  <c r="F60" i="15" s="1"/>
  <c r="D55" i="11"/>
  <c r="G54" i="11"/>
  <c r="H59" i="15" s="1"/>
  <c r="E54" i="11"/>
  <c r="F59" i="15" s="1"/>
  <c r="D54" i="11"/>
  <c r="G53" i="11"/>
  <c r="G58" i="15"/>
  <c r="D53" i="11"/>
  <c r="G52" i="11"/>
  <c r="H57" i="15" s="1"/>
  <c r="E52" i="11"/>
  <c r="F57" i="15" s="1"/>
  <c r="D52" i="11"/>
  <c r="D59" i="11" s="1"/>
  <c r="G51" i="11"/>
  <c r="H56" i="15" s="1"/>
  <c r="D51" i="11"/>
  <c r="G47" i="11"/>
  <c r="H52" i="15" s="1"/>
  <c r="E47" i="11"/>
  <c r="F52" i="15" s="1"/>
  <c r="D47" i="11"/>
  <c r="G46" i="11"/>
  <c r="H51" i="15" s="1"/>
  <c r="E46" i="11"/>
  <c r="F51" i="15" s="1"/>
  <c r="D46" i="11"/>
  <c r="G45" i="11"/>
  <c r="H50" i="15" s="1"/>
  <c r="E45" i="11"/>
  <c r="F50" i="15" s="1"/>
  <c r="D45" i="11"/>
  <c r="G44" i="11"/>
  <c r="H49" i="15" s="1"/>
  <c r="E44" i="11"/>
  <c r="F49" i="15" s="1"/>
  <c r="D44" i="11"/>
  <c r="G43" i="11"/>
  <c r="H48" i="15" s="1"/>
  <c r="E43" i="11"/>
  <c r="F48" i="15" s="1"/>
  <c r="D43" i="11"/>
  <c r="G42" i="11"/>
  <c r="H47" i="15" s="1"/>
  <c r="E42" i="11"/>
  <c r="F47" i="15" s="1"/>
  <c r="D42" i="11"/>
  <c r="G41" i="11"/>
  <c r="H46" i="15" s="1"/>
  <c r="E41" i="11"/>
  <c r="F46" i="15" s="1"/>
  <c r="D41" i="11"/>
  <c r="G40" i="11"/>
  <c r="H45" i="15" s="1"/>
  <c r="E40" i="11"/>
  <c r="F45" i="15" s="1"/>
  <c r="D40" i="11"/>
  <c r="G39" i="11"/>
  <c r="E39" i="11"/>
  <c r="F44" i="15" s="1"/>
  <c r="D39" i="11"/>
  <c r="G38" i="11"/>
  <c r="H43" i="15" s="1"/>
  <c r="E38" i="11"/>
  <c r="F43" i="15" s="1"/>
  <c r="D38" i="11"/>
  <c r="G37" i="11"/>
  <c r="H42" i="15" s="1"/>
  <c r="F48" i="11"/>
  <c r="D37" i="11"/>
  <c r="D48" i="11" s="1"/>
  <c r="G31" i="11"/>
  <c r="H36" i="15" s="1"/>
  <c r="E31" i="11"/>
  <c r="F36" i="15" s="1"/>
  <c r="D31" i="11"/>
  <c r="G30" i="11"/>
  <c r="H35" i="15" s="1"/>
  <c r="E30" i="11"/>
  <c r="F35" i="15" s="1"/>
  <c r="D30" i="11"/>
  <c r="G29" i="11"/>
  <c r="G34" i="15"/>
  <c r="D29" i="11"/>
  <c r="G28" i="11"/>
  <c r="H33" i="15" s="1"/>
  <c r="G33" i="15"/>
  <c r="E28" i="11"/>
  <c r="F33" i="15" s="1"/>
  <c r="D28" i="11"/>
  <c r="G26" i="11"/>
  <c r="H31" i="15" s="1"/>
  <c r="G31" i="15"/>
  <c r="E26" i="11"/>
  <c r="F31" i="15" s="1"/>
  <c r="D26" i="11"/>
  <c r="G25" i="11"/>
  <c r="H30" i="15" s="1"/>
  <c r="E25" i="11"/>
  <c r="F30" i="15" s="1"/>
  <c r="D25" i="11"/>
  <c r="G24" i="11"/>
  <c r="H29" i="15" s="1"/>
  <c r="E24" i="11"/>
  <c r="F29" i="15" s="1"/>
  <c r="D24" i="11"/>
  <c r="G22" i="11"/>
  <c r="H27" i="15" s="1"/>
  <c r="E22" i="11"/>
  <c r="F27" i="15" s="1"/>
  <c r="G21" i="11"/>
  <c r="H26" i="15" s="1"/>
  <c r="E21" i="11"/>
  <c r="F26" i="15" s="1"/>
  <c r="D21" i="11"/>
  <c r="G20" i="11"/>
  <c r="H25" i="15" s="1"/>
  <c r="E20" i="11"/>
  <c r="F25" i="15" s="1"/>
  <c r="G19" i="11"/>
  <c r="H24" i="15" s="1"/>
  <c r="E19" i="11"/>
  <c r="F24" i="15" s="1"/>
  <c r="G18" i="11"/>
  <c r="H23" i="15" s="1"/>
  <c r="E18" i="11"/>
  <c r="F23" i="15" s="1"/>
  <c r="G17" i="11"/>
  <c r="E17" i="11"/>
  <c r="F22" i="15" s="1"/>
  <c r="G16" i="11"/>
  <c r="H21" i="15" s="1"/>
  <c r="E16" i="11"/>
  <c r="F21" i="15" s="1"/>
  <c r="G15" i="11"/>
  <c r="H20" i="15" s="1"/>
  <c r="E15" i="11"/>
  <c r="F20" i="15" s="1"/>
  <c r="G14" i="11"/>
  <c r="H19" i="15" s="1"/>
  <c r="E14" i="11"/>
  <c r="F19" i="15" s="1"/>
  <c r="D14" i="11"/>
  <c r="G13" i="11"/>
  <c r="H18" i="15" s="1"/>
  <c r="F23" i="11"/>
  <c r="E13" i="11"/>
  <c r="F18" i="15" s="1"/>
  <c r="G9" i="11"/>
  <c r="H14" i="15" s="1"/>
  <c r="E9" i="11"/>
  <c r="F14" i="15" s="1"/>
  <c r="D9" i="11"/>
  <c r="E14" i="15" s="1"/>
  <c r="G8" i="11"/>
  <c r="H13" i="15" s="1"/>
  <c r="E8" i="11"/>
  <c r="F13" i="15" s="1"/>
  <c r="D8" i="11"/>
  <c r="G7" i="11"/>
  <c r="H12" i="15" s="1"/>
  <c r="E7" i="11"/>
  <c r="F12" i="15" s="1"/>
  <c r="D7" i="11"/>
  <c r="G6" i="11"/>
  <c r="F10" i="11"/>
  <c r="E6" i="11"/>
  <c r="F11" i="15" s="1"/>
  <c r="D6" i="11"/>
  <c r="G75" i="11"/>
  <c r="F75" i="11"/>
  <c r="E75" i="11"/>
  <c r="D75" i="11"/>
  <c r="D82" i="17" l="1"/>
  <c r="B79" i="17"/>
  <c r="E10" i="11"/>
  <c r="G59" i="11"/>
  <c r="H34" i="15"/>
  <c r="G10" i="11"/>
  <c r="G67" i="11" s="1"/>
  <c r="G23" i="11"/>
  <c r="H11" i="15"/>
  <c r="J11" i="15" s="1"/>
  <c r="J14" i="15"/>
  <c r="J45" i="15"/>
  <c r="J47" i="15"/>
  <c r="J49" i="15"/>
  <c r="J51" i="15"/>
  <c r="G48" i="11"/>
  <c r="H22" i="15"/>
  <c r="J43" i="15"/>
  <c r="J74" i="15"/>
  <c r="J13" i="15"/>
  <c r="J36" i="15"/>
  <c r="J19" i="15"/>
  <c r="J52" i="15"/>
  <c r="J60" i="15"/>
  <c r="H58" i="15"/>
  <c r="J30" i="15"/>
  <c r="H44" i="15"/>
  <c r="J44" i="15" s="1"/>
  <c r="F59" i="11"/>
  <c r="F61" i="11"/>
  <c r="J31" i="15"/>
  <c r="E23" i="11"/>
  <c r="E67" i="11" s="1"/>
  <c r="F72" i="15" s="1"/>
  <c r="J62" i="15"/>
  <c r="D10" i="11"/>
  <c r="J26" i="15"/>
  <c r="J12" i="15"/>
  <c r="J29" i="15"/>
  <c r="J33" i="15"/>
  <c r="J35" i="15"/>
  <c r="J46" i="15"/>
  <c r="J48" i="15"/>
  <c r="J50" i="15"/>
  <c r="J57" i="15"/>
  <c r="J59" i="15"/>
  <c r="J61" i="15"/>
  <c r="D61" i="11"/>
  <c r="F67" i="11"/>
  <c r="G72" i="15" s="1"/>
  <c r="D84" i="17" l="1"/>
  <c r="B82" i="17"/>
  <c r="G61" i="11"/>
  <c r="G73" i="11"/>
  <c r="H72" i="15"/>
  <c r="D86" i="17" l="1"/>
  <c r="B84" i="17"/>
  <c r="G76" i="11"/>
  <c r="H78" i="15"/>
  <c r="D32" i="17" l="1"/>
  <c r="B86" i="17"/>
  <c r="G78" i="11"/>
  <c r="H81" i="15"/>
  <c r="B32" i="17" l="1"/>
  <c r="D37" i="17"/>
  <c r="G80" i="11"/>
  <c r="H83" i="15"/>
  <c r="D39" i="17" l="1"/>
  <c r="B37" i="17"/>
  <c r="C25" i="16"/>
  <c r="A25" i="16"/>
  <c r="B39" i="17" l="1"/>
  <c r="O65" i="1"/>
  <c r="O54" i="1"/>
  <c r="O67" i="1" s="1"/>
  <c r="O74" i="1"/>
  <c r="O80" i="1" s="1"/>
  <c r="O83" i="1" s="1"/>
  <c r="O85" i="1" s="1"/>
  <c r="O87" i="1" s="1"/>
  <c r="O33" i="1" s="1"/>
  <c r="O38" i="1" s="1"/>
  <c r="O40" i="1" s="1"/>
  <c r="D25" i="16" s="1"/>
  <c r="O29" i="1"/>
  <c r="O16" i="1"/>
  <c r="E25" i="16" l="1"/>
  <c r="E51" i="11" l="1"/>
  <c r="F56" i="15" s="1"/>
  <c r="J56" i="15" s="1"/>
  <c r="E29" i="11" l="1"/>
  <c r="E53" i="11"/>
  <c r="E72" i="11"/>
  <c r="F77" i="15" s="1"/>
  <c r="J77" i="15" s="1"/>
  <c r="E71" i="11"/>
  <c r="F34" i="15" l="1"/>
  <c r="J34" i="15" s="1"/>
  <c r="C29" i="11"/>
  <c r="F76" i="15"/>
  <c r="J76" i="15" s="1"/>
  <c r="E73" i="11"/>
  <c r="F58" i="15"/>
  <c r="J58" i="15" s="1"/>
  <c r="E59" i="11"/>
  <c r="E37" i="11"/>
  <c r="E48" i="11" l="1"/>
  <c r="E61" i="11" s="1"/>
  <c r="F42" i="15"/>
  <c r="J42" i="15" s="1"/>
  <c r="E76" i="11"/>
  <c r="F78" i="15"/>
  <c r="C36" i="16" a="1"/>
  <c r="C36" i="16" s="1"/>
  <c r="B36" i="16" a="1"/>
  <c r="B36" i="16" s="1"/>
  <c r="C28" i="16" a="1"/>
  <c r="C33" i="16" s="1"/>
  <c r="B28" i="16" a="1"/>
  <c r="B28" i="16" s="1"/>
  <c r="C16" i="16" a="1"/>
  <c r="C19" i="16" s="1"/>
  <c r="B16" i="16" a="1"/>
  <c r="B18" i="16" s="1"/>
  <c r="B11" i="16" a="1"/>
  <c r="B12" i="16" s="1"/>
  <c r="C11" i="16" a="1"/>
  <c r="C11" i="16" s="1"/>
  <c r="C12" i="16"/>
  <c r="F79" i="4"/>
  <c r="D64" i="4"/>
  <c r="D62" i="4"/>
  <c r="F61" i="4"/>
  <c r="D51" i="4"/>
  <c r="J72" i="4"/>
  <c r="E10" i="3"/>
  <c r="F75" i="4"/>
  <c r="C76" i="15" s="1"/>
  <c r="F59" i="4"/>
  <c r="C61" i="15" s="1"/>
  <c r="F58" i="4"/>
  <c r="C60" i="15" s="1"/>
  <c r="F57" i="4"/>
  <c r="C59" i="15" s="1"/>
  <c r="F55" i="4"/>
  <c r="C57" i="15" s="1"/>
  <c r="F54" i="4"/>
  <c r="C56" i="15" s="1"/>
  <c r="F49" i="4"/>
  <c r="C51" i="15" s="1"/>
  <c r="F48" i="4"/>
  <c r="C50" i="15" s="1"/>
  <c r="F47" i="4"/>
  <c r="C49" i="15" s="1"/>
  <c r="F44" i="4"/>
  <c r="C46" i="15" s="1"/>
  <c r="F43" i="4"/>
  <c r="C45" i="15" s="1"/>
  <c r="F41" i="4"/>
  <c r="C43" i="15" s="1"/>
  <c r="F40" i="4"/>
  <c r="C42" i="15" s="1"/>
  <c r="F33" i="4"/>
  <c r="C35" i="15" s="1"/>
  <c r="F32" i="4"/>
  <c r="C34" i="15" s="1"/>
  <c r="F31" i="4"/>
  <c r="C33" i="15" s="1"/>
  <c r="F27" i="4"/>
  <c r="C29" i="15" s="1"/>
  <c r="F25" i="4"/>
  <c r="C27" i="15" s="1"/>
  <c r="F24" i="4"/>
  <c r="C26" i="15" s="1"/>
  <c r="F21" i="4"/>
  <c r="C23" i="15" s="1"/>
  <c r="F20" i="4"/>
  <c r="C22" i="15" s="1"/>
  <c r="F19" i="4"/>
  <c r="C21" i="15" s="1"/>
  <c r="F17" i="4"/>
  <c r="C19" i="15" s="1"/>
  <c r="F16" i="4"/>
  <c r="C18" i="15" s="1"/>
  <c r="F10" i="4"/>
  <c r="C12" i="15" s="1"/>
  <c r="N29" i="1"/>
  <c r="L65" i="1"/>
  <c r="K65" i="1"/>
  <c r="K67" i="1" s="1"/>
  <c r="E65" i="1"/>
  <c r="E54" i="1"/>
  <c r="E29" i="1"/>
  <c r="E16" i="1"/>
  <c r="E74" i="1" s="1"/>
  <c r="E80" i="1" s="1"/>
  <c r="E83" i="1" s="1"/>
  <c r="E85" i="1" s="1"/>
  <c r="E87" i="1" s="1"/>
  <c r="E33" i="1" s="1"/>
  <c r="E38" i="1" s="1"/>
  <c r="E40" i="1" s="1"/>
  <c r="D22" i="11"/>
  <c r="E27" i="15" s="1"/>
  <c r="J27" i="15" s="1"/>
  <c r="D19" i="11"/>
  <c r="E24" i="15" s="1"/>
  <c r="J24" i="15" s="1"/>
  <c r="D18" i="11"/>
  <c r="E23" i="15" s="1"/>
  <c r="J23" i="15" s="1"/>
  <c r="D17" i="11"/>
  <c r="E22" i="15" s="1"/>
  <c r="J22" i="15" s="1"/>
  <c r="D16" i="11"/>
  <c r="E21" i="15" s="1"/>
  <c r="J21" i="15" s="1"/>
  <c r="D15" i="11"/>
  <c r="E20" i="15" s="1"/>
  <c r="J20" i="15" s="1"/>
  <c r="B2" i="7"/>
  <c r="A2" i="1"/>
  <c r="N61" i="4"/>
  <c r="B86" i="1"/>
  <c r="B82" i="1"/>
  <c r="B76" i="1"/>
  <c r="H73" i="4" s="1"/>
  <c r="B75" i="1"/>
  <c r="B64" i="1"/>
  <c r="B63" i="1"/>
  <c r="H60" i="4" s="1"/>
  <c r="B62" i="1"/>
  <c r="H59" i="4" s="1"/>
  <c r="B61" i="1"/>
  <c r="H58" i="4" s="1"/>
  <c r="B60" i="1"/>
  <c r="B58" i="1"/>
  <c r="H55" i="4" s="1"/>
  <c r="B53" i="1"/>
  <c r="H50" i="4" s="1"/>
  <c r="B52" i="1"/>
  <c r="H49" i="4" s="1"/>
  <c r="B51" i="1"/>
  <c r="H48" i="4" s="1"/>
  <c r="B50" i="1"/>
  <c r="H47" i="4" s="1"/>
  <c r="B49" i="1"/>
  <c r="H46" i="4" s="1"/>
  <c r="B48" i="1"/>
  <c r="H45" i="4" s="1"/>
  <c r="B47" i="1"/>
  <c r="H44" i="4" s="1"/>
  <c r="B46" i="1"/>
  <c r="H43" i="4" s="1"/>
  <c r="B45" i="1"/>
  <c r="H42" i="4" s="1"/>
  <c r="B44" i="1"/>
  <c r="H41" i="4" s="1"/>
  <c r="B37" i="1"/>
  <c r="B36" i="1"/>
  <c r="H33" i="4" s="1"/>
  <c r="B34" i="1"/>
  <c r="B32" i="1"/>
  <c r="H29" i="4" s="1"/>
  <c r="B31" i="1"/>
  <c r="H28" i="4" s="1"/>
  <c r="B28" i="1"/>
  <c r="H25" i="4" s="1"/>
  <c r="B27" i="1"/>
  <c r="H24" i="4" s="1"/>
  <c r="B25" i="1"/>
  <c r="H22" i="4" s="1"/>
  <c r="B24" i="1"/>
  <c r="H21" i="4" s="1"/>
  <c r="B23" i="1"/>
  <c r="H20" i="4" s="1"/>
  <c r="B20" i="1"/>
  <c r="H17" i="4" s="1"/>
  <c r="B15" i="1"/>
  <c r="H12" i="4" s="1"/>
  <c r="B14" i="1"/>
  <c r="H11" i="4" s="1"/>
  <c r="B13" i="1"/>
  <c r="H10" i="4" s="1"/>
  <c r="B12" i="1"/>
  <c r="H9" i="4" s="1"/>
  <c r="W65" i="1"/>
  <c r="W54" i="1"/>
  <c r="W29" i="1"/>
  <c r="W16" i="1"/>
  <c r="W74" i="1" s="1"/>
  <c r="W80" i="1" s="1"/>
  <c r="W83" i="1" s="1"/>
  <c r="W85" i="1" s="1"/>
  <c r="W87" i="1" s="1"/>
  <c r="W33" i="1" s="1"/>
  <c r="W38" i="1" s="1"/>
  <c r="W40" i="1" s="1"/>
  <c r="U65" i="1"/>
  <c r="T65" i="1"/>
  <c r="U54" i="1"/>
  <c r="T54" i="1"/>
  <c r="U29" i="1"/>
  <c r="U16" i="1"/>
  <c r="U74" i="1" s="1"/>
  <c r="U80" i="1" s="1"/>
  <c r="U83" i="1" s="1"/>
  <c r="U85" i="1" s="1"/>
  <c r="U87" i="1" s="1"/>
  <c r="U33" i="1" s="1"/>
  <c r="U38" i="1" s="1"/>
  <c r="U40" i="1" s="1"/>
  <c r="T16" i="1"/>
  <c r="T29" i="1"/>
  <c r="H29" i="1"/>
  <c r="C79" i="11"/>
  <c r="M30" i="4"/>
  <c r="B39" i="1"/>
  <c r="C14" i="11"/>
  <c r="C25" i="11"/>
  <c r="C72" i="11"/>
  <c r="C71" i="11"/>
  <c r="C24" i="11"/>
  <c r="C21" i="11"/>
  <c r="C6" i="11"/>
  <c r="C7" i="11"/>
  <c r="C8" i="11"/>
  <c r="C30" i="11"/>
  <c r="C31" i="11"/>
  <c r="C37" i="11"/>
  <c r="C38" i="11"/>
  <c r="C39" i="11"/>
  <c r="C40" i="11"/>
  <c r="C41" i="11"/>
  <c r="C42" i="11"/>
  <c r="C43" i="11"/>
  <c r="C44" i="11"/>
  <c r="C45" i="11"/>
  <c r="C46" i="11"/>
  <c r="C47" i="11"/>
  <c r="C51" i="11"/>
  <c r="C52" i="11"/>
  <c r="C53" i="11"/>
  <c r="C54" i="11"/>
  <c r="C55" i="11"/>
  <c r="C56" i="11"/>
  <c r="C57" i="11"/>
  <c r="C69" i="11"/>
  <c r="C26" i="11"/>
  <c r="C9" i="11"/>
  <c r="V54" i="1"/>
  <c r="V29" i="1"/>
  <c r="V16" i="1"/>
  <c r="K54" i="1"/>
  <c r="K29" i="1"/>
  <c r="K16" i="1"/>
  <c r="J65" i="1"/>
  <c r="J54" i="1"/>
  <c r="J29" i="1"/>
  <c r="J16" i="1"/>
  <c r="K74" i="1"/>
  <c r="K80" i="1" s="1"/>
  <c r="K83" i="1" s="1"/>
  <c r="K85" i="1" s="1"/>
  <c r="K87" i="1" s="1"/>
  <c r="K33" i="1" s="1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K38" i="1"/>
  <c r="K40" i="1" s="1"/>
  <c r="L63" i="15"/>
  <c r="S54" i="1"/>
  <c r="S29" i="1"/>
  <c r="P65" i="1"/>
  <c r="Q65" i="1"/>
  <c r="R65" i="1"/>
  <c r="R67" i="1" s="1"/>
  <c r="P54" i="1"/>
  <c r="Q54" i="1"/>
  <c r="R54" i="1"/>
  <c r="P29" i="1"/>
  <c r="Q29" i="1"/>
  <c r="R29" i="1"/>
  <c r="P16" i="1"/>
  <c r="P74" i="1" s="1"/>
  <c r="Q16" i="1"/>
  <c r="R16" i="1"/>
  <c r="R74" i="1"/>
  <c r="R80" i="1" s="1"/>
  <c r="R83" i="1" s="1"/>
  <c r="R85" i="1" s="1"/>
  <c r="R87" i="1" s="1"/>
  <c r="R33" i="1" s="1"/>
  <c r="R38" i="1" s="1"/>
  <c r="R40" i="1" s="1"/>
  <c r="Q74" i="1"/>
  <c r="Q80" i="1" s="1"/>
  <c r="Q83" i="1" s="1"/>
  <c r="Q85" i="1" s="1"/>
  <c r="Q87" i="1" s="1"/>
  <c r="Q33" i="1" s="1"/>
  <c r="Q38" i="1" s="1"/>
  <c r="Q40" i="1" s="1"/>
  <c r="H15" i="15"/>
  <c r="L80" i="15"/>
  <c r="C28" i="11"/>
  <c r="C75" i="11"/>
  <c r="H53" i="15"/>
  <c r="L62" i="4"/>
  <c r="L51" i="4"/>
  <c r="L31" i="4"/>
  <c r="H83" i="4"/>
  <c r="L64" i="4"/>
  <c r="H31" i="4"/>
  <c r="S16" i="1"/>
  <c r="S74" i="1"/>
  <c r="S80" i="1" s="1"/>
  <c r="S83" i="1" s="1"/>
  <c r="S85" i="1" s="1"/>
  <c r="S87" i="1" s="1"/>
  <c r="S33" i="1" s="1"/>
  <c r="S38" i="1" s="1"/>
  <c r="S40" i="1" s="1"/>
  <c r="N65" i="1"/>
  <c r="N16" i="1"/>
  <c r="D16" i="1"/>
  <c r="H34" i="4"/>
  <c r="I29" i="1"/>
  <c r="M16" i="1"/>
  <c r="M54" i="1"/>
  <c r="M65" i="1"/>
  <c r="L16" i="1"/>
  <c r="L74" i="1" s="1"/>
  <c r="L80" i="1" s="1"/>
  <c r="L83" i="1" s="1"/>
  <c r="L85" i="1" s="1"/>
  <c r="L87" i="1" s="1"/>
  <c r="L33" i="1" s="1"/>
  <c r="L38" i="1" s="1"/>
  <c r="L40" i="1" s="1"/>
  <c r="L54" i="1"/>
  <c r="I16" i="1"/>
  <c r="I54" i="1"/>
  <c r="I65" i="1"/>
  <c r="I67" i="1" s="1"/>
  <c r="H16" i="1"/>
  <c r="H54" i="1"/>
  <c r="H65" i="1"/>
  <c r="H67" i="1" s="1"/>
  <c r="G16" i="1"/>
  <c r="G29" i="1"/>
  <c r="G74" i="1" s="1"/>
  <c r="G80" i="1" s="1"/>
  <c r="G83" i="1" s="1"/>
  <c r="G85" i="1" s="1"/>
  <c r="G87" i="1" s="1"/>
  <c r="G33" i="1" s="1"/>
  <c r="G38" i="1" s="1"/>
  <c r="G40" i="1" s="1"/>
  <c r="G54" i="1"/>
  <c r="G65" i="1"/>
  <c r="F16" i="1"/>
  <c r="F74" i="1" s="1"/>
  <c r="F80" i="1" s="1"/>
  <c r="F83" i="1" s="1"/>
  <c r="F85" i="1" s="1"/>
  <c r="F87" i="1" s="1"/>
  <c r="F33" i="1" s="1"/>
  <c r="F29" i="1"/>
  <c r="F54" i="1"/>
  <c r="F65" i="1"/>
  <c r="D54" i="1"/>
  <c r="D65" i="1"/>
  <c r="C16" i="1"/>
  <c r="C74" i="1" s="1"/>
  <c r="C80" i="1" s="1"/>
  <c r="C83" i="1" s="1"/>
  <c r="C85" i="1" s="1"/>
  <c r="C87" i="1" s="1"/>
  <c r="C33" i="1" s="1"/>
  <c r="C29" i="1"/>
  <c r="C54" i="1"/>
  <c r="C65" i="1"/>
  <c r="H74" i="1"/>
  <c r="H80" i="1" s="1"/>
  <c r="H83" i="1" s="1"/>
  <c r="H85" i="1" s="1"/>
  <c r="H87" i="1" s="1"/>
  <c r="H33" i="1" s="1"/>
  <c r="H38" i="1" s="1"/>
  <c r="H40" i="1" s="1"/>
  <c r="H57" i="4"/>
  <c r="L29" i="1"/>
  <c r="M29" i="1"/>
  <c r="M74" i="1"/>
  <c r="M80" i="1" s="1"/>
  <c r="M83" i="1" s="1"/>
  <c r="M85" i="1" s="1"/>
  <c r="M87" i="1" s="1"/>
  <c r="M33" i="1" s="1"/>
  <c r="M38" i="1" s="1"/>
  <c r="M40" i="1" s="1"/>
  <c r="L67" i="1" l="1"/>
  <c r="C22" i="11"/>
  <c r="N74" i="1"/>
  <c r="N80" i="1" s="1"/>
  <c r="N83" i="1" s="1"/>
  <c r="N85" i="1" s="1"/>
  <c r="N87" i="1" s="1"/>
  <c r="N33" i="1" s="1"/>
  <c r="E27" i="11" s="1"/>
  <c r="B19" i="16"/>
  <c r="C31" i="16"/>
  <c r="B32" i="16"/>
  <c r="B30" i="16"/>
  <c r="U67" i="1"/>
  <c r="E28" i="16" s="1" a="1"/>
  <c r="C10" i="11"/>
  <c r="F67" i="1"/>
  <c r="B37" i="16"/>
  <c r="W67" i="1"/>
  <c r="M67" i="1"/>
  <c r="J67" i="1"/>
  <c r="C59" i="11"/>
  <c r="C19" i="11"/>
  <c r="C18" i="11"/>
  <c r="C17" i="11"/>
  <c r="C15" i="11"/>
  <c r="B19" i="1"/>
  <c r="H16" i="4" s="1"/>
  <c r="J16" i="4" s="1"/>
  <c r="N16" i="4" s="1"/>
  <c r="D13" i="11"/>
  <c r="C16" i="11"/>
  <c r="B26" i="1"/>
  <c r="H23" i="4" s="1"/>
  <c r="D20" i="11"/>
  <c r="C48" i="11"/>
  <c r="E78" i="11"/>
  <c r="F81" i="15"/>
  <c r="F38" i="1"/>
  <c r="F40" i="1" s="1"/>
  <c r="L26" i="15"/>
  <c r="F15" i="15"/>
  <c r="G15" i="15"/>
  <c r="L59" i="15"/>
  <c r="L19" i="15"/>
  <c r="L50" i="15"/>
  <c r="H64" i="15"/>
  <c r="H66" i="15" s="1"/>
  <c r="D29" i="1"/>
  <c r="D74" i="1" s="1"/>
  <c r="D80" i="1" s="1"/>
  <c r="D83" i="1" s="1"/>
  <c r="D85" i="1" s="1"/>
  <c r="D87" i="1" s="1"/>
  <c r="D33" i="1" s="1"/>
  <c r="D27" i="11" s="1"/>
  <c r="E32" i="15" s="1"/>
  <c r="B16" i="1"/>
  <c r="B17" i="16"/>
  <c r="B21" i="16"/>
  <c r="B23" i="16"/>
  <c r="C20" i="16"/>
  <c r="C37" i="16"/>
  <c r="C28" i="16"/>
  <c r="C21" i="16"/>
  <c r="C18" i="16"/>
  <c r="B13" i="16"/>
  <c r="B29" i="16"/>
  <c r="B11" i="16"/>
  <c r="B57" i="1"/>
  <c r="H54" i="4" s="1"/>
  <c r="F28" i="15"/>
  <c r="C38" i="1"/>
  <c r="C40" i="1" s="1"/>
  <c r="E11" i="16" a="1"/>
  <c r="V74" i="1"/>
  <c r="V80" i="1" s="1"/>
  <c r="V83" i="1" s="1"/>
  <c r="V85" i="1" s="1"/>
  <c r="V87" i="1" s="1"/>
  <c r="V33" i="1" s="1"/>
  <c r="T74" i="1"/>
  <c r="T80" i="1" s="1"/>
  <c r="T83" i="1" s="1"/>
  <c r="T85" i="1" s="1"/>
  <c r="T87" i="1" s="1"/>
  <c r="T33" i="1" s="1"/>
  <c r="H13" i="4"/>
  <c r="H28" i="15"/>
  <c r="J40" i="1"/>
  <c r="J74" i="1"/>
  <c r="J80" i="1" s="1"/>
  <c r="J83" i="1" s="1"/>
  <c r="J85" i="1" s="1"/>
  <c r="J87" i="1" s="1"/>
  <c r="J33" i="1" s="1"/>
  <c r="B21" i="1"/>
  <c r="H18" i="4" s="1"/>
  <c r="B30" i="1"/>
  <c r="H27" i="4" s="1"/>
  <c r="B59" i="1"/>
  <c r="H56" i="4" s="1"/>
  <c r="S65" i="1"/>
  <c r="S67" i="1" s="1"/>
  <c r="V65" i="1"/>
  <c r="V67" i="1" s="1"/>
  <c r="J47" i="4"/>
  <c r="N47" i="4" s="1"/>
  <c r="J59" i="4"/>
  <c r="N59" i="4" s="1"/>
  <c r="J38" i="1"/>
  <c r="I74" i="1"/>
  <c r="I80" i="1" s="1"/>
  <c r="I83" i="1" s="1"/>
  <c r="I85" i="1" s="1"/>
  <c r="I87" i="1" s="1"/>
  <c r="I33" i="1" s="1"/>
  <c r="I38" i="1" s="1"/>
  <c r="I40" i="1" s="1"/>
  <c r="J20" i="4"/>
  <c r="N20" i="4" s="1"/>
  <c r="J33" i="4"/>
  <c r="N33" i="4" s="1"/>
  <c r="J48" i="4"/>
  <c r="N48" i="4" s="1"/>
  <c r="J21" i="4"/>
  <c r="J49" i="4"/>
  <c r="N49" i="4" s="1"/>
  <c r="C13" i="16"/>
  <c r="B20" i="16"/>
  <c r="C22" i="16"/>
  <c r="B31" i="16"/>
  <c r="B16" i="16"/>
  <c r="B22" i="1"/>
  <c r="H19" i="4" s="1"/>
  <c r="J41" i="4"/>
  <c r="N41" i="4" s="1"/>
  <c r="C23" i="16"/>
  <c r="C29" i="16"/>
  <c r="B79" i="1"/>
  <c r="H76" i="4" s="1"/>
  <c r="J10" i="4"/>
  <c r="N10" i="4" s="1"/>
  <c r="J24" i="4"/>
  <c r="J43" i="4"/>
  <c r="N43" i="4" s="1"/>
  <c r="B22" i="16"/>
  <c r="C17" i="16"/>
  <c r="C30" i="16"/>
  <c r="C16" i="16"/>
  <c r="J25" i="4"/>
  <c r="N25" i="4" s="1"/>
  <c r="J44" i="4"/>
  <c r="N44" i="4" s="1"/>
  <c r="J57" i="4"/>
  <c r="B24" i="16"/>
  <c r="C24" i="16"/>
  <c r="B33" i="16"/>
  <c r="C32" i="16"/>
  <c r="J17" i="4"/>
  <c r="N17" i="4" s="1"/>
  <c r="J31" i="4"/>
  <c r="N31" i="4" s="1"/>
  <c r="J58" i="4"/>
  <c r="F74" i="4"/>
  <c r="C75" i="15" s="1"/>
  <c r="E9" i="3"/>
  <c r="C14" i="7"/>
  <c r="E8" i="3"/>
  <c r="E11" i="3" s="1"/>
  <c r="C6" i="7"/>
  <c r="J55" i="4"/>
  <c r="B78" i="1"/>
  <c r="H75" i="4" s="1"/>
  <c r="B43" i="1"/>
  <c r="H40" i="4" s="1"/>
  <c r="D26" i="3"/>
  <c r="D30" i="3" s="1"/>
  <c r="D32" i="3" s="1"/>
  <c r="D34" i="3" s="1"/>
  <c r="L33" i="15"/>
  <c r="B35" i="1"/>
  <c r="H32" i="4" s="1"/>
  <c r="N38" i="1"/>
  <c r="N40" i="1" s="1"/>
  <c r="N54" i="1"/>
  <c r="N67" i="1" s="1"/>
  <c r="F45" i="4"/>
  <c r="B62" i="4"/>
  <c r="F34" i="4"/>
  <c r="F60" i="4"/>
  <c r="B13" i="4"/>
  <c r="L61" i="15"/>
  <c r="B26" i="4"/>
  <c r="F28" i="4"/>
  <c r="F56" i="4"/>
  <c r="C58" i="15" s="1"/>
  <c r="F18" i="4"/>
  <c r="C20" i="15" s="1"/>
  <c r="F23" i="4"/>
  <c r="C25" i="15" s="1"/>
  <c r="F73" i="4"/>
  <c r="F76" i="4"/>
  <c r="C77" i="15" s="1"/>
  <c r="L77" i="15" s="1"/>
  <c r="F11" i="4"/>
  <c r="F46" i="4"/>
  <c r="F50" i="4"/>
  <c r="F42" i="4"/>
  <c r="B51" i="4"/>
  <c r="F12" i="4"/>
  <c r="D70" i="19" l="1"/>
  <c r="F70" i="19"/>
  <c r="D70" i="20"/>
  <c r="H70" i="19"/>
  <c r="E70" i="17"/>
  <c r="E70" i="19"/>
  <c r="G70" i="19"/>
  <c r="C70" i="20"/>
  <c r="B70" i="20" s="1"/>
  <c r="H70" i="18"/>
  <c r="K70" i="18"/>
  <c r="D70" i="18"/>
  <c r="I70" i="18"/>
  <c r="F70" i="18"/>
  <c r="G70" i="18"/>
  <c r="E70" i="18"/>
  <c r="L70" i="18"/>
  <c r="J70" i="18"/>
  <c r="C70" i="18"/>
  <c r="C70" i="17"/>
  <c r="D70" i="17"/>
  <c r="C61" i="11"/>
  <c r="J28" i="4"/>
  <c r="N28" i="4" s="1"/>
  <c r="C30" i="15"/>
  <c r="L30" i="15" s="1"/>
  <c r="J46" i="4"/>
  <c r="N46" i="4" s="1"/>
  <c r="C48" i="15"/>
  <c r="L48" i="15" s="1"/>
  <c r="J50" i="4"/>
  <c r="N50" i="4" s="1"/>
  <c r="C52" i="15"/>
  <c r="L52" i="15" s="1"/>
  <c r="J60" i="4"/>
  <c r="N60" i="4" s="1"/>
  <c r="C62" i="15"/>
  <c r="L62" i="15" s="1"/>
  <c r="J45" i="4"/>
  <c r="N45" i="4" s="1"/>
  <c r="C47" i="15"/>
  <c r="L47" i="15" s="1"/>
  <c r="J11" i="4"/>
  <c r="N11" i="4" s="1"/>
  <c r="C13" i="15"/>
  <c r="L13" i="15" s="1"/>
  <c r="J12" i="4"/>
  <c r="N12" i="4" s="1"/>
  <c r="C14" i="15"/>
  <c r="L14" i="15" s="1"/>
  <c r="J73" i="4"/>
  <c r="N73" i="4" s="1"/>
  <c r="C74" i="15"/>
  <c r="L74" i="15" s="1"/>
  <c r="J42" i="4"/>
  <c r="N42" i="4" s="1"/>
  <c r="C44" i="15"/>
  <c r="L44" i="15" s="1"/>
  <c r="J34" i="4"/>
  <c r="N34" i="4" s="1"/>
  <c r="C36" i="15"/>
  <c r="L36" i="15" s="1"/>
  <c r="V38" i="1"/>
  <c r="V40" i="1" s="1"/>
  <c r="D36" i="16" s="1" a="1"/>
  <c r="D36" i="16" s="1"/>
  <c r="G27" i="11"/>
  <c r="J23" i="4"/>
  <c r="N23" i="4" s="1"/>
  <c r="B29" i="1"/>
  <c r="D38" i="1"/>
  <c r="D40" i="1" s="1"/>
  <c r="D11" i="16" s="1" a="1"/>
  <c r="D23" i="11"/>
  <c r="E18" i="15"/>
  <c r="J18" i="15" s="1"/>
  <c r="C13" i="11"/>
  <c r="E25" i="15"/>
  <c r="J25" i="15" s="1"/>
  <c r="C20" i="11"/>
  <c r="F32" i="15"/>
  <c r="E32" i="11"/>
  <c r="E34" i="11" s="1"/>
  <c r="E80" i="11"/>
  <c r="F83" i="15"/>
  <c r="T38" i="1"/>
  <c r="T40" i="1" s="1"/>
  <c r="L43" i="15"/>
  <c r="L35" i="15"/>
  <c r="L22" i="15"/>
  <c r="L51" i="15"/>
  <c r="L45" i="15"/>
  <c r="L76" i="15"/>
  <c r="E64" i="15"/>
  <c r="L12" i="15"/>
  <c r="L60" i="15"/>
  <c r="L27" i="15"/>
  <c r="J18" i="4"/>
  <c r="N18" i="4" s="1"/>
  <c r="N24" i="4"/>
  <c r="J27" i="4"/>
  <c r="L57" i="15"/>
  <c r="J54" i="4"/>
  <c r="N54" i="4" s="1"/>
  <c r="E36" i="16" a="1"/>
  <c r="E36" i="16" s="1"/>
  <c r="B65" i="1"/>
  <c r="N21" i="4"/>
  <c r="N57" i="4"/>
  <c r="N58" i="4"/>
  <c r="J56" i="4"/>
  <c r="H62" i="4"/>
  <c r="J19" i="4"/>
  <c r="N19" i="4" s="1"/>
  <c r="L46" i="15"/>
  <c r="B74" i="1"/>
  <c r="J75" i="4"/>
  <c r="N75" i="4" s="1"/>
  <c r="L23" i="15"/>
  <c r="G28" i="15"/>
  <c r="D16" i="16" a="1"/>
  <c r="D20" i="16" s="1"/>
  <c r="E15" i="15"/>
  <c r="E13" i="16"/>
  <c r="E12" i="16"/>
  <c r="E11" i="16"/>
  <c r="E32" i="16"/>
  <c r="E31" i="16"/>
  <c r="E28" i="16"/>
  <c r="E30" i="16"/>
  <c r="E29" i="16"/>
  <c r="E33" i="16"/>
  <c r="L21" i="15"/>
  <c r="H26" i="4"/>
  <c r="J76" i="4"/>
  <c r="C11" i="7"/>
  <c r="N55" i="4"/>
  <c r="J40" i="4"/>
  <c r="N40" i="4" s="1"/>
  <c r="H51" i="4"/>
  <c r="B54" i="1"/>
  <c r="J32" i="4"/>
  <c r="B71" i="4"/>
  <c r="F62" i="4"/>
  <c r="B35" i="4"/>
  <c r="B64" i="4"/>
  <c r="F51" i="4"/>
  <c r="B70" i="17" l="1"/>
  <c r="B70" i="18"/>
  <c r="C64" i="15"/>
  <c r="C53" i="15"/>
  <c r="D37" i="16"/>
  <c r="D38" i="16" s="1"/>
  <c r="H32" i="15"/>
  <c r="H37" i="15" s="1"/>
  <c r="H39" i="15" s="1"/>
  <c r="G32" i="11"/>
  <c r="G34" i="11" s="1"/>
  <c r="C23" i="11"/>
  <c r="D67" i="11"/>
  <c r="D32" i="11"/>
  <c r="D34" i="11" s="1"/>
  <c r="E64" i="11"/>
  <c r="F69" i="15" s="1"/>
  <c r="E14" i="16"/>
  <c r="L34" i="15"/>
  <c r="G64" i="15"/>
  <c r="E53" i="15"/>
  <c r="E66" i="15" s="1"/>
  <c r="L58" i="15"/>
  <c r="L49" i="15"/>
  <c r="G53" i="15"/>
  <c r="F53" i="15"/>
  <c r="N27" i="4"/>
  <c r="J71" i="1"/>
  <c r="I71" i="1"/>
  <c r="W71" i="1"/>
  <c r="C71" i="1"/>
  <c r="E37" i="16"/>
  <c r="E38" i="16" s="1"/>
  <c r="S71" i="1"/>
  <c r="Q71" i="1"/>
  <c r="J62" i="4"/>
  <c r="N56" i="4"/>
  <c r="N62" i="4" s="1"/>
  <c r="F71" i="1"/>
  <c r="F25" i="16"/>
  <c r="O71" i="1"/>
  <c r="G68" i="4"/>
  <c r="L71" i="1"/>
  <c r="N71" i="1"/>
  <c r="U71" i="1"/>
  <c r="G71" i="1"/>
  <c r="F64" i="4"/>
  <c r="T71" i="1"/>
  <c r="D71" i="1"/>
  <c r="F36" i="16"/>
  <c r="D24" i="16"/>
  <c r="D23" i="16"/>
  <c r="D19" i="16"/>
  <c r="N76" i="4"/>
  <c r="D17" i="16"/>
  <c r="D21" i="16"/>
  <c r="D11" i="16"/>
  <c r="F11" i="16" s="1"/>
  <c r="D13" i="16"/>
  <c r="F13" i="16" s="1"/>
  <c r="D12" i="16"/>
  <c r="F12" i="16" s="1"/>
  <c r="J15" i="15"/>
  <c r="H71" i="4"/>
  <c r="D18" i="16"/>
  <c r="E34" i="16"/>
  <c r="D16" i="16"/>
  <c r="L25" i="15"/>
  <c r="L20" i="15"/>
  <c r="D22" i="16"/>
  <c r="K71" i="1"/>
  <c r="H71" i="1"/>
  <c r="E71" i="1"/>
  <c r="M71" i="1"/>
  <c r="R71" i="1"/>
  <c r="V71" i="1"/>
  <c r="H64" i="4"/>
  <c r="J51" i="4"/>
  <c r="B67" i="1"/>
  <c r="E16" i="16" a="1"/>
  <c r="N32" i="4"/>
  <c r="N51" i="4"/>
  <c r="B37" i="4"/>
  <c r="D9" i="4" s="1"/>
  <c r="C66" i="15"/>
  <c r="B77" i="4"/>
  <c r="D26" i="16" l="1"/>
  <c r="G64" i="11"/>
  <c r="H69" i="15" s="1"/>
  <c r="D64" i="11"/>
  <c r="E69" i="15" s="1"/>
  <c r="D73" i="11"/>
  <c r="E72" i="15"/>
  <c r="J72" i="15" s="1"/>
  <c r="C67" i="11"/>
  <c r="G66" i="15"/>
  <c r="L29" i="15"/>
  <c r="J53" i="15"/>
  <c r="L42" i="15"/>
  <c r="L53" i="15" s="1"/>
  <c r="F64" i="15"/>
  <c r="F66" i="15" s="1"/>
  <c r="E28" i="15"/>
  <c r="F37" i="16"/>
  <c r="F38" i="16" s="1"/>
  <c r="H38" i="16" s="1"/>
  <c r="J28" i="15"/>
  <c r="L18" i="15"/>
  <c r="B68" i="4"/>
  <c r="F14" i="16"/>
  <c r="H15" i="16" s="1"/>
  <c r="E8" i="16"/>
  <c r="D14" i="16"/>
  <c r="J64" i="4"/>
  <c r="C10" i="7" s="1"/>
  <c r="C12" i="7" s="1"/>
  <c r="C16" i="7" s="1"/>
  <c r="P77" i="1" s="1"/>
  <c r="E24" i="16"/>
  <c r="F24" i="16" s="1"/>
  <c r="E23" i="16"/>
  <c r="F23" i="16" s="1"/>
  <c r="E22" i="16"/>
  <c r="F22" i="16" s="1"/>
  <c r="E18" i="16"/>
  <c r="F18" i="16" s="1"/>
  <c r="E16" i="16"/>
  <c r="E17" i="16"/>
  <c r="F17" i="16" s="1"/>
  <c r="E21" i="16"/>
  <c r="F21" i="16" s="1"/>
  <c r="E19" i="16"/>
  <c r="F19" i="16" s="1"/>
  <c r="E20" i="16"/>
  <c r="F20" i="16" s="1"/>
  <c r="B80" i="4"/>
  <c r="B66" i="4"/>
  <c r="B67" i="4" s="1"/>
  <c r="N64" i="4"/>
  <c r="F70" i="11" l="1"/>
  <c r="F73" i="11" s="1"/>
  <c r="C76" i="19"/>
  <c r="E26" i="16"/>
  <c r="E40" i="16" s="1"/>
  <c r="E42" i="16" s="1"/>
  <c r="D76" i="11"/>
  <c r="E78" i="15"/>
  <c r="J64" i="15"/>
  <c r="J66" i="15" s="1"/>
  <c r="L56" i="15"/>
  <c r="F16" i="16"/>
  <c r="D22" i="4"/>
  <c r="D29" i="4"/>
  <c r="F29" i="4" s="1"/>
  <c r="D13" i="4"/>
  <c r="C69" i="15"/>
  <c r="F9" i="4"/>
  <c r="C11" i="15" s="1"/>
  <c r="B77" i="1"/>
  <c r="H74" i="4" s="1"/>
  <c r="P80" i="1"/>
  <c r="B82" i="4"/>
  <c r="C70" i="11" l="1"/>
  <c r="G75" i="15"/>
  <c r="J75" i="15" s="1"/>
  <c r="B76" i="19"/>
  <c r="C79" i="19"/>
  <c r="J29" i="4"/>
  <c r="C31" i="15"/>
  <c r="L31" i="15" s="1"/>
  <c r="C15" i="15"/>
  <c r="L11" i="15"/>
  <c r="L15" i="15" s="1"/>
  <c r="D78" i="11"/>
  <c r="E81" i="15"/>
  <c r="F76" i="11"/>
  <c r="G78" i="15"/>
  <c r="J78" i="15" s="1"/>
  <c r="C73" i="11"/>
  <c r="L64" i="15"/>
  <c r="F26" i="16"/>
  <c r="H26" i="16" s="1"/>
  <c r="D71" i="4"/>
  <c r="F71" i="4" s="1"/>
  <c r="P83" i="1"/>
  <c r="B80" i="1"/>
  <c r="H77" i="4"/>
  <c r="J74" i="4"/>
  <c r="D26" i="4"/>
  <c r="F22" i="4"/>
  <c r="C24" i="15" s="1"/>
  <c r="J9" i="4"/>
  <c r="F13" i="4"/>
  <c r="B83" i="4"/>
  <c r="C82" i="19" l="1"/>
  <c r="B79" i="19"/>
  <c r="F77" i="4"/>
  <c r="C78" i="15" s="1"/>
  <c r="C72" i="15"/>
  <c r="L24" i="15"/>
  <c r="L28" i="15" s="1"/>
  <c r="L72" i="15" s="1"/>
  <c r="C28" i="15"/>
  <c r="D80" i="11"/>
  <c r="E83" i="15"/>
  <c r="G81" i="15"/>
  <c r="J81" i="15" s="1"/>
  <c r="F78" i="11"/>
  <c r="C76" i="11"/>
  <c r="L66" i="15"/>
  <c r="D77" i="4"/>
  <c r="D80" i="4" s="1"/>
  <c r="D82" i="4" s="1"/>
  <c r="D84" i="4" s="1"/>
  <c r="F84" i="4" s="1"/>
  <c r="C83" i="15" s="1"/>
  <c r="H80" i="4"/>
  <c r="J13" i="4"/>
  <c r="J22" i="4"/>
  <c r="F26" i="4"/>
  <c r="F83" i="4"/>
  <c r="J83" i="4" s="1"/>
  <c r="L75" i="15"/>
  <c r="N74" i="4"/>
  <c r="P85" i="1"/>
  <c r="B83" i="1"/>
  <c r="C84" i="19" l="1"/>
  <c r="B82" i="19"/>
  <c r="F80" i="11"/>
  <c r="C80" i="11" s="1"/>
  <c r="C27" i="11" s="1"/>
  <c r="C32" i="11" s="1"/>
  <c r="C34" i="11" s="1"/>
  <c r="C64" i="11" s="1"/>
  <c r="G83" i="15"/>
  <c r="J83" i="15" s="1"/>
  <c r="C78" i="11"/>
  <c r="F80" i="4"/>
  <c r="C81" i="15" s="1"/>
  <c r="B85" i="1"/>
  <c r="P87" i="1"/>
  <c r="J26" i="4"/>
  <c r="L78" i="15"/>
  <c r="N83" i="4"/>
  <c r="H82" i="4"/>
  <c r="D30" i="4"/>
  <c r="F82" i="4"/>
  <c r="C86" i="19" l="1"/>
  <c r="B84" i="19"/>
  <c r="H84" i="4"/>
  <c r="J71" i="4"/>
  <c r="P33" i="1"/>
  <c r="F27" i="11" s="1"/>
  <c r="B87" i="1"/>
  <c r="F30" i="4"/>
  <c r="C32" i="15" s="1"/>
  <c r="C37" i="15" s="1"/>
  <c r="C39" i="15" s="1"/>
  <c r="D35" i="4"/>
  <c r="D37" i="4" s="1"/>
  <c r="L81" i="15"/>
  <c r="C32" i="19" l="1"/>
  <c r="B86" i="19"/>
  <c r="G32" i="15"/>
  <c r="F32" i="11"/>
  <c r="F34" i="11" s="1"/>
  <c r="E37" i="15"/>
  <c r="E39" i="15" s="1"/>
  <c r="J77" i="4"/>
  <c r="B33" i="1"/>
  <c r="P38" i="1"/>
  <c r="H30" i="4"/>
  <c r="J84" i="4"/>
  <c r="F35" i="4"/>
  <c r="F37" i="4" s="1"/>
  <c r="L83" i="15"/>
  <c r="C37" i="19" l="1"/>
  <c r="B32" i="19"/>
  <c r="F68" i="4"/>
  <c r="F64" i="11"/>
  <c r="G69" i="15" s="1"/>
  <c r="J32" i="15"/>
  <c r="J37" i="15" s="1"/>
  <c r="J39" i="15" s="1"/>
  <c r="J69" i="15" s="1"/>
  <c r="G37" i="15"/>
  <c r="G39" i="15" s="1"/>
  <c r="H35" i="4"/>
  <c r="F66" i="4"/>
  <c r="F67" i="4" s="1"/>
  <c r="C68" i="15" s="1"/>
  <c r="D8" i="16"/>
  <c r="J80" i="4"/>
  <c r="B38" i="1"/>
  <c r="P40" i="1"/>
  <c r="J30" i="4"/>
  <c r="C39" i="19" l="1"/>
  <c r="C69" i="19" s="1"/>
  <c r="B37" i="19"/>
  <c r="C69" i="20"/>
  <c r="D69" i="20"/>
  <c r="B69" i="20"/>
  <c r="F69" i="19"/>
  <c r="J69" i="18"/>
  <c r="E69" i="19"/>
  <c r="D69" i="19"/>
  <c r="K69" i="18"/>
  <c r="L69" i="18"/>
  <c r="G69" i="19"/>
  <c r="H69" i="19"/>
  <c r="H69" i="18"/>
  <c r="F8" i="16"/>
  <c r="I69" i="18"/>
  <c r="E69" i="18"/>
  <c r="F69" i="18"/>
  <c r="G69" i="18"/>
  <c r="B69" i="18"/>
  <c r="C69" i="18"/>
  <c r="D69" i="18"/>
  <c r="O70" i="1"/>
  <c r="G70" i="1"/>
  <c r="U70" i="1"/>
  <c r="D70" i="1"/>
  <c r="C69" i="17"/>
  <c r="P70" i="1"/>
  <c r="S70" i="1"/>
  <c r="L70" i="1"/>
  <c r="H70" i="1"/>
  <c r="I70" i="1"/>
  <c r="J70" i="1"/>
  <c r="F70" i="1"/>
  <c r="C70" i="1"/>
  <c r="Q70" i="1"/>
  <c r="M70" i="1"/>
  <c r="W70" i="1"/>
  <c r="R70" i="1"/>
  <c r="E69" i="17"/>
  <c r="D63" i="11"/>
  <c r="E68" i="15" s="1"/>
  <c r="V70" i="1"/>
  <c r="E63" i="11"/>
  <c r="F68" i="15" s="1"/>
  <c r="E70" i="1"/>
  <c r="K70" i="1"/>
  <c r="T70" i="1"/>
  <c r="F63" i="11"/>
  <c r="G68" i="15" s="1"/>
  <c r="B69" i="17"/>
  <c r="D69" i="17"/>
  <c r="C63" i="11"/>
  <c r="G63" i="11"/>
  <c r="H68" i="15" s="1"/>
  <c r="N70" i="1"/>
  <c r="F37" i="15"/>
  <c r="F39" i="15" s="1"/>
  <c r="L32" i="15"/>
  <c r="J82" i="4"/>
  <c r="D67" i="4"/>
  <c r="D66" i="4"/>
  <c r="J35" i="4"/>
  <c r="D28" i="16" a="1"/>
  <c r="P71" i="1"/>
  <c r="B71" i="1" s="1"/>
  <c r="B40" i="1"/>
  <c r="B70" i="1" s="1"/>
  <c r="H37" i="4"/>
  <c r="H68" i="4" s="1"/>
  <c r="C70" i="19" l="1"/>
  <c r="B70" i="19" s="1"/>
  <c r="B39" i="19"/>
  <c r="B69" i="19" s="1"/>
  <c r="L37" i="15"/>
  <c r="D30" i="16"/>
  <c r="F30" i="16" s="1"/>
  <c r="D28" i="16"/>
  <c r="D33" i="16"/>
  <c r="D29" i="16"/>
  <c r="F29" i="16" s="1"/>
  <c r="D32" i="16"/>
  <c r="F32" i="16" s="1"/>
  <c r="D31" i="16"/>
  <c r="F31" i="16" s="1"/>
  <c r="J37" i="4"/>
  <c r="L39" i="15" l="1"/>
  <c r="L69" i="15" s="1"/>
  <c r="L9" i="4"/>
  <c r="J68" i="4"/>
  <c r="P68" i="4" s="1"/>
  <c r="F33" i="16"/>
  <c r="F28" i="16"/>
  <c r="D34" i="16"/>
  <c r="D40" i="16" s="1"/>
  <c r="D42" i="16" s="1"/>
  <c r="J66" i="4"/>
  <c r="P9" i="4" l="1"/>
  <c r="F34" i="16"/>
  <c r="F40" i="16" s="1"/>
  <c r="J67" i="4"/>
  <c r="L22" i="4"/>
  <c r="L29" i="4"/>
  <c r="L13" i="4"/>
  <c r="N9" i="4"/>
  <c r="N13" i="4" s="1"/>
  <c r="L68" i="15" l="1"/>
  <c r="H67" i="4"/>
  <c r="H66" i="4"/>
  <c r="H33" i="16"/>
  <c r="N29" i="4"/>
  <c r="L26" i="4"/>
  <c r="L71" i="4" s="1"/>
  <c r="N22" i="4"/>
  <c r="N26" i="4" s="1"/>
  <c r="H40" i="16"/>
  <c r="F42" i="16"/>
  <c r="N71" i="4" l="1"/>
  <c r="N77" i="4" s="1"/>
  <c r="N80" i="4" s="1"/>
  <c r="N82" i="4" s="1"/>
  <c r="N84" i="4" s="1"/>
  <c r="L77" i="4"/>
  <c r="L80" i="4" l="1"/>
  <c r="L82" i="4" l="1"/>
  <c r="L84" i="4" l="1"/>
  <c r="L30" i="4" l="1"/>
  <c r="N30" i="4" l="1"/>
  <c r="N35" i="4" s="1"/>
  <c r="N37" i="4" s="1"/>
  <c r="N66" i="4" s="1"/>
  <c r="L35" i="4"/>
  <c r="L37" i="4" l="1"/>
  <c r="L66" i="4"/>
  <c r="N67" i="4"/>
  <c r="L67" i="4" s="1"/>
</calcChain>
</file>

<file path=xl/sharedStrings.xml><?xml version="1.0" encoding="utf-8"?>
<sst xmlns="http://schemas.openxmlformats.org/spreadsheetml/2006/main" count="724" uniqueCount="236">
  <si>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</si>
  <si>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</si>
  <si>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</si>
  <si>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</si>
  <si>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</si>
  <si>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</si>
  <si>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</si>
  <si>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</si>
  <si>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</si>
  <si>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</si>
  <si>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</si>
  <si>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</si>
  <si>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</si>
  <si>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</si>
  <si>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</si>
  <si>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</si>
  <si>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</si>
  <si>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</si>
  <si>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</si>
  <si>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</si>
  <si>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</si>
  <si>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</si>
  <si>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</si>
  <si>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</si>
  <si>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</si>
  <si>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</si>
  <si>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</si>
  <si>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</si>
  <si>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</si>
  <si>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</si>
  <si>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</si>
  <si>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</si>
  <si>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</si>
  <si>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</si>
  <si>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</si>
  <si>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</si>
  <si>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</si>
  <si>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</si>
  <si>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</si>
  <si>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</si>
  <si>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</si>
  <si>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</si>
  <si>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</si>
  <si>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</si>
  <si>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</si>
  <si>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</si>
  <si>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</si>
  <si>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</si>
  <si>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</si>
  <si>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</si>
  <si>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</si>
  <si>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</si>
  <si>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</si>
  <si>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</si>
  <si>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</si>
  <si>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</si>
  <si>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</si>
  <si>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</si>
  <si>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</si>
  <si>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</si>
  <si>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</si>
  <si>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</si>
  <si>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</si>
  <si>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</si>
  <si>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</si>
  <si>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</si>
  <si>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</si>
  <si>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</si>
  <si>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</si>
  <si>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</si>
  <si>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</si>
  <si>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(1)</t>
  </si>
  <si>
    <t>(2)</t>
  </si>
  <si>
    <t>(3)</t>
  </si>
  <si>
    <t>(4)</t>
  </si>
  <si>
    <t>(5)</t>
  </si>
  <si>
    <t>(3) + (4)</t>
  </si>
  <si>
    <t>Unadjusted Interest Expense</t>
  </si>
  <si>
    <t>Restated Washington Allocated Rate Base</t>
  </si>
  <si>
    <t>Weighted Cost of Debt</t>
  </si>
  <si>
    <t>Restated Interest Expense</t>
  </si>
  <si>
    <t>Federal Income Taxes Before Credits</t>
  </si>
  <si>
    <t>Energy Tax Credits</t>
  </si>
  <si>
    <t>Federal Income Taxes</t>
  </si>
  <si>
    <t>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</si>
  <si>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</si>
  <si>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</si>
  <si>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</si>
  <si>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</si>
  <si>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</si>
  <si>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</si>
  <si>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</si>
  <si>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State Taxes</t>
  </si>
  <si>
    <t>Estimated Return on Equity Impact</t>
  </si>
  <si>
    <t>Variables</t>
  </si>
  <si>
    <t>Above</t>
  </si>
  <si>
    <t>Reference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</si>
  <si>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</si>
  <si>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</si>
  <si>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</si>
  <si>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</si>
  <si>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</si>
  <si>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</si>
  <si>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</si>
  <si>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</si>
  <si>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</si>
  <si>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NOI</t>
  </si>
  <si>
    <t>Rate Base</t>
  </si>
  <si>
    <t>Rev. Req.</t>
  </si>
  <si>
    <t xml:space="preserve">Notes: </t>
  </si>
  <si>
    <t>Total Adjusted Results</t>
  </si>
  <si>
    <t>Revenue Requirement Adjustment Summary</t>
  </si>
  <si>
    <t>Summary</t>
  </si>
  <si>
    <t>Total</t>
  </si>
  <si>
    <t>Federal Income Taxes + Other</t>
  </si>
  <si>
    <t>Adj. No.</t>
  </si>
  <si>
    <t>Line No.</t>
  </si>
  <si>
    <t>A</t>
  </si>
  <si>
    <t>B</t>
  </si>
  <si>
    <t>C</t>
  </si>
  <si>
    <t>D</t>
  </si>
  <si>
    <t>E</t>
  </si>
  <si>
    <t>F</t>
  </si>
  <si>
    <t>Subtotal Normalizing Adjustments</t>
  </si>
  <si>
    <t>WASHINGTON SUMMARY OF ADJUSTMENTS - PRO FORMA</t>
  </si>
  <si>
    <t>Check</t>
  </si>
  <si>
    <t>WUTC Public Utility Tax</t>
  </si>
  <si>
    <t>Federal Income Tax @ 21.00%</t>
  </si>
  <si>
    <t>Washington 2023 General Rate Case</t>
  </si>
  <si>
    <t>Energy &amp; Other Tax Credits</t>
  </si>
  <si>
    <t>13.1</t>
  </si>
  <si>
    <t>13.2</t>
  </si>
  <si>
    <t>Tab 13 - Revenues &amp; Expenses (Year 2)</t>
  </si>
  <si>
    <t>Tab 14 - Capital Additions / Depreciaion &amp; Amortization (Year 2)</t>
  </si>
  <si>
    <t>14.1</t>
  </si>
  <si>
    <t>Pro Forma Major Plant Additions - Year 2</t>
  </si>
  <si>
    <t>Pro Forma Depreciation &amp; Amortization Reserve - 
Year 2</t>
  </si>
  <si>
    <t>Pro Forma Depreciation &amp; Amortization Expense - 
Year 2</t>
  </si>
  <si>
    <t>14.2</t>
  </si>
  <si>
    <t>14.3</t>
  </si>
  <si>
    <t>14.4</t>
  </si>
  <si>
    <t>14.5</t>
  </si>
  <si>
    <t>14.6</t>
  </si>
  <si>
    <t>14.7</t>
  </si>
  <si>
    <t>14.8</t>
  </si>
  <si>
    <t>14.9</t>
  </si>
  <si>
    <t>15.1</t>
  </si>
  <si>
    <t>Property Taxes - 
Year 2</t>
  </si>
  <si>
    <t>15.2</t>
  </si>
  <si>
    <t>15.3</t>
  </si>
  <si>
    <t>15.4</t>
  </si>
  <si>
    <t>Permanent Schedule M Adjustment - Year 2</t>
  </si>
  <si>
    <t>15.5</t>
  </si>
  <si>
    <t>Tab 15 - Taxes (Year 2)</t>
  </si>
  <si>
    <t>16.1</t>
  </si>
  <si>
    <t>Regulatory Assets &amp; Liabilities Amortization - Year 2</t>
  </si>
  <si>
    <t>Remove Deferred State Tax Expense &amp; Balance - 
Year 2</t>
  </si>
  <si>
    <t>16.2</t>
  </si>
  <si>
    <t>Klamath Hydroelectric Assets Amortization - Year 2</t>
  </si>
  <si>
    <t>15.6</t>
  </si>
  <si>
    <t>Interest True-Up - Year 2</t>
  </si>
  <si>
    <t>2024 (Year 1) Results</t>
  </si>
  <si>
    <t>2025 (Year 2) Provisional Results</t>
  </si>
  <si>
    <t>Provisional Adjustment</t>
  </si>
  <si>
    <t>Wheeling Revenues - 
Year 2</t>
  </si>
  <si>
    <t xml:space="preserve">General Wage Increase (Pro Forma) - 
Year 2 </t>
  </si>
  <si>
    <t>Interest True-up Calculation - Year 2</t>
  </si>
  <si>
    <t>2024 (Year 1) Interest Expense</t>
  </si>
  <si>
    <t>Pryor Mountain REC Revenues - Year 2</t>
  </si>
  <si>
    <t>Year 1 Adjusted Results</t>
  </si>
  <si>
    <t>Year 1 
Price Change</t>
  </si>
  <si>
    <t>Year 1 Results with Price Change</t>
  </si>
  <si>
    <t>PowerTax ADIT Balance Adjustment - Year 2</t>
  </si>
  <si>
    <t>13.3</t>
  </si>
  <si>
    <t>(From Year 1 JAM - Results Tab)</t>
  </si>
  <si>
    <t>(6)</t>
  </si>
  <si>
    <t>(7)</t>
  </si>
  <si>
    <t>(5) + (6)</t>
  </si>
  <si>
    <t>Year 2 
Price Change</t>
  </si>
  <si>
    <t>Year 2 Results with Price Change</t>
  </si>
  <si>
    <t>14.10</t>
  </si>
  <si>
    <t>Major Transmission Capital Additions - 
Year 2</t>
  </si>
  <si>
    <t>Removal of TCJA Balances Adjustment - Year 2</t>
  </si>
  <si>
    <t>check</t>
  </si>
  <si>
    <t>Pro Forma JB Units 3, 4 and Colstrip 4 Additions - 
Year 2</t>
  </si>
  <si>
    <t>Pro Forma JB Units 1 &amp; 2 Additions - Year 2</t>
  </si>
  <si>
    <t>Revenue &amp; Expense Adjustments - Year 2
(Tab 13)</t>
  </si>
  <si>
    <t>Capital Additions / Depreciation &amp; Amortization - Year 2
(Tab 14)</t>
  </si>
  <si>
    <t>Tax Adjustments - Year 2
(Tab 15)</t>
  </si>
  <si>
    <t>Other Adjustments - Year 2
(Tab 16)</t>
  </si>
  <si>
    <t>Tab 13</t>
  </si>
  <si>
    <t>Tab 14</t>
  </si>
  <si>
    <t>Tab 16</t>
  </si>
  <si>
    <t>Tab 15</t>
  </si>
  <si>
    <t>Revenue &amp; Expense Adjustments - Year 2</t>
  </si>
  <si>
    <t>Tax Adjustments - Year 2</t>
  </si>
  <si>
    <t>Other Adjustments - Year 2</t>
  </si>
  <si>
    <t>Tabs 13-16</t>
  </si>
  <si>
    <t>Provisional Adjustments</t>
  </si>
  <si>
    <t>12 Months Ended June 2022</t>
  </si>
  <si>
    <r>
      <rPr>
        <b/>
        <sz val="10"/>
        <color rgb="FFFF0000"/>
        <rFont val="Arial"/>
        <family val="2"/>
      </rPr>
      <t>Confidential</t>
    </r>
    <r>
      <rPr>
        <b/>
        <sz val="10"/>
        <rFont val="Arial"/>
        <family val="2"/>
      </rPr>
      <t xml:space="preserve"> Wind Generation Captial Additions - 
Year 2</t>
    </r>
  </si>
  <si>
    <t>Exhibit No. SLC-5</t>
  </si>
  <si>
    <t>Washington Allocated Year 1 Adjusted Results with Price Change</t>
  </si>
  <si>
    <t>Tab 14 - Cap Adds. / Depr.</t>
  </si>
  <si>
    <t>Page 1</t>
  </si>
  <si>
    <r>
      <t xml:space="preserve">Capital Structure and Cost - </t>
    </r>
    <r>
      <rPr>
        <b/>
        <i/>
        <sz val="10"/>
        <rFont val="Arial"/>
        <family val="2"/>
      </rPr>
      <t>Ref Exhibit No. SLC-4, Page 2.1</t>
    </r>
  </si>
  <si>
    <t>Page 2</t>
  </si>
  <si>
    <t>Tab 14 - Capital &amp; Deprec.</t>
  </si>
  <si>
    <t>Tab 16 - Other Adj. (Year 2)</t>
  </si>
  <si>
    <t>Tab 15 - Tax</t>
  </si>
  <si>
    <t>Existing Coal-Fired Generation Assets - 
Year 2</t>
  </si>
  <si>
    <t>Jim Bridger Mine Rate Base - 
Year 2</t>
  </si>
  <si>
    <t>Decommissioning and Other Plant Closure Costs - 
Year 2</t>
  </si>
  <si>
    <t>(SLC-5) Page 1</t>
  </si>
  <si>
    <t>(SLC-5), Page 4</t>
  </si>
  <si>
    <t>(SLC-5), Page 5</t>
  </si>
  <si>
    <t>(SLC-5), Page 6</t>
  </si>
  <si>
    <t>(SLC-5), Page 7</t>
  </si>
  <si>
    <t>The table below presents the Company's pro forma ratemaking adjustments for Rate Year 2 and their impact on net operating income (NOI), rate base, and the Washington revenue requirement.</t>
  </si>
  <si>
    <t>Rate Year 1 Washington Allocated Data (Per Books)</t>
  </si>
  <si>
    <t>Tab 13 - Revenue &amp; Expenses RY2 - Subtotal</t>
  </si>
  <si>
    <t>Tab 14 - Capital Additions &amp; Depreciation RY2 - Subtotal</t>
  </si>
  <si>
    <t>Tab 15 - Interest &amp; Taxes RY2 - Subtotal</t>
  </si>
  <si>
    <t>Tab 16 - Other Adjustments RY2 - Subtotal</t>
  </si>
  <si>
    <t>(1) The revenue requirement column is calculated using the Company's proposed return on rate base of 7.60% and the NOI conversion factor of 75.182%.</t>
  </si>
  <si>
    <t>The development of these percentages can be found in Exhibit No. SLC-4 on pages 2.1 and 1.3 respectively.</t>
  </si>
  <si>
    <r>
      <t xml:space="preserve">Net to Gross Bump-up Factor - </t>
    </r>
    <r>
      <rPr>
        <b/>
        <i/>
        <u/>
        <sz val="10"/>
        <rFont val="Arial"/>
        <family val="2"/>
      </rPr>
      <t>Ref Exhibit No. SLC-4, Page 1.3</t>
    </r>
  </si>
  <si>
    <t>Exhibit No. SLC-4, Page 1.0</t>
  </si>
  <si>
    <t>Page 15.1</t>
  </si>
  <si>
    <t>Capital Additions / Depr. &amp; Amort. - 
Year 2</t>
  </si>
  <si>
    <t>Washington Allocated  Year 2 Provisional Results</t>
  </si>
  <si>
    <t>Total Pro Forma Adjustments</t>
  </si>
  <si>
    <t>Year 2 Pro Forma Adjustments</t>
  </si>
  <si>
    <t>Total Year 2 Adjusted Results</t>
  </si>
  <si>
    <t>Summary of 2025 Pro Forma Adjustments</t>
  </si>
  <si>
    <t>Rate Year 2 Pro Forma Results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</si>
</sst>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84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0" fillId="0" borderId="0" xfId="6" applyFont="1"/>
    <xf numFmtId="0" fontId="11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0" fillId="0" borderId="0" xfId="6" quotePrefix="1" applyFont="1"/>
    <xf numFmtId="0" fontId="4" fillId="0" borderId="0" xfId="6" quotePrefix="1" applyFont="1"/>
    <xf numFmtId="0" fontId="7" fillId="0" borderId="0" xfId="6" applyFont="1"/>
    <xf numFmtId="0" fontId="3" fillId="0" borderId="2" xfId="6" applyFont="1" applyBorder="1" applyAlignment="1">
      <alignment horizontal="centerContinuous"/>
    </xf>
    <xf numFmtId="0" fontId="13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17" fontId="7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164" fontId="7" fillId="0" borderId="0" xfId="1" applyNumberFormat="1" applyFont="1" applyFill="1"/>
    <xf numFmtId="164" fontId="3" fillId="0" borderId="0" xfId="1" applyNumberFormat="1" applyFont="1" applyFill="1" applyBorder="1"/>
    <xf numFmtId="164" fontId="7" fillId="0" borderId="0" xfId="1" applyNumberFormat="1" applyFont="1" applyFill="1" applyBorder="1"/>
    <xf numFmtId="0" fontId="7" fillId="0" borderId="0" xfId="0" applyFont="1" applyFill="1" applyBorder="1"/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7" fillId="0" borderId="1" xfId="0" applyNumberFormat="1" applyFont="1" applyBorder="1"/>
    <xf numFmtId="0" fontId="7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5" fillId="0" borderId="0" xfId="3" applyFont="1"/>
    <xf numFmtId="0" fontId="2" fillId="0" borderId="0" xfId="3" applyFont="1" applyAlignment="1">
      <alignment horizontal="center" wrapText="1"/>
    </xf>
    <xf numFmtId="164" fontId="2" fillId="0" borderId="0" xfId="4" applyNumberFormat="1" applyFont="1"/>
    <xf numFmtId="164" fontId="2" fillId="0" borderId="0" xfId="3" applyNumberFormat="1" applyFont="1"/>
    <xf numFmtId="164" fontId="2" fillId="0" borderId="1" xfId="3" applyNumberFormat="1" applyFont="1" applyBorder="1"/>
    <xf numFmtId="164" fontId="2" fillId="0" borderId="3" xfId="3" applyNumberFormat="1" applyFont="1" applyBorder="1"/>
    <xf numFmtId="0" fontId="2" fillId="0" borderId="0" xfId="3" applyFont="1" applyFill="1" applyBorder="1" applyAlignment="1">
      <alignment vertical="center"/>
    </xf>
    <xf numFmtId="164" fontId="2" fillId="0" borderId="5" xfId="3" applyNumberFormat="1" applyFont="1" applyBorder="1"/>
    <xf numFmtId="0" fontId="15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0" fontId="3" fillId="0" borderId="0" xfId="6" applyFont="1" applyBorder="1" applyAlignment="1">
      <alignment horizontal="centerContinuous"/>
    </xf>
    <xf numFmtId="0" fontId="13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7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0" fontId="16" fillId="0" borderId="0" xfId="0" applyFont="1" applyFill="1"/>
    <xf numFmtId="0" fontId="5" fillId="0" borderId="0" xfId="0" applyFont="1"/>
    <xf numFmtId="0" fontId="12" fillId="0" borderId="0" xfId="6" applyFont="1" applyBorder="1"/>
    <xf numFmtId="0" fontId="3" fillId="0" borderId="0" xfId="6" applyFont="1" applyBorder="1"/>
    <xf numFmtId="0" fontId="12" fillId="0" borderId="0" xfId="6" applyFont="1" applyBorder="1" applyAlignment="1">
      <alignment horizontal="center"/>
    </xf>
    <xf numFmtId="17" fontId="14" fillId="0" borderId="0" xfId="6" applyNumberFormat="1" applyFont="1" applyBorder="1" applyAlignment="1">
      <alignment horizontal="center" wrapText="1"/>
    </xf>
    <xf numFmtId="164" fontId="12" fillId="0" borderId="0" xfId="6" applyNumberFormat="1" applyFont="1" applyBorder="1"/>
    <xf numFmtId="164" fontId="12" fillId="0" borderId="0" xfId="1" applyNumberFormat="1" applyFont="1" applyBorder="1"/>
    <xf numFmtId="164" fontId="12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/>
    <xf numFmtId="165" fontId="12" fillId="0" borderId="0" xfId="2" applyNumberFormat="1" applyFont="1" applyFill="1" applyBorder="1"/>
    <xf numFmtId="165" fontId="12" fillId="0" borderId="0" xfId="2" applyNumberFormat="1" applyFont="1" applyBorder="1"/>
    <xf numFmtId="0" fontId="7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4" fillId="0" borderId="24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25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5" fillId="0" borderId="0" xfId="0" applyFont="1" applyBorder="1"/>
    <xf numFmtId="164" fontId="2" fillId="0" borderId="0" xfId="1" applyNumberFormat="1" applyFont="1" applyBorder="1"/>
    <xf numFmtId="10" fontId="2" fillId="0" borderId="0" xfId="2" applyNumberFormat="1" applyFont="1" applyBorder="1"/>
    <xf numFmtId="0" fontId="3" fillId="0" borderId="0" xfId="0" applyFont="1" applyFill="1" applyBorder="1"/>
    <xf numFmtId="164" fontId="2" fillId="0" borderId="0" xfId="0" applyNumberFormat="1" applyFont="1"/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43" fontId="2" fillId="0" borderId="0" xfId="1" applyNumberFormat="1" applyFont="1" applyBorder="1" applyAlignment="1">
      <alignment vertical="center"/>
    </xf>
    <xf numFmtId="43" fontId="2" fillId="0" borderId="0" xfId="1" applyNumberFormat="1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2" fillId="0" borderId="0" xfId="1" applyFont="1"/>
    <xf numFmtId="164" fontId="2" fillId="0" borderId="0" xfId="2" applyNumberFormat="1" applyFont="1" applyBorder="1" applyAlignment="1">
      <alignment vertical="center"/>
    </xf>
    <xf numFmtId="0" fontId="15" fillId="0" borderId="0" xfId="3" applyFont="1" applyAlignment="1">
      <alignment horizontal="center" wrapText="1"/>
    </xf>
    <xf numFmtId="164" fontId="2" fillId="0" borderId="4" xfId="3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 applyAlignment="1">
      <alignment horizontal="left"/>
    </xf>
    <xf numFmtId="164" fontId="17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164" fontId="2" fillId="0" borderId="12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16" xfId="1" applyNumberFormat="1" applyFont="1" applyFill="1" applyBorder="1" applyAlignment="1"/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1" xfId="0" applyNumberFormat="1" applyFont="1" applyFill="1" applyBorder="1"/>
    <xf numFmtId="164" fontId="2" fillId="0" borderId="18" xfId="1" applyNumberFormat="1" applyFont="1" applyFill="1" applyBorder="1"/>
    <xf numFmtId="164" fontId="2" fillId="0" borderId="18" xfId="1" applyNumberFormat="1" applyFont="1" applyFill="1" applyBorder="1" applyProtection="1"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27" xfId="1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164" fontId="15" fillId="0" borderId="0" xfId="3" applyNumberFormat="1" applyFont="1" applyFill="1"/>
    <xf numFmtId="164" fontId="4" fillId="0" borderId="26" xfId="1" applyNumberFormat="1" applyFont="1" applyFill="1" applyBorder="1" applyAlignment="1"/>
    <xf numFmtId="0" fontId="19" fillId="0" borderId="0" xfId="0" applyFont="1" applyBorder="1"/>
    <xf numFmtId="0" fontId="21" fillId="0" borderId="0" xfId="0" applyFont="1" applyBorder="1"/>
    <xf numFmtId="10" fontId="2" fillId="0" borderId="0" xfId="5" applyNumberFormat="1" applyFont="1" applyFill="1" applyBorder="1"/>
    <xf numFmtId="0" fontId="3" fillId="0" borderId="0" xfId="6" applyFont="1" applyBorder="1" applyAlignment="1">
      <alignment horizontal="left"/>
    </xf>
    <xf numFmtId="17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Fill="1" applyBorder="1"/>
    <xf numFmtId="164" fontId="2" fillId="0" borderId="0" xfId="1" applyNumberFormat="1" applyFont="1" applyFill="1" applyBorder="1" applyAlignment="1" applyProtection="1">
      <alignment horizont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/>
    <xf numFmtId="164" fontId="2" fillId="0" borderId="28" xfId="1" applyNumberFormat="1" applyFont="1" applyFill="1" applyBorder="1"/>
    <xf numFmtId="164" fontId="2" fillId="0" borderId="28" xfId="1" applyNumberFormat="1" applyFont="1" applyFill="1" applyBorder="1" applyProtection="1">
      <protection locked="0"/>
    </xf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2" fillId="0" borderId="0" xfId="1" quotePrefix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/>
    <xf numFmtId="164" fontId="2" fillId="0" borderId="3" xfId="1" applyNumberFormat="1" applyFont="1" applyFill="1" applyBorder="1" applyProtection="1">
      <protection locked="0"/>
    </xf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0" fillId="0" borderId="0" xfId="6" applyFont="1" applyAlignment="1">
      <alignment horizontal="left" wrapText="1"/>
    </xf>
    <xf numFmtId="0" fontId="11" fillId="0" borderId="0" xfId="6" applyFont="1" applyAlignment="1"/>
    <xf numFmtId="0" fontId="10" fillId="0" borderId="0" xfId="6" applyFont="1" applyAlignment="1">
      <alignment wrapText="1"/>
    </xf>
    <xf numFmtId="0" fontId="7" fillId="0" borderId="2" xfId="6" applyFont="1" applyBorder="1" applyAlignment="1">
      <alignment horizontal="center"/>
    </xf>
    <xf numFmtId="0" fontId="15" fillId="0" borderId="0" xfId="3" applyFont="1" applyFill="1" applyAlignment="1">
      <alignment horizontal="center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1WheelingRevenuesYea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2GeneralWageIncreaseProFormaYear2%20(R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3PryorMountainRECRevenuesYear2%20(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10MajorTransmissionCapitalAdditonsYe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1ProFormaMajorPlantAdditionsYea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2ProFormaDepreciationandAmortizationExpenseYe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3ProFormaDepreciationandAmortizationReserveYear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4DecommissioningOtherPlantClosureCostsYear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5JimBridgerMineRateBaseYear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6ExistingCoalFiredGenerationAssetsYear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7ProFormaJBUnits34andColstrip4AdditionsYear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8ProFormaJBUnits12AdditionsYear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9ConfWindGenerationCapitalAdditonsYear2%20(R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2PropertyTaxesYear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3RemovalofTCJABalancesAdjYear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4PowerTaxADITBalanceAdjYear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5PermanentScheduleMAdjYear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6RemoveDeferredStateTaxExpenseBalanceYear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6-1RegulatoryAssetsLiabilitesAmortizationYear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6-2KlamathHydroelectricAssetsAmortizationYear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JAM2023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"/>
      <sheetName val="13.1.1"/>
      <sheetName val="13.1.2 - 13.1.3"/>
    </sheetNames>
    <sheetDataSet>
      <sheetData sheetId="0">
        <row r="11">
          <cell r="I11">
            <v>2301415.0116205518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2"/>
      <sheetName val="13.2.1"/>
      <sheetName val="13.2.2"/>
      <sheetName val="13.2.3"/>
      <sheetName val="13.2.4_REDACTED"/>
      <sheetName val="13.2.5"/>
      <sheetName val="13.2.6"/>
      <sheetName val="13.2.7"/>
      <sheetName val="13.2.8"/>
    </sheetNames>
    <sheetDataSet>
      <sheetData sheetId="0">
        <row r="9">
          <cell r="I9"/>
        </row>
        <row r="10">
          <cell r="I10">
            <v>0</v>
          </cell>
        </row>
        <row r="11">
          <cell r="I11">
            <v>3.0081713359493643</v>
          </cell>
        </row>
        <row r="12">
          <cell r="I12">
            <v>31488.861116384764</v>
          </cell>
        </row>
        <row r="13">
          <cell r="I13">
            <v>3797.2614203984076</v>
          </cell>
        </row>
        <row r="14">
          <cell r="I14">
            <v>135.68528720709088</v>
          </cell>
        </row>
        <row r="15">
          <cell r="I15">
            <v>0</v>
          </cell>
        </row>
        <row r="16">
          <cell r="I16">
            <v>67542.372179295198</v>
          </cell>
        </row>
        <row r="17">
          <cell r="I17">
            <v>324.38980413421831</v>
          </cell>
        </row>
        <row r="18">
          <cell r="I18">
            <v>19683.574902157223</v>
          </cell>
        </row>
        <row r="19">
          <cell r="I19">
            <v>13204.754396141876</v>
          </cell>
        </row>
        <row r="20">
          <cell r="I20">
            <v>3399.6381804289381</v>
          </cell>
        </row>
        <row r="21">
          <cell r="I21">
            <v>665.43734933415544</v>
          </cell>
        </row>
        <row r="22">
          <cell r="I22">
            <v>0</v>
          </cell>
        </row>
        <row r="23">
          <cell r="I23">
            <v>9185.5664964574771</v>
          </cell>
        </row>
        <row r="24">
          <cell r="I24">
            <v>4741.9788937683879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3107.658290916625</v>
          </cell>
        </row>
        <row r="28">
          <cell r="I28">
            <v>571.23232658645031</v>
          </cell>
        </row>
        <row r="29">
          <cell r="I29">
            <v>0</v>
          </cell>
        </row>
        <row r="30">
          <cell r="I30">
            <v>43982.738381823568</v>
          </cell>
        </row>
        <row r="31">
          <cell r="I31">
            <v>0</v>
          </cell>
        </row>
        <row r="32">
          <cell r="I32">
            <v>35793.424398043266</v>
          </cell>
        </row>
        <row r="33">
          <cell r="I33">
            <v>23907.779994173736</v>
          </cell>
        </row>
        <row r="34">
          <cell r="I34">
            <v>36105.147251640228</v>
          </cell>
        </row>
        <row r="35">
          <cell r="I35">
            <v>48054.381001243586</v>
          </cell>
        </row>
        <row r="36">
          <cell r="I36">
            <v>133860.5293164785</v>
          </cell>
        </row>
        <row r="37">
          <cell r="I37">
            <v>22342.755705228668</v>
          </cell>
        </row>
        <row r="38">
          <cell r="I38">
            <v>33038.837406833474</v>
          </cell>
        </row>
        <row r="39">
          <cell r="I39">
            <v>17939.492449402183</v>
          </cell>
        </row>
        <row r="40">
          <cell r="I40">
            <v>4559.4652702550848</v>
          </cell>
        </row>
        <row r="41">
          <cell r="I41">
            <v>3116.5335990738695</v>
          </cell>
        </row>
        <row r="42">
          <cell r="I42">
            <v>-151.39100258853688</v>
          </cell>
        </row>
        <row r="43">
          <cell r="I43">
            <v>41878.001857172996</v>
          </cell>
        </row>
        <row r="44">
          <cell r="I44">
            <v>9.8614599040819559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3"/>
      <sheetName val="13.3.1_REDACTED"/>
    </sheetNames>
    <sheetDataSet>
      <sheetData sheetId="0">
        <row r="11">
          <cell r="F11">
            <v>-200634.08801904801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0"/>
      <sheetName val="14.10.1"/>
      <sheetName val="14.10.2 "/>
    </sheetNames>
    <sheetDataSet>
      <sheetData sheetId="0">
        <row r="10">
          <cell r="I10">
            <v>163378210.29829377</v>
          </cell>
        </row>
        <row r="13">
          <cell r="I13">
            <v>2800120.4478450012</v>
          </cell>
        </row>
        <row r="16">
          <cell r="I16">
            <v>-2290146.5455700466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"/>
      <sheetName val="14.1.1"/>
      <sheetName val="14.1.2 - 14.1.3"/>
    </sheetNames>
    <sheetDataSet>
      <sheetData sheetId="0"/>
      <sheetData sheetId="1">
        <row r="28">
          <cell r="J28">
            <v>112074897.89437498</v>
          </cell>
        </row>
        <row r="35">
          <cell r="J35">
            <v>254857.61407934257</v>
          </cell>
        </row>
        <row r="39">
          <cell r="J39">
            <v>3703700.9911775519</v>
          </cell>
        </row>
        <row r="43">
          <cell r="J43">
            <v>-62660.670384828067</v>
          </cell>
        </row>
        <row r="47">
          <cell r="J47">
            <v>910614.1876982667</v>
          </cell>
        </row>
        <row r="51">
          <cell r="J51">
            <v>271075.9144625013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2"/>
      <sheetName val="14.2.1"/>
      <sheetName val="14.2.2-14.2.3"/>
    </sheetNames>
    <sheetDataSet>
      <sheetData sheetId="0">
        <row r="52">
          <cell r="J52">
            <v>2553798.7811355367</v>
          </cell>
        </row>
      </sheetData>
      <sheetData sheetId="1">
        <row r="38">
          <cell r="J38">
            <v>1230830.8889248422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3"/>
      <sheetName val="14.3.1"/>
      <sheetName val="14.3.2-14.3.3"/>
      <sheetName val="14.3.4"/>
    </sheetNames>
    <sheetDataSet>
      <sheetData sheetId="0">
        <row r="50">
          <cell r="J50">
            <v>-42885257.790897198</v>
          </cell>
        </row>
      </sheetData>
      <sheetData sheetId="1">
        <row r="38">
          <cell r="J38">
            <v>-4541116.6972164949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4"/>
      <sheetName val="14.4.1"/>
      <sheetName val="14.4.2"/>
      <sheetName val="14.4.3"/>
    </sheetNames>
    <sheetDataSet>
      <sheetData sheetId="0">
        <row r="10">
          <cell r="I10">
            <v>-2344846.8325303504</v>
          </cell>
        </row>
        <row r="11">
          <cell r="I11">
            <v>-1355735.8017940968</v>
          </cell>
        </row>
        <row r="12">
          <cell r="I12">
            <v>-2233092.2074194252</v>
          </cell>
        </row>
        <row r="18">
          <cell r="I18">
            <v>576518.1113269052</v>
          </cell>
        </row>
        <row r="22">
          <cell r="I22">
            <v>333329.33864390617</v>
          </cell>
        </row>
        <row r="26">
          <cell r="I26">
            <v>549041.44866938377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5"/>
      <sheetName val="14.5.1 "/>
      <sheetName val="14.5.2 "/>
    </sheetNames>
    <sheetDataSet>
      <sheetData sheetId="0">
        <row r="11">
          <cell r="I11">
            <v>1155586.2634248782</v>
          </cell>
        </row>
        <row r="13">
          <cell r="I13">
            <v>-2039193.9216359917</v>
          </cell>
        </row>
        <row r="18">
          <cell r="I18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6"/>
      <sheetName val="14.6.1"/>
    </sheetNames>
    <sheetDataSet>
      <sheetData sheetId="0">
        <row r="22">
          <cell r="I22">
            <v>-2380374.5121889687</v>
          </cell>
        </row>
        <row r="23">
          <cell r="I23">
            <v>-572166.37959285022</v>
          </cell>
        </row>
        <row r="32">
          <cell r="I32">
            <v>585254.34383942501</v>
          </cell>
        </row>
        <row r="34">
          <cell r="I34">
            <v>140677.31777396941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7"/>
      <sheetName val="14.7.1"/>
      <sheetName val="14.7.2"/>
      <sheetName val="14.7.3"/>
      <sheetName val="14.7.4"/>
      <sheetName val="14.7.5"/>
      <sheetName val="14.7.6"/>
    </sheetNames>
    <sheetDataSet>
      <sheetData sheetId="0">
        <row r="10">
          <cell r="I10">
            <v>211472.76033219599</v>
          </cell>
        </row>
        <row r="11">
          <cell r="I11">
            <v>12067.002872006977</v>
          </cell>
        </row>
        <row r="12">
          <cell r="I12">
            <v>570996.60621422273</v>
          </cell>
        </row>
        <row r="15">
          <cell r="I15">
            <v>1789.3474825331587</v>
          </cell>
        </row>
        <row r="16">
          <cell r="I16">
            <v>236.58785145865357</v>
          </cell>
        </row>
        <row r="17">
          <cell r="I17">
            <v>12961.622961062858</v>
          </cell>
        </row>
        <row r="20">
          <cell r="I20">
            <v>-24330.116798743995</v>
          </cell>
        </row>
        <row r="21">
          <cell r="I21">
            <v>-945.98462285448795</v>
          </cell>
        </row>
        <row r="22">
          <cell r="I22">
            <v>-30117.873253930662</v>
          </cell>
        </row>
        <row r="29">
          <cell r="I29">
            <v>1842.5156579335321</v>
          </cell>
        </row>
        <row r="30">
          <cell r="I30">
            <v>-328.67703667453861</v>
          </cell>
        </row>
        <row r="31">
          <cell r="I31">
            <v>-452.78974101556463</v>
          </cell>
        </row>
        <row r="32">
          <cell r="I32">
            <v>-80.451627992486522</v>
          </cell>
        </row>
        <row r="33">
          <cell r="I33">
            <v>-69104.623998108218</v>
          </cell>
        </row>
        <row r="35">
          <cell r="I35">
            <v>236.38913443894995</v>
          </cell>
        </row>
        <row r="36">
          <cell r="I36">
            <v>-975.61450805213678</v>
          </cell>
        </row>
        <row r="37">
          <cell r="I37">
            <v>-58.06701524526575</v>
          </cell>
        </row>
        <row r="38">
          <cell r="I38">
            <v>-239.80347517319674</v>
          </cell>
        </row>
        <row r="39">
          <cell r="I39">
            <v>-2508.849666322169</v>
          </cell>
        </row>
        <row r="41">
          <cell r="I41">
            <v>12961.622961062854</v>
          </cell>
        </row>
        <row r="42">
          <cell r="I42">
            <v>23338.507532013224</v>
          </cell>
        </row>
        <row r="43">
          <cell r="I43">
            <v>-3186.815313785024</v>
          </cell>
        </row>
        <row r="44">
          <cell r="I44">
            <v>5738.439537139011</v>
          </cell>
        </row>
        <row r="45">
          <cell r="I45">
            <v>-17159.689524292753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8"/>
      <sheetName val="14.8.1"/>
      <sheetName val="14.8.2"/>
    </sheetNames>
    <sheetDataSet>
      <sheetData sheetId="0">
        <row r="10">
          <cell r="I10">
            <v>1801707.742032642</v>
          </cell>
        </row>
        <row r="14">
          <cell r="I14">
            <v>16193.213747097141</v>
          </cell>
        </row>
        <row r="18">
          <cell r="I18">
            <v>-50241.916373985696</v>
          </cell>
        </row>
        <row r="29">
          <cell r="I29">
            <v>20067.750338523951</v>
          </cell>
        </row>
        <row r="30">
          <cell r="I30">
            <v>194785.13775075637</v>
          </cell>
        </row>
        <row r="31">
          <cell r="I31">
            <v>-4933.7016273849649</v>
          </cell>
        </row>
        <row r="32">
          <cell r="I32">
            <v>47890.881638447521</v>
          </cell>
        </row>
        <row r="33">
          <cell r="I33">
            <v>-67919.790931309777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9"/>
      <sheetName val="14.9.1"/>
      <sheetName val="14.9.2_REDACTED"/>
    </sheetNames>
    <sheetDataSet>
      <sheetData sheetId="0">
        <row r="10">
          <cell r="I10">
            <v>56661694.029025115</v>
          </cell>
        </row>
        <row r="13">
          <cell r="I13">
            <v>2384687.5259876549</v>
          </cell>
        </row>
        <row r="16">
          <cell r="I16">
            <v>-1047639.9611335265</v>
          </cell>
        </row>
        <row r="20">
          <cell r="I20">
            <v>395579.72739742004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2"/>
      <sheetName val="15.2.1"/>
    </sheetNames>
    <sheetDataSet>
      <sheetData sheetId="0">
        <row r="10">
          <cell r="I10">
            <v>1882727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3"/>
      <sheetName val="15.3.1"/>
    </sheetNames>
    <sheetDataSet>
      <sheetData sheetId="0">
        <row r="14">
          <cell r="I14">
            <v>2598391</v>
          </cell>
        </row>
        <row r="18">
          <cell r="I18">
            <v>-638856</v>
          </cell>
        </row>
        <row r="19">
          <cell r="I19">
            <v>43612.563153822732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4"/>
      <sheetName val="15.4.1"/>
      <sheetName val="15.4.2"/>
    </sheetNames>
    <sheetDataSet>
      <sheetData sheetId="0">
        <row r="15">
          <cell r="I15">
            <v>-24510338</v>
          </cell>
        </row>
        <row r="21">
          <cell r="I21">
            <v>8603248.2125462163</v>
          </cell>
        </row>
        <row r="22">
          <cell r="I22">
            <v>-34420.578580988164</v>
          </cell>
        </row>
        <row r="23">
          <cell r="I23">
            <v>-1015250.7845440047</v>
          </cell>
        </row>
        <row r="24">
          <cell r="I24">
            <v>2603559.4998386051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193733.58888243139</v>
          </cell>
        </row>
        <row r="28">
          <cell r="I28">
            <v>0</v>
          </cell>
        </row>
        <row r="29">
          <cell r="I29">
            <v>18903514.802586529</v>
          </cell>
        </row>
        <row r="30">
          <cell r="I30">
            <v>-2205664.9333720403</v>
          </cell>
        </row>
        <row r="31">
          <cell r="I31">
            <v>199933.28237700797</v>
          </cell>
        </row>
        <row r="33">
          <cell r="I33">
            <v>-2115246.2562716934</v>
          </cell>
        </row>
        <row r="34">
          <cell r="I34">
            <v>8462.8154164752668</v>
          </cell>
        </row>
        <row r="35">
          <cell r="I35">
            <v>249615.6723957088</v>
          </cell>
        </row>
        <row r="36">
          <cell r="I36">
            <v>-640126.77230759757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47632.503497748905</v>
          </cell>
        </row>
        <row r="40">
          <cell r="I40">
            <v>0</v>
          </cell>
        </row>
        <row r="41">
          <cell r="I41">
            <v>4647731.6002689274</v>
          </cell>
        </row>
        <row r="42">
          <cell r="I42">
            <v>-542298.04552290041</v>
          </cell>
        </row>
        <row r="43">
          <cell r="I43">
            <v>49156.790510270577</v>
          </cell>
        </row>
        <row r="44">
          <cell r="I44">
            <v>652783.75999999978</v>
          </cell>
        </row>
      </sheetData>
      <sheetData sheetId="1">
        <row r="14">
          <cell r="I14">
            <v>24814.875534495357</v>
          </cell>
        </row>
        <row r="15">
          <cell r="I15">
            <v>0</v>
          </cell>
        </row>
        <row r="16">
          <cell r="I16">
            <v>-7791.1750150079097</v>
          </cell>
        </row>
        <row r="22">
          <cell r="I22">
            <v>6101.1317525626309</v>
          </cell>
        </row>
        <row r="23">
          <cell r="I23">
            <v>0</v>
          </cell>
        </row>
        <row r="24">
          <cell r="I24">
            <v>-1915.5466136062287</v>
          </cell>
        </row>
        <row r="26">
          <cell r="I26">
            <v>46872.657881477709</v>
          </cell>
        </row>
        <row r="27">
          <cell r="I27">
            <v>0</v>
          </cell>
        </row>
        <row r="28">
          <cell r="I28">
            <v>-23905.403224319485</v>
          </cell>
        </row>
        <row r="31">
          <cell r="I31">
            <v>-132801.64423487696</v>
          </cell>
        </row>
        <row r="32">
          <cell r="I32">
            <v>0</v>
          </cell>
        </row>
        <row r="33">
          <cell r="I33">
            <v>-32651.391382396334</v>
          </cell>
        </row>
        <row r="34">
          <cell r="I34">
            <v>278364.62491078873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5"/>
      <sheetName val="230172-PAC-SLC-15-5PermanentSch"/>
    </sheetNames>
    <sheetDataSet>
      <sheetData sheetId="0">
        <row r="11">
          <cell r="I11">
            <v>0</v>
          </cell>
        </row>
        <row r="12">
          <cell r="I12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6"/>
      <sheetName val="15.6.1"/>
      <sheetName val="15.6.2 - 15.6.3"/>
    </sheetNames>
    <sheetDataSet>
      <sheetData sheetId="0">
        <row r="11">
          <cell r="I11">
            <v>-517664</v>
          </cell>
        </row>
        <row r="14">
          <cell r="I14">
            <v>-119622</v>
          </cell>
        </row>
        <row r="15">
          <cell r="I15"/>
        </row>
        <row r="16">
          <cell r="I16">
            <v>3402567</v>
          </cell>
        </row>
        <row r="17">
          <cell r="I17"/>
        </row>
        <row r="18">
          <cell r="I18">
            <v>-17547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"/>
      <sheetName val="16.1.1"/>
      <sheetName val="16.1.2"/>
      <sheetName val="16.1.3"/>
    </sheetNames>
    <sheetDataSet>
      <sheetData sheetId="0">
        <row r="10">
          <cell r="I10">
            <v>-413046.41499999963</v>
          </cell>
        </row>
        <row r="13">
          <cell r="I13">
            <v>-826092.83000000054</v>
          </cell>
        </row>
        <row r="14">
          <cell r="I14">
            <v>-5273956.0282760151</v>
          </cell>
        </row>
        <row r="15">
          <cell r="I15">
            <v>-911208.99240238813</v>
          </cell>
        </row>
        <row r="20">
          <cell r="I20">
            <v>826092.83000000054</v>
          </cell>
        </row>
        <row r="21">
          <cell r="I21">
            <v>203108.13974078008</v>
          </cell>
        </row>
        <row r="22">
          <cell r="I22">
            <v>101554.06987039014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2"/>
      <sheetName val="16.2.1"/>
    </sheetNames>
    <sheetDataSet>
      <sheetData sheetId="0">
        <row r="10">
          <cell r="I10">
            <v>-76196.730051437567</v>
          </cell>
        </row>
        <row r="13">
          <cell r="I13">
            <v>18734.185230826712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C10">
            <v>405024315.90073663</v>
          </cell>
        </row>
        <row r="11">
          <cell r="C11">
            <v>0</v>
          </cell>
        </row>
        <row r="12">
          <cell r="C12">
            <v>20434313.037797622</v>
          </cell>
        </row>
        <row r="13">
          <cell r="C13">
            <v>20654359.453849081</v>
          </cell>
        </row>
        <row r="17">
          <cell r="C17">
            <v>58831521.465247311</v>
          </cell>
        </row>
        <row r="18">
          <cell r="C18">
            <v>0</v>
          </cell>
        </row>
        <row r="19">
          <cell r="C19">
            <v>3444613.8016366521</v>
          </cell>
        </row>
        <row r="20">
          <cell r="C20">
            <v>176104438.11497581</v>
          </cell>
        </row>
        <row r="21">
          <cell r="C21">
            <v>19982105.937540375</v>
          </cell>
        </row>
        <row r="22">
          <cell r="C22">
            <v>18590890.067977503</v>
          </cell>
        </row>
        <row r="23">
          <cell r="C23">
            <v>6753616.9462122116</v>
          </cell>
        </row>
        <row r="24">
          <cell r="C24">
            <v>709693.335290174</v>
          </cell>
        </row>
        <row r="25">
          <cell r="C25">
            <v>0</v>
          </cell>
        </row>
        <row r="26">
          <cell r="C26">
            <v>15197082.03775673</v>
          </cell>
        </row>
        <row r="28">
          <cell r="C28">
            <v>55619535.625454247</v>
          </cell>
        </row>
        <row r="29">
          <cell r="C29">
            <v>15472658.727303546</v>
          </cell>
        </row>
        <row r="30">
          <cell r="C30">
            <v>28898159.683986705</v>
          </cell>
        </row>
        <row r="31">
          <cell r="C31">
            <v>-14192440.696250716</v>
          </cell>
        </row>
        <row r="32">
          <cell r="E32">
            <v>0</v>
          </cell>
        </row>
        <row r="33">
          <cell r="C33">
            <v>-2711754.5123083103</v>
          </cell>
        </row>
        <row r="34">
          <cell r="C34">
            <v>0</v>
          </cell>
        </row>
        <row r="35">
          <cell r="C35">
            <v>-98259.16415706859</v>
          </cell>
        </row>
        <row r="41">
          <cell r="C41">
            <v>2408541688.7416582</v>
          </cell>
        </row>
        <row r="42">
          <cell r="C42">
            <v>467184.71621561563</v>
          </cell>
        </row>
        <row r="43">
          <cell r="C43">
            <v>392246.60856479767</v>
          </cell>
        </row>
        <row r="44">
          <cell r="C44">
            <v>115844.19848648913</v>
          </cell>
        </row>
        <row r="45">
          <cell r="C45">
            <v>0</v>
          </cell>
        </row>
        <row r="46">
          <cell r="C46">
            <v>5.1222741603851318E-9</v>
          </cell>
        </row>
        <row r="47">
          <cell r="C47">
            <v>1.57160684466362E-9</v>
          </cell>
        </row>
        <row r="48">
          <cell r="C48">
            <v>8.6889034719206393E-5</v>
          </cell>
        </row>
        <row r="49">
          <cell r="C49">
            <v>29873668.417190563</v>
          </cell>
        </row>
        <row r="50">
          <cell r="C50">
            <v>3311.89</v>
          </cell>
        </row>
        <row r="51">
          <cell r="C51">
            <v>0</v>
          </cell>
        </row>
        <row r="55">
          <cell r="C55">
            <v>-1005501106.3249345</v>
          </cell>
        </row>
        <row r="56">
          <cell r="C56">
            <v>-64932897.347893581</v>
          </cell>
        </row>
        <row r="57">
          <cell r="C57">
            <v>-164955908.35129285</v>
          </cell>
        </row>
        <row r="58">
          <cell r="C58">
            <v>-14943.338687945423</v>
          </cell>
        </row>
        <row r="59">
          <cell r="C59">
            <v>-7825156.6492933882</v>
          </cell>
        </row>
        <row r="60">
          <cell r="C60">
            <v>-408390.63249999989</v>
          </cell>
        </row>
        <row r="61">
          <cell r="C61">
            <v>-95331195.22722128</v>
          </cell>
        </row>
        <row r="73">
          <cell r="E73">
            <v>-3636274.7351071914</v>
          </cell>
        </row>
        <row r="74">
          <cell r="E74">
            <v>25573245.579682641</v>
          </cell>
        </row>
        <row r="75">
          <cell r="E75">
            <v>102431858.53765158</v>
          </cell>
        </row>
        <row r="76">
          <cell r="E76">
            <v>113644045.8027956</v>
          </cell>
        </row>
        <row r="82">
          <cell r="C82">
            <v>-14192440.696250716</v>
          </cell>
        </row>
        <row r="153">
          <cell r="D153">
            <v>5.5958046338404543E-3</v>
          </cell>
        </row>
        <row r="154">
          <cell r="D154">
            <v>4.0000000000000001E-3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G3">
            <v>0.48720000000000002</v>
          </cell>
        </row>
        <row r="4">
          <cell r="G4">
            <v>1E-4</v>
          </cell>
        </row>
        <row r="5">
          <cell r="G5">
            <v>0.51270000000000004</v>
          </cell>
        </row>
        <row r="7">
          <cell r="G7">
            <v>4.7699999999999999E-2</v>
          </cell>
        </row>
        <row r="8">
          <cell r="G8">
            <v>6.7500000000000004E-2</v>
          </cell>
        </row>
        <row r="9">
          <cell r="G9">
            <v>0.10299999999999999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147"/>
  <sheetViews>
    <sheetView tabSelected="1" showOutlineSymbols="0" zoomScale="80" zoomScaleNormal="80" workbookViewId="0">
      <selection activeCell="P14" sqref="P14"/>
    </sheetView>
  </sheetViews>
  <sheetFormatPr defaultRowHeight="12.75" x14ac:dyDescent="0.2"/>
  <cols>
    <col min="1" max="1" width="41.7109375" style="19" customWidth="1"/>
    <col min="2" max="2" width="18.28515625" style="19" customWidth="1"/>
    <col min="3" max="3" width="0.7109375" style="19" customWidth="1"/>
    <col min="4" max="4" width="15.7109375" style="19" customWidth="1"/>
    <col min="5" max="5" width="0.7109375" style="19" customWidth="1"/>
    <col min="6" max="6" width="16.7109375" style="19" customWidth="1"/>
    <col min="7" max="7" width="0.7109375" style="19" customWidth="1"/>
    <col min="8" max="8" width="15.7109375" style="19" customWidth="1"/>
    <col min="9" max="9" width="0.7109375" style="19" customWidth="1"/>
    <col min="10" max="10" width="15.7109375" style="19" customWidth="1"/>
    <col min="11" max="11" width="0.7109375" style="19" customWidth="1"/>
    <col min="12" max="12" width="15.7109375" style="19" customWidth="1"/>
    <col min="13" max="13" width="0.7109375" style="19" customWidth="1"/>
    <col min="14" max="14" width="15.85546875" style="19" customWidth="1"/>
    <col min="15" max="15" width="9.140625" style="19"/>
    <col min="16" max="16" width="14" style="19" bestFit="1" customWidth="1"/>
    <col min="17" max="16384" width="9.140625" style="19"/>
  </cols>
  <sheetData>
    <row r="1" spans="1:17" x14ac:dyDescent="0.2">
      <c r="A1" s="5" t="s">
        <v>6</v>
      </c>
      <c r="N1" s="253" t="s">
        <v>204</v>
      </c>
    </row>
    <row r="2" spans="1:17" x14ac:dyDescent="0.2">
      <c r="A2" s="1" t="s">
        <v>128</v>
      </c>
    </row>
    <row r="3" spans="1:17" x14ac:dyDescent="0.2">
      <c r="A3" s="1" t="s">
        <v>235</v>
      </c>
    </row>
    <row r="4" spans="1:17" x14ac:dyDescent="0.2">
      <c r="A4" s="1"/>
    </row>
    <row r="5" spans="1:17" x14ac:dyDescent="0.2">
      <c r="A5" s="1"/>
      <c r="B5" s="35" t="s">
        <v>71</v>
      </c>
      <c r="C5" s="36"/>
      <c r="D5" s="35" t="s">
        <v>72</v>
      </c>
      <c r="E5" s="36"/>
      <c r="F5" s="35" t="s">
        <v>73</v>
      </c>
      <c r="G5" s="37"/>
      <c r="H5" s="35" t="s">
        <v>74</v>
      </c>
      <c r="I5" s="36"/>
      <c r="J5" s="35" t="s">
        <v>75</v>
      </c>
      <c r="K5" s="37"/>
      <c r="L5" s="35" t="s">
        <v>175</v>
      </c>
      <c r="M5" s="37"/>
      <c r="N5" s="35" t="s">
        <v>176</v>
      </c>
    </row>
    <row r="6" spans="1:17" x14ac:dyDescent="0.2">
      <c r="A6" s="1"/>
      <c r="B6" s="43"/>
      <c r="C6" s="44"/>
      <c r="D6" s="43" t="s">
        <v>174</v>
      </c>
      <c r="E6" s="44"/>
      <c r="F6" s="44"/>
      <c r="G6" s="44"/>
      <c r="H6" s="44"/>
      <c r="J6" s="44" t="s">
        <v>76</v>
      </c>
      <c r="L6" s="45"/>
      <c r="N6" s="45" t="s">
        <v>177</v>
      </c>
    </row>
    <row r="7" spans="1:17" ht="43.5" customHeight="1" x14ac:dyDescent="0.2">
      <c r="A7" s="20"/>
      <c r="B7" s="34" t="s">
        <v>169</v>
      </c>
      <c r="C7" s="34"/>
      <c r="D7" s="153" t="s">
        <v>170</v>
      </c>
      <c r="E7" s="34"/>
      <c r="F7" s="153" t="s">
        <v>171</v>
      </c>
      <c r="G7" s="34"/>
      <c r="H7" s="153" t="s">
        <v>232</v>
      </c>
      <c r="I7" s="34"/>
      <c r="J7" s="34" t="s">
        <v>233</v>
      </c>
      <c r="K7" s="34"/>
      <c r="L7" s="34" t="s">
        <v>178</v>
      </c>
      <c r="M7" s="34"/>
      <c r="N7" s="34" t="s">
        <v>179</v>
      </c>
    </row>
    <row r="8" spans="1:17" x14ac:dyDescent="0.2">
      <c r="A8" s="11" t="s">
        <v>9</v>
      </c>
      <c r="B8" s="218"/>
      <c r="C8" s="9"/>
      <c r="D8" s="9"/>
      <c r="E8" s="9"/>
      <c r="F8" s="9"/>
      <c r="G8" s="9"/>
      <c r="H8" s="9"/>
      <c r="J8" s="9"/>
      <c r="L8" s="9"/>
      <c r="N8" s="9"/>
    </row>
    <row r="9" spans="1:17" x14ac:dyDescent="0.2">
      <c r="A9" s="11" t="s">
        <v>10</v>
      </c>
      <c r="B9" s="13">
        <f>[21]Results!C10</f>
        <v>405024315.90073663</v>
      </c>
      <c r="C9" s="9"/>
      <c r="D9" s="9">
        <f>-(B37-(B64*Overall_ROR))/gross_up_factor</f>
        <v>26763219.025179848</v>
      </c>
      <c r="E9" s="9"/>
      <c r="F9" s="9">
        <f>SUM(B9:D9)</f>
        <v>431787534.92591649</v>
      </c>
      <c r="G9" s="9"/>
      <c r="H9" s="9">
        <f>'Pro Forma Adj'!B12</f>
        <v>0</v>
      </c>
      <c r="J9" s="9">
        <f>F9+H9</f>
        <v>431787534.92591649</v>
      </c>
      <c r="L9" s="13">
        <f>-(J37-(J64*Overall_ROR))/gross_up_factor-F68</f>
        <v>27944572.69705227</v>
      </c>
      <c r="N9" s="9">
        <f>J9+L9</f>
        <v>459732107.62296879</v>
      </c>
      <c r="P9" s="214">
        <f>L9-J68</f>
        <v>0</v>
      </c>
      <c r="Q9" s="19" t="s">
        <v>183</v>
      </c>
    </row>
    <row r="10" spans="1:17" x14ac:dyDescent="0.2">
      <c r="A10" s="11" t="s">
        <v>11</v>
      </c>
      <c r="B10" s="13">
        <f>[21]Results!C11</f>
        <v>0</v>
      </c>
      <c r="C10" s="9"/>
      <c r="D10" s="9"/>
      <c r="E10" s="9"/>
      <c r="F10" s="9">
        <f t="shared" ref="F10:F12" si="0">SUM(B10:D10)</f>
        <v>0</v>
      </c>
      <c r="G10" s="9"/>
      <c r="H10" s="9">
        <f>'Pro Forma Adj'!B13</f>
        <v>0</v>
      </c>
      <c r="J10" s="9">
        <f t="shared" ref="J10:J12" si="1">F10+H10</f>
        <v>0</v>
      </c>
      <c r="L10" s="9"/>
      <c r="N10" s="9">
        <f>J10+L10</f>
        <v>0</v>
      </c>
    </row>
    <row r="11" spans="1:17" x14ac:dyDescent="0.2">
      <c r="A11" s="11" t="s">
        <v>12</v>
      </c>
      <c r="B11" s="13">
        <f>[21]Results!C12</f>
        <v>20434313.037797622</v>
      </c>
      <c r="C11" s="9"/>
      <c r="D11" s="9"/>
      <c r="E11" s="9"/>
      <c r="F11" s="9">
        <f t="shared" si="0"/>
        <v>20434313.037797622</v>
      </c>
      <c r="G11" s="9"/>
      <c r="H11" s="9">
        <f>'Pro Forma Adj'!B14</f>
        <v>0</v>
      </c>
      <c r="J11" s="9">
        <f t="shared" si="1"/>
        <v>20434313.037797622</v>
      </c>
      <c r="L11" s="9"/>
      <c r="N11" s="9">
        <f>J11+L11</f>
        <v>20434313.037797622</v>
      </c>
      <c r="P11" s="3"/>
    </row>
    <row r="12" spans="1:17" x14ac:dyDescent="0.2">
      <c r="A12" s="11" t="s">
        <v>13</v>
      </c>
      <c r="B12" s="13">
        <f>[21]Results!C13</f>
        <v>20654359.453849081</v>
      </c>
      <c r="C12" s="9"/>
      <c r="D12" s="9"/>
      <c r="E12" s="9"/>
      <c r="F12" s="9">
        <f t="shared" si="0"/>
        <v>20654359.453849081</v>
      </c>
      <c r="G12" s="9"/>
      <c r="H12" s="9">
        <f>'Pro Forma Adj'!B15</f>
        <v>2100780.9236015039</v>
      </c>
      <c r="J12" s="9">
        <f t="shared" si="1"/>
        <v>22755140.377450585</v>
      </c>
      <c r="L12" s="9"/>
      <c r="N12" s="9">
        <f>J12+L12</f>
        <v>22755140.377450585</v>
      </c>
      <c r="P12" s="3"/>
      <c r="Q12" s="214"/>
    </row>
    <row r="13" spans="1:17" ht="13.5" thickBot="1" x14ac:dyDescent="0.25">
      <c r="A13" s="11" t="s">
        <v>14</v>
      </c>
      <c r="B13" s="10">
        <f>SUM(B9:B12)</f>
        <v>446112988.39238334</v>
      </c>
      <c r="C13" s="9"/>
      <c r="D13" s="10">
        <f>SUM(D9:D12)</f>
        <v>26763219.025179848</v>
      </c>
      <c r="E13" s="9"/>
      <c r="F13" s="10">
        <f>SUM(F9:F12)</f>
        <v>472876207.4175632</v>
      </c>
      <c r="G13" s="9"/>
      <c r="H13" s="10">
        <f>SUM(H9:H12)</f>
        <v>2100780.9236015039</v>
      </c>
      <c r="J13" s="10">
        <f>SUM(J9:J12)</f>
        <v>474976988.34116471</v>
      </c>
      <c r="L13" s="10">
        <f>SUM(L9:L12)</f>
        <v>27944572.69705227</v>
      </c>
      <c r="N13" s="10">
        <f>SUM(N9:N12)</f>
        <v>502921561.03821701</v>
      </c>
    </row>
    <row r="14" spans="1:17" ht="13.5" thickTop="1" x14ac:dyDescent="0.2">
      <c r="A14" s="11"/>
      <c r="B14" s="9"/>
      <c r="C14" s="9"/>
      <c r="D14" s="9"/>
      <c r="E14" s="9"/>
      <c r="F14" s="9"/>
      <c r="G14" s="9"/>
      <c r="H14" s="9"/>
      <c r="J14" s="9"/>
      <c r="L14" s="9"/>
      <c r="N14" s="9"/>
    </row>
    <row r="15" spans="1:17" x14ac:dyDescent="0.2">
      <c r="A15" s="11" t="s">
        <v>15</v>
      </c>
      <c r="B15" s="9"/>
      <c r="C15" s="9"/>
      <c r="D15" s="9"/>
      <c r="E15" s="9"/>
      <c r="F15" s="9"/>
      <c r="G15" s="9"/>
      <c r="H15" s="9"/>
      <c r="J15" s="9"/>
      <c r="L15" s="9"/>
      <c r="N15" s="9"/>
    </row>
    <row r="16" spans="1:17" x14ac:dyDescent="0.2">
      <c r="A16" s="11" t="s">
        <v>16</v>
      </c>
      <c r="B16" s="13">
        <f>[21]Results!C17</f>
        <v>58831521.465247311</v>
      </c>
      <c r="C16" s="9"/>
      <c r="D16" s="9"/>
      <c r="E16" s="9"/>
      <c r="F16" s="9">
        <f t="shared" ref="F16:F34" si="2">SUM(B16:D16)</f>
        <v>58831521.465247311</v>
      </c>
      <c r="G16" s="9"/>
      <c r="H16" s="9">
        <f>'Pro Forma Adj'!B19</f>
        <v>102967.18817462141</v>
      </c>
      <c r="J16" s="9">
        <f t="shared" ref="J16:J25" si="3">F16+H16</f>
        <v>58934488.653421931</v>
      </c>
      <c r="L16" s="9"/>
      <c r="N16" s="9">
        <f t="shared" ref="N16:N25" si="4">J16+L16</f>
        <v>58934488.653421931</v>
      </c>
    </row>
    <row r="17" spans="1:14" x14ac:dyDescent="0.2">
      <c r="A17" s="11" t="s">
        <v>17</v>
      </c>
      <c r="B17" s="13">
        <f>[21]Results!C18</f>
        <v>0</v>
      </c>
      <c r="C17" s="9"/>
      <c r="D17" s="9"/>
      <c r="E17" s="9"/>
      <c r="F17" s="9">
        <f t="shared" si="2"/>
        <v>0</v>
      </c>
      <c r="G17" s="9"/>
      <c r="H17" s="9">
        <f>'Pro Forma Adj'!B20</f>
        <v>0</v>
      </c>
      <c r="J17" s="9">
        <f t="shared" si="3"/>
        <v>0</v>
      </c>
      <c r="L17" s="9"/>
      <c r="N17" s="9">
        <f t="shared" si="4"/>
        <v>0</v>
      </c>
    </row>
    <row r="18" spans="1:14" x14ac:dyDescent="0.2">
      <c r="A18" s="11" t="s">
        <v>18</v>
      </c>
      <c r="B18" s="13">
        <f>[21]Results!C19</f>
        <v>3444613.8016366521</v>
      </c>
      <c r="C18" s="9"/>
      <c r="D18" s="9"/>
      <c r="E18" s="9"/>
      <c r="F18" s="9">
        <f t="shared" si="2"/>
        <v>3444613.8016366521</v>
      </c>
      <c r="G18" s="9"/>
      <c r="H18" s="9">
        <f>'Pro Forma Adj'!B21</f>
        <v>36612.357282862256</v>
      </c>
      <c r="J18" s="9">
        <f t="shared" si="3"/>
        <v>3481226.1589195142</v>
      </c>
      <c r="L18" s="9"/>
      <c r="N18" s="9">
        <f t="shared" si="4"/>
        <v>3481226.1589195142</v>
      </c>
    </row>
    <row r="19" spans="1:14" x14ac:dyDescent="0.2">
      <c r="A19" s="11" t="s">
        <v>19</v>
      </c>
      <c r="B19" s="13">
        <f>[21]Results!C20</f>
        <v>176104438.11497581</v>
      </c>
      <c r="C19" s="9"/>
      <c r="D19" s="9"/>
      <c r="E19" s="9"/>
      <c r="F19" s="9">
        <f t="shared" si="2"/>
        <v>176104438.11497581</v>
      </c>
      <c r="G19" s="9"/>
      <c r="H19" s="9">
        <f>'Pro Forma Adj'!B22</f>
        <v>457834.33913630672</v>
      </c>
      <c r="J19" s="9">
        <f t="shared" si="3"/>
        <v>176562272.45411211</v>
      </c>
      <c r="L19" s="9"/>
      <c r="N19" s="9">
        <f t="shared" si="4"/>
        <v>176562272.45411211</v>
      </c>
    </row>
    <row r="20" spans="1:14" x14ac:dyDescent="0.2">
      <c r="A20" s="11" t="s">
        <v>20</v>
      </c>
      <c r="B20" s="13">
        <f>[21]Results!C21</f>
        <v>19982105.937540375</v>
      </c>
      <c r="C20" s="9"/>
      <c r="D20" s="9"/>
      <c r="E20" s="9"/>
      <c r="F20" s="9">
        <f t="shared" si="2"/>
        <v>19982105.937540375</v>
      </c>
      <c r="G20" s="9"/>
      <c r="H20" s="9">
        <f>'Pro Forma Adj'!B23</f>
        <v>35793.424398043266</v>
      </c>
      <c r="J20" s="9">
        <f t="shared" si="3"/>
        <v>20017899.361938417</v>
      </c>
      <c r="L20" s="9"/>
      <c r="N20" s="9">
        <f t="shared" si="4"/>
        <v>20017899.361938417</v>
      </c>
    </row>
    <row r="21" spans="1:14" x14ac:dyDescent="0.2">
      <c r="A21" s="11" t="s">
        <v>21</v>
      </c>
      <c r="B21" s="13">
        <f>[21]Results!C22</f>
        <v>18590890.067977503</v>
      </c>
      <c r="C21" s="9"/>
      <c r="D21" s="9"/>
      <c r="E21" s="9"/>
      <c r="F21" s="9">
        <f t="shared" si="2"/>
        <v>18590890.067977503</v>
      </c>
      <c r="G21" s="9"/>
      <c r="H21" s="9">
        <f>'Pro Forma Adj'!B24</f>
        <v>241927.83756353604</v>
      </c>
      <c r="J21" s="9">
        <f t="shared" si="3"/>
        <v>18832817.90554104</v>
      </c>
      <c r="L21" s="9"/>
      <c r="N21" s="9">
        <f t="shared" si="4"/>
        <v>18832817.90554104</v>
      </c>
    </row>
    <row r="22" spans="1:14" x14ac:dyDescent="0.2">
      <c r="A22" s="11" t="s">
        <v>22</v>
      </c>
      <c r="B22" s="13">
        <f>[21]Results!C23</f>
        <v>6753616.9462122116</v>
      </c>
      <c r="C22" s="9"/>
      <c r="D22" s="9">
        <f>D9*uncollectible_perc</f>
        <v>149761.74503758841</v>
      </c>
      <c r="E22" s="9"/>
      <c r="F22" s="9">
        <f t="shared" si="2"/>
        <v>6903378.6912497999</v>
      </c>
      <c r="G22" s="9"/>
      <c r="H22" s="9">
        <f>'Pro Forma Adj'!B25</f>
        <v>55381.593112062139</v>
      </c>
      <c r="J22" s="9">
        <f t="shared" si="3"/>
        <v>6958760.2843618616</v>
      </c>
      <c r="L22" s="9">
        <f>L9*uncollectible_perc</f>
        <v>156372.36938885655</v>
      </c>
      <c r="N22" s="9">
        <f t="shared" si="4"/>
        <v>7115132.6537507186</v>
      </c>
    </row>
    <row r="23" spans="1:14" x14ac:dyDescent="0.2">
      <c r="A23" s="11" t="s">
        <v>23</v>
      </c>
      <c r="B23" s="13">
        <f>[21]Results!C24</f>
        <v>709693.335290174</v>
      </c>
      <c r="C23" s="9"/>
      <c r="D23" s="9"/>
      <c r="E23" s="9"/>
      <c r="F23" s="9">
        <f t="shared" si="2"/>
        <v>709693.335290174</v>
      </c>
      <c r="G23" s="9"/>
      <c r="H23" s="9">
        <f>'Pro Forma Adj'!B26</f>
        <v>22498.957719657268</v>
      </c>
      <c r="J23" s="9">
        <f t="shared" si="3"/>
        <v>732192.29300983122</v>
      </c>
      <c r="L23" s="9"/>
      <c r="N23" s="9">
        <f t="shared" si="4"/>
        <v>732192.29300983122</v>
      </c>
    </row>
    <row r="24" spans="1:14" x14ac:dyDescent="0.2">
      <c r="A24" s="11" t="s">
        <v>24</v>
      </c>
      <c r="B24" s="13">
        <f>[21]Results!C25</f>
        <v>0</v>
      </c>
      <c r="C24" s="9"/>
      <c r="D24" s="9"/>
      <c r="E24" s="9"/>
      <c r="F24" s="9">
        <f t="shared" si="2"/>
        <v>0</v>
      </c>
      <c r="G24" s="9"/>
      <c r="H24" s="9">
        <f>'Pro Forma Adj'!B27</f>
        <v>0</v>
      </c>
      <c r="J24" s="9">
        <f t="shared" si="3"/>
        <v>0</v>
      </c>
      <c r="L24" s="9"/>
      <c r="N24" s="9">
        <f t="shared" si="4"/>
        <v>0</v>
      </c>
    </row>
    <row r="25" spans="1:14" x14ac:dyDescent="0.2">
      <c r="A25" s="11" t="s">
        <v>25</v>
      </c>
      <c r="B25" s="13">
        <f>[21]Results!C26</f>
        <v>15197082.03775673</v>
      </c>
      <c r="C25" s="9"/>
      <c r="D25" s="9"/>
      <c r="E25" s="9"/>
      <c r="F25" s="9">
        <f t="shared" si="2"/>
        <v>15197082.03775673</v>
      </c>
      <c r="G25" s="9"/>
      <c r="H25" s="9">
        <f>'Pro Forma Adj'!B28</f>
        <v>44853.005913562411</v>
      </c>
      <c r="J25" s="9">
        <f t="shared" si="3"/>
        <v>15241935.043670293</v>
      </c>
      <c r="L25" s="9"/>
      <c r="N25" s="9">
        <f t="shared" si="4"/>
        <v>15241935.043670293</v>
      </c>
    </row>
    <row r="26" spans="1:14" x14ac:dyDescent="0.2">
      <c r="A26" s="11" t="s">
        <v>26</v>
      </c>
      <c r="B26" s="7">
        <f>SUM(B16:B25)</f>
        <v>299613961.70663685</v>
      </c>
      <c r="C26" s="9"/>
      <c r="D26" s="7">
        <f>SUM(D16:D25)</f>
        <v>149761.74503758841</v>
      </c>
      <c r="E26" s="9"/>
      <c r="F26" s="7">
        <f>SUM(F16:F25)</f>
        <v>299763723.4516744</v>
      </c>
      <c r="G26" s="9"/>
      <c r="H26" s="7">
        <f>SUM(H16:H25)</f>
        <v>997868.70330065151</v>
      </c>
      <c r="J26" s="7">
        <f>SUM(J16:J25)</f>
        <v>300761592.154975</v>
      </c>
      <c r="L26" s="7">
        <f>SUM(L16:L25)</f>
        <v>156372.36938885655</v>
      </c>
      <c r="N26" s="7">
        <f>SUM(N16:N25)</f>
        <v>300917964.52436388</v>
      </c>
    </row>
    <row r="27" spans="1:14" x14ac:dyDescent="0.2">
      <c r="A27" s="11" t="s">
        <v>27</v>
      </c>
      <c r="B27" s="13">
        <f>[21]Results!C28</f>
        <v>55619535.625454247</v>
      </c>
      <c r="C27" s="9"/>
      <c r="D27" s="13"/>
      <c r="E27" s="9"/>
      <c r="F27" s="13">
        <f t="shared" si="2"/>
        <v>55619535.625454247</v>
      </c>
      <c r="G27" s="9"/>
      <c r="H27" s="13">
        <f>'Pro Forma Adj'!B30</f>
        <v>7769787.527010344</v>
      </c>
      <c r="J27" s="9">
        <f t="shared" ref="J27:J34" si="5">F27+H27</f>
        <v>63389323.152464591</v>
      </c>
      <c r="L27" s="9"/>
      <c r="N27" s="9">
        <f t="shared" ref="N27:N34" si="6">J27+L27</f>
        <v>63389323.152464591</v>
      </c>
    </row>
    <row r="28" spans="1:14" x14ac:dyDescent="0.2">
      <c r="A28" s="11" t="s">
        <v>28</v>
      </c>
      <c r="B28" s="13">
        <f>[21]Results!C29</f>
        <v>15472658.727303546</v>
      </c>
      <c r="C28" s="9"/>
      <c r="D28" s="13"/>
      <c r="E28" s="9"/>
      <c r="F28" s="13">
        <f t="shared" si="2"/>
        <v>15472658.727303546</v>
      </c>
      <c r="G28" s="9"/>
      <c r="H28" s="13">
        <f>'Pro Forma Adj'!B31</f>
        <v>-5780426.9617535602</v>
      </c>
      <c r="J28" s="9">
        <f t="shared" si="5"/>
        <v>9692231.7655499857</v>
      </c>
      <c r="L28" s="9"/>
      <c r="N28" s="9">
        <f t="shared" si="6"/>
        <v>9692231.7655499857</v>
      </c>
    </row>
    <row r="29" spans="1:14" x14ac:dyDescent="0.2">
      <c r="A29" s="11" t="s">
        <v>29</v>
      </c>
      <c r="B29" s="13">
        <f>[21]Results!C30</f>
        <v>28898159.683986705</v>
      </c>
      <c r="C29" s="9"/>
      <c r="D29" s="13">
        <f>D9*SUM(Variables!D21:D24)</f>
        <v>1143699.4018220354</v>
      </c>
      <c r="E29" s="9"/>
      <c r="F29" s="13">
        <f t="shared" si="2"/>
        <v>30041859.085808739</v>
      </c>
      <c r="G29" s="9"/>
      <c r="H29" s="13">
        <f>'Pro Forma Adj'!B32</f>
        <v>1882727</v>
      </c>
      <c r="J29" s="9">
        <f t="shared" si="5"/>
        <v>31924586.085808739</v>
      </c>
      <c r="L29" s="9">
        <f>L9*(WUTC_reg_fee_perc+WA_rev_tax_perc)</f>
        <v>1194183.3696358316</v>
      </c>
      <c r="N29" s="9">
        <f t="shared" si="6"/>
        <v>33118769.455444571</v>
      </c>
    </row>
    <row r="30" spans="1:14" x14ac:dyDescent="0.2">
      <c r="A30" s="11" t="s">
        <v>30</v>
      </c>
      <c r="B30" s="13">
        <f>[21]Results!C31</f>
        <v>-14192440.696250716</v>
      </c>
      <c r="C30" s="9"/>
      <c r="D30" s="13">
        <f>D82</f>
        <v>5348649.1544472473</v>
      </c>
      <c r="E30" s="9"/>
      <c r="F30" s="13">
        <f t="shared" si="2"/>
        <v>-8843791.541803468</v>
      </c>
      <c r="G30" s="9"/>
      <c r="H30" s="13">
        <f>H84</f>
        <v>-4203860.5848277276</v>
      </c>
      <c r="J30" s="13">
        <f t="shared" si="5"/>
        <v>-13047652.126631197</v>
      </c>
      <c r="L30" s="13">
        <f>L84</f>
        <v>5584743.5611857921</v>
      </c>
      <c r="M30" s="13">
        <f>M84</f>
        <v>0</v>
      </c>
      <c r="N30" s="13">
        <f t="shared" si="6"/>
        <v>-7462908.5654454045</v>
      </c>
    </row>
    <row r="31" spans="1:14" x14ac:dyDescent="0.2">
      <c r="A31" s="11" t="s">
        <v>31</v>
      </c>
      <c r="B31" s="13">
        <f>[21]Results!E32</f>
        <v>0</v>
      </c>
      <c r="C31" s="9"/>
      <c r="D31" s="13"/>
      <c r="E31" s="9"/>
      <c r="F31" s="13">
        <f t="shared" si="2"/>
        <v>0</v>
      </c>
      <c r="G31" s="9"/>
      <c r="H31" s="13">
        <f>H79</f>
        <v>0</v>
      </c>
      <c r="J31" s="9">
        <f t="shared" si="5"/>
        <v>0</v>
      </c>
      <c r="L31" s="9">
        <f>L79</f>
        <v>0</v>
      </c>
      <c r="N31" s="9">
        <f t="shared" si="6"/>
        <v>0</v>
      </c>
    </row>
    <row r="32" spans="1:14" x14ac:dyDescent="0.2">
      <c r="A32" s="11" t="s">
        <v>32</v>
      </c>
      <c r="B32" s="13">
        <f>[21]Results!C33</f>
        <v>-2711754.5123083103</v>
      </c>
      <c r="C32" s="9"/>
      <c r="D32" s="13"/>
      <c r="E32" s="9"/>
      <c r="F32" s="13">
        <f t="shared" si="2"/>
        <v>-2711754.5123083103</v>
      </c>
      <c r="G32" s="9"/>
      <c r="H32" s="13">
        <f>'Pro Forma Adj'!B35</f>
        <v>2907321.6111727078</v>
      </c>
      <c r="J32" s="9">
        <f t="shared" si="5"/>
        <v>195567.0988643975</v>
      </c>
      <c r="L32" s="9"/>
      <c r="N32" s="9">
        <f t="shared" si="6"/>
        <v>195567.0988643975</v>
      </c>
    </row>
    <row r="33" spans="1:14" x14ac:dyDescent="0.2">
      <c r="A33" s="11" t="s">
        <v>33</v>
      </c>
      <c r="B33" s="13">
        <f>[21]Results!C34</f>
        <v>0</v>
      </c>
      <c r="C33" s="9"/>
      <c r="D33" s="13"/>
      <c r="E33" s="9"/>
      <c r="F33" s="13">
        <f t="shared" si="2"/>
        <v>0</v>
      </c>
      <c r="G33" s="9"/>
      <c r="H33" s="13">
        <f>'Pro Forma Adj'!B36</f>
        <v>0</v>
      </c>
      <c r="J33" s="9">
        <f t="shared" si="5"/>
        <v>0</v>
      </c>
      <c r="L33" s="9"/>
      <c r="N33" s="9">
        <f t="shared" si="6"/>
        <v>0</v>
      </c>
    </row>
    <row r="34" spans="1:14" x14ac:dyDescent="0.2">
      <c r="A34" s="11" t="s">
        <v>34</v>
      </c>
      <c r="B34" s="13">
        <f>[21]Results!C35</f>
        <v>-98259.16415706859</v>
      </c>
      <c r="C34" s="9"/>
      <c r="D34" s="13"/>
      <c r="E34" s="9"/>
      <c r="F34" s="13">
        <f t="shared" si="2"/>
        <v>-98259.16415706859</v>
      </c>
      <c r="G34" s="9"/>
      <c r="H34" s="13">
        <f>'Pro Forma Adj'!B37</f>
        <v>0</v>
      </c>
      <c r="J34" s="9">
        <f t="shared" si="5"/>
        <v>-98259.16415706859</v>
      </c>
      <c r="L34" s="9"/>
      <c r="N34" s="9">
        <f t="shared" si="6"/>
        <v>-98259.16415706859</v>
      </c>
    </row>
    <row r="35" spans="1:14" x14ac:dyDescent="0.2">
      <c r="A35" s="11" t="s">
        <v>35</v>
      </c>
      <c r="B35" s="7">
        <f>SUM(B26:B34)</f>
        <v>382601861.37066525</v>
      </c>
      <c r="C35" s="9"/>
      <c r="D35" s="7">
        <f>SUM(D26:D34)</f>
        <v>6642110.3013068717</v>
      </c>
      <c r="E35" s="9"/>
      <c r="F35" s="7">
        <f>SUM(F26:F34)</f>
        <v>389243971.6719721</v>
      </c>
      <c r="G35" s="9"/>
      <c r="H35" s="151">
        <f>SUM(H26:H34)</f>
        <v>3573417.294902415</v>
      </c>
      <c r="J35" s="7">
        <f>SUM(J26:J34)</f>
        <v>392817388.96687436</v>
      </c>
      <c r="L35" s="7">
        <f>SUM(L26:L34)</f>
        <v>6935299.3002104796</v>
      </c>
      <c r="N35" s="7">
        <f>SUM(N26:N34)</f>
        <v>399752688.26708484</v>
      </c>
    </row>
    <row r="36" spans="1:14" x14ac:dyDescent="0.2">
      <c r="A36" s="11"/>
      <c r="B36" s="9"/>
      <c r="C36" s="9"/>
      <c r="D36" s="13"/>
      <c r="E36" s="9"/>
      <c r="F36" s="13"/>
      <c r="G36" s="9"/>
      <c r="H36" s="13"/>
      <c r="J36" s="9"/>
      <c r="L36" s="9"/>
      <c r="N36" s="9"/>
    </row>
    <row r="37" spans="1:14" ht="13.5" thickBot="1" x14ac:dyDescent="0.25">
      <c r="A37" s="11" t="s">
        <v>36</v>
      </c>
      <c r="B37" s="10">
        <f>B13-B35</f>
        <v>63511127.021718085</v>
      </c>
      <c r="C37" s="9"/>
      <c r="D37" s="10">
        <f>D13-D35</f>
        <v>20121108.723872975</v>
      </c>
      <c r="E37" s="9"/>
      <c r="F37" s="10">
        <f>F13-F35</f>
        <v>83632235.745591104</v>
      </c>
      <c r="G37" s="9"/>
      <c r="H37" s="152">
        <f>H13-H35</f>
        <v>-1472636.3713009111</v>
      </c>
      <c r="J37" s="10">
        <f>J13-J35</f>
        <v>82159599.374290347</v>
      </c>
      <c r="L37" s="10">
        <f>L13-L35</f>
        <v>21009273.396841791</v>
      </c>
      <c r="N37" s="10">
        <f>N13-N35</f>
        <v>103168872.77113217</v>
      </c>
    </row>
    <row r="38" spans="1:14" ht="13.5" thickTop="1" x14ac:dyDescent="0.2">
      <c r="A38" s="11"/>
      <c r="B38" s="9"/>
      <c r="C38" s="9"/>
      <c r="D38" s="13"/>
      <c r="E38" s="9"/>
      <c r="F38" s="13"/>
      <c r="G38" s="9"/>
      <c r="H38" s="13"/>
      <c r="J38" s="9"/>
      <c r="L38" s="9"/>
      <c r="N38" s="9"/>
    </row>
    <row r="39" spans="1:14" x14ac:dyDescent="0.2">
      <c r="A39" s="11" t="s">
        <v>37</v>
      </c>
      <c r="B39" s="9"/>
      <c r="C39" s="9"/>
      <c r="D39" s="9"/>
      <c r="E39" s="9"/>
      <c r="F39" s="9"/>
      <c r="G39" s="9"/>
      <c r="H39" s="9"/>
      <c r="J39" s="9"/>
      <c r="L39" s="9"/>
      <c r="N39" s="9"/>
    </row>
    <row r="40" spans="1:14" x14ac:dyDescent="0.2">
      <c r="A40" s="11" t="s">
        <v>38</v>
      </c>
      <c r="B40" s="13">
        <f>[21]Results!C41</f>
        <v>2408541688.7416582</v>
      </c>
      <c r="C40" s="9"/>
      <c r="D40" s="9"/>
      <c r="E40" s="9"/>
      <c r="F40" s="9">
        <f t="shared" ref="F40:F50" si="7">SUM(B40:D40)</f>
        <v>2408541688.7416582</v>
      </c>
      <c r="G40" s="9"/>
      <c r="H40" s="9">
        <f>'Pro Forma Adj'!B43</f>
        <v>335866632.59656978</v>
      </c>
      <c r="J40" s="9">
        <f t="shared" ref="J40:J50" si="8">F40+H40</f>
        <v>2744408321.3382282</v>
      </c>
      <c r="L40" s="9"/>
      <c r="N40" s="9">
        <f t="shared" ref="N40:N50" si="9">J40+L40</f>
        <v>2744408321.3382282</v>
      </c>
    </row>
    <row r="41" spans="1:14" x14ac:dyDescent="0.2">
      <c r="A41" s="11" t="s">
        <v>39</v>
      </c>
      <c r="B41" s="13">
        <f>[21]Results!C42</f>
        <v>467184.71621561563</v>
      </c>
      <c r="C41" s="9"/>
      <c r="D41" s="9"/>
      <c r="E41" s="9"/>
      <c r="F41" s="9">
        <f t="shared" si="7"/>
        <v>467184.71621561563</v>
      </c>
      <c r="G41" s="9"/>
      <c r="H41" s="9">
        <f>'Pro Forma Adj'!B44</f>
        <v>0</v>
      </c>
      <c r="J41" s="9">
        <f t="shared" si="8"/>
        <v>467184.71621561563</v>
      </c>
      <c r="L41" s="9"/>
      <c r="N41" s="9">
        <f t="shared" si="9"/>
        <v>467184.71621561563</v>
      </c>
    </row>
    <row r="42" spans="1:14" x14ac:dyDescent="0.2">
      <c r="A42" s="11" t="s">
        <v>40</v>
      </c>
      <c r="B42" s="13">
        <f>[21]Results!C43</f>
        <v>392246.60856479767</v>
      </c>
      <c r="C42" s="9"/>
      <c r="D42" s="9"/>
      <c r="E42" s="9"/>
      <c r="F42" s="9">
        <f t="shared" si="7"/>
        <v>392246.60856479767</v>
      </c>
      <c r="G42" s="9"/>
      <c r="H42" s="9">
        <f>'Pro Forma Adj'!B45</f>
        <v>-489243.1450514372</v>
      </c>
      <c r="J42" s="9">
        <f t="shared" si="8"/>
        <v>-96996.536486639525</v>
      </c>
      <c r="L42" s="9"/>
      <c r="N42" s="9">
        <f t="shared" si="9"/>
        <v>-96996.536486639525</v>
      </c>
    </row>
    <row r="43" spans="1:14" x14ac:dyDescent="0.2">
      <c r="A43" s="11" t="s">
        <v>41</v>
      </c>
      <c r="B43" s="13">
        <f>[21]Results!C44</f>
        <v>115844.19848648913</v>
      </c>
      <c r="C43" s="9"/>
      <c r="D43" s="9"/>
      <c r="E43" s="9"/>
      <c r="F43" s="9">
        <f t="shared" si="7"/>
        <v>115844.19848648913</v>
      </c>
      <c r="G43" s="9"/>
      <c r="H43" s="9">
        <f>'Pro Forma Adj'!B46</f>
        <v>0</v>
      </c>
      <c r="J43" s="9">
        <f t="shared" si="8"/>
        <v>115844.19848648913</v>
      </c>
      <c r="L43" s="9"/>
      <c r="N43" s="9">
        <f t="shared" si="9"/>
        <v>115844.19848648913</v>
      </c>
    </row>
    <row r="44" spans="1:14" x14ac:dyDescent="0.2">
      <c r="A44" s="11" t="s">
        <v>42</v>
      </c>
      <c r="B44" s="13">
        <f>[21]Results!C45</f>
        <v>0</v>
      </c>
      <c r="C44" s="9"/>
      <c r="D44" s="9"/>
      <c r="E44" s="9"/>
      <c r="F44" s="9">
        <f t="shared" si="7"/>
        <v>0</v>
      </c>
      <c r="G44" s="9"/>
      <c r="H44" s="9">
        <f>'Pro Forma Adj'!B47</f>
        <v>0</v>
      </c>
      <c r="J44" s="9">
        <f t="shared" si="8"/>
        <v>0</v>
      </c>
      <c r="L44" s="9"/>
      <c r="N44" s="9">
        <f t="shared" si="9"/>
        <v>0</v>
      </c>
    </row>
    <row r="45" spans="1:14" x14ac:dyDescent="0.2">
      <c r="A45" s="11" t="s">
        <v>43</v>
      </c>
      <c r="B45" s="13">
        <f>[21]Results!C46</f>
        <v>5.1222741603851318E-9</v>
      </c>
      <c r="C45" s="9"/>
      <c r="D45" s="9"/>
      <c r="E45" s="9"/>
      <c r="F45" s="9">
        <f t="shared" si="7"/>
        <v>5.1222741603851318E-9</v>
      </c>
      <c r="G45" s="9"/>
      <c r="H45" s="9">
        <f>'Pro Forma Adj'!B48</f>
        <v>0</v>
      </c>
      <c r="J45" s="9">
        <f t="shared" si="8"/>
        <v>5.1222741603851318E-9</v>
      </c>
      <c r="L45" s="9"/>
      <c r="N45" s="9">
        <f t="shared" si="9"/>
        <v>5.1222741603851318E-9</v>
      </c>
    </row>
    <row r="46" spans="1:14" x14ac:dyDescent="0.2">
      <c r="A46" s="11" t="s">
        <v>44</v>
      </c>
      <c r="B46" s="13">
        <f>[21]Results!C47</f>
        <v>1.57160684466362E-9</v>
      </c>
      <c r="C46" s="9"/>
      <c r="D46" s="9"/>
      <c r="E46" s="9"/>
      <c r="F46" s="9">
        <f t="shared" si="7"/>
        <v>1.57160684466362E-9</v>
      </c>
      <c r="G46" s="9"/>
      <c r="H46" s="9">
        <f>'Pro Forma Adj'!B49</f>
        <v>0</v>
      </c>
      <c r="J46" s="9">
        <f t="shared" si="8"/>
        <v>1.57160684466362E-9</v>
      </c>
      <c r="L46" s="9"/>
      <c r="N46" s="9">
        <f t="shared" si="9"/>
        <v>1.57160684466362E-9</v>
      </c>
    </row>
    <row r="47" spans="1:14" x14ac:dyDescent="0.2">
      <c r="A47" s="11" t="s">
        <v>45</v>
      </c>
      <c r="B47" s="13">
        <f>[21]Results!C48</f>
        <v>8.6889034719206393E-5</v>
      </c>
      <c r="C47" s="9"/>
      <c r="D47" s="9"/>
      <c r="E47" s="9"/>
      <c r="F47" s="9">
        <f t="shared" si="7"/>
        <v>8.6889034719206393E-5</v>
      </c>
      <c r="G47" s="9"/>
      <c r="H47" s="9">
        <f>'Pro Forma Adj'!B50</f>
        <v>0</v>
      </c>
      <c r="J47" s="9">
        <f t="shared" si="8"/>
        <v>8.6889034719206393E-5</v>
      </c>
      <c r="L47" s="9"/>
      <c r="N47" s="9">
        <f t="shared" si="9"/>
        <v>8.6889034719206393E-5</v>
      </c>
    </row>
    <row r="48" spans="1:14" x14ac:dyDescent="0.2">
      <c r="A48" s="11" t="s">
        <v>46</v>
      </c>
      <c r="B48" s="13">
        <f>[21]Results!C49</f>
        <v>29873668.417190563</v>
      </c>
      <c r="C48" s="9"/>
      <c r="D48" s="9"/>
      <c r="E48" s="9"/>
      <c r="F48" s="9">
        <f t="shared" si="7"/>
        <v>29873668.417190563</v>
      </c>
      <c r="G48" s="9"/>
      <c r="H48" s="9">
        <f>'Pro Forma Adj'!B51</f>
        <v>0</v>
      </c>
      <c r="J48" s="9">
        <f t="shared" si="8"/>
        <v>29873668.417190563</v>
      </c>
      <c r="L48" s="9"/>
      <c r="N48" s="9">
        <f t="shared" si="9"/>
        <v>29873668.417190563</v>
      </c>
    </row>
    <row r="49" spans="1:14" x14ac:dyDescent="0.2">
      <c r="A49" s="11" t="s">
        <v>47</v>
      </c>
      <c r="B49" s="13">
        <f>[21]Results!C50</f>
        <v>3311.89</v>
      </c>
      <c r="C49" s="9"/>
      <c r="D49" s="9"/>
      <c r="E49" s="9"/>
      <c r="F49" s="9">
        <f t="shared" si="7"/>
        <v>3311.89</v>
      </c>
      <c r="G49" s="9"/>
      <c r="H49" s="9">
        <f>'Pro Forma Adj'!B52</f>
        <v>0</v>
      </c>
      <c r="J49" s="9">
        <f t="shared" si="8"/>
        <v>3311.89</v>
      </c>
      <c r="L49" s="9"/>
      <c r="N49" s="9">
        <f t="shared" si="9"/>
        <v>3311.89</v>
      </c>
    </row>
    <row r="50" spans="1:14" x14ac:dyDescent="0.2">
      <c r="A50" s="11" t="s">
        <v>48</v>
      </c>
      <c r="B50" s="13">
        <f>[21]Results!C51</f>
        <v>0</v>
      </c>
      <c r="C50" s="9"/>
      <c r="D50" s="9"/>
      <c r="E50" s="9"/>
      <c r="F50" s="9">
        <f t="shared" si="7"/>
        <v>0</v>
      </c>
      <c r="G50" s="9"/>
      <c r="H50" s="9">
        <f>'Pro Forma Adj'!B53</f>
        <v>0</v>
      </c>
      <c r="J50" s="9">
        <f t="shared" si="8"/>
        <v>0</v>
      </c>
      <c r="L50" s="9"/>
      <c r="N50" s="9">
        <f t="shared" si="9"/>
        <v>0</v>
      </c>
    </row>
    <row r="51" spans="1:14" ht="13.5" thickBot="1" x14ac:dyDescent="0.25">
      <c r="A51" s="11" t="s">
        <v>49</v>
      </c>
      <c r="B51" s="10">
        <f>SUM(B40:B50)</f>
        <v>2439393944.5722022</v>
      </c>
      <c r="C51" s="9"/>
      <c r="D51" s="10">
        <f>SUM(D40:D50)</f>
        <v>0</v>
      </c>
      <c r="E51" s="9"/>
      <c r="F51" s="10">
        <f>SUM(F40:F50)</f>
        <v>2439393944.5722022</v>
      </c>
      <c r="G51" s="9"/>
      <c r="H51" s="10">
        <f>SUM(H40:H50)</f>
        <v>335377389.45151836</v>
      </c>
      <c r="J51" s="10">
        <f>SUM(J40:J50)</f>
        <v>2774771334.0237207</v>
      </c>
      <c r="L51" s="10">
        <f>SUM(L40:L50)</f>
        <v>0</v>
      </c>
      <c r="N51" s="10">
        <f>SUM(N40:N50)</f>
        <v>2774771334.0237207</v>
      </c>
    </row>
    <row r="52" spans="1:14" ht="13.5" thickTop="1" x14ac:dyDescent="0.2">
      <c r="A52" s="11"/>
      <c r="B52" s="9"/>
      <c r="C52" s="9"/>
      <c r="D52" s="9"/>
      <c r="E52" s="9"/>
      <c r="F52" s="9"/>
      <c r="G52" s="9"/>
      <c r="H52" s="9"/>
      <c r="J52" s="9"/>
      <c r="L52" s="9"/>
      <c r="N52" s="9"/>
    </row>
    <row r="53" spans="1:14" x14ac:dyDescent="0.2">
      <c r="A53" s="11" t="s">
        <v>50</v>
      </c>
      <c r="B53" s="9"/>
      <c r="C53" s="9"/>
      <c r="D53" s="9"/>
      <c r="E53" s="9"/>
      <c r="F53" s="9"/>
      <c r="G53" s="9"/>
      <c r="H53" s="9"/>
      <c r="J53" s="9"/>
      <c r="L53" s="9"/>
      <c r="N53" s="9"/>
    </row>
    <row r="54" spans="1:14" x14ac:dyDescent="0.2">
      <c r="A54" s="11" t="s">
        <v>51</v>
      </c>
      <c r="B54" s="13">
        <f>[21]Results!C55</f>
        <v>-1005501106.3249345</v>
      </c>
      <c r="C54" s="9"/>
      <c r="D54" s="9"/>
      <c r="E54" s="9"/>
      <c r="F54" s="9">
        <f t="shared" ref="F54:F61" si="10">SUM(B54:D54)</f>
        <v>-1005501106.3249345</v>
      </c>
      <c r="G54" s="9"/>
      <c r="H54" s="9">
        <f>'Pro Forma Adj'!B57</f>
        <v>-51320415.002068095</v>
      </c>
      <c r="J54" s="9">
        <f t="shared" ref="J54:J60" si="11">F54+H54</f>
        <v>-1056821521.3270025</v>
      </c>
      <c r="L54" s="9"/>
      <c r="N54" s="9">
        <f t="shared" ref="N54:N61" si="12">J54+L54</f>
        <v>-1056821521.3270025</v>
      </c>
    </row>
    <row r="55" spans="1:14" x14ac:dyDescent="0.2">
      <c r="A55" s="11" t="s">
        <v>52</v>
      </c>
      <c r="B55" s="13">
        <f>[21]Results!C56</f>
        <v>-64932897.347893581</v>
      </c>
      <c r="C55" s="9"/>
      <c r="D55" s="9"/>
      <c r="E55" s="9"/>
      <c r="F55" s="9">
        <f t="shared" si="10"/>
        <v>-64932897.347893581</v>
      </c>
      <c r="G55" s="9"/>
      <c r="H55" s="9">
        <f>'Pro Forma Adj'!B58</f>
        <v>-4541116.6972164949</v>
      </c>
      <c r="J55" s="9">
        <f t="shared" si="11"/>
        <v>-69474014.045110077</v>
      </c>
      <c r="L55" s="9"/>
      <c r="N55" s="9">
        <f t="shared" si="12"/>
        <v>-69474014.045110077</v>
      </c>
    </row>
    <row r="56" spans="1:14" x14ac:dyDescent="0.2">
      <c r="A56" s="11" t="s">
        <v>53</v>
      </c>
      <c r="B56" s="13">
        <f>[21]Results!C57</f>
        <v>-164955908.35129285</v>
      </c>
      <c r="C56" s="9"/>
      <c r="D56" s="9"/>
      <c r="E56" s="9"/>
      <c r="F56" s="9">
        <f t="shared" si="10"/>
        <v>-164955908.35129285</v>
      </c>
      <c r="G56" s="9"/>
      <c r="H56" s="9">
        <f>'Pro Forma Adj'!B59</f>
        <v>-19119359.781580959</v>
      </c>
      <c r="J56" s="9">
        <f t="shared" si="11"/>
        <v>-184075268.1328738</v>
      </c>
      <c r="L56" s="9"/>
      <c r="N56" s="9">
        <f t="shared" si="12"/>
        <v>-184075268.1328738</v>
      </c>
    </row>
    <row r="57" spans="1:14" x14ac:dyDescent="0.2">
      <c r="A57" s="11" t="s">
        <v>54</v>
      </c>
      <c r="B57" s="13">
        <f>[21]Results!C58</f>
        <v>-14943.338687945423</v>
      </c>
      <c r="C57" s="9"/>
      <c r="D57" s="9"/>
      <c r="E57" s="9"/>
      <c r="F57" s="9">
        <f t="shared" si="10"/>
        <v>-14943.338687945423</v>
      </c>
      <c r="G57" s="9"/>
      <c r="H57" s="9">
        <f>'Pro Forma Adj'!B60</f>
        <v>0</v>
      </c>
      <c r="J57" s="9">
        <f t="shared" si="11"/>
        <v>-14943.338687945423</v>
      </c>
      <c r="L57" s="9"/>
      <c r="N57" s="9">
        <f t="shared" si="12"/>
        <v>-14943.338687945423</v>
      </c>
    </row>
    <row r="58" spans="1:14" x14ac:dyDescent="0.2">
      <c r="A58" s="11" t="s">
        <v>55</v>
      </c>
      <c r="B58" s="13">
        <f>[21]Results!C59</f>
        <v>-7825156.6492933882</v>
      </c>
      <c r="C58" s="9"/>
      <c r="D58" s="9"/>
      <c r="E58" s="9"/>
      <c r="F58" s="9">
        <f t="shared" si="10"/>
        <v>-7825156.6492933882</v>
      </c>
      <c r="G58" s="9"/>
      <c r="H58" s="9">
        <f>'Pro Forma Adj'!B61</f>
        <v>0</v>
      </c>
      <c r="J58" s="9">
        <f t="shared" si="11"/>
        <v>-7825156.6492933882</v>
      </c>
      <c r="L58" s="9"/>
      <c r="N58" s="9">
        <f t="shared" si="12"/>
        <v>-7825156.6492933882</v>
      </c>
    </row>
    <row r="59" spans="1:14" x14ac:dyDescent="0.2">
      <c r="A59" s="11" t="s">
        <v>56</v>
      </c>
      <c r="B59" s="13">
        <f>[21]Results!C60</f>
        <v>-408390.63249999989</v>
      </c>
      <c r="C59" s="9"/>
      <c r="D59" s="9"/>
      <c r="E59" s="9"/>
      <c r="F59" s="9">
        <f t="shared" si="10"/>
        <v>-408390.63249999989</v>
      </c>
      <c r="G59" s="9"/>
      <c r="H59" s="9">
        <f>'Pro Forma Adj'!B62</f>
        <v>0</v>
      </c>
      <c r="J59" s="9">
        <f t="shared" si="11"/>
        <v>-408390.63249999989</v>
      </c>
      <c r="L59" s="9"/>
      <c r="N59" s="9">
        <f t="shared" si="12"/>
        <v>-408390.63249999989</v>
      </c>
    </row>
    <row r="60" spans="1:14" x14ac:dyDescent="0.2">
      <c r="A60" s="11" t="s">
        <v>57</v>
      </c>
      <c r="B60" s="13">
        <f>[21]Results!C61</f>
        <v>-95331195.22722128</v>
      </c>
      <c r="C60" s="9"/>
      <c r="D60" s="9"/>
      <c r="E60" s="9"/>
      <c r="F60" s="9">
        <f t="shared" si="10"/>
        <v>-95331195.22722128</v>
      </c>
      <c r="G60" s="9"/>
      <c r="H60" s="9">
        <f>'Pro Forma Adj'!B63</f>
        <v>-3335283.8417438725</v>
      </c>
      <c r="J60" s="9">
        <f t="shared" si="11"/>
        <v>-98666479.068965152</v>
      </c>
      <c r="L60" s="9"/>
      <c r="N60" s="9">
        <f t="shared" si="12"/>
        <v>-98666479.068965152</v>
      </c>
    </row>
    <row r="61" spans="1:14" x14ac:dyDescent="0.2">
      <c r="A61" s="11"/>
      <c r="B61" s="9"/>
      <c r="C61" s="9"/>
      <c r="D61" s="9"/>
      <c r="E61" s="9"/>
      <c r="F61" s="9">
        <f t="shared" si="10"/>
        <v>0</v>
      </c>
      <c r="G61" s="9"/>
      <c r="H61" s="9"/>
      <c r="J61" s="9"/>
      <c r="L61" s="9"/>
      <c r="N61" s="9">
        <f t="shared" si="12"/>
        <v>0</v>
      </c>
    </row>
    <row r="62" spans="1:14" ht="13.5" thickBot="1" x14ac:dyDescent="0.25">
      <c r="A62" s="11" t="s">
        <v>58</v>
      </c>
      <c r="B62" s="10">
        <f>SUM(B54:B60)</f>
        <v>-1338969597.8718233</v>
      </c>
      <c r="C62" s="9"/>
      <c r="D62" s="10">
        <f>SUM(D54:D60)</f>
        <v>0</v>
      </c>
      <c r="E62" s="9"/>
      <c r="F62" s="10">
        <f>SUM(F54:F60)</f>
        <v>-1338969597.8718233</v>
      </c>
      <c r="G62" s="9"/>
      <c r="H62" s="10">
        <f>SUM(H54:H60)</f>
        <v>-78316175.322609425</v>
      </c>
      <c r="J62" s="10">
        <f>SUM(J54:J60)</f>
        <v>-1417285773.1944327</v>
      </c>
      <c r="L62" s="10">
        <f>SUM(L54:L60)</f>
        <v>0</v>
      </c>
      <c r="N62" s="10">
        <f>SUM(N54:N60)</f>
        <v>-1417285773.1944327</v>
      </c>
    </row>
    <row r="63" spans="1:14" ht="13.5" thickTop="1" x14ac:dyDescent="0.2">
      <c r="A63" s="11"/>
      <c r="B63" s="9"/>
      <c r="C63" s="9"/>
      <c r="D63" s="9"/>
      <c r="E63" s="9"/>
      <c r="F63" s="9"/>
      <c r="G63" s="9"/>
      <c r="H63" s="9"/>
      <c r="J63" s="9"/>
      <c r="L63" s="9"/>
      <c r="N63" s="9"/>
    </row>
    <row r="64" spans="1:14" ht="13.5" thickBot="1" x14ac:dyDescent="0.25">
      <c r="A64" s="11" t="s">
        <v>59</v>
      </c>
      <c r="B64" s="10">
        <f>B51+B62</f>
        <v>1100424346.7003789</v>
      </c>
      <c r="C64" s="9"/>
      <c r="D64" s="10">
        <f>D51+D62</f>
        <v>0</v>
      </c>
      <c r="E64" s="9"/>
      <c r="F64" s="10">
        <f>F51+F62</f>
        <v>1100424346.7003789</v>
      </c>
      <c r="G64" s="9"/>
      <c r="H64" s="10">
        <f>H51+H62</f>
        <v>257061214.12890893</v>
      </c>
      <c r="J64" s="10">
        <f>J51+J62</f>
        <v>1357485560.829288</v>
      </c>
      <c r="L64" s="10">
        <f>L51+L62</f>
        <v>0</v>
      </c>
      <c r="N64" s="10">
        <f>N51+N62</f>
        <v>1357485560.829288</v>
      </c>
    </row>
    <row r="65" spans="1:17" ht="13.5" thickTop="1" x14ac:dyDescent="0.2">
      <c r="A65" s="11"/>
      <c r="B65" s="218"/>
      <c r="C65" s="9"/>
      <c r="D65" s="220"/>
      <c r="E65" s="220"/>
      <c r="F65" s="220"/>
      <c r="G65" s="9"/>
      <c r="H65" s="9"/>
      <c r="J65" s="9"/>
      <c r="L65" s="9"/>
      <c r="N65" s="9"/>
    </row>
    <row r="66" spans="1:17" x14ac:dyDescent="0.2">
      <c r="A66" s="11" t="s">
        <v>8</v>
      </c>
      <c r="B66" s="23">
        <f>B37/B64</f>
        <v>5.7715123454107613E-2</v>
      </c>
      <c r="C66" s="23"/>
      <c r="D66" s="23">
        <f>F66-B66</f>
        <v>1.8284863274977643E-2</v>
      </c>
      <c r="E66" s="23"/>
      <c r="F66" s="23">
        <f>F37/F64</f>
        <v>7.5999986729085256E-2</v>
      </c>
      <c r="G66" s="23"/>
      <c r="H66" s="23">
        <f>Restated_ROE-F66</f>
        <v>-3.2924015918711219E-3</v>
      </c>
      <c r="J66" s="23">
        <f>J37/J64</f>
        <v>6.0523368899849689E-2</v>
      </c>
      <c r="L66" s="23">
        <f>N66-J66</f>
        <v>1.5476609109571132E-2</v>
      </c>
      <c r="N66" s="23">
        <f>N37/N64</f>
        <v>7.5999978009420821E-2</v>
      </c>
    </row>
    <row r="67" spans="1:17" x14ac:dyDescent="0.2">
      <c r="A67" s="11" t="s">
        <v>60</v>
      </c>
      <c r="B67" s="23">
        <f>(B66-Weighted_cost_debt-Weighted_cost_pref)/Percent_common</f>
        <v>6.7230219337054045E-2</v>
      </c>
      <c r="C67" s="23"/>
      <c r="D67" s="23">
        <f>F67-B67</f>
        <v>3.5769780662945949E-2</v>
      </c>
      <c r="E67" s="23"/>
      <c r="F67" s="23">
        <f>ROUND((F66-Weighted_cost_debt-Weighted_cost_pref)/Percent_common,3)</f>
        <v>0.10299999999999999</v>
      </c>
      <c r="G67" s="23"/>
      <c r="H67" s="23">
        <f>Restated_ROE-F67</f>
        <v>-3.029241486278586E-2</v>
      </c>
      <c r="J67" s="23">
        <f>(J66-Weighted_cost_debt-Weighted_cost_pref)/Percent_common</f>
        <v>7.2707585137214134E-2</v>
      </c>
      <c r="L67" s="23">
        <f>N67-J67</f>
        <v>3.029241486278586E-2</v>
      </c>
      <c r="N67" s="23">
        <f>ROUND((N66-Weighted_cost_debt-Weighted_cost_pref)/Percent_common,3)</f>
        <v>0.10299999999999999</v>
      </c>
    </row>
    <row r="68" spans="1:17" x14ac:dyDescent="0.2">
      <c r="A68" s="11" t="s">
        <v>7</v>
      </c>
      <c r="B68" s="214">
        <f>IF(ABS(-(B37-(B64*Overall_ROR))/gross_up_factor)&lt;10,0,-(B37-(B64*Overall_ROR))/gross_up_factor)</f>
        <v>26763219.025179848</v>
      </c>
      <c r="C68" s="9"/>
      <c r="D68" s="9"/>
      <c r="E68" s="9"/>
      <c r="F68" s="228">
        <f>IF(ABS(-(F37-(F64*Overall_ROR))/gross_up_factor)&lt;10,0,-(F37-(F64*Overall_ROR))/gross_up_factor)</f>
        <v>19.424380430571812</v>
      </c>
      <c r="G68" s="13">
        <f>IF(ABS(-(G37-(G64*Overall_ROR))/gross_up_factor)&lt;10,0,-(G37-(G64*Overall_ROR))/gross_up_factor)</f>
        <v>0</v>
      </c>
      <c r="H68" s="13">
        <f>IF(ABS(-(H37-(H64*Overall_ROR))/gross_up_factor)&lt;10,0,-(H37-(H64*Overall_ROR))/gross_up_factor)</f>
        <v>27944572.697052471</v>
      </c>
      <c r="I68" s="229"/>
      <c r="J68" s="13">
        <f>-(J37-(J64*Overall_ROR))/gross_up_factor-F68</f>
        <v>27944572.69705227</v>
      </c>
      <c r="L68" s="9"/>
      <c r="N68" s="9"/>
      <c r="P68" s="214">
        <f>J68-H68</f>
        <v>-2.0116567611694336E-7</v>
      </c>
      <c r="Q68" s="19" t="s">
        <v>183</v>
      </c>
    </row>
    <row r="69" spans="1:17" x14ac:dyDescent="0.2">
      <c r="A69" s="11"/>
      <c r="B69" s="223"/>
      <c r="C69" s="223"/>
      <c r="D69" s="9"/>
      <c r="E69" s="9"/>
      <c r="F69" s="13"/>
      <c r="G69" s="16"/>
      <c r="H69" s="16"/>
      <c r="I69" s="229"/>
      <c r="J69" s="16"/>
      <c r="L69" s="21"/>
      <c r="N69" s="21"/>
    </row>
    <row r="70" spans="1:17" x14ac:dyDescent="0.2">
      <c r="A70" s="11" t="s">
        <v>61</v>
      </c>
      <c r="B70" s="9"/>
      <c r="C70" s="9"/>
      <c r="D70" s="9"/>
      <c r="E70" s="9"/>
      <c r="F70" s="9"/>
      <c r="G70" s="9"/>
      <c r="H70" s="9"/>
      <c r="J70" s="9"/>
      <c r="L70" s="9"/>
      <c r="N70" s="9"/>
    </row>
    <row r="71" spans="1:17" x14ac:dyDescent="0.2">
      <c r="A71" s="11" t="s">
        <v>62</v>
      </c>
      <c r="B71" s="9">
        <f t="shared" ref="B71:N71" si="13">B13-B26-B27-B28-B29-B34</f>
        <v>46606931.813159056</v>
      </c>
      <c r="C71" s="9"/>
      <c r="D71" s="9">
        <f>D9-D22-D29</f>
        <v>25469757.878320225</v>
      </c>
      <c r="E71" s="9"/>
      <c r="F71" s="9">
        <f t="shared" ref="F71" si="14">SUM(B71:D71)</f>
        <v>72076689.691479281</v>
      </c>
      <c r="G71" s="9"/>
      <c r="H71" s="9">
        <f t="shared" si="13"/>
        <v>-2769175.3449559314</v>
      </c>
      <c r="J71" s="9">
        <f t="shared" si="13"/>
        <v>69307514.346523449</v>
      </c>
      <c r="L71" s="9">
        <f t="shared" si="13"/>
        <v>26594016.958027583</v>
      </c>
      <c r="N71" s="9">
        <f t="shared" si="13"/>
        <v>95901531.304551035</v>
      </c>
    </row>
    <row r="72" spans="1:17" x14ac:dyDescent="0.2">
      <c r="A72" s="11" t="s">
        <v>63</v>
      </c>
      <c r="B72" s="13">
        <f>[21]Results!E72</f>
        <v>0</v>
      </c>
      <c r="C72" s="9"/>
      <c r="D72" s="9"/>
      <c r="E72" s="9"/>
      <c r="F72" s="9"/>
      <c r="G72" s="9"/>
      <c r="H72" s="9"/>
      <c r="J72" s="9">
        <f t="shared" ref="J72:J76" si="15">F72+H72</f>
        <v>0</v>
      </c>
      <c r="L72" s="9"/>
      <c r="N72" s="9"/>
    </row>
    <row r="73" spans="1:17" x14ac:dyDescent="0.2">
      <c r="A73" s="11" t="s">
        <v>64</v>
      </c>
      <c r="B73" s="13">
        <f>[21]Results!E73</f>
        <v>-3636274.7351071914</v>
      </c>
      <c r="C73" s="9"/>
      <c r="D73" s="9">
        <v>0</v>
      </c>
      <c r="E73" s="9"/>
      <c r="F73" s="9">
        <f t="shared" ref="F73:F76" si="16">SUM(B73:D73)</f>
        <v>-3636274.7351071914</v>
      </c>
      <c r="G73" s="9"/>
      <c r="H73" s="9">
        <f>'Pro Forma Adj'!B76</f>
        <v>0</v>
      </c>
      <c r="J73" s="9">
        <f t="shared" si="15"/>
        <v>-3636274.7351071914</v>
      </c>
      <c r="L73" s="9"/>
      <c r="N73" s="9">
        <f>J73+L73</f>
        <v>-3636274.7351071914</v>
      </c>
    </row>
    <row r="74" spans="1:17" x14ac:dyDescent="0.2">
      <c r="A74" s="11" t="s">
        <v>65</v>
      </c>
      <c r="B74" s="13">
        <f>[21]Results!E74</f>
        <v>25573245.579682641</v>
      </c>
      <c r="C74" s="9"/>
      <c r="D74" s="9">
        <v>0</v>
      </c>
      <c r="E74" s="9"/>
      <c r="F74" s="9">
        <f t="shared" si="16"/>
        <v>25573245.579682641</v>
      </c>
      <c r="G74" s="9"/>
      <c r="H74" s="9">
        <f>'Pro Forma Adj'!B77</f>
        <v>5973958.662075948</v>
      </c>
      <c r="J74" s="9">
        <f t="shared" si="15"/>
        <v>31547204.241758589</v>
      </c>
      <c r="L74" s="9"/>
      <c r="N74" s="9">
        <f>J74+L74</f>
        <v>31547204.241758589</v>
      </c>
    </row>
    <row r="75" spans="1:17" x14ac:dyDescent="0.2">
      <c r="A75" s="11" t="s">
        <v>66</v>
      </c>
      <c r="B75" s="13">
        <f>[21]Results!E75</f>
        <v>102431858.53765158</v>
      </c>
      <c r="C75" s="9"/>
      <c r="D75" s="9">
        <v>0</v>
      </c>
      <c r="E75" s="9"/>
      <c r="F75" s="9">
        <f t="shared" si="16"/>
        <v>102431858.53765158</v>
      </c>
      <c r="G75" s="9"/>
      <c r="H75" s="9">
        <f>'Pro Forma Adj'!B78</f>
        <v>10447102.241431128</v>
      </c>
      <c r="I75" s="20"/>
      <c r="J75" s="9">
        <f t="shared" si="15"/>
        <v>112878960.77908272</v>
      </c>
      <c r="K75" s="20"/>
      <c r="L75" s="9"/>
      <c r="N75" s="9">
        <f>J75+L75</f>
        <v>112878960.77908272</v>
      </c>
    </row>
    <row r="76" spans="1:17" x14ac:dyDescent="0.2">
      <c r="A76" s="11" t="s">
        <v>67</v>
      </c>
      <c r="B76" s="150">
        <f>[21]Results!E76</f>
        <v>113644045.8027956</v>
      </c>
      <c r="C76" s="9"/>
      <c r="D76" s="8">
        <v>0</v>
      </c>
      <c r="E76" s="9"/>
      <c r="F76" s="8">
        <f t="shared" si="16"/>
        <v>113644045.8027956</v>
      </c>
      <c r="G76" s="9"/>
      <c r="H76" s="8">
        <f>'Pro Forma Adj'!B79</f>
        <v>21722351.971674141</v>
      </c>
      <c r="I76" s="20"/>
      <c r="J76" s="8">
        <f t="shared" si="15"/>
        <v>135366397.77446973</v>
      </c>
      <c r="K76" s="20"/>
      <c r="L76" s="8"/>
      <c r="N76" s="8">
        <f>J76+L76</f>
        <v>135366397.77446973</v>
      </c>
    </row>
    <row r="77" spans="1:17" x14ac:dyDescent="0.2">
      <c r="A77" s="11" t="s">
        <v>68</v>
      </c>
      <c r="B77" s="9">
        <f t="shared" ref="B77:N77" si="17">B71-B73-B74+B75-B76</f>
        <v>13457773.703439578</v>
      </c>
      <c r="C77" s="9"/>
      <c r="D77" s="9">
        <f>D71-D73-D74+D75-D76</f>
        <v>25469757.878320225</v>
      </c>
      <c r="E77" s="9"/>
      <c r="F77" s="9">
        <f>F71-F73-F74+F75-F76</f>
        <v>38927531.581759825</v>
      </c>
      <c r="G77" s="9"/>
      <c r="H77" s="9">
        <f t="shared" si="17"/>
        <v>-20018383.737274893</v>
      </c>
      <c r="I77" s="20"/>
      <c r="J77" s="9">
        <f t="shared" si="17"/>
        <v>18909147.844485044</v>
      </c>
      <c r="K77" s="20"/>
      <c r="L77" s="9">
        <f t="shared" si="17"/>
        <v>26594016.958027583</v>
      </c>
      <c r="N77" s="9">
        <f t="shared" si="17"/>
        <v>45503164.802512646</v>
      </c>
    </row>
    <row r="78" spans="1:17" x14ac:dyDescent="0.2">
      <c r="A78" s="11"/>
      <c r="B78" s="9"/>
      <c r="C78" s="9"/>
      <c r="D78" s="9"/>
      <c r="E78" s="9"/>
      <c r="F78" s="9"/>
      <c r="G78" s="9"/>
      <c r="H78" s="9"/>
      <c r="I78" s="20"/>
      <c r="J78" s="9"/>
      <c r="K78" s="20"/>
      <c r="L78" s="9"/>
      <c r="N78" s="9"/>
    </row>
    <row r="79" spans="1:17" x14ac:dyDescent="0.2">
      <c r="A79" s="11" t="s">
        <v>69</v>
      </c>
      <c r="B79" s="9">
        <v>0</v>
      </c>
      <c r="C79" s="9"/>
      <c r="D79" s="9">
        <v>0</v>
      </c>
      <c r="E79" s="9"/>
      <c r="F79" s="9">
        <f t="shared" ref="F79:F80" si="18">SUM(B79:D79)</f>
        <v>0</v>
      </c>
      <c r="G79" s="9"/>
      <c r="H79" s="9">
        <v>0</v>
      </c>
      <c r="I79" s="20"/>
      <c r="J79" s="9">
        <v>0</v>
      </c>
      <c r="K79" s="20"/>
      <c r="L79" s="9">
        <v>0</v>
      </c>
      <c r="N79" s="9">
        <v>0</v>
      </c>
    </row>
    <row r="80" spans="1:17" x14ac:dyDescent="0.2">
      <c r="A80" s="11" t="s">
        <v>70</v>
      </c>
      <c r="B80" s="9">
        <f>B77-B79</f>
        <v>13457773.703439578</v>
      </c>
      <c r="C80" s="9"/>
      <c r="D80" s="9">
        <f>D77-D79</f>
        <v>25469757.878320225</v>
      </c>
      <c r="E80" s="9"/>
      <c r="F80" s="9">
        <f t="shared" si="18"/>
        <v>38927531.581759803</v>
      </c>
      <c r="G80" s="9"/>
      <c r="H80" s="9">
        <f>H77-H79</f>
        <v>-20018383.737274893</v>
      </c>
      <c r="I80" s="20"/>
      <c r="J80" s="9">
        <f>J77-J79</f>
        <v>18909147.844485044</v>
      </c>
      <c r="K80" s="20"/>
      <c r="L80" s="9">
        <f>L77-L79</f>
        <v>26594016.958027583</v>
      </c>
      <c r="N80" s="9">
        <f>N77-N79</f>
        <v>45503164.802512646</v>
      </c>
    </row>
    <row r="81" spans="1:14" x14ac:dyDescent="0.2">
      <c r="A81" s="11"/>
      <c r="B81" s="9"/>
      <c r="C81" s="9"/>
      <c r="D81" s="9"/>
      <c r="E81" s="9"/>
      <c r="F81" s="9"/>
      <c r="G81" s="9"/>
      <c r="H81" s="9"/>
      <c r="I81" s="20"/>
      <c r="J81" s="9"/>
      <c r="K81" s="20"/>
      <c r="L81" s="9"/>
      <c r="N81" s="9"/>
    </row>
    <row r="82" spans="1:14" x14ac:dyDescent="0.2">
      <c r="A82" s="11" t="s">
        <v>81</v>
      </c>
      <c r="B82" s="9">
        <f>B80*0.21</f>
        <v>2826132.4777223114</v>
      </c>
      <c r="C82" s="9"/>
      <c r="D82" s="9">
        <f>D80*0.21</f>
        <v>5348649.1544472473</v>
      </c>
      <c r="E82" s="9"/>
      <c r="F82" s="9">
        <f t="shared" ref="F82:F84" si="19">SUM(B82:D82)</f>
        <v>8174781.6321695587</v>
      </c>
      <c r="G82" s="9"/>
      <c r="H82" s="9">
        <f>H80*0.21</f>
        <v>-4203860.5848277276</v>
      </c>
      <c r="I82" s="20"/>
      <c r="J82" s="9">
        <f>J80*0.21</f>
        <v>3970921.047341859</v>
      </c>
      <c r="K82" s="20"/>
      <c r="L82" s="9">
        <f>L80*0.21</f>
        <v>5584743.5611857921</v>
      </c>
      <c r="N82" s="9">
        <f>N80*0.21</f>
        <v>9555664.6085276548</v>
      </c>
    </row>
    <row r="83" spans="1:14" x14ac:dyDescent="0.2">
      <c r="A83" s="11" t="s">
        <v>129</v>
      </c>
      <c r="B83" s="13">
        <f>B84-B82</f>
        <v>-17018573.173973028</v>
      </c>
      <c r="C83" s="9"/>
      <c r="D83" s="13">
        <v>0</v>
      </c>
      <c r="E83" s="9"/>
      <c r="F83" s="9">
        <f t="shared" si="19"/>
        <v>-17018573.173973028</v>
      </c>
      <c r="G83" s="9"/>
      <c r="H83" s="9">
        <f>'Pro Forma Adj'!B86</f>
        <v>0</v>
      </c>
      <c r="I83" s="20"/>
      <c r="J83" s="9">
        <f t="shared" ref="J83:J84" si="20">F83+H83</f>
        <v>-17018573.173973028</v>
      </c>
      <c r="K83" s="20"/>
      <c r="L83" s="9"/>
      <c r="N83" s="9">
        <f>J83+L83</f>
        <v>-17018573.173973028</v>
      </c>
    </row>
    <row r="84" spans="1:14" x14ac:dyDescent="0.2">
      <c r="A84" s="11" t="s">
        <v>83</v>
      </c>
      <c r="B84" s="13">
        <f>[21]Results!C82</f>
        <v>-14192440.696250716</v>
      </c>
      <c r="C84" s="9"/>
      <c r="D84" s="13">
        <f>D82</f>
        <v>5348649.1544472473</v>
      </c>
      <c r="E84" s="9"/>
      <c r="F84" s="9">
        <f t="shared" si="19"/>
        <v>-8843791.541803468</v>
      </c>
      <c r="G84" s="9"/>
      <c r="H84" s="9">
        <f>H82+H83</f>
        <v>-4203860.5848277276</v>
      </c>
      <c r="I84" s="20"/>
      <c r="J84" s="9">
        <f t="shared" si="20"/>
        <v>-13047652.126631197</v>
      </c>
      <c r="K84" s="20"/>
      <c r="L84" s="9">
        <f>L82+L83</f>
        <v>5584743.5611857921</v>
      </c>
      <c r="N84" s="9">
        <f>N82+N83</f>
        <v>-7462908.5654453728</v>
      </c>
    </row>
    <row r="85" spans="1:14" x14ac:dyDescent="0.2">
      <c r="A85" s="11"/>
      <c r="B85" s="219"/>
      <c r="C85" s="9"/>
      <c r="D85" s="220"/>
      <c r="E85" s="220"/>
      <c r="F85" s="220"/>
      <c r="G85" s="9"/>
      <c r="H85" s="9"/>
      <c r="J85" s="9"/>
      <c r="L85" s="9"/>
      <c r="N85" s="9"/>
    </row>
    <row r="86" spans="1:14" x14ac:dyDescent="0.2">
      <c r="A86" s="11"/>
      <c r="B86" s="218"/>
      <c r="C86" s="9"/>
      <c r="D86" s="220"/>
      <c r="E86" s="220"/>
      <c r="F86" s="220"/>
      <c r="G86" s="9"/>
      <c r="H86" s="9"/>
      <c r="I86" s="20"/>
      <c r="J86" s="9"/>
      <c r="K86" s="20"/>
      <c r="L86" s="9"/>
      <c r="N86" s="9"/>
    </row>
    <row r="87" spans="1:14" x14ac:dyDescent="0.2">
      <c r="A87" s="11"/>
      <c r="B87" s="218"/>
      <c r="C87" s="9"/>
      <c r="D87" s="220"/>
      <c r="E87" s="220"/>
      <c r="F87" s="220"/>
      <c r="G87" s="9"/>
      <c r="H87" s="9"/>
      <c r="I87" s="20"/>
      <c r="J87" s="9"/>
      <c r="K87" s="20"/>
      <c r="L87" s="9"/>
      <c r="N87" s="9"/>
    </row>
    <row r="88" spans="1:14" x14ac:dyDescent="0.2">
      <c r="A88" s="11"/>
      <c r="B88" s="9"/>
      <c r="C88" s="9"/>
      <c r="D88" s="220"/>
      <c r="E88" s="220"/>
      <c r="F88" s="220"/>
      <c r="G88" s="9"/>
      <c r="H88" s="9"/>
      <c r="I88" s="20"/>
      <c r="J88" s="9"/>
      <c r="K88" s="20"/>
      <c r="L88" s="9"/>
      <c r="N88" s="9"/>
    </row>
    <row r="89" spans="1:14" x14ac:dyDescent="0.2">
      <c r="A89" s="11"/>
      <c r="B89" s="9"/>
      <c r="C89" s="9"/>
      <c r="D89" s="220"/>
      <c r="E89" s="220"/>
      <c r="F89" s="220"/>
      <c r="G89" s="9"/>
      <c r="H89" s="9"/>
      <c r="I89" s="20"/>
      <c r="J89" s="9"/>
      <c r="K89" s="20"/>
      <c r="L89" s="9"/>
      <c r="N89" s="9"/>
    </row>
    <row r="90" spans="1:14" x14ac:dyDescent="0.2">
      <c r="A90" s="22"/>
      <c r="B90" s="9"/>
      <c r="C90" s="9"/>
      <c r="D90" s="220"/>
      <c r="E90" s="220"/>
      <c r="F90" s="220"/>
      <c r="G90" s="9"/>
      <c r="H90" s="9"/>
      <c r="I90" s="20"/>
      <c r="J90" s="23"/>
      <c r="K90" s="20"/>
      <c r="L90" s="9"/>
      <c r="N90" s="9"/>
    </row>
    <row r="91" spans="1:14" x14ac:dyDescent="0.2">
      <c r="A91" s="20"/>
      <c r="B91" s="6"/>
      <c r="C91" s="6"/>
      <c r="D91" s="221"/>
      <c r="E91" s="221"/>
      <c r="F91" s="221"/>
      <c r="G91" s="6"/>
      <c r="H91" s="6"/>
      <c r="J91" s="6"/>
      <c r="L91" s="6"/>
      <c r="N91" s="6"/>
    </row>
    <row r="92" spans="1:14" x14ac:dyDescent="0.2">
      <c r="A92" s="20"/>
      <c r="D92" s="222"/>
      <c r="E92" s="222"/>
      <c r="F92" s="222"/>
    </row>
    <row r="93" spans="1:14" x14ac:dyDescent="0.2">
      <c r="A93" s="20"/>
      <c r="D93" s="222"/>
      <c r="E93" s="222"/>
      <c r="F93" s="222"/>
    </row>
    <row r="94" spans="1:14" x14ac:dyDescent="0.2">
      <c r="A94" s="20"/>
      <c r="D94" s="222"/>
      <c r="E94" s="222"/>
      <c r="F94" s="222"/>
    </row>
    <row r="95" spans="1:14" x14ac:dyDescent="0.2">
      <c r="A95" s="20"/>
      <c r="D95" s="222"/>
      <c r="E95" s="222"/>
      <c r="F95" s="222"/>
    </row>
    <row r="96" spans="1:14" x14ac:dyDescent="0.2">
      <c r="A96" s="20"/>
      <c r="D96" s="222"/>
      <c r="E96" s="222"/>
      <c r="F96" s="222"/>
    </row>
    <row r="97" spans="1:6" x14ac:dyDescent="0.2">
      <c r="A97" s="20"/>
      <c r="D97" s="222"/>
      <c r="E97" s="222"/>
      <c r="F97" s="222"/>
    </row>
    <row r="98" spans="1:6" x14ac:dyDescent="0.2">
      <c r="A98" s="20"/>
      <c r="D98" s="222"/>
      <c r="E98" s="222"/>
      <c r="F98" s="222"/>
    </row>
    <row r="99" spans="1:6" x14ac:dyDescent="0.2">
      <c r="A99" s="20"/>
      <c r="D99" s="222"/>
      <c r="E99" s="222"/>
      <c r="F99" s="222"/>
    </row>
    <row r="100" spans="1:6" x14ac:dyDescent="0.2">
      <c r="A100" s="20"/>
      <c r="D100" s="222"/>
      <c r="E100" s="222"/>
      <c r="F100" s="222"/>
    </row>
    <row r="101" spans="1:6" x14ac:dyDescent="0.2">
      <c r="A101" s="20"/>
      <c r="D101" s="222"/>
      <c r="E101" s="222"/>
      <c r="F101" s="222"/>
    </row>
    <row r="102" spans="1:6" x14ac:dyDescent="0.2">
      <c r="A102" s="20"/>
      <c r="D102" s="222"/>
      <c r="E102" s="222"/>
      <c r="F102" s="222"/>
    </row>
    <row r="103" spans="1:6" x14ac:dyDescent="0.2">
      <c r="A103" s="20"/>
    </row>
    <row r="104" spans="1:6" x14ac:dyDescent="0.2">
      <c r="A104" s="20"/>
    </row>
    <row r="105" spans="1:6" x14ac:dyDescent="0.2">
      <c r="A105" s="20"/>
    </row>
    <row r="106" spans="1:6" x14ac:dyDescent="0.2">
      <c r="A106" s="20"/>
    </row>
    <row r="107" spans="1:6" x14ac:dyDescent="0.2">
      <c r="A107" s="20"/>
    </row>
    <row r="108" spans="1:6" x14ac:dyDescent="0.2">
      <c r="A108" s="20"/>
    </row>
    <row r="109" spans="1:6" x14ac:dyDescent="0.2">
      <c r="A109" s="20"/>
    </row>
    <row r="110" spans="1:6" x14ac:dyDescent="0.2">
      <c r="A110" s="20"/>
    </row>
    <row r="111" spans="1:6" x14ac:dyDescent="0.2">
      <c r="A111" s="20"/>
    </row>
    <row r="112" spans="1:6" x14ac:dyDescent="0.2">
      <c r="A112" s="20"/>
    </row>
    <row r="113" spans="1:1" x14ac:dyDescent="0.2">
      <c r="A113" s="20"/>
    </row>
    <row r="114" spans="1:1" x14ac:dyDescent="0.2">
      <c r="A114" s="20"/>
    </row>
    <row r="115" spans="1:1" x14ac:dyDescent="0.2">
      <c r="A115" s="20"/>
    </row>
    <row r="116" spans="1:1" x14ac:dyDescent="0.2">
      <c r="A116" s="20"/>
    </row>
    <row r="117" spans="1:1" x14ac:dyDescent="0.2">
      <c r="A117" s="20"/>
    </row>
    <row r="118" spans="1:1" x14ac:dyDescent="0.2">
      <c r="A118" s="20"/>
    </row>
    <row r="119" spans="1:1" x14ac:dyDescent="0.2">
      <c r="A119" s="20"/>
    </row>
    <row r="120" spans="1:1" x14ac:dyDescent="0.2">
      <c r="A120" s="20"/>
    </row>
    <row r="121" spans="1:1" x14ac:dyDescent="0.2">
      <c r="A121" s="20"/>
    </row>
    <row r="122" spans="1:1" x14ac:dyDescent="0.2">
      <c r="A122" s="20"/>
    </row>
    <row r="123" spans="1:1" x14ac:dyDescent="0.2">
      <c r="A123" s="20"/>
    </row>
    <row r="124" spans="1:1" x14ac:dyDescent="0.2">
      <c r="A124" s="20"/>
    </row>
    <row r="125" spans="1:1" x14ac:dyDescent="0.2">
      <c r="A125" s="20"/>
    </row>
    <row r="126" spans="1:1" x14ac:dyDescent="0.2">
      <c r="A126" s="20"/>
    </row>
    <row r="127" spans="1:1" x14ac:dyDescent="0.2">
      <c r="A127" s="20"/>
    </row>
    <row r="128" spans="1:1" x14ac:dyDescent="0.2">
      <c r="A128" s="20"/>
    </row>
    <row r="129" spans="1:1" x14ac:dyDescent="0.2">
      <c r="A129" s="20"/>
    </row>
    <row r="130" spans="1:1" x14ac:dyDescent="0.2">
      <c r="A130" s="20"/>
    </row>
    <row r="131" spans="1:1" x14ac:dyDescent="0.2">
      <c r="A131" s="20"/>
    </row>
    <row r="132" spans="1:1" x14ac:dyDescent="0.2">
      <c r="A132" s="20"/>
    </row>
    <row r="133" spans="1:1" x14ac:dyDescent="0.2">
      <c r="A133" s="20"/>
    </row>
    <row r="134" spans="1:1" x14ac:dyDescent="0.2">
      <c r="A134" s="20"/>
    </row>
    <row r="135" spans="1:1" x14ac:dyDescent="0.2">
      <c r="A135" s="20"/>
    </row>
    <row r="136" spans="1:1" x14ac:dyDescent="0.2">
      <c r="A136" s="20"/>
    </row>
    <row r="137" spans="1:1" x14ac:dyDescent="0.2">
      <c r="A137" s="20"/>
    </row>
    <row r="138" spans="1:1" x14ac:dyDescent="0.2">
      <c r="A138" s="20"/>
    </row>
    <row r="139" spans="1:1" x14ac:dyDescent="0.2">
      <c r="A139" s="20"/>
    </row>
    <row r="140" spans="1: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</sheetData>
  <phoneticPr fontId="3" type="noConversion"/>
  <pageMargins left="0.5" right="0.5" top="0.5" bottom="0.5" header="0.5" footer="0.5"/>
  <pageSetup scale="61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93"/>
  <sheetViews>
    <sheetView showOutlineSymbols="0" topLeftCell="A7" zoomScale="80" zoomScaleNormal="80" workbookViewId="0">
      <pane xSplit="2" ySplit="3" topLeftCell="I10" activePane="bottomRight" state="frozen"/>
      <selection activeCell="A7" sqref="A7"/>
      <selection pane="topRight" activeCell="C7" sqref="C7"/>
      <selection pane="bottomLeft" activeCell="A10" sqref="A10"/>
      <selection pane="bottomRight" activeCell="L32" sqref="L32"/>
    </sheetView>
  </sheetViews>
  <sheetFormatPr defaultRowHeight="12.75" x14ac:dyDescent="0.2"/>
  <cols>
    <col min="1" max="1" width="37.5703125" style="2" customWidth="1"/>
    <col min="2" max="2" width="19" style="15" customWidth="1"/>
    <col min="3" max="3" width="17.28515625" style="15" bestFit="1" customWidth="1"/>
    <col min="4" max="5" width="16" style="2" customWidth="1"/>
    <col min="6" max="6" width="16.140625" style="2" customWidth="1"/>
    <col min="7" max="7" width="17.28515625" style="2" bestFit="1" customWidth="1"/>
    <col min="8" max="8" width="16.140625" style="2" customWidth="1"/>
    <col min="9" max="10" width="16" style="2" customWidth="1"/>
    <col min="11" max="12" width="17.28515625" style="2" bestFit="1" customWidth="1"/>
    <col min="13" max="13" width="15.7109375" style="2" customWidth="1"/>
    <col min="14" max="14" width="15" style="2" customWidth="1"/>
    <col min="15" max="15" width="17.28515625" style="2" customWidth="1"/>
    <col min="16" max="16" width="13.85546875" style="2" customWidth="1"/>
    <col min="17" max="17" width="16" style="2" bestFit="1" customWidth="1"/>
    <col min="18" max="18" width="16.7109375" style="2" customWidth="1"/>
    <col min="19" max="20" width="16" style="2" bestFit="1" customWidth="1"/>
    <col min="21" max="21" width="15.7109375" style="2" customWidth="1"/>
    <col min="22" max="22" width="15.5703125" style="2" customWidth="1"/>
    <col min="23" max="23" width="15.85546875" style="2" customWidth="1"/>
    <col min="24" max="24" width="15.140625" style="2" customWidth="1"/>
    <col min="25" max="16384" width="9.140625" style="15"/>
  </cols>
  <sheetData>
    <row r="1" spans="1:24" x14ac:dyDescent="0.2">
      <c r="A1" s="4" t="s">
        <v>6</v>
      </c>
    </row>
    <row r="2" spans="1:24" s="2" customFormat="1" x14ac:dyDescent="0.2">
      <c r="A2" s="118" t="str">
        <f>Summary!A2</f>
        <v>Washington 2023 General Rate Case</v>
      </c>
    </row>
    <row r="3" spans="1:24" s="2" customFormat="1" x14ac:dyDescent="0.2">
      <c r="A3" s="119" t="s">
        <v>234</v>
      </c>
    </row>
    <row r="4" spans="1:24" s="2" customFormat="1" x14ac:dyDescent="0.2">
      <c r="A4" s="120"/>
    </row>
    <row r="5" spans="1:24" s="2" customFormat="1" x14ac:dyDescent="0.2">
      <c r="A5" s="227"/>
    </row>
    <row r="6" spans="1:24" s="4" customFormat="1" ht="13.5" thickBot="1" x14ac:dyDescent="0.25">
      <c r="A6" s="120"/>
      <c r="E6" s="226"/>
    </row>
    <row r="7" spans="1:24" s="121" customFormat="1" ht="13.5" thickBot="1" x14ac:dyDescent="0.25">
      <c r="A7" s="4"/>
      <c r="B7" s="205"/>
      <c r="C7" s="275" t="s">
        <v>132</v>
      </c>
      <c r="D7" s="276"/>
      <c r="E7" s="277"/>
      <c r="F7" s="275" t="s">
        <v>203</v>
      </c>
      <c r="G7" s="277"/>
      <c r="H7" s="275" t="s">
        <v>133</v>
      </c>
      <c r="I7" s="276"/>
      <c r="J7" s="276"/>
      <c r="K7" s="276"/>
      <c r="L7" s="276"/>
      <c r="M7" s="277"/>
      <c r="N7" s="275" t="s">
        <v>207</v>
      </c>
      <c r="O7" s="277"/>
      <c r="P7" s="275" t="s">
        <v>153</v>
      </c>
      <c r="Q7" s="276"/>
      <c r="R7" s="276"/>
      <c r="S7" s="276"/>
      <c r="T7" s="277"/>
      <c r="U7" s="255" t="s">
        <v>209</v>
      </c>
      <c r="V7" s="276" t="s">
        <v>208</v>
      </c>
      <c r="W7" s="277"/>
      <c r="X7" s="250"/>
    </row>
    <row r="8" spans="1:24" x14ac:dyDescent="0.2">
      <c r="B8" s="61"/>
      <c r="C8" s="61" t="s">
        <v>130</v>
      </c>
      <c r="D8" s="59" t="s">
        <v>131</v>
      </c>
      <c r="E8" s="59" t="s">
        <v>173</v>
      </c>
      <c r="F8" s="61" t="s">
        <v>134</v>
      </c>
      <c r="G8" s="252" t="s">
        <v>138</v>
      </c>
      <c r="H8" s="61" t="s">
        <v>139</v>
      </c>
      <c r="I8" s="59" t="s">
        <v>140</v>
      </c>
      <c r="J8" s="59" t="s">
        <v>141</v>
      </c>
      <c r="K8" s="59" t="s">
        <v>142</v>
      </c>
      <c r="L8" s="59" t="s">
        <v>143</v>
      </c>
      <c r="M8" s="60" t="s">
        <v>144</v>
      </c>
      <c r="N8" s="204" t="s">
        <v>145</v>
      </c>
      <c r="O8" s="59" t="s">
        <v>180</v>
      </c>
      <c r="P8" s="204" t="s">
        <v>146</v>
      </c>
      <c r="Q8" s="59" t="s">
        <v>148</v>
      </c>
      <c r="R8" s="59" t="s">
        <v>149</v>
      </c>
      <c r="S8" s="59" t="s">
        <v>150</v>
      </c>
      <c r="T8" s="60" t="s">
        <v>152</v>
      </c>
      <c r="U8" s="204" t="s">
        <v>159</v>
      </c>
      <c r="V8" s="204" t="s">
        <v>154</v>
      </c>
      <c r="W8" s="60" t="s">
        <v>157</v>
      </c>
      <c r="X8" s="59"/>
    </row>
    <row r="9" spans="1:24" s="122" customFormat="1" ht="81" customHeight="1" x14ac:dyDescent="0.2">
      <c r="A9" s="14"/>
      <c r="B9" s="206" t="s">
        <v>231</v>
      </c>
      <c r="C9" s="73" t="s">
        <v>164</v>
      </c>
      <c r="D9" s="75" t="s">
        <v>165</v>
      </c>
      <c r="E9" s="75" t="s">
        <v>168</v>
      </c>
      <c r="F9" s="73" t="s">
        <v>135</v>
      </c>
      <c r="G9" s="74" t="s">
        <v>137</v>
      </c>
      <c r="H9" s="73" t="s">
        <v>136</v>
      </c>
      <c r="I9" s="75" t="s">
        <v>212</v>
      </c>
      <c r="J9" s="75" t="s">
        <v>211</v>
      </c>
      <c r="K9" s="75" t="s">
        <v>210</v>
      </c>
      <c r="L9" s="75" t="s">
        <v>184</v>
      </c>
      <c r="M9" s="74" t="s">
        <v>185</v>
      </c>
      <c r="N9" s="73" t="s">
        <v>200</v>
      </c>
      <c r="O9" s="75" t="s">
        <v>181</v>
      </c>
      <c r="P9" s="73" t="s">
        <v>160</v>
      </c>
      <c r="Q9" s="75" t="s">
        <v>147</v>
      </c>
      <c r="R9" s="75" t="s">
        <v>182</v>
      </c>
      <c r="S9" s="75" t="s">
        <v>172</v>
      </c>
      <c r="T9" s="74" t="s">
        <v>151</v>
      </c>
      <c r="U9" s="73" t="s">
        <v>156</v>
      </c>
      <c r="V9" s="73" t="s">
        <v>155</v>
      </c>
      <c r="W9" s="74" t="s">
        <v>158</v>
      </c>
      <c r="X9" s="75"/>
    </row>
    <row r="10" spans="1:24" x14ac:dyDescent="0.2">
      <c r="B10" s="207"/>
      <c r="C10" s="31"/>
      <c r="F10" s="31"/>
      <c r="G10" s="67"/>
      <c r="H10" s="31"/>
      <c r="M10" s="67"/>
      <c r="N10" s="31"/>
      <c r="P10" s="31"/>
      <c r="T10" s="67"/>
      <c r="U10" s="31"/>
      <c r="V10" s="31"/>
      <c r="W10" s="67"/>
    </row>
    <row r="11" spans="1:24" x14ac:dyDescent="0.2">
      <c r="A11" s="14" t="s">
        <v>9</v>
      </c>
      <c r="B11" s="26"/>
      <c r="C11" s="26"/>
      <c r="D11" s="12"/>
      <c r="E11" s="12"/>
      <c r="F11" s="26"/>
      <c r="G11" s="62"/>
      <c r="H11" s="26"/>
      <c r="I11" s="12"/>
      <c r="J11" s="12"/>
      <c r="K11" s="12"/>
      <c r="L11" s="12"/>
      <c r="M11" s="62"/>
      <c r="N11" s="26"/>
      <c r="O11" s="12"/>
      <c r="P11" s="26"/>
      <c r="Q11" s="12"/>
      <c r="R11" s="12"/>
      <c r="S11" s="12"/>
      <c r="T11" s="62"/>
      <c r="U11" s="26"/>
      <c r="V11" s="26"/>
      <c r="W11" s="62"/>
      <c r="X11" s="12"/>
    </row>
    <row r="12" spans="1:24" x14ac:dyDescent="0.2">
      <c r="A12" s="14" t="s">
        <v>10</v>
      </c>
      <c r="B12" s="27">
        <f>SUM(C12:X12)</f>
        <v>0</v>
      </c>
      <c r="C12" s="28"/>
      <c r="D12" s="65"/>
      <c r="E12" s="65"/>
      <c r="F12" s="28"/>
      <c r="G12" s="66"/>
      <c r="H12" s="28"/>
      <c r="I12" s="65"/>
      <c r="J12" s="65"/>
      <c r="K12" s="65"/>
      <c r="L12" s="65"/>
      <c r="M12" s="66"/>
      <c r="N12" s="28"/>
      <c r="O12" s="65"/>
      <c r="P12" s="28"/>
      <c r="Q12" s="65"/>
      <c r="R12" s="65"/>
      <c r="S12" s="65"/>
      <c r="T12" s="66"/>
      <c r="U12" s="28"/>
      <c r="V12" s="28"/>
      <c r="W12" s="66"/>
      <c r="X12" s="65"/>
    </row>
    <row r="13" spans="1:24" x14ac:dyDescent="0.2">
      <c r="A13" s="14" t="s">
        <v>11</v>
      </c>
      <c r="B13" s="27">
        <f>SUM(C13:X13)</f>
        <v>0</v>
      </c>
      <c r="C13" s="28"/>
      <c r="D13" s="65"/>
      <c r="E13" s="65"/>
      <c r="F13" s="28"/>
      <c r="G13" s="66"/>
      <c r="H13" s="28"/>
      <c r="I13" s="65"/>
      <c r="J13" s="65"/>
      <c r="K13" s="65"/>
      <c r="L13" s="65"/>
      <c r="M13" s="66"/>
      <c r="N13" s="28"/>
      <c r="O13" s="65"/>
      <c r="P13" s="28"/>
      <c r="Q13" s="65"/>
      <c r="R13" s="65"/>
      <c r="S13" s="65"/>
      <c r="T13" s="66"/>
      <c r="U13" s="28"/>
      <c r="V13" s="28"/>
      <c r="W13" s="66"/>
      <c r="X13" s="65"/>
    </row>
    <row r="14" spans="1:24" x14ac:dyDescent="0.2">
      <c r="A14" s="14" t="s">
        <v>12</v>
      </c>
      <c r="B14" s="27">
        <f>SUM(C14:X14)</f>
        <v>0</v>
      </c>
      <c r="C14" s="28"/>
      <c r="D14" s="65"/>
      <c r="E14" s="65"/>
      <c r="F14" s="28"/>
      <c r="G14" s="66"/>
      <c r="H14" s="28"/>
      <c r="I14" s="65"/>
      <c r="J14" s="65"/>
      <c r="K14" s="65"/>
      <c r="L14" s="65"/>
      <c r="M14" s="66"/>
      <c r="N14" s="28"/>
      <c r="O14" s="65"/>
      <c r="P14" s="28"/>
      <c r="Q14" s="65"/>
      <c r="R14" s="65"/>
      <c r="S14" s="65"/>
      <c r="T14" s="66"/>
      <c r="U14" s="28"/>
      <c r="V14" s="28"/>
      <c r="W14" s="66"/>
      <c r="X14" s="65"/>
    </row>
    <row r="15" spans="1:24" x14ac:dyDescent="0.2">
      <c r="A15" s="14" t="s">
        <v>13</v>
      </c>
      <c r="B15" s="27">
        <f>SUM(C15:X15)</f>
        <v>2100780.9236015039</v>
      </c>
      <c r="C15" s="28">
        <f>'[1]13.1'!$I$11</f>
        <v>2301415.0116205518</v>
      </c>
      <c r="D15" s="65"/>
      <c r="E15" s="65">
        <f>'[3]13.3'!$F$11</f>
        <v>-200634.08801904801</v>
      </c>
      <c r="F15" s="28"/>
      <c r="G15" s="66"/>
      <c r="H15" s="28"/>
      <c r="I15" s="65"/>
      <c r="J15" s="65"/>
      <c r="K15" s="65"/>
      <c r="L15" s="65"/>
      <c r="M15" s="66"/>
      <c r="N15" s="28"/>
      <c r="O15" s="65"/>
      <c r="P15" s="28"/>
      <c r="Q15" s="65"/>
      <c r="R15" s="65"/>
      <c r="S15" s="65"/>
      <c r="T15" s="66"/>
      <c r="U15" s="28"/>
      <c r="V15" s="28"/>
      <c r="W15" s="66"/>
      <c r="X15" s="65"/>
    </row>
    <row r="16" spans="1:24" x14ac:dyDescent="0.2">
      <c r="A16" s="14" t="s">
        <v>14</v>
      </c>
      <c r="B16" s="231">
        <f>SUM(C16:X16)</f>
        <v>2100780.9236015039</v>
      </c>
      <c r="C16" s="231">
        <f t="shared" ref="C16:I16" si="0">SUM(C12:C15)</f>
        <v>2301415.0116205518</v>
      </c>
      <c r="D16" s="232">
        <f t="shared" si="0"/>
        <v>0</v>
      </c>
      <c r="E16" s="232">
        <f t="shared" si="0"/>
        <v>-200634.08801904801</v>
      </c>
      <c r="F16" s="231">
        <f t="shared" si="0"/>
        <v>0</v>
      </c>
      <c r="G16" s="233">
        <f t="shared" si="0"/>
        <v>0</v>
      </c>
      <c r="H16" s="231">
        <f t="shared" si="0"/>
        <v>0</v>
      </c>
      <c r="I16" s="232">
        <f t="shared" si="0"/>
        <v>0</v>
      </c>
      <c r="J16" s="232">
        <f t="shared" ref="J16:K16" si="1">SUM(J12:J15)</f>
        <v>0</v>
      </c>
      <c r="K16" s="232">
        <f t="shared" si="1"/>
        <v>0</v>
      </c>
      <c r="L16" s="232">
        <f>SUM(L12:L15)</f>
        <v>0</v>
      </c>
      <c r="M16" s="233">
        <f>SUM(M12:M15)</f>
        <v>0</v>
      </c>
      <c r="N16" s="231">
        <f t="shared" ref="N16:R16" si="2">SUM(N12:N15)</f>
        <v>0</v>
      </c>
      <c r="O16" s="232">
        <f t="shared" si="2"/>
        <v>0</v>
      </c>
      <c r="P16" s="231">
        <f t="shared" si="2"/>
        <v>0</v>
      </c>
      <c r="Q16" s="232">
        <f t="shared" si="2"/>
        <v>0</v>
      </c>
      <c r="R16" s="232">
        <f t="shared" si="2"/>
        <v>0</v>
      </c>
      <c r="S16" s="232">
        <f t="shared" ref="S16:W16" si="3">SUM(S12:S15)</f>
        <v>0</v>
      </c>
      <c r="T16" s="233">
        <f t="shared" si="3"/>
        <v>0</v>
      </c>
      <c r="U16" s="231">
        <f t="shared" si="3"/>
        <v>0</v>
      </c>
      <c r="V16" s="231">
        <f t="shared" si="3"/>
        <v>0</v>
      </c>
      <c r="W16" s="233">
        <f t="shared" si="3"/>
        <v>0</v>
      </c>
      <c r="X16" s="12"/>
    </row>
    <row r="17" spans="1:24" x14ac:dyDescent="0.2">
      <c r="A17" s="14"/>
      <c r="B17" s="26"/>
      <c r="C17" s="26"/>
      <c r="D17" s="12"/>
      <c r="E17" s="12"/>
      <c r="F17" s="26"/>
      <c r="G17" s="62"/>
      <c r="H17" s="26"/>
      <c r="I17" s="12"/>
      <c r="J17" s="12"/>
      <c r="K17" s="12"/>
      <c r="L17" s="12"/>
      <c r="M17" s="62"/>
      <c r="N17" s="26"/>
      <c r="O17" s="12"/>
      <c r="P17" s="26"/>
      <c r="Q17" s="12"/>
      <c r="R17" s="12"/>
      <c r="S17" s="12"/>
      <c r="T17" s="62"/>
      <c r="U17" s="26"/>
      <c r="V17" s="26"/>
      <c r="W17" s="62"/>
      <c r="X17" s="12"/>
    </row>
    <row r="18" spans="1:24" x14ac:dyDescent="0.2">
      <c r="A18" s="14" t="s">
        <v>15</v>
      </c>
      <c r="B18" s="26"/>
      <c r="C18" s="26"/>
      <c r="D18" s="12"/>
      <c r="E18" s="12"/>
      <c r="F18" s="26"/>
      <c r="G18" s="62"/>
      <c r="H18" s="26"/>
      <c r="I18" s="12"/>
      <c r="J18" s="12"/>
      <c r="K18" s="12"/>
      <c r="L18" s="12"/>
      <c r="M18" s="62"/>
      <c r="N18" s="26"/>
      <c r="O18" s="12"/>
      <c r="P18" s="26"/>
      <c r="Q18" s="12"/>
      <c r="R18" s="12"/>
      <c r="S18" s="12"/>
      <c r="T18" s="62"/>
      <c r="U18" s="26"/>
      <c r="V18" s="26"/>
      <c r="W18" s="62"/>
      <c r="X18" s="12"/>
    </row>
    <row r="19" spans="1:24" x14ac:dyDescent="0.2">
      <c r="A19" s="14" t="s">
        <v>16</v>
      </c>
      <c r="B19" s="27">
        <f t="shared" ref="B19:B40" si="4">SUM(C19:X19)</f>
        <v>102967.18817462141</v>
      </c>
      <c r="C19" s="28"/>
      <c r="D19" s="65">
        <f>SUM('[2]13.2'!$I$9:$I$16)</f>
        <v>102967.18817462141</v>
      </c>
      <c r="E19" s="65"/>
      <c r="F19" s="28"/>
      <c r="G19" s="66"/>
      <c r="H19" s="28"/>
      <c r="I19" s="65"/>
      <c r="J19" s="65"/>
      <c r="K19" s="65"/>
      <c r="L19" s="65"/>
      <c r="M19" s="66"/>
      <c r="N19" s="28"/>
      <c r="O19" s="65"/>
      <c r="P19" s="28"/>
      <c r="Q19" s="65"/>
      <c r="R19" s="65"/>
      <c r="S19" s="65"/>
      <c r="T19" s="66"/>
      <c r="U19" s="28"/>
      <c r="V19" s="28"/>
      <c r="W19" s="66"/>
      <c r="X19" s="65"/>
    </row>
    <row r="20" spans="1:24" x14ac:dyDescent="0.2">
      <c r="A20" s="14" t="s">
        <v>17</v>
      </c>
      <c r="B20" s="27">
        <f t="shared" si="4"/>
        <v>0</v>
      </c>
      <c r="C20" s="28"/>
      <c r="D20" s="65"/>
      <c r="E20" s="65"/>
      <c r="F20" s="28"/>
      <c r="G20" s="66"/>
      <c r="H20" s="28"/>
      <c r="I20" s="65"/>
      <c r="J20" s="65"/>
      <c r="K20" s="65"/>
      <c r="L20" s="65"/>
      <c r="M20" s="66"/>
      <c r="N20" s="28"/>
      <c r="O20" s="65"/>
      <c r="P20" s="28"/>
      <c r="Q20" s="65"/>
      <c r="R20" s="65"/>
      <c r="S20" s="65"/>
      <c r="T20" s="66"/>
      <c r="U20" s="28"/>
      <c r="V20" s="28"/>
      <c r="W20" s="66"/>
      <c r="X20" s="65"/>
    </row>
    <row r="21" spans="1:24" x14ac:dyDescent="0.2">
      <c r="A21" s="14" t="s">
        <v>18</v>
      </c>
      <c r="B21" s="27">
        <f t="shared" si="4"/>
        <v>36612.357282862256</v>
      </c>
      <c r="C21" s="28"/>
      <c r="D21" s="65">
        <f>SUM('[2]13.2'!$I$17:$I$20)</f>
        <v>36612.357282862256</v>
      </c>
      <c r="E21" s="65"/>
      <c r="F21" s="28"/>
      <c r="G21" s="66"/>
      <c r="H21" s="28"/>
      <c r="I21" s="65"/>
      <c r="J21" s="65"/>
      <c r="K21" s="65"/>
      <c r="L21" s="65"/>
      <c r="M21" s="66"/>
      <c r="N21" s="28"/>
      <c r="O21" s="65"/>
      <c r="P21" s="28"/>
      <c r="Q21" s="65"/>
      <c r="R21" s="65"/>
      <c r="S21" s="65"/>
      <c r="T21" s="66"/>
      <c r="U21" s="28"/>
      <c r="V21" s="28"/>
      <c r="W21" s="66"/>
      <c r="X21" s="65"/>
    </row>
    <row r="22" spans="1:24" x14ac:dyDescent="0.2">
      <c r="A22" s="14" t="s">
        <v>19</v>
      </c>
      <c r="B22" s="27">
        <f t="shared" si="4"/>
        <v>457834.33913630672</v>
      </c>
      <c r="C22" s="28"/>
      <c r="D22" s="65">
        <f>SUM('[2]13.2'!$I$21:$I$30)</f>
        <v>62254.61173888667</v>
      </c>
      <c r="E22" s="65"/>
      <c r="F22" s="28"/>
      <c r="G22" s="66"/>
      <c r="H22" s="28"/>
      <c r="I22" s="65"/>
      <c r="J22" s="65"/>
      <c r="K22" s="65"/>
      <c r="L22" s="65"/>
      <c r="M22" s="66"/>
      <c r="N22" s="28">
        <f>'[13]14.9'!$I$20</f>
        <v>395579.72739742004</v>
      </c>
      <c r="O22" s="65"/>
      <c r="P22" s="28"/>
      <c r="Q22" s="65"/>
      <c r="R22" s="65"/>
      <c r="S22" s="65"/>
      <c r="T22" s="66"/>
      <c r="U22" s="28"/>
      <c r="V22" s="28"/>
      <c r="W22" s="66"/>
      <c r="X22" s="65"/>
    </row>
    <row r="23" spans="1:24" x14ac:dyDescent="0.2">
      <c r="A23" s="14" t="s">
        <v>20</v>
      </c>
      <c r="B23" s="27">
        <f t="shared" si="4"/>
        <v>35793.424398043266</v>
      </c>
      <c r="C23" s="28"/>
      <c r="D23" s="65">
        <f>SUM('[2]13.2'!$I$31:$I$32)</f>
        <v>35793.424398043266</v>
      </c>
      <c r="E23" s="65"/>
      <c r="F23" s="28"/>
      <c r="G23" s="66"/>
      <c r="H23" s="28"/>
      <c r="I23" s="65"/>
      <c r="J23" s="65"/>
      <c r="K23" s="65"/>
      <c r="L23" s="65"/>
      <c r="M23" s="66"/>
      <c r="N23" s="28"/>
      <c r="O23" s="65"/>
      <c r="P23" s="28"/>
      <c r="Q23" s="65"/>
      <c r="R23" s="65"/>
      <c r="S23" s="65"/>
      <c r="T23" s="66"/>
      <c r="U23" s="28"/>
      <c r="V23" s="28"/>
      <c r="W23" s="66"/>
      <c r="X23" s="65"/>
    </row>
    <row r="24" spans="1:24" x14ac:dyDescent="0.2">
      <c r="A24" s="14" t="s">
        <v>21</v>
      </c>
      <c r="B24" s="27">
        <f t="shared" si="4"/>
        <v>241927.83756353604</v>
      </c>
      <c r="C24" s="28"/>
      <c r="D24" s="65">
        <f>SUM('[2]13.2'!$I$33:$I$36)</f>
        <v>241927.83756353604</v>
      </c>
      <c r="E24" s="65"/>
      <c r="F24" s="28"/>
      <c r="G24" s="66"/>
      <c r="H24" s="28"/>
      <c r="I24" s="65"/>
      <c r="J24" s="65"/>
      <c r="K24" s="65"/>
      <c r="L24" s="65"/>
      <c r="M24" s="66"/>
      <c r="N24" s="28"/>
      <c r="O24" s="65"/>
      <c r="P24" s="28"/>
      <c r="Q24" s="65"/>
      <c r="R24" s="65"/>
      <c r="S24" s="65"/>
      <c r="T24" s="66"/>
      <c r="U24" s="28"/>
      <c r="V24" s="28"/>
      <c r="W24" s="66"/>
      <c r="X24" s="65"/>
    </row>
    <row r="25" spans="1:24" x14ac:dyDescent="0.2">
      <c r="A25" s="14" t="s">
        <v>22</v>
      </c>
      <c r="B25" s="27">
        <f t="shared" si="4"/>
        <v>55381.593112062139</v>
      </c>
      <c r="C25" s="28"/>
      <c r="D25" s="65">
        <f>SUM('[2]13.2'!$I$37:$I$38)</f>
        <v>55381.593112062139</v>
      </c>
      <c r="E25" s="65"/>
      <c r="F25" s="28"/>
      <c r="G25" s="66"/>
      <c r="H25" s="28"/>
      <c r="I25" s="65"/>
      <c r="J25" s="65"/>
      <c r="K25" s="65"/>
      <c r="L25" s="65"/>
      <c r="M25" s="66"/>
      <c r="N25" s="28"/>
      <c r="O25" s="65"/>
      <c r="P25" s="28"/>
      <c r="Q25" s="65"/>
      <c r="R25" s="65"/>
      <c r="S25" s="65"/>
      <c r="T25" s="66"/>
      <c r="U25" s="28"/>
      <c r="V25" s="28"/>
      <c r="W25" s="66"/>
      <c r="X25" s="65"/>
    </row>
    <row r="26" spans="1:24" x14ac:dyDescent="0.2">
      <c r="A26" s="14" t="s">
        <v>23</v>
      </c>
      <c r="B26" s="27">
        <f t="shared" si="4"/>
        <v>22498.957719657268</v>
      </c>
      <c r="C26" s="28"/>
      <c r="D26" s="65">
        <f>SUM('[2]13.2'!$I$39:$I$40)</f>
        <v>22498.957719657268</v>
      </c>
      <c r="E26" s="65"/>
      <c r="F26" s="28"/>
      <c r="G26" s="66"/>
      <c r="H26" s="28"/>
      <c r="I26" s="65"/>
      <c r="J26" s="65"/>
      <c r="K26" s="65"/>
      <c r="L26" s="65"/>
      <c r="M26" s="66"/>
      <c r="N26" s="28"/>
      <c r="O26" s="65"/>
      <c r="P26" s="28"/>
      <c r="Q26" s="65"/>
      <c r="R26" s="65"/>
      <c r="S26" s="65"/>
      <c r="T26" s="66"/>
      <c r="U26" s="28"/>
      <c r="V26" s="28"/>
      <c r="W26" s="66"/>
      <c r="X26" s="65"/>
    </row>
    <row r="27" spans="1:24" x14ac:dyDescent="0.2">
      <c r="A27" s="14" t="s">
        <v>24</v>
      </c>
      <c r="B27" s="27">
        <f t="shared" si="4"/>
        <v>0</v>
      </c>
      <c r="C27" s="28"/>
      <c r="D27" s="65"/>
      <c r="E27" s="65"/>
      <c r="F27" s="28"/>
      <c r="G27" s="66"/>
      <c r="H27" s="28"/>
      <c r="I27" s="65"/>
      <c r="J27" s="65"/>
      <c r="K27" s="65"/>
      <c r="L27" s="65"/>
      <c r="M27" s="66"/>
      <c r="N27" s="28"/>
      <c r="O27" s="65"/>
      <c r="P27" s="28"/>
      <c r="Q27" s="65"/>
      <c r="R27" s="65"/>
      <c r="S27" s="65"/>
      <c r="T27" s="66"/>
      <c r="U27" s="28"/>
      <c r="V27" s="28"/>
      <c r="W27" s="66"/>
      <c r="X27" s="65"/>
    </row>
    <row r="28" spans="1:24" x14ac:dyDescent="0.2">
      <c r="A28" s="14" t="s">
        <v>25</v>
      </c>
      <c r="B28" s="27">
        <f t="shared" si="4"/>
        <v>44853.005913562411</v>
      </c>
      <c r="C28" s="29"/>
      <c r="D28" s="68">
        <f>SUM('[2]13.2'!$I$41:$I$44)</f>
        <v>44853.005913562411</v>
      </c>
      <c r="E28" s="68"/>
      <c r="F28" s="29"/>
      <c r="G28" s="70"/>
      <c r="H28" s="29"/>
      <c r="I28" s="68"/>
      <c r="J28" s="68"/>
      <c r="K28" s="68"/>
      <c r="L28" s="68"/>
      <c r="M28" s="70"/>
      <c r="N28" s="29"/>
      <c r="O28" s="68"/>
      <c r="P28" s="29"/>
      <c r="Q28" s="68"/>
      <c r="R28" s="68"/>
      <c r="S28" s="68"/>
      <c r="T28" s="70"/>
      <c r="U28" s="29"/>
      <c r="V28" s="29"/>
      <c r="W28" s="70"/>
      <c r="X28" s="65"/>
    </row>
    <row r="29" spans="1:24" x14ac:dyDescent="0.2">
      <c r="A29" s="14" t="s">
        <v>26</v>
      </c>
      <c r="B29" s="234">
        <f t="shared" si="4"/>
        <v>997868.7033006514</v>
      </c>
      <c r="C29" s="26">
        <f t="shared" ref="C29:I29" si="5">SUM(C19:C28)</f>
        <v>0</v>
      </c>
      <c r="D29" s="12">
        <f t="shared" si="5"/>
        <v>602288.9759032313</v>
      </c>
      <c r="E29" s="12">
        <f t="shared" si="5"/>
        <v>0</v>
      </c>
      <c r="F29" s="26">
        <f t="shared" si="5"/>
        <v>0</v>
      </c>
      <c r="G29" s="62">
        <f t="shared" si="5"/>
        <v>0</v>
      </c>
      <c r="H29" s="26">
        <f t="shared" si="5"/>
        <v>0</v>
      </c>
      <c r="I29" s="12">
        <f t="shared" si="5"/>
        <v>0</v>
      </c>
      <c r="J29" s="12">
        <f t="shared" ref="J29:K29" si="6">SUM(J19:J28)</f>
        <v>0</v>
      </c>
      <c r="K29" s="12">
        <f t="shared" si="6"/>
        <v>0</v>
      </c>
      <c r="L29" s="12">
        <f>SUM(L19:L28)</f>
        <v>0</v>
      </c>
      <c r="M29" s="62">
        <f>SUM(M19:M28)</f>
        <v>0</v>
      </c>
      <c r="N29" s="26">
        <f t="shared" ref="N29:R29" si="7">SUM(N19:N28)</f>
        <v>395579.72739742004</v>
      </c>
      <c r="O29" s="12">
        <f t="shared" si="7"/>
        <v>0</v>
      </c>
      <c r="P29" s="26">
        <f t="shared" si="7"/>
        <v>0</v>
      </c>
      <c r="Q29" s="12">
        <f t="shared" si="7"/>
        <v>0</v>
      </c>
      <c r="R29" s="12">
        <f t="shared" si="7"/>
        <v>0</v>
      </c>
      <c r="S29" s="12">
        <f t="shared" ref="S29:U29" si="8">SUM(S19:S28)</f>
        <v>0</v>
      </c>
      <c r="T29" s="62">
        <f t="shared" si="8"/>
        <v>0</v>
      </c>
      <c r="U29" s="26">
        <f t="shared" si="8"/>
        <v>0</v>
      </c>
      <c r="V29" s="26">
        <f t="shared" ref="V29:W29" si="9">SUM(V19:V28)</f>
        <v>0</v>
      </c>
      <c r="W29" s="62">
        <f t="shared" si="9"/>
        <v>0</v>
      </c>
      <c r="X29" s="12"/>
    </row>
    <row r="30" spans="1:24" x14ac:dyDescent="0.2">
      <c r="A30" s="14" t="s">
        <v>27</v>
      </c>
      <c r="B30" s="27">
        <f t="shared" si="4"/>
        <v>7769787.527010344</v>
      </c>
      <c r="C30" s="28"/>
      <c r="D30" s="65"/>
      <c r="E30" s="65"/>
      <c r="F30" s="28"/>
      <c r="G30" s="66">
        <f>'[6]14.2'!$J$52</f>
        <v>2553798.7811355367</v>
      </c>
      <c r="H30" s="28"/>
      <c r="I30" s="65"/>
      <c r="J30" s="65"/>
      <c r="K30" s="65"/>
      <c r="L30" s="65">
        <f>SUM('[11]14.7'!$I$15:$I$17)</f>
        <v>14987.55829505467</v>
      </c>
      <c r="M30" s="66">
        <f>'[12]14.8'!$I$14</f>
        <v>16193.213747097141</v>
      </c>
      <c r="N30" s="28">
        <f>'[13]14.9'!$I$13</f>
        <v>2384687.5259876549</v>
      </c>
      <c r="O30" s="65">
        <f>'[4]14.10'!$I$13</f>
        <v>2800120.4478450012</v>
      </c>
      <c r="P30" s="28"/>
      <c r="Q30" s="65"/>
      <c r="R30" s="65"/>
      <c r="S30" s="65"/>
      <c r="T30" s="66"/>
      <c r="U30" s="28"/>
      <c r="V30" s="28"/>
      <c r="W30" s="66"/>
      <c r="X30" s="65"/>
    </row>
    <row r="31" spans="1:24" x14ac:dyDescent="0.2">
      <c r="A31" s="14" t="s">
        <v>28</v>
      </c>
      <c r="B31" s="27">
        <f t="shared" si="4"/>
        <v>-5780426.9617535602</v>
      </c>
      <c r="C31" s="28"/>
      <c r="D31" s="65"/>
      <c r="E31" s="65"/>
      <c r="F31" s="28"/>
      <c r="G31" s="66">
        <f>'[6]14.2.1'!$J$38</f>
        <v>1230830.8889248422</v>
      </c>
      <c r="H31" s="28"/>
      <c r="I31" s="65"/>
      <c r="J31" s="65"/>
      <c r="K31" s="65"/>
      <c r="L31" s="65"/>
      <c r="M31" s="66"/>
      <c r="N31" s="28"/>
      <c r="O31" s="65"/>
      <c r="P31" s="28"/>
      <c r="Q31" s="65"/>
      <c r="R31" s="65"/>
      <c r="S31" s="65"/>
      <c r="T31" s="66"/>
      <c r="U31" s="28"/>
      <c r="V31" s="28">
        <f>SUM('[19]16.1'!$I$13:$I$15)</f>
        <v>-7011257.8506784029</v>
      </c>
      <c r="W31" s="66"/>
      <c r="X31" s="65"/>
    </row>
    <row r="32" spans="1:24" x14ac:dyDescent="0.2">
      <c r="A32" s="14" t="s">
        <v>29</v>
      </c>
      <c r="B32" s="27">
        <f t="shared" si="4"/>
        <v>1882727</v>
      </c>
      <c r="C32" s="28"/>
      <c r="D32" s="65"/>
      <c r="E32" s="65"/>
      <c r="F32" s="28"/>
      <c r="G32" s="66"/>
      <c r="H32" s="28"/>
      <c r="I32" s="65"/>
      <c r="J32" s="65"/>
      <c r="K32" s="65"/>
      <c r="L32" s="65"/>
      <c r="M32" s="66"/>
      <c r="N32" s="28"/>
      <c r="O32" s="65"/>
      <c r="P32" s="28"/>
      <c r="Q32" s="65">
        <f>'[14]15.2'!$I$10</f>
        <v>1882727</v>
      </c>
      <c r="R32" s="65"/>
      <c r="S32" s="65"/>
      <c r="T32" s="66"/>
      <c r="U32" s="28"/>
      <c r="V32" s="28"/>
      <c r="W32" s="66"/>
      <c r="X32" s="65"/>
    </row>
    <row r="33" spans="1:24" x14ac:dyDescent="0.2">
      <c r="A33" s="14" t="s">
        <v>30</v>
      </c>
      <c r="B33" s="27">
        <f t="shared" si="4"/>
        <v>-4203860.5848277248</v>
      </c>
      <c r="C33" s="28">
        <f>C87</f>
        <v>483297.15244031587</v>
      </c>
      <c r="D33" s="65">
        <f t="shared" ref="D33:S33" si="10">D87</f>
        <v>-126480.68493967857</v>
      </c>
      <c r="E33" s="65">
        <f t="shared" ref="E33" si="11">E87</f>
        <v>-42133.15848400008</v>
      </c>
      <c r="F33" s="28">
        <f t="shared" si="10"/>
        <v>-724257.10919062386</v>
      </c>
      <c r="G33" s="66">
        <f t="shared" si="10"/>
        <v>-794772.23071267956</v>
      </c>
      <c r="H33" s="28">
        <f t="shared" si="10"/>
        <v>0</v>
      </c>
      <c r="I33" s="65">
        <f t="shared" si="10"/>
        <v>0</v>
      </c>
      <c r="J33" s="65">
        <f t="shared" ref="J33:K33" si="12">J87</f>
        <v>0</v>
      </c>
      <c r="K33" s="65">
        <f t="shared" si="12"/>
        <v>0</v>
      </c>
      <c r="L33" s="65">
        <f t="shared" si="10"/>
        <v>-4616.0617710702354</v>
      </c>
      <c r="M33" s="66">
        <f t="shared" si="10"/>
        <v>-40091.226243459205</v>
      </c>
      <c r="N33" s="28">
        <f t="shared" si="10"/>
        <v>-583856.12321086565</v>
      </c>
      <c r="O33" s="65">
        <f t="shared" ref="O33" si="13">O87</f>
        <v>-588025.29404745018</v>
      </c>
      <c r="P33" s="28">
        <f t="shared" si="10"/>
        <v>-1254531.319035949</v>
      </c>
      <c r="Q33" s="65">
        <f t="shared" si="10"/>
        <v>-395372.67</v>
      </c>
      <c r="R33" s="65">
        <f t="shared" si="10"/>
        <v>0</v>
      </c>
      <c r="S33" s="65">
        <f t="shared" si="10"/>
        <v>-1431906.5139747304</v>
      </c>
      <c r="T33" s="66">
        <f t="shared" ref="T33" si="14">T87</f>
        <v>0</v>
      </c>
      <c r="U33" s="28">
        <f t="shared" ref="U33:V33" si="15">U87</f>
        <v>0</v>
      </c>
      <c r="V33" s="28">
        <f t="shared" si="15"/>
        <v>1298884.6543424646</v>
      </c>
      <c r="W33" s="66">
        <f t="shared" ref="W33" si="16">W87</f>
        <v>0</v>
      </c>
      <c r="X33" s="65"/>
    </row>
    <row r="34" spans="1:24" x14ac:dyDescent="0.2">
      <c r="A34" s="14" t="s">
        <v>31</v>
      </c>
      <c r="B34" s="27">
        <f t="shared" si="4"/>
        <v>0</v>
      </c>
      <c r="C34" s="27">
        <v>0</v>
      </c>
      <c r="D34" s="63">
        <v>0</v>
      </c>
      <c r="E34" s="63">
        <v>0</v>
      </c>
      <c r="F34" s="27">
        <v>0</v>
      </c>
      <c r="G34" s="64">
        <v>0</v>
      </c>
      <c r="H34" s="27">
        <v>0</v>
      </c>
      <c r="I34" s="63">
        <v>0</v>
      </c>
      <c r="J34" s="63">
        <v>0</v>
      </c>
      <c r="K34" s="63">
        <v>0</v>
      </c>
      <c r="L34" s="63">
        <v>0</v>
      </c>
      <c r="M34" s="64">
        <v>0</v>
      </c>
      <c r="N34" s="27">
        <v>0</v>
      </c>
      <c r="O34" s="63">
        <v>0</v>
      </c>
      <c r="P34" s="27">
        <v>0</v>
      </c>
      <c r="Q34" s="63">
        <v>0</v>
      </c>
      <c r="R34" s="63">
        <v>0</v>
      </c>
      <c r="S34" s="63">
        <v>0</v>
      </c>
      <c r="T34" s="64">
        <f>SUM('[17]15.5'!$I$19:$I$20)</f>
        <v>0</v>
      </c>
      <c r="U34" s="27">
        <v>0</v>
      </c>
      <c r="V34" s="27">
        <v>0</v>
      </c>
      <c r="W34" s="64">
        <v>0</v>
      </c>
      <c r="X34" s="63"/>
    </row>
    <row r="35" spans="1:24" x14ac:dyDescent="0.2">
      <c r="A35" s="14" t="s">
        <v>32</v>
      </c>
      <c r="B35" s="27">
        <f t="shared" si="4"/>
        <v>2907321.6111727078</v>
      </c>
      <c r="C35" s="28"/>
      <c r="D35" s="65"/>
      <c r="E35" s="65"/>
      <c r="F35" s="28">
        <f>'[5]14.1.1'!$J$43+'[5]14.1.1'!$J$47</f>
        <v>847953.51731343858</v>
      </c>
      <c r="G35" s="66"/>
      <c r="H35" s="28"/>
      <c r="I35" s="65"/>
      <c r="J35" s="65"/>
      <c r="K35" s="65"/>
      <c r="L35" s="65">
        <f>SUM('[11]14.7'!$I$31:$I$32,'[11]14.7'!$I$37:$I$38,'[11]14.7'!$I$43:$I$44)</f>
        <v>1720.5123639274734</v>
      </c>
      <c r="M35" s="66">
        <f>'[12]14.8'!$I$32+'[12]14.8'!$I$31</f>
        <v>42957.180011062555</v>
      </c>
      <c r="N35" s="28"/>
      <c r="O35" s="65"/>
      <c r="P35" s="28"/>
      <c r="Q35" s="65"/>
      <c r="R35" s="65"/>
      <c r="S35" s="65">
        <f>SUM('[16]15.4.1'!$I$22:$I$24,'[16]15.4.1'!$I$32:$I$33,'[16]15.4'!$I$33:$I$44)</f>
        <v>2329246.261743499</v>
      </c>
      <c r="T35" s="66"/>
      <c r="U35" s="28">
        <f>'[18]15.6'!$I$11</f>
        <v>-517664</v>
      </c>
      <c r="V35" s="28">
        <f>'[19]16.1'!$I$21</f>
        <v>203108.13974078008</v>
      </c>
      <c r="W35" s="66"/>
      <c r="X35" s="65"/>
    </row>
    <row r="36" spans="1:24" x14ac:dyDescent="0.2">
      <c r="A36" s="14" t="s">
        <v>33</v>
      </c>
      <c r="B36" s="27">
        <f t="shared" si="4"/>
        <v>0</v>
      </c>
      <c r="C36" s="28"/>
      <c r="D36" s="65"/>
      <c r="E36" s="65"/>
      <c r="F36" s="28"/>
      <c r="G36" s="66"/>
      <c r="H36" s="28"/>
      <c r="I36" s="65"/>
      <c r="J36" s="65"/>
      <c r="K36" s="65"/>
      <c r="L36" s="65"/>
      <c r="M36" s="66"/>
      <c r="N36" s="28"/>
      <c r="O36" s="65"/>
      <c r="P36" s="28"/>
      <c r="Q36" s="65"/>
      <c r="R36" s="65"/>
      <c r="S36" s="65"/>
      <c r="T36" s="66"/>
      <c r="U36" s="28"/>
      <c r="V36" s="28"/>
      <c r="W36" s="66"/>
      <c r="X36" s="65"/>
    </row>
    <row r="37" spans="1:24" x14ac:dyDescent="0.2">
      <c r="A37" s="14" t="s">
        <v>34</v>
      </c>
      <c r="B37" s="27">
        <f t="shared" si="4"/>
        <v>0</v>
      </c>
      <c r="C37" s="28"/>
      <c r="D37" s="65"/>
      <c r="E37" s="65"/>
      <c r="F37" s="28"/>
      <c r="G37" s="66"/>
      <c r="H37" s="28"/>
      <c r="I37" s="65"/>
      <c r="J37" s="65"/>
      <c r="K37" s="65"/>
      <c r="L37" s="65"/>
      <c r="M37" s="66"/>
      <c r="N37" s="28"/>
      <c r="O37" s="65"/>
      <c r="P37" s="28"/>
      <c r="Q37" s="65"/>
      <c r="R37" s="65"/>
      <c r="S37" s="65"/>
      <c r="T37" s="66"/>
      <c r="U37" s="28"/>
      <c r="V37" s="28"/>
      <c r="W37" s="66"/>
      <c r="X37" s="65"/>
    </row>
    <row r="38" spans="1:24" x14ac:dyDescent="0.2">
      <c r="A38" s="14" t="s">
        <v>35</v>
      </c>
      <c r="B38" s="231">
        <f t="shared" si="4"/>
        <v>3573417.2949024159</v>
      </c>
      <c r="C38" s="231">
        <f>SUM(C29:C37)</f>
        <v>483297.15244031587</v>
      </c>
      <c r="D38" s="232">
        <f t="shared" ref="D38:M38" si="17">SUM(D29:D37)</f>
        <v>475808.29096355272</v>
      </c>
      <c r="E38" s="232">
        <f t="shared" si="17"/>
        <v>-42133.15848400008</v>
      </c>
      <c r="F38" s="231">
        <f t="shared" si="17"/>
        <v>123696.40812281473</v>
      </c>
      <c r="G38" s="233">
        <f t="shared" si="17"/>
        <v>2989857.4393476993</v>
      </c>
      <c r="H38" s="231">
        <f t="shared" si="17"/>
        <v>0</v>
      </c>
      <c r="I38" s="232">
        <f t="shared" si="17"/>
        <v>0</v>
      </c>
      <c r="J38" s="232">
        <f t="shared" ref="J38:K38" si="18">SUM(J29:J37)</f>
        <v>0</v>
      </c>
      <c r="K38" s="232">
        <f t="shared" si="18"/>
        <v>0</v>
      </c>
      <c r="L38" s="232">
        <f t="shared" si="17"/>
        <v>12092.008887911908</v>
      </c>
      <c r="M38" s="233">
        <f t="shared" si="17"/>
        <v>19059.167514700493</v>
      </c>
      <c r="N38" s="231">
        <f t="shared" ref="N38:R38" si="19">SUM(N29:N37)</f>
        <v>2196411.1301742094</v>
      </c>
      <c r="O38" s="232">
        <f t="shared" ref="O38" si="20">SUM(O29:O37)</f>
        <v>2212095.1537975511</v>
      </c>
      <c r="P38" s="231">
        <f t="shared" si="19"/>
        <v>-1254531.319035949</v>
      </c>
      <c r="Q38" s="232">
        <f t="shared" si="19"/>
        <v>1487354.33</v>
      </c>
      <c r="R38" s="232">
        <f t="shared" si="19"/>
        <v>0</v>
      </c>
      <c r="S38" s="232">
        <f t="shared" ref="S38:U38" si="21">SUM(S29:S37)</f>
        <v>897339.74776876858</v>
      </c>
      <c r="T38" s="233">
        <f t="shared" si="21"/>
        <v>0</v>
      </c>
      <c r="U38" s="231">
        <f t="shared" si="21"/>
        <v>-517664</v>
      </c>
      <c r="V38" s="231">
        <f t="shared" ref="V38:W38" si="22">SUM(V29:V37)</f>
        <v>-5509265.0565951578</v>
      </c>
      <c r="W38" s="233">
        <f t="shared" si="22"/>
        <v>0</v>
      </c>
      <c r="X38" s="12"/>
    </row>
    <row r="39" spans="1:24" x14ac:dyDescent="0.2">
      <c r="A39" s="14"/>
      <c r="B39" s="26">
        <f t="shared" si="4"/>
        <v>0</v>
      </c>
      <c r="C39" s="26"/>
      <c r="D39" s="12"/>
      <c r="E39" s="12"/>
      <c r="F39" s="26"/>
      <c r="G39" s="62"/>
      <c r="H39" s="26"/>
      <c r="I39" s="12"/>
      <c r="J39" s="12"/>
      <c r="K39" s="12"/>
      <c r="L39" s="12"/>
      <c r="M39" s="62"/>
      <c r="N39" s="26"/>
      <c r="O39" s="12"/>
      <c r="P39" s="26"/>
      <c r="Q39" s="12"/>
      <c r="R39" s="12"/>
      <c r="S39" s="12"/>
      <c r="T39" s="62"/>
      <c r="U39" s="26"/>
      <c r="V39" s="26"/>
      <c r="W39" s="62"/>
      <c r="X39" s="12"/>
    </row>
    <row r="40" spans="1:24" ht="13.5" thickBot="1" x14ac:dyDescent="0.25">
      <c r="A40" s="14" t="s">
        <v>36</v>
      </c>
      <c r="B40" s="235">
        <f t="shared" si="4"/>
        <v>-1472636.3713009134</v>
      </c>
      <c r="C40" s="235">
        <f t="shared" ref="C40:M40" si="23">C16-C38</f>
        <v>1818117.859180236</v>
      </c>
      <c r="D40" s="236">
        <f t="shared" si="23"/>
        <v>-475808.29096355272</v>
      </c>
      <c r="E40" s="236">
        <f t="shared" si="23"/>
        <v>-158500.92953504794</v>
      </c>
      <c r="F40" s="235">
        <f t="shared" si="23"/>
        <v>-123696.40812281473</v>
      </c>
      <c r="G40" s="237">
        <f t="shared" si="23"/>
        <v>-2989857.4393476993</v>
      </c>
      <c r="H40" s="235">
        <f t="shared" si="23"/>
        <v>0</v>
      </c>
      <c r="I40" s="236">
        <f t="shared" si="23"/>
        <v>0</v>
      </c>
      <c r="J40" s="236">
        <f t="shared" ref="J40:K40" si="24">J16-J38</f>
        <v>0</v>
      </c>
      <c r="K40" s="236">
        <f t="shared" si="24"/>
        <v>0</v>
      </c>
      <c r="L40" s="236">
        <f t="shared" si="23"/>
        <v>-12092.008887911908</v>
      </c>
      <c r="M40" s="237">
        <f t="shared" si="23"/>
        <v>-19059.167514700493</v>
      </c>
      <c r="N40" s="235">
        <f t="shared" ref="N40:R40" si="25">N16-N38</f>
        <v>-2196411.1301742094</v>
      </c>
      <c r="O40" s="236">
        <f t="shared" ref="O40" si="26">O16-O38</f>
        <v>-2212095.1537975511</v>
      </c>
      <c r="P40" s="235">
        <f t="shared" si="25"/>
        <v>1254531.319035949</v>
      </c>
      <c r="Q40" s="236">
        <f t="shared" si="25"/>
        <v>-1487354.33</v>
      </c>
      <c r="R40" s="236">
        <f t="shared" si="25"/>
        <v>0</v>
      </c>
      <c r="S40" s="236">
        <f t="shared" ref="S40:U40" si="27">S16-S38</f>
        <v>-897339.74776876858</v>
      </c>
      <c r="T40" s="237">
        <f t="shared" si="27"/>
        <v>0</v>
      </c>
      <c r="U40" s="235">
        <f t="shared" si="27"/>
        <v>517664</v>
      </c>
      <c r="V40" s="235">
        <f t="shared" ref="V40:W40" si="28">V16-V38</f>
        <v>5509265.0565951578</v>
      </c>
      <c r="W40" s="237">
        <f t="shared" si="28"/>
        <v>0</v>
      </c>
      <c r="X40" s="251"/>
    </row>
    <row r="41" spans="1:24" ht="13.5" thickTop="1" x14ac:dyDescent="0.2">
      <c r="A41" s="14"/>
      <c r="B41" s="26"/>
      <c r="C41" s="26"/>
      <c r="D41" s="12"/>
      <c r="E41" s="12"/>
      <c r="F41" s="26"/>
      <c r="G41" s="62"/>
      <c r="H41" s="26"/>
      <c r="I41" s="12"/>
      <c r="J41" s="12"/>
      <c r="K41" s="12"/>
      <c r="L41" s="12"/>
      <c r="M41" s="62"/>
      <c r="N41" s="26"/>
      <c r="O41" s="12"/>
      <c r="P41" s="26"/>
      <c r="Q41" s="12"/>
      <c r="R41" s="12"/>
      <c r="S41" s="12"/>
      <c r="T41" s="62"/>
      <c r="U41" s="26"/>
      <c r="V41" s="26"/>
      <c r="W41" s="62"/>
      <c r="X41" s="12"/>
    </row>
    <row r="42" spans="1:24" x14ac:dyDescent="0.2">
      <c r="A42" s="14" t="s">
        <v>37</v>
      </c>
      <c r="B42" s="26"/>
      <c r="C42" s="26"/>
      <c r="D42" s="12"/>
      <c r="E42" s="12"/>
      <c r="F42" s="26"/>
      <c r="G42" s="62"/>
      <c r="H42" s="26"/>
      <c r="I42" s="12"/>
      <c r="J42" s="12"/>
      <c r="K42" s="12"/>
      <c r="L42" s="12"/>
      <c r="M42" s="62"/>
      <c r="N42" s="26"/>
      <c r="O42" s="12"/>
      <c r="P42" s="26"/>
      <c r="Q42" s="12"/>
      <c r="R42" s="12"/>
      <c r="S42" s="12"/>
      <c r="T42" s="62"/>
      <c r="U42" s="26"/>
      <c r="V42" s="26"/>
      <c r="W42" s="62"/>
      <c r="X42" s="12"/>
    </row>
    <row r="43" spans="1:24" x14ac:dyDescent="0.2">
      <c r="A43" s="14" t="s">
        <v>38</v>
      </c>
      <c r="B43" s="27">
        <f t="shared" ref="B43:B54" si="29">SUM(C43:X43)</f>
        <v>335866632.59656978</v>
      </c>
      <c r="C43" s="28"/>
      <c r="D43" s="65"/>
      <c r="E43" s="65"/>
      <c r="F43" s="28">
        <f>'[5]14.1.1'!$J$28</f>
        <v>112074897.89437498</v>
      </c>
      <c r="G43" s="66"/>
      <c r="H43" s="28"/>
      <c r="I43" s="65"/>
      <c r="J43" s="65">
        <f>'[9]14.5'!$I$11</f>
        <v>1155586.2634248782</v>
      </c>
      <c r="K43" s="65"/>
      <c r="L43" s="65">
        <f>SUM('[11]14.7'!$I$10:$I$12)</f>
        <v>794536.36941842572</v>
      </c>
      <c r="M43" s="66">
        <f>'[12]14.8'!$I$10</f>
        <v>1801707.742032642</v>
      </c>
      <c r="N43" s="28">
        <f>'[13]14.9'!$I$10</f>
        <v>56661694.029025115</v>
      </c>
      <c r="O43" s="65">
        <f>'[4]14.10'!$I$10</f>
        <v>163378210.29829377</v>
      </c>
      <c r="P43" s="28"/>
      <c r="Q43" s="65"/>
      <c r="R43" s="65"/>
      <c r="S43" s="65"/>
      <c r="T43" s="66"/>
      <c r="U43" s="28"/>
      <c r="V43" s="28"/>
      <c r="W43" s="66"/>
      <c r="X43" s="65"/>
    </row>
    <row r="44" spans="1:24" x14ac:dyDescent="0.2">
      <c r="A44" s="14" t="s">
        <v>39</v>
      </c>
      <c r="B44" s="27">
        <f t="shared" si="29"/>
        <v>0</v>
      </c>
      <c r="C44" s="28"/>
      <c r="D44" s="65"/>
      <c r="E44" s="65"/>
      <c r="F44" s="28"/>
      <c r="G44" s="66"/>
      <c r="H44" s="28"/>
      <c r="I44" s="65"/>
      <c r="J44" s="65"/>
      <c r="K44" s="65"/>
      <c r="L44" s="65"/>
      <c r="M44" s="66"/>
      <c r="N44" s="28"/>
      <c r="O44" s="65"/>
      <c r="P44" s="28"/>
      <c r="Q44" s="65"/>
      <c r="R44" s="65"/>
      <c r="S44" s="65"/>
      <c r="T44" s="66"/>
      <c r="U44" s="28"/>
      <c r="V44" s="28"/>
      <c r="W44" s="66"/>
      <c r="X44" s="65"/>
    </row>
    <row r="45" spans="1:24" x14ac:dyDescent="0.2">
      <c r="A45" s="14" t="s">
        <v>40</v>
      </c>
      <c r="B45" s="27">
        <f t="shared" si="29"/>
        <v>-489243.1450514372</v>
      </c>
      <c r="C45" s="28"/>
      <c r="D45" s="65"/>
      <c r="E45" s="65"/>
      <c r="F45" s="28"/>
      <c r="G45" s="66"/>
      <c r="H45" s="28"/>
      <c r="I45" s="65"/>
      <c r="J45" s="65"/>
      <c r="K45" s="65"/>
      <c r="L45" s="65"/>
      <c r="M45" s="66"/>
      <c r="N45" s="28"/>
      <c r="O45" s="65"/>
      <c r="P45" s="28"/>
      <c r="Q45" s="65"/>
      <c r="R45" s="65"/>
      <c r="S45" s="65"/>
      <c r="T45" s="66"/>
      <c r="U45" s="28"/>
      <c r="V45" s="28">
        <f>'[19]16.1'!$I$10</f>
        <v>-413046.41499999963</v>
      </c>
      <c r="W45" s="66">
        <f>'[20]16.2'!$I$10</f>
        <v>-76196.730051437567</v>
      </c>
      <c r="X45" s="65"/>
    </row>
    <row r="46" spans="1:24" x14ac:dyDescent="0.2">
      <c r="A46" s="14" t="s">
        <v>41</v>
      </c>
      <c r="B46" s="27">
        <f t="shared" si="29"/>
        <v>0</v>
      </c>
      <c r="C46" s="28"/>
      <c r="D46" s="65"/>
      <c r="E46" s="65"/>
      <c r="F46" s="28"/>
      <c r="G46" s="66"/>
      <c r="H46" s="28"/>
      <c r="I46" s="65"/>
      <c r="J46" s="65"/>
      <c r="K46" s="65"/>
      <c r="L46" s="65"/>
      <c r="M46" s="66"/>
      <c r="N46" s="28"/>
      <c r="O46" s="65"/>
      <c r="P46" s="28"/>
      <c r="Q46" s="65"/>
      <c r="R46" s="65"/>
      <c r="S46" s="65"/>
      <c r="T46" s="66"/>
      <c r="U46" s="28"/>
      <c r="V46" s="28"/>
      <c r="W46" s="66"/>
      <c r="X46" s="65"/>
    </row>
    <row r="47" spans="1:24" x14ac:dyDescent="0.2">
      <c r="A47" s="14" t="s">
        <v>42</v>
      </c>
      <c r="B47" s="27">
        <f t="shared" si="29"/>
        <v>0</v>
      </c>
      <c r="C47" s="28"/>
      <c r="D47" s="65"/>
      <c r="E47" s="65"/>
      <c r="F47" s="28"/>
      <c r="G47" s="66"/>
      <c r="H47" s="28"/>
      <c r="I47" s="65"/>
      <c r="J47" s="65"/>
      <c r="K47" s="65"/>
      <c r="L47" s="65"/>
      <c r="M47" s="66"/>
      <c r="N47" s="28"/>
      <c r="O47" s="65"/>
      <c r="P47" s="28"/>
      <c r="Q47" s="65"/>
      <c r="R47" s="65"/>
      <c r="S47" s="65"/>
      <c r="T47" s="66"/>
      <c r="U47" s="28"/>
      <c r="V47" s="28"/>
      <c r="W47" s="66"/>
      <c r="X47" s="65"/>
    </row>
    <row r="48" spans="1:24" x14ac:dyDescent="0.2">
      <c r="A48" s="14" t="s">
        <v>43</v>
      </c>
      <c r="B48" s="27">
        <f t="shared" si="29"/>
        <v>0</v>
      </c>
      <c r="C48" s="28"/>
      <c r="D48" s="65"/>
      <c r="E48" s="65"/>
      <c r="F48" s="28"/>
      <c r="G48" s="66"/>
      <c r="H48" s="28"/>
      <c r="I48" s="65"/>
      <c r="J48" s="65"/>
      <c r="K48" s="65"/>
      <c r="L48" s="65"/>
      <c r="M48" s="66"/>
      <c r="N48" s="28"/>
      <c r="O48" s="65"/>
      <c r="P48" s="28"/>
      <c r="Q48" s="65"/>
      <c r="R48" s="65"/>
      <c r="S48" s="65"/>
      <c r="T48" s="66"/>
      <c r="U48" s="28"/>
      <c r="V48" s="28"/>
      <c r="W48" s="66"/>
      <c r="X48" s="65"/>
    </row>
    <row r="49" spans="1:24" x14ac:dyDescent="0.2">
      <c r="A49" s="14" t="s">
        <v>44</v>
      </c>
      <c r="B49" s="27">
        <f t="shared" si="29"/>
        <v>0</v>
      </c>
      <c r="C49" s="28"/>
      <c r="D49" s="65"/>
      <c r="E49" s="65"/>
      <c r="F49" s="28"/>
      <c r="G49" s="66"/>
      <c r="H49" s="28"/>
      <c r="I49" s="65"/>
      <c r="J49" s="65"/>
      <c r="K49" s="65"/>
      <c r="L49" s="65"/>
      <c r="M49" s="66"/>
      <c r="N49" s="28"/>
      <c r="O49" s="65"/>
      <c r="P49" s="28"/>
      <c r="Q49" s="65"/>
      <c r="R49" s="65"/>
      <c r="S49" s="65"/>
      <c r="T49" s="66"/>
      <c r="U49" s="28"/>
      <c r="V49" s="28"/>
      <c r="W49" s="66"/>
      <c r="X49" s="65"/>
    </row>
    <row r="50" spans="1:24" x14ac:dyDescent="0.2">
      <c r="A50" s="14" t="s">
        <v>45</v>
      </c>
      <c r="B50" s="27">
        <f t="shared" si="29"/>
        <v>0</v>
      </c>
      <c r="C50" s="28"/>
      <c r="D50" s="65"/>
      <c r="E50" s="65"/>
      <c r="F50" s="28"/>
      <c r="G50" s="66"/>
      <c r="H50" s="28"/>
      <c r="I50" s="65"/>
      <c r="J50" s="65"/>
      <c r="K50" s="65"/>
      <c r="L50" s="65"/>
      <c r="M50" s="66"/>
      <c r="N50" s="28"/>
      <c r="O50" s="65"/>
      <c r="P50" s="28"/>
      <c r="Q50" s="65"/>
      <c r="R50" s="65"/>
      <c r="S50" s="65"/>
      <c r="T50" s="66"/>
      <c r="U50" s="28"/>
      <c r="V50" s="28"/>
      <c r="W50" s="66"/>
      <c r="X50" s="65"/>
    </row>
    <row r="51" spans="1:24" x14ac:dyDescent="0.2">
      <c r="A51" s="14" t="s">
        <v>46</v>
      </c>
      <c r="B51" s="27">
        <f t="shared" si="29"/>
        <v>0</v>
      </c>
      <c r="C51" s="28"/>
      <c r="D51" s="65"/>
      <c r="E51" s="65"/>
      <c r="F51" s="28"/>
      <c r="G51" s="66"/>
      <c r="H51" s="28"/>
      <c r="I51" s="65"/>
      <c r="J51" s="65"/>
      <c r="K51" s="65"/>
      <c r="L51" s="65"/>
      <c r="M51" s="66"/>
      <c r="N51" s="28"/>
      <c r="O51" s="65"/>
      <c r="P51" s="28"/>
      <c r="Q51" s="65"/>
      <c r="R51" s="65"/>
      <c r="S51" s="65"/>
      <c r="T51" s="66"/>
      <c r="U51" s="28"/>
      <c r="V51" s="28"/>
      <c r="W51" s="66"/>
      <c r="X51" s="65"/>
    </row>
    <row r="52" spans="1:24" x14ac:dyDescent="0.2">
      <c r="A52" s="14" t="s">
        <v>47</v>
      </c>
      <c r="B52" s="27">
        <f t="shared" si="29"/>
        <v>0</v>
      </c>
      <c r="C52" s="28"/>
      <c r="D52" s="65"/>
      <c r="E52" s="65"/>
      <c r="F52" s="28"/>
      <c r="G52" s="66"/>
      <c r="H52" s="28"/>
      <c r="I52" s="65"/>
      <c r="J52" s="65"/>
      <c r="K52" s="65"/>
      <c r="L52" s="65"/>
      <c r="M52" s="66"/>
      <c r="N52" s="28"/>
      <c r="O52" s="65"/>
      <c r="P52" s="28"/>
      <c r="Q52" s="65"/>
      <c r="R52" s="65"/>
      <c r="S52" s="65"/>
      <c r="T52" s="66"/>
      <c r="U52" s="28"/>
      <c r="V52" s="28"/>
      <c r="W52" s="66"/>
      <c r="X52" s="65"/>
    </row>
    <row r="53" spans="1:24" x14ac:dyDescent="0.2">
      <c r="A53" s="14" t="s">
        <v>48</v>
      </c>
      <c r="B53" s="27">
        <f t="shared" si="29"/>
        <v>0</v>
      </c>
      <c r="C53" s="28"/>
      <c r="D53" s="65"/>
      <c r="E53" s="65"/>
      <c r="F53" s="28"/>
      <c r="G53" s="66"/>
      <c r="H53" s="28"/>
      <c r="I53" s="65"/>
      <c r="J53" s="65"/>
      <c r="K53" s="65"/>
      <c r="L53" s="65"/>
      <c r="M53" s="66"/>
      <c r="N53" s="28"/>
      <c r="O53" s="65"/>
      <c r="P53" s="28"/>
      <c r="Q53" s="65"/>
      <c r="R53" s="65"/>
      <c r="S53" s="65"/>
      <c r="T53" s="66"/>
      <c r="U53" s="28"/>
      <c r="V53" s="28"/>
      <c r="W53" s="66"/>
      <c r="X53" s="65"/>
    </row>
    <row r="54" spans="1:24" x14ac:dyDescent="0.2">
      <c r="A54" s="14" t="s">
        <v>49</v>
      </c>
      <c r="B54" s="238">
        <f t="shared" si="29"/>
        <v>335377389.4515183</v>
      </c>
      <c r="C54" s="238">
        <f>SUM(C43:C53)</f>
        <v>0</v>
      </c>
      <c r="D54" s="239">
        <f t="shared" ref="D54:M54" si="30">SUM(D43:D53)</f>
        <v>0</v>
      </c>
      <c r="E54" s="239">
        <f t="shared" si="30"/>
        <v>0</v>
      </c>
      <c r="F54" s="238">
        <f t="shared" si="30"/>
        <v>112074897.89437498</v>
      </c>
      <c r="G54" s="240">
        <f t="shared" si="30"/>
        <v>0</v>
      </c>
      <c r="H54" s="238">
        <f t="shared" si="30"/>
        <v>0</v>
      </c>
      <c r="I54" s="239">
        <f t="shared" si="30"/>
        <v>0</v>
      </c>
      <c r="J54" s="239">
        <f t="shared" ref="J54:K54" si="31">SUM(J43:J53)</f>
        <v>1155586.2634248782</v>
      </c>
      <c r="K54" s="239">
        <f t="shared" si="31"/>
        <v>0</v>
      </c>
      <c r="L54" s="239">
        <f t="shared" si="30"/>
        <v>794536.36941842572</v>
      </c>
      <c r="M54" s="240">
        <f t="shared" si="30"/>
        <v>1801707.742032642</v>
      </c>
      <c r="N54" s="238">
        <f t="shared" ref="N54:R54" si="32">SUM(N43:N53)</f>
        <v>56661694.029025115</v>
      </c>
      <c r="O54" s="239">
        <f t="shared" si="32"/>
        <v>163378210.29829377</v>
      </c>
      <c r="P54" s="238">
        <f t="shared" si="32"/>
        <v>0</v>
      </c>
      <c r="Q54" s="239">
        <f t="shared" si="32"/>
        <v>0</v>
      </c>
      <c r="R54" s="239">
        <f t="shared" si="32"/>
        <v>0</v>
      </c>
      <c r="S54" s="239">
        <f t="shared" ref="S54:U54" si="33">SUM(S43:S53)</f>
        <v>0</v>
      </c>
      <c r="T54" s="240">
        <f t="shared" si="33"/>
        <v>0</v>
      </c>
      <c r="U54" s="238">
        <f t="shared" si="33"/>
        <v>0</v>
      </c>
      <c r="V54" s="238">
        <f t="shared" ref="V54:W54" si="34">SUM(V43:V53)</f>
        <v>-413046.41499999963</v>
      </c>
      <c r="W54" s="240">
        <f t="shared" si="34"/>
        <v>-76196.730051437567</v>
      </c>
      <c r="X54" s="63"/>
    </row>
    <row r="55" spans="1:24" x14ac:dyDescent="0.2">
      <c r="A55" s="14"/>
      <c r="B55" s="26"/>
      <c r="C55" s="26"/>
      <c r="D55" s="12"/>
      <c r="E55" s="12"/>
      <c r="F55" s="26"/>
      <c r="G55" s="62"/>
      <c r="H55" s="26"/>
      <c r="I55" s="12"/>
      <c r="J55" s="12"/>
      <c r="K55" s="12"/>
      <c r="L55" s="12"/>
      <c r="M55" s="62"/>
      <c r="N55" s="26"/>
      <c r="O55" s="12"/>
      <c r="P55" s="26"/>
      <c r="Q55" s="12"/>
      <c r="R55" s="12"/>
      <c r="S55" s="12"/>
      <c r="T55" s="62"/>
      <c r="U55" s="26"/>
      <c r="V55" s="26"/>
      <c r="W55" s="62"/>
      <c r="X55" s="12"/>
    </row>
    <row r="56" spans="1:24" x14ac:dyDescent="0.2">
      <c r="A56" s="14" t="s">
        <v>50</v>
      </c>
      <c r="B56" s="26"/>
      <c r="C56" s="26"/>
      <c r="D56" s="12"/>
      <c r="E56" s="12"/>
      <c r="F56" s="26"/>
      <c r="G56" s="62"/>
      <c r="H56" s="26"/>
      <c r="I56" s="12"/>
      <c r="J56" s="12"/>
      <c r="K56" s="12"/>
      <c r="L56" s="12"/>
      <c r="M56" s="62"/>
      <c r="N56" s="26"/>
      <c r="O56" s="12"/>
      <c r="P56" s="26"/>
      <c r="Q56" s="12"/>
      <c r="R56" s="12"/>
      <c r="S56" s="12"/>
      <c r="T56" s="62"/>
      <c r="U56" s="26"/>
      <c r="V56" s="26"/>
      <c r="W56" s="62"/>
      <c r="X56" s="12"/>
    </row>
    <row r="57" spans="1:24" x14ac:dyDescent="0.2">
      <c r="A57" s="14" t="s">
        <v>51</v>
      </c>
      <c r="B57" s="27">
        <f t="shared" ref="B57:B65" si="35">SUM(C57:X57)</f>
        <v>-51320415.002068095</v>
      </c>
      <c r="C57" s="28"/>
      <c r="D57" s="65"/>
      <c r="E57" s="65"/>
      <c r="F57" s="28"/>
      <c r="G57" s="66"/>
      <c r="H57" s="28">
        <f>'[7]14.3'!$J$50</f>
        <v>-42885257.790897198</v>
      </c>
      <c r="I57" s="65"/>
      <c r="J57" s="65">
        <f>'[9]14.5'!$I$13</f>
        <v>-2039193.9216359917</v>
      </c>
      <c r="K57" s="65">
        <f>SUM('[10]14.6'!$I$22:$I$23)</f>
        <v>-2952540.8917818191</v>
      </c>
      <c r="L57" s="65">
        <f>SUM('[11]14.7'!$I$20:$I$22)</f>
        <v>-55393.974675529142</v>
      </c>
      <c r="M57" s="66">
        <f>'[12]14.8'!$I$18</f>
        <v>-50241.916373985696</v>
      </c>
      <c r="N57" s="28">
        <f>'[13]14.9'!$I$16</f>
        <v>-1047639.9611335265</v>
      </c>
      <c r="O57" s="65">
        <f>'[4]14.10'!$I$16</f>
        <v>-2290146.5455700466</v>
      </c>
      <c r="P57" s="28"/>
      <c r="Q57" s="65"/>
      <c r="R57" s="65"/>
      <c r="S57" s="65"/>
      <c r="T57" s="66"/>
      <c r="U57" s="28"/>
      <c r="V57" s="28"/>
      <c r="W57" s="66"/>
      <c r="X57" s="65"/>
    </row>
    <row r="58" spans="1:24" x14ac:dyDescent="0.2">
      <c r="A58" s="14" t="s">
        <v>52</v>
      </c>
      <c r="B58" s="27">
        <f t="shared" si="35"/>
        <v>-4541116.6972164949</v>
      </c>
      <c r="C58" s="28"/>
      <c r="D58" s="65"/>
      <c r="E58" s="65"/>
      <c r="F58" s="28"/>
      <c r="G58" s="66"/>
      <c r="H58" s="28">
        <f>'[7]14.3.1'!$J$38</f>
        <v>-4541116.6972164949</v>
      </c>
      <c r="I58" s="65"/>
      <c r="J58" s="65"/>
      <c r="K58" s="65"/>
      <c r="L58" s="65"/>
      <c r="M58" s="66"/>
      <c r="N58" s="28"/>
      <c r="O58" s="65"/>
      <c r="P58" s="28"/>
      <c r="Q58" s="65"/>
      <c r="R58" s="65"/>
      <c r="S58" s="65"/>
      <c r="T58" s="66"/>
      <c r="U58" s="28"/>
      <c r="V58" s="28"/>
      <c r="W58" s="66"/>
      <c r="X58" s="65"/>
    </row>
    <row r="59" spans="1:24" x14ac:dyDescent="0.2">
      <c r="A59" s="14" t="s">
        <v>53</v>
      </c>
      <c r="B59" s="27">
        <f t="shared" si="35"/>
        <v>-19119359.781580959</v>
      </c>
      <c r="C59" s="28"/>
      <c r="D59" s="65"/>
      <c r="E59" s="65"/>
      <c r="F59" s="28">
        <f>'[5]14.1.1'!$J$51</f>
        <v>271075.9144625013</v>
      </c>
      <c r="G59" s="66"/>
      <c r="H59" s="28"/>
      <c r="I59" s="65">
        <f>'[8]14.4'!$I$18+'[8]14.4'!$I$22+'[8]14.4'!$I$26</f>
        <v>1458888.8986401951</v>
      </c>
      <c r="J59" s="65">
        <f>'[9]14.5'!$I$18</f>
        <v>0</v>
      </c>
      <c r="K59" s="65">
        <f>'[10]14.6'!$I$32+'[10]14.6'!$I$34</f>
        <v>725931.66161339439</v>
      </c>
      <c r="L59" s="65">
        <f>'[11]14.7'!$I$33+'[11]14.7'!$I$39+'[11]14.7'!$I$45</f>
        <v>-88773.163188723149</v>
      </c>
      <c r="M59" s="66">
        <f>'[12]14.8'!$I$33</f>
        <v>-67919.790931309777</v>
      </c>
      <c r="N59" s="28"/>
      <c r="O59" s="65"/>
      <c r="P59" s="28"/>
      <c r="Q59" s="65"/>
      <c r="R59" s="65">
        <f>SUM('[15]15.3'!$I$18:$I$19)</f>
        <v>-595243.43684617733</v>
      </c>
      <c r="S59" s="65">
        <f>SUM('[16]15.4.1'!$I$26:$I$28,'[16]15.4.1'!$I$34,'[16]15.4'!$I$15)</f>
        <v>-24209006.120432053</v>
      </c>
      <c r="T59" s="66"/>
      <c r="U59" s="28">
        <f>SUM('[18]15.6'!$I$14:$I$18)</f>
        <v>3265398</v>
      </c>
      <c r="V59" s="28">
        <f>'[19]16.1'!$I$22</f>
        <v>101554.06987039014</v>
      </c>
      <c r="W59" s="66">
        <f>'[20]16.2'!$I$13</f>
        <v>18734.185230826712</v>
      </c>
      <c r="X59" s="65"/>
    </row>
    <row r="60" spans="1:24" x14ac:dyDescent="0.2">
      <c r="A60" s="14" t="s">
        <v>54</v>
      </c>
      <c r="B60" s="27">
        <f t="shared" si="35"/>
        <v>0</v>
      </c>
      <c r="C60" s="28"/>
      <c r="D60" s="65"/>
      <c r="E60" s="65"/>
      <c r="F60" s="28"/>
      <c r="G60" s="66"/>
      <c r="H60" s="28"/>
      <c r="I60" s="65"/>
      <c r="J60" s="65"/>
      <c r="K60" s="65"/>
      <c r="L60" s="65"/>
      <c r="M60" s="66"/>
      <c r="N60" s="28"/>
      <c r="O60" s="65"/>
      <c r="P60" s="28"/>
      <c r="Q60" s="65"/>
      <c r="R60" s="65"/>
      <c r="S60" s="65"/>
      <c r="T60" s="66"/>
      <c r="U60" s="28"/>
      <c r="V60" s="28"/>
      <c r="W60" s="66"/>
      <c r="X60" s="65"/>
    </row>
    <row r="61" spans="1:24" x14ac:dyDescent="0.2">
      <c r="A61" s="14" t="s">
        <v>55</v>
      </c>
      <c r="B61" s="27">
        <f t="shared" si="35"/>
        <v>0</v>
      </c>
      <c r="C61" s="28"/>
      <c r="D61" s="65"/>
      <c r="E61" s="65"/>
      <c r="F61" s="28"/>
      <c r="G61" s="66"/>
      <c r="H61" s="28"/>
      <c r="I61" s="65"/>
      <c r="J61" s="65"/>
      <c r="K61" s="65"/>
      <c r="L61" s="65"/>
      <c r="M61" s="66"/>
      <c r="N61" s="28"/>
      <c r="O61" s="65"/>
      <c r="P61" s="28"/>
      <c r="Q61" s="65"/>
      <c r="R61" s="65"/>
      <c r="S61" s="65"/>
      <c r="T61" s="66"/>
      <c r="U61" s="28"/>
      <c r="V61" s="28"/>
      <c r="W61" s="66"/>
      <c r="X61" s="65"/>
    </row>
    <row r="62" spans="1:24" x14ac:dyDescent="0.2">
      <c r="A62" s="14" t="s">
        <v>56</v>
      </c>
      <c r="B62" s="27">
        <f t="shared" si="35"/>
        <v>0</v>
      </c>
      <c r="C62" s="28"/>
      <c r="D62" s="65"/>
      <c r="E62" s="65"/>
      <c r="F62" s="28"/>
      <c r="G62" s="66"/>
      <c r="H62" s="28"/>
      <c r="I62" s="65"/>
      <c r="J62" s="65"/>
      <c r="K62" s="65"/>
      <c r="L62" s="65"/>
      <c r="M62" s="66"/>
      <c r="N62" s="28"/>
      <c r="O62" s="65"/>
      <c r="P62" s="28"/>
      <c r="Q62" s="65"/>
      <c r="R62" s="65"/>
      <c r="S62" s="65"/>
      <c r="T62" s="66"/>
      <c r="U62" s="28"/>
      <c r="V62" s="28"/>
      <c r="W62" s="66"/>
      <c r="X62" s="65"/>
    </row>
    <row r="63" spans="1:24" x14ac:dyDescent="0.2">
      <c r="A63" s="14" t="s">
        <v>57</v>
      </c>
      <c r="B63" s="27">
        <f t="shared" si="35"/>
        <v>-3335283.8417438725</v>
      </c>
      <c r="C63" s="28"/>
      <c r="D63" s="65"/>
      <c r="E63" s="65"/>
      <c r="F63" s="28"/>
      <c r="G63" s="66"/>
      <c r="H63" s="28"/>
      <c r="I63" s="65">
        <f>SUM('[8]14.4'!$I$10:$I$12)</f>
        <v>-5933674.8417438725</v>
      </c>
      <c r="J63" s="65"/>
      <c r="K63" s="65"/>
      <c r="L63" s="65"/>
      <c r="M63" s="66"/>
      <c r="N63" s="28"/>
      <c r="O63" s="65"/>
      <c r="P63" s="28"/>
      <c r="Q63" s="65"/>
      <c r="R63" s="65">
        <f>'[15]15.3'!$I$14</f>
        <v>2598391</v>
      </c>
      <c r="S63" s="65"/>
      <c r="T63" s="66"/>
      <c r="U63" s="28"/>
      <c r="V63" s="28"/>
      <c r="W63" s="66"/>
      <c r="X63" s="65"/>
    </row>
    <row r="64" spans="1:24" x14ac:dyDescent="0.2">
      <c r="A64" s="14"/>
      <c r="B64" s="26">
        <f t="shared" si="35"/>
        <v>0</v>
      </c>
      <c r="C64" s="26"/>
      <c r="D64" s="12"/>
      <c r="E64" s="12"/>
      <c r="F64" s="26"/>
      <c r="G64" s="62"/>
      <c r="H64" s="26"/>
      <c r="I64" s="12"/>
      <c r="J64" s="12"/>
      <c r="K64" s="12"/>
      <c r="L64" s="12"/>
      <c r="M64" s="62"/>
      <c r="N64" s="26"/>
      <c r="O64" s="12"/>
      <c r="P64" s="26"/>
      <c r="Q64" s="12"/>
      <c r="R64" s="12"/>
      <c r="S64" s="12"/>
      <c r="T64" s="62"/>
      <c r="U64" s="26"/>
      <c r="V64" s="26"/>
      <c r="W64" s="62"/>
      <c r="X64" s="12"/>
    </row>
    <row r="65" spans="1:24" x14ac:dyDescent="0.2">
      <c r="A65" s="14" t="s">
        <v>58</v>
      </c>
      <c r="B65" s="231">
        <f t="shared" si="35"/>
        <v>-78316175.322609425</v>
      </c>
      <c r="C65" s="231">
        <f t="shared" ref="C65:M65" si="36">SUM(C57:C64)</f>
        <v>0</v>
      </c>
      <c r="D65" s="232">
        <f t="shared" si="36"/>
        <v>0</v>
      </c>
      <c r="E65" s="232">
        <f t="shared" si="36"/>
        <v>0</v>
      </c>
      <c r="F65" s="231">
        <f t="shared" si="36"/>
        <v>271075.9144625013</v>
      </c>
      <c r="G65" s="233">
        <f t="shared" si="36"/>
        <v>0</v>
      </c>
      <c r="H65" s="231">
        <f t="shared" si="36"/>
        <v>-47426374.488113694</v>
      </c>
      <c r="I65" s="232">
        <f t="shared" si="36"/>
        <v>-4474785.9431036776</v>
      </c>
      <c r="J65" s="232">
        <f t="shared" ref="J65:K65" si="37">SUM(J57:J64)</f>
        <v>-2039193.9216359917</v>
      </c>
      <c r="K65" s="232">
        <f t="shared" si="37"/>
        <v>-2226609.2301684245</v>
      </c>
      <c r="L65" s="232">
        <f t="shared" si="36"/>
        <v>-144167.13786425229</v>
      </c>
      <c r="M65" s="233">
        <f t="shared" si="36"/>
        <v>-118161.70730529548</v>
      </c>
      <c r="N65" s="231">
        <f t="shared" ref="N65:R65" si="38">SUM(N57:N64)</f>
        <v>-1047639.9611335265</v>
      </c>
      <c r="O65" s="232">
        <f t="shared" ref="O65" si="39">SUM(O57:O64)</f>
        <v>-2290146.5455700466</v>
      </c>
      <c r="P65" s="231">
        <f t="shared" si="38"/>
        <v>0</v>
      </c>
      <c r="Q65" s="232">
        <f t="shared" si="38"/>
        <v>0</v>
      </c>
      <c r="R65" s="232">
        <f t="shared" si="38"/>
        <v>2003147.5631538227</v>
      </c>
      <c r="S65" s="232">
        <f t="shared" ref="S65:U65" si="40">SUM(S57:S64)</f>
        <v>-24209006.120432053</v>
      </c>
      <c r="T65" s="233">
        <f t="shared" si="40"/>
        <v>0</v>
      </c>
      <c r="U65" s="231">
        <f t="shared" si="40"/>
        <v>3265398</v>
      </c>
      <c r="V65" s="231">
        <f t="shared" ref="V65:W65" si="41">SUM(V57:V64)</f>
        <v>101554.06987039014</v>
      </c>
      <c r="W65" s="233">
        <f t="shared" si="41"/>
        <v>18734.185230826712</v>
      </c>
      <c r="X65" s="12"/>
    </row>
    <row r="66" spans="1:24" x14ac:dyDescent="0.2">
      <c r="A66" s="14"/>
      <c r="B66" s="26"/>
      <c r="C66" s="26"/>
      <c r="D66" s="12"/>
      <c r="E66" s="12"/>
      <c r="F66" s="26"/>
      <c r="G66" s="62"/>
      <c r="H66" s="26"/>
      <c r="I66" s="12"/>
      <c r="J66" s="12"/>
      <c r="K66" s="12"/>
      <c r="L66" s="12"/>
      <c r="M66" s="62"/>
      <c r="N66" s="26"/>
      <c r="O66" s="12"/>
      <c r="P66" s="26"/>
      <c r="Q66" s="12"/>
      <c r="R66" s="12"/>
      <c r="S66" s="12"/>
      <c r="T66" s="62"/>
      <c r="U66" s="26"/>
      <c r="V66" s="26"/>
      <c r="W66" s="62"/>
      <c r="X66" s="12"/>
    </row>
    <row r="67" spans="1:24" ht="13.5" thickBot="1" x14ac:dyDescent="0.25">
      <c r="A67" s="14" t="s">
        <v>59</v>
      </c>
      <c r="B67" s="241">
        <f>SUM(C67:X67)</f>
        <v>257061214.12890896</v>
      </c>
      <c r="C67" s="241">
        <f t="shared" ref="C67:W67" si="42">C54+C65</f>
        <v>0</v>
      </c>
      <c r="D67" s="242">
        <f t="shared" si="42"/>
        <v>0</v>
      </c>
      <c r="E67" s="242">
        <f t="shared" si="42"/>
        <v>0</v>
      </c>
      <c r="F67" s="241">
        <f t="shared" si="42"/>
        <v>112345973.80883749</v>
      </c>
      <c r="G67" s="243">
        <f t="shared" si="42"/>
        <v>0</v>
      </c>
      <c r="H67" s="241">
        <f t="shared" si="42"/>
        <v>-47426374.488113694</v>
      </c>
      <c r="I67" s="242">
        <f t="shared" si="42"/>
        <v>-4474785.9431036776</v>
      </c>
      <c r="J67" s="242">
        <f t="shared" si="42"/>
        <v>-883607.65821111342</v>
      </c>
      <c r="K67" s="242">
        <f t="shared" si="42"/>
        <v>-2226609.2301684245</v>
      </c>
      <c r="L67" s="242">
        <f t="shared" si="42"/>
        <v>650369.2315541734</v>
      </c>
      <c r="M67" s="243">
        <f t="shared" si="42"/>
        <v>1683546.0347273466</v>
      </c>
      <c r="N67" s="241">
        <f t="shared" si="42"/>
        <v>55614054.06789159</v>
      </c>
      <c r="O67" s="242">
        <f t="shared" si="42"/>
        <v>161088063.75272372</v>
      </c>
      <c r="P67" s="241">
        <f t="shared" si="42"/>
        <v>0</v>
      </c>
      <c r="Q67" s="242">
        <f t="shared" si="42"/>
        <v>0</v>
      </c>
      <c r="R67" s="242">
        <f t="shared" si="42"/>
        <v>2003147.5631538227</v>
      </c>
      <c r="S67" s="242">
        <f t="shared" si="42"/>
        <v>-24209006.120432053</v>
      </c>
      <c r="T67" s="243">
        <f t="shared" si="42"/>
        <v>0</v>
      </c>
      <c r="U67" s="241">
        <f t="shared" si="42"/>
        <v>3265398</v>
      </c>
      <c r="V67" s="241">
        <f t="shared" si="42"/>
        <v>-311492.34512960946</v>
      </c>
      <c r="W67" s="243">
        <f t="shared" si="42"/>
        <v>-57462.544820610856</v>
      </c>
      <c r="X67" s="13"/>
    </row>
    <row r="68" spans="1:24" ht="13.5" thickTop="1" x14ac:dyDescent="0.2">
      <c r="A68" s="14"/>
      <c r="B68" s="26"/>
      <c r="C68" s="26"/>
      <c r="D68" s="12"/>
      <c r="E68" s="12"/>
      <c r="F68" s="26"/>
      <c r="G68" s="62"/>
      <c r="H68" s="26"/>
      <c r="I68" s="12"/>
      <c r="J68" s="12"/>
      <c r="K68" s="12"/>
      <c r="L68" s="12"/>
      <c r="M68" s="62"/>
      <c r="N68" s="26"/>
      <c r="O68" s="12"/>
      <c r="P68" s="26"/>
      <c r="Q68" s="12"/>
      <c r="R68" s="12"/>
      <c r="S68" s="12"/>
      <c r="T68" s="62"/>
      <c r="U68" s="26"/>
      <c r="V68" s="26"/>
      <c r="W68" s="62"/>
      <c r="X68" s="12"/>
    </row>
    <row r="69" spans="1:24" x14ac:dyDescent="0.2">
      <c r="A69" s="14"/>
      <c r="B69" s="26"/>
      <c r="C69" s="26"/>
      <c r="D69" s="12"/>
      <c r="E69" s="12"/>
      <c r="F69" s="26"/>
      <c r="G69" s="62"/>
      <c r="H69" s="26"/>
      <c r="I69" s="12"/>
      <c r="J69" s="12"/>
      <c r="K69" s="12"/>
      <c r="L69" s="12"/>
      <c r="M69" s="62"/>
      <c r="N69" s="26"/>
      <c r="O69" s="12"/>
      <c r="P69" s="26"/>
      <c r="Q69" s="12"/>
      <c r="R69" s="12"/>
      <c r="S69" s="12"/>
      <c r="T69" s="62"/>
      <c r="U69" s="26"/>
      <c r="V69" s="26"/>
      <c r="W69" s="62"/>
      <c r="X69" s="12"/>
    </row>
    <row r="70" spans="1:24" s="149" customFormat="1" x14ac:dyDescent="0.2">
      <c r="A70" s="187" t="s">
        <v>93</v>
      </c>
      <c r="B70" s="17">
        <f t="shared" ref="B70:W70" si="43">(((B40+Unadj_Op_revenue)/(B67+Unadj_rate_base))-Weighted_cost_debt-Weighted_cost_pref)/Percent_common-Unadj_ROE</f>
        <v>-3.0292414862786055E-2</v>
      </c>
      <c r="C70" s="17">
        <f t="shared" si="43"/>
        <v>3.1166252758259155E-3</v>
      </c>
      <c r="D70" s="16">
        <f t="shared" si="43"/>
        <v>-9.4926752720293772E-4</v>
      </c>
      <c r="E70" s="16">
        <f t="shared" si="43"/>
        <v>-3.8685285788180035E-4</v>
      </c>
      <c r="F70" s="17">
        <f t="shared" si="43"/>
        <v>-1.4036706304215649E-2</v>
      </c>
      <c r="G70" s="18">
        <f t="shared" si="43"/>
        <v>-5.4053195837328316E-3</v>
      </c>
      <c r="H70" s="17">
        <f t="shared" si="43"/>
        <v>6.5704874507242633E-3</v>
      </c>
      <c r="I70" s="16">
        <f t="shared" si="43"/>
        <v>4.993296885925369E-4</v>
      </c>
      <c r="J70" s="16">
        <f t="shared" si="43"/>
        <v>1.3207478301066611E-5</v>
      </c>
      <c r="K70" s="16">
        <f t="shared" si="43"/>
        <v>1.9463160484273212E-4</v>
      </c>
      <c r="L70" s="16">
        <f t="shared" si="43"/>
        <v>-2.1489372224926806E-4</v>
      </c>
      <c r="M70" s="18">
        <f t="shared" si="43"/>
        <v>-3.6608520476003048E-4</v>
      </c>
      <c r="N70" s="17">
        <f t="shared" si="43"/>
        <v>-1.0942880799160837E-2</v>
      </c>
      <c r="O70" s="16">
        <f t="shared" si="43"/>
        <v>-2.2454850498952267E-2</v>
      </c>
      <c r="P70" s="17">
        <f t="shared" si="43"/>
        <v>2.1176905641251964E-3</v>
      </c>
      <c r="Q70" s="16">
        <f t="shared" si="43"/>
        <v>-2.7421926219331205E-3</v>
      </c>
      <c r="R70" s="16">
        <f t="shared" si="43"/>
        <v>-3.7526386613394302E-4</v>
      </c>
      <c r="S70" s="16">
        <f t="shared" si="43"/>
        <v>1.6022861009259148E-3</v>
      </c>
      <c r="T70" s="18">
        <f t="shared" si="43"/>
        <v>-1.0591626860687042E-4</v>
      </c>
      <c r="U70" s="17">
        <f t="shared" si="43"/>
        <v>3.7033752281125099E-4</v>
      </c>
      <c r="V70" s="17">
        <f t="shared" si="43"/>
        <v>9.7037737465163337E-3</v>
      </c>
      <c r="W70" s="18">
        <f t="shared" si="43"/>
        <v>-9.8175260134031328E-5</v>
      </c>
      <c r="X70" s="16"/>
    </row>
    <row r="71" spans="1:24" x14ac:dyDescent="0.2">
      <c r="A71" s="14" t="s">
        <v>7</v>
      </c>
      <c r="B71" s="30">
        <f>SUM(C71:X71)</f>
        <v>27944572.697052479</v>
      </c>
      <c r="C71" s="30">
        <f t="shared" ref="C71:S71" si="44">-(C40-(C67*Overall_ROR))/gross_up_factor</f>
        <v>-2418288.7648376417</v>
      </c>
      <c r="D71" s="244">
        <f t="shared" si="44"/>
        <v>632875.27727854101</v>
      </c>
      <c r="E71" s="244">
        <f t="shared" ref="E71" si="45">-(E40-(E67*Overall_ROR))/gross_up_factor</f>
        <v>210822.97562587843</v>
      </c>
      <c r="F71" s="30">
        <f t="shared" si="44"/>
        <v>11521362.051547529</v>
      </c>
      <c r="G71" s="245">
        <f t="shared" si="44"/>
        <v>3976826.1543290936</v>
      </c>
      <c r="H71" s="30">
        <f t="shared" si="44"/>
        <v>-4794238.5958030382</v>
      </c>
      <c r="I71" s="244">
        <f t="shared" si="44"/>
        <v>-452347.27950291225</v>
      </c>
      <c r="J71" s="244">
        <f t="shared" ref="J71:K71" si="46">-(J40-(J67*Overall_ROR))/gross_up_factor</f>
        <v>-89322.15427102847</v>
      </c>
      <c r="K71" s="244">
        <f t="shared" si="46"/>
        <v>-225083.5326179142</v>
      </c>
      <c r="L71" s="244">
        <f t="shared" si="44"/>
        <v>81828.190904776522</v>
      </c>
      <c r="M71" s="245">
        <f t="shared" si="44"/>
        <v>195537.05162669101</v>
      </c>
      <c r="N71" s="30">
        <f t="shared" si="44"/>
        <v>8543373.7321885154</v>
      </c>
      <c r="O71" s="244">
        <f t="shared" ref="O71" si="47">-(O40-(O67*Overall_ROR))/gross_up_factor</f>
        <v>19226394.614408441</v>
      </c>
      <c r="P71" s="30">
        <f t="shared" ref="P71:R71" si="48">-(P40-(P67*Overall_ROR))/gross_up_factor</f>
        <v>-1668659.1458539928</v>
      </c>
      <c r="Q71" s="244">
        <f t="shared" si="48"/>
        <v>1978338.3389641137</v>
      </c>
      <c r="R71" s="244">
        <f t="shared" si="48"/>
        <v>202494.23372574622</v>
      </c>
      <c r="S71" s="244">
        <f t="shared" si="44"/>
        <v>-1253684.0166317301</v>
      </c>
      <c r="T71" s="245">
        <f t="shared" ref="T71:U71" si="49">-(T40-(T67*Overall_ROR))/gross_up_factor</f>
        <v>0</v>
      </c>
      <c r="U71" s="30">
        <f t="shared" si="49"/>
        <v>-358455.15149902896</v>
      </c>
      <c r="V71" s="30">
        <f t="shared" ref="V71:W71" si="50">-(V40-(V67*Overall_ROR))/gross_up_factor</f>
        <v>-7359392.5072823381</v>
      </c>
      <c r="W71" s="245">
        <f t="shared" si="50"/>
        <v>-5808.7752472219745</v>
      </c>
      <c r="X71" s="244"/>
    </row>
    <row r="72" spans="1:24" x14ac:dyDescent="0.2">
      <c r="A72" s="14"/>
      <c r="B72" s="17"/>
      <c r="C72" s="17"/>
      <c r="D72" s="16"/>
      <c r="E72" s="16"/>
      <c r="F72" s="17"/>
      <c r="G72" s="18"/>
      <c r="H72" s="17"/>
      <c r="I72" s="16"/>
      <c r="J72" s="16"/>
      <c r="K72" s="16"/>
      <c r="L72" s="16"/>
      <c r="M72" s="18"/>
      <c r="N72" s="17"/>
      <c r="O72" s="16"/>
      <c r="P72" s="17"/>
      <c r="Q72" s="16"/>
      <c r="R72" s="16"/>
      <c r="S72" s="16"/>
      <c r="T72" s="18"/>
      <c r="U72" s="17"/>
      <c r="V72" s="17"/>
      <c r="W72" s="18"/>
      <c r="X72" s="16"/>
    </row>
    <row r="73" spans="1:24" x14ac:dyDescent="0.2">
      <c r="A73" s="14" t="s">
        <v>61</v>
      </c>
      <c r="B73" s="26"/>
      <c r="C73" s="26"/>
      <c r="D73" s="12"/>
      <c r="E73" s="12"/>
      <c r="F73" s="26"/>
      <c r="G73" s="62"/>
      <c r="H73" s="26"/>
      <c r="I73" s="12"/>
      <c r="J73" s="12"/>
      <c r="K73" s="12"/>
      <c r="L73" s="12"/>
      <c r="M73" s="62"/>
      <c r="N73" s="26"/>
      <c r="O73" s="12"/>
      <c r="P73" s="26"/>
      <c r="Q73" s="12"/>
      <c r="R73" s="12"/>
      <c r="S73" s="12"/>
      <c r="T73" s="62"/>
      <c r="U73" s="26"/>
      <c r="V73" s="26"/>
      <c r="W73" s="62"/>
      <c r="X73" s="12"/>
    </row>
    <row r="74" spans="1:24" x14ac:dyDescent="0.2">
      <c r="A74" s="14" t="s">
        <v>62</v>
      </c>
      <c r="B74" s="30">
        <f t="shared" ref="B74:B80" si="51">SUM(C74:X74)</f>
        <v>-2769175.3449559323</v>
      </c>
      <c r="C74" s="30">
        <f t="shared" ref="C74:S74" si="52">C16-C29-C30-C31-C32-C37</f>
        <v>2301415.0116205518</v>
      </c>
      <c r="D74" s="244">
        <f t="shared" si="52"/>
        <v>-602288.9759032313</v>
      </c>
      <c r="E74" s="244">
        <f t="shared" si="52"/>
        <v>-200634.08801904801</v>
      </c>
      <c r="F74" s="30">
        <f t="shared" si="52"/>
        <v>0</v>
      </c>
      <c r="G74" s="245">
        <f t="shared" si="52"/>
        <v>-3784629.670060379</v>
      </c>
      <c r="H74" s="30">
        <f>H16-H29-H30-H31-H32-H37</f>
        <v>0</v>
      </c>
      <c r="I74" s="244">
        <f t="shared" si="52"/>
        <v>0</v>
      </c>
      <c r="J74" s="244">
        <f t="shared" ref="J74:K74" si="53">J16-J29-J30-J31-J32-J37</f>
        <v>0</v>
      </c>
      <c r="K74" s="244">
        <f t="shared" si="53"/>
        <v>0</v>
      </c>
      <c r="L74" s="244">
        <f t="shared" si="52"/>
        <v>-14987.55829505467</v>
      </c>
      <c r="M74" s="245">
        <f t="shared" si="52"/>
        <v>-16193.213747097141</v>
      </c>
      <c r="N74" s="30">
        <f t="shared" si="52"/>
        <v>-2780267.2533850749</v>
      </c>
      <c r="O74" s="244">
        <f t="shared" ref="O74" si="54">O16-O29-O30-O31-O32-O37</f>
        <v>-2800120.4478450012</v>
      </c>
      <c r="P74" s="30">
        <f t="shared" ref="P74:R74" si="55">P16-P29-P30-P31-P32-P37</f>
        <v>0</v>
      </c>
      <c r="Q74" s="244">
        <f t="shared" si="55"/>
        <v>-1882727</v>
      </c>
      <c r="R74" s="244">
        <f t="shared" si="55"/>
        <v>0</v>
      </c>
      <c r="S74" s="244">
        <f t="shared" si="52"/>
        <v>0</v>
      </c>
      <c r="T74" s="245">
        <f t="shared" ref="T74:U74" si="56">T16-T29-T30-T31-T32-T37</f>
        <v>0</v>
      </c>
      <c r="U74" s="30">
        <f t="shared" si="56"/>
        <v>0</v>
      </c>
      <c r="V74" s="30">
        <f t="shared" ref="V74:W74" si="57">V16-V29-V30-V31-V32-V37</f>
        <v>7011257.8506784029</v>
      </c>
      <c r="W74" s="245">
        <f t="shared" si="57"/>
        <v>0</v>
      </c>
      <c r="X74" s="244"/>
    </row>
    <row r="75" spans="1:24" x14ac:dyDescent="0.2">
      <c r="A75" s="14" t="s">
        <v>63</v>
      </c>
      <c r="B75" s="30">
        <f t="shared" si="51"/>
        <v>0</v>
      </c>
      <c r="C75" s="26"/>
      <c r="D75" s="12"/>
      <c r="E75" s="12"/>
      <c r="F75" s="26"/>
      <c r="G75" s="62"/>
      <c r="H75" s="26"/>
      <c r="I75" s="12"/>
      <c r="J75" s="12"/>
      <c r="K75" s="12"/>
      <c r="L75" s="12"/>
      <c r="M75" s="62"/>
      <c r="N75" s="26"/>
      <c r="O75" s="12"/>
      <c r="P75" s="26"/>
      <c r="Q75" s="12"/>
      <c r="R75" s="12"/>
      <c r="S75" s="12"/>
      <c r="T75" s="62"/>
      <c r="U75" s="26"/>
      <c r="V75" s="26"/>
      <c r="W75" s="62"/>
      <c r="X75" s="12"/>
    </row>
    <row r="76" spans="1:24" x14ac:dyDescent="0.2">
      <c r="A76" s="14" t="s">
        <v>64</v>
      </c>
      <c r="B76" s="30">
        <f t="shared" si="51"/>
        <v>0</v>
      </c>
      <c r="C76" s="27"/>
      <c r="D76" s="63"/>
      <c r="E76" s="63"/>
      <c r="F76" s="27"/>
      <c r="G76" s="64"/>
      <c r="H76" s="27"/>
      <c r="I76" s="63"/>
      <c r="J76" s="63"/>
      <c r="K76" s="63"/>
      <c r="L76" s="63"/>
      <c r="M76" s="64"/>
      <c r="N76" s="27"/>
      <c r="O76" s="63"/>
      <c r="P76" s="27"/>
      <c r="Q76" s="63"/>
      <c r="R76" s="63"/>
      <c r="S76" s="63"/>
      <c r="T76" s="64"/>
      <c r="U76" s="27"/>
      <c r="V76" s="27"/>
      <c r="W76" s="64"/>
      <c r="X76" s="63"/>
    </row>
    <row r="77" spans="1:24" x14ac:dyDescent="0.2">
      <c r="A77" s="14" t="s">
        <v>65</v>
      </c>
      <c r="B77" s="30">
        <f t="shared" si="51"/>
        <v>5973958.662075948</v>
      </c>
      <c r="C77" s="27"/>
      <c r="D77" s="63"/>
      <c r="E77" s="63"/>
      <c r="F77" s="27"/>
      <c r="G77" s="64"/>
      <c r="H77" s="27"/>
      <c r="I77" s="63"/>
      <c r="J77" s="63"/>
      <c r="K77" s="63"/>
      <c r="L77" s="63"/>
      <c r="M77" s="64"/>
      <c r="N77" s="27"/>
      <c r="O77" s="63"/>
      <c r="P77" s="27">
        <f>'Interest Calc'!C16</f>
        <v>5973958.662075948</v>
      </c>
      <c r="Q77" s="63"/>
      <c r="R77" s="63"/>
      <c r="S77" s="63"/>
      <c r="T77" s="64"/>
      <c r="U77" s="27"/>
      <c r="V77" s="27"/>
      <c r="W77" s="64"/>
      <c r="X77" s="63"/>
    </row>
    <row r="78" spans="1:24" x14ac:dyDescent="0.2">
      <c r="A78" s="14" t="s">
        <v>66</v>
      </c>
      <c r="B78" s="30">
        <f t="shared" si="51"/>
        <v>10447102.241431128</v>
      </c>
      <c r="C78" s="27"/>
      <c r="D78" s="63"/>
      <c r="E78" s="63"/>
      <c r="F78" s="27">
        <f>'[5]14.1.1'!$J$35</f>
        <v>254857.61407934257</v>
      </c>
      <c r="G78" s="64"/>
      <c r="H78" s="27"/>
      <c r="I78" s="63"/>
      <c r="J78" s="63"/>
      <c r="K78" s="63"/>
      <c r="L78" s="63">
        <f>'[11]14.7'!$I$29+'[11]14.7'!$I$35+'[11]14.7'!$I$41</f>
        <v>15040.527753435337</v>
      </c>
      <c r="M78" s="64">
        <f>'[12]14.8'!$I$29</f>
        <v>20067.750338523951</v>
      </c>
      <c r="N78" s="27"/>
      <c r="O78" s="63"/>
      <c r="P78" s="27"/>
      <c r="Q78" s="63"/>
      <c r="R78" s="63"/>
      <c r="S78" s="63">
        <f>SUM('[16]15.4'!$I$21:$I$26)</f>
        <v>10157136.349259827</v>
      </c>
      <c r="T78" s="64">
        <f>SUM('[17]15.5'!$I$11:$I$12)</f>
        <v>0</v>
      </c>
      <c r="U78" s="27"/>
      <c r="V78" s="27"/>
      <c r="W78" s="64"/>
      <c r="X78" s="63"/>
    </row>
    <row r="79" spans="1:24" x14ac:dyDescent="0.2">
      <c r="A79" s="14" t="s">
        <v>67</v>
      </c>
      <c r="B79" s="30">
        <f t="shared" si="51"/>
        <v>21722351.971674141</v>
      </c>
      <c r="C79" s="71"/>
      <c r="D79" s="69"/>
      <c r="E79" s="69"/>
      <c r="F79" s="71">
        <f>'[5]14.1.1'!$J$39</f>
        <v>3703700.9911775519</v>
      </c>
      <c r="G79" s="72"/>
      <c r="H79" s="71"/>
      <c r="I79" s="69"/>
      <c r="J79" s="69"/>
      <c r="K79" s="69"/>
      <c r="L79" s="69">
        <f>'[11]14.7'!$I$30+'[11]14.7'!$I$36+'[11]14.7'!$I$42</f>
        <v>22034.215987286549</v>
      </c>
      <c r="M79" s="72">
        <f>'[12]14.8'!$I$30</f>
        <v>194785.13775075637</v>
      </c>
      <c r="N79" s="71"/>
      <c r="O79" s="69"/>
      <c r="P79" s="71"/>
      <c r="Q79" s="69"/>
      <c r="R79" s="69"/>
      <c r="S79" s="69">
        <f>SUM('[16]15.4'!$I$27:$I$31,'[16]15.4.1'!$I$14:$I$16,'[16]15.4.1'!$I$31)</f>
        <v>16975738.796758544</v>
      </c>
      <c r="T79" s="72">
        <f>SUM('[17]15.5'!$I$15:$I$17)</f>
        <v>0</v>
      </c>
      <c r="U79" s="71"/>
      <c r="V79" s="71">
        <f>'[19]16.1'!$I$20</f>
        <v>826092.83000000054</v>
      </c>
      <c r="W79" s="72"/>
      <c r="X79" s="63"/>
    </row>
    <row r="80" spans="1:24" x14ac:dyDescent="0.2">
      <c r="A80" s="14" t="s">
        <v>68</v>
      </c>
      <c r="B80" s="208">
        <f t="shared" si="51"/>
        <v>-20018383.737274893</v>
      </c>
      <c r="C80" s="125">
        <f t="shared" ref="C80:M80" si="58">C74-C76-C77+C78-C79</f>
        <v>2301415.0116205518</v>
      </c>
      <c r="D80" s="13">
        <f t="shared" si="58"/>
        <v>-602288.9759032313</v>
      </c>
      <c r="E80" s="13">
        <f t="shared" si="58"/>
        <v>-200634.08801904801</v>
      </c>
      <c r="F80" s="125">
        <f t="shared" si="58"/>
        <v>-3448843.3770982092</v>
      </c>
      <c r="G80" s="126">
        <f t="shared" si="58"/>
        <v>-3784629.670060379</v>
      </c>
      <c r="H80" s="125">
        <f t="shared" si="58"/>
        <v>0</v>
      </c>
      <c r="I80" s="13">
        <f t="shared" si="58"/>
        <v>0</v>
      </c>
      <c r="J80" s="13">
        <f t="shared" ref="J80:K80" si="59">J74-J76-J77+J78-J79</f>
        <v>0</v>
      </c>
      <c r="K80" s="13">
        <f t="shared" si="59"/>
        <v>0</v>
      </c>
      <c r="L80" s="13">
        <f t="shared" si="58"/>
        <v>-21981.246528905882</v>
      </c>
      <c r="M80" s="126">
        <f t="shared" si="58"/>
        <v>-190910.60115932956</v>
      </c>
      <c r="N80" s="125">
        <f t="shared" ref="N80:Q80" si="60">N74-N76-N77+N78-N79</f>
        <v>-2780267.2533850749</v>
      </c>
      <c r="O80" s="13">
        <f t="shared" ref="O80" si="61">O74-O76-O77+O78-O79</f>
        <v>-2800120.4478450012</v>
      </c>
      <c r="P80" s="125">
        <f t="shared" si="60"/>
        <v>-5973958.662075948</v>
      </c>
      <c r="Q80" s="13">
        <f t="shared" si="60"/>
        <v>-1882727</v>
      </c>
      <c r="R80" s="13">
        <f>R74-R76-R77+R78-R79</f>
        <v>0</v>
      </c>
      <c r="S80" s="13">
        <f t="shared" ref="S80" si="62">S74-S76-S77+S78-S79</f>
        <v>-6818602.4474987164</v>
      </c>
      <c r="T80" s="126">
        <f t="shared" ref="T80:U80" si="63">T74-T76-T77+T78-T79</f>
        <v>0</v>
      </c>
      <c r="U80" s="125">
        <f t="shared" si="63"/>
        <v>0</v>
      </c>
      <c r="V80" s="125">
        <f t="shared" ref="V80:W80" si="64">V74-V76-V77+V78-V79</f>
        <v>6185165.0206784029</v>
      </c>
      <c r="W80" s="126">
        <f t="shared" si="64"/>
        <v>0</v>
      </c>
      <c r="X80" s="13"/>
    </row>
    <row r="81" spans="1:24" x14ac:dyDescent="0.2">
      <c r="A81" s="14"/>
      <c r="B81" s="26"/>
      <c r="C81" s="26"/>
      <c r="D81" s="12"/>
      <c r="E81" s="12"/>
      <c r="F81" s="26"/>
      <c r="G81" s="62"/>
      <c r="H81" s="26"/>
      <c r="I81" s="12"/>
      <c r="J81" s="12"/>
      <c r="K81" s="12"/>
      <c r="L81" s="12"/>
      <c r="M81" s="62"/>
      <c r="N81" s="26"/>
      <c r="O81" s="12"/>
      <c r="P81" s="26"/>
      <c r="Q81" s="12"/>
      <c r="R81" s="12"/>
      <c r="S81" s="12"/>
      <c r="T81" s="62"/>
      <c r="U81" s="26"/>
      <c r="V81" s="26"/>
      <c r="W81" s="62"/>
      <c r="X81" s="12"/>
    </row>
    <row r="82" spans="1:24" x14ac:dyDescent="0.2">
      <c r="A82" s="14" t="s">
        <v>69</v>
      </c>
      <c r="B82" s="31">
        <f>SUM(C82:X82)</f>
        <v>0</v>
      </c>
      <c r="C82" s="26">
        <v>0</v>
      </c>
      <c r="D82" s="12">
        <v>0</v>
      </c>
      <c r="E82" s="12">
        <v>0</v>
      </c>
      <c r="F82" s="26">
        <v>0</v>
      </c>
      <c r="G82" s="62">
        <v>0</v>
      </c>
      <c r="H82" s="26">
        <v>0</v>
      </c>
      <c r="I82" s="12">
        <v>0</v>
      </c>
      <c r="J82" s="12">
        <v>0</v>
      </c>
      <c r="K82" s="12">
        <v>0</v>
      </c>
      <c r="L82" s="12">
        <v>0</v>
      </c>
      <c r="M82" s="62">
        <v>0</v>
      </c>
      <c r="N82" s="26">
        <v>0</v>
      </c>
      <c r="O82" s="12">
        <v>0</v>
      </c>
      <c r="P82" s="26">
        <v>0</v>
      </c>
      <c r="Q82" s="12">
        <v>0</v>
      </c>
      <c r="R82" s="12">
        <v>0</v>
      </c>
      <c r="S82" s="12">
        <v>0</v>
      </c>
      <c r="T82" s="62">
        <v>0</v>
      </c>
      <c r="U82" s="26">
        <v>0</v>
      </c>
      <c r="V82" s="26">
        <v>0</v>
      </c>
      <c r="W82" s="62">
        <v>0</v>
      </c>
      <c r="X82" s="12"/>
    </row>
    <row r="83" spans="1:24" x14ac:dyDescent="0.2">
      <c r="A83" s="14" t="s">
        <v>70</v>
      </c>
      <c r="B83" s="31">
        <f>SUM(C83:X83)</f>
        <v>-20018383.737274893</v>
      </c>
      <c r="C83" s="26">
        <f>C80-C82</f>
        <v>2301415.0116205518</v>
      </c>
      <c r="D83" s="12">
        <f t="shared" ref="D83:S83" si="65">D80-D82</f>
        <v>-602288.9759032313</v>
      </c>
      <c r="E83" s="12">
        <f t="shared" ref="E83" si="66">E80-E82</f>
        <v>-200634.08801904801</v>
      </c>
      <c r="F83" s="26">
        <f t="shared" si="65"/>
        <v>-3448843.3770982092</v>
      </c>
      <c r="G83" s="62">
        <f t="shared" si="65"/>
        <v>-3784629.670060379</v>
      </c>
      <c r="H83" s="26">
        <f t="shared" si="65"/>
        <v>0</v>
      </c>
      <c r="I83" s="12">
        <f t="shared" si="65"/>
        <v>0</v>
      </c>
      <c r="J83" s="12">
        <f t="shared" ref="J83:K83" si="67">J80-J82</f>
        <v>0</v>
      </c>
      <c r="K83" s="12">
        <f t="shared" si="67"/>
        <v>0</v>
      </c>
      <c r="L83" s="12">
        <f t="shared" si="65"/>
        <v>-21981.246528905882</v>
      </c>
      <c r="M83" s="62">
        <f t="shared" si="65"/>
        <v>-190910.60115932956</v>
      </c>
      <c r="N83" s="26">
        <f t="shared" si="65"/>
        <v>-2780267.2533850749</v>
      </c>
      <c r="O83" s="12">
        <f t="shared" ref="O83" si="68">O80-O82</f>
        <v>-2800120.4478450012</v>
      </c>
      <c r="P83" s="26">
        <f t="shared" ref="P83:R83" si="69">P80-P82</f>
        <v>-5973958.662075948</v>
      </c>
      <c r="Q83" s="12">
        <f t="shared" si="69"/>
        <v>-1882727</v>
      </c>
      <c r="R83" s="12">
        <f t="shared" si="69"/>
        <v>0</v>
      </c>
      <c r="S83" s="12">
        <f t="shared" si="65"/>
        <v>-6818602.4474987164</v>
      </c>
      <c r="T83" s="62">
        <f t="shared" ref="T83:U83" si="70">T80-T82</f>
        <v>0</v>
      </c>
      <c r="U83" s="26">
        <f t="shared" si="70"/>
        <v>0</v>
      </c>
      <c r="V83" s="26">
        <f t="shared" ref="V83:W83" si="71">V80-V82</f>
        <v>6185165.0206784029</v>
      </c>
      <c r="W83" s="62">
        <f t="shared" si="71"/>
        <v>0</v>
      </c>
      <c r="X83" s="12"/>
    </row>
    <row r="84" spans="1:24" x14ac:dyDescent="0.2">
      <c r="A84" s="14"/>
      <c r="B84" s="31"/>
      <c r="C84" s="26"/>
      <c r="D84" s="12"/>
      <c r="E84" s="12"/>
      <c r="F84" s="26"/>
      <c r="G84" s="62"/>
      <c r="H84" s="26"/>
      <c r="I84" s="12"/>
      <c r="J84" s="12"/>
      <c r="K84" s="12"/>
      <c r="L84" s="12"/>
      <c r="M84" s="62"/>
      <c r="N84" s="26"/>
      <c r="O84" s="12"/>
      <c r="P84" s="26"/>
      <c r="Q84" s="12"/>
      <c r="R84" s="12"/>
      <c r="S84" s="12"/>
      <c r="T84" s="62"/>
      <c r="U84" s="26"/>
      <c r="V84" s="26"/>
      <c r="W84" s="62"/>
      <c r="X84" s="12"/>
    </row>
    <row r="85" spans="1:24" x14ac:dyDescent="0.2">
      <c r="A85" s="14" t="s">
        <v>81</v>
      </c>
      <c r="B85" s="31">
        <f>SUM(C85:X85)</f>
        <v>-4203860.5848277248</v>
      </c>
      <c r="C85" s="26">
        <f>C83*0.21</f>
        <v>483297.15244031587</v>
      </c>
      <c r="D85" s="12">
        <f t="shared" ref="D85:V85" si="72">D83*0.21</f>
        <v>-126480.68493967857</v>
      </c>
      <c r="E85" s="12">
        <f t="shared" ref="E85" si="73">E83*0.21</f>
        <v>-42133.15848400008</v>
      </c>
      <c r="F85" s="26">
        <f t="shared" si="72"/>
        <v>-724257.10919062386</v>
      </c>
      <c r="G85" s="62">
        <f t="shared" si="72"/>
        <v>-794772.23071267956</v>
      </c>
      <c r="H85" s="26">
        <f t="shared" si="72"/>
        <v>0</v>
      </c>
      <c r="I85" s="12">
        <f t="shared" si="72"/>
        <v>0</v>
      </c>
      <c r="J85" s="12">
        <f t="shared" si="72"/>
        <v>0</v>
      </c>
      <c r="K85" s="12">
        <f t="shared" si="72"/>
        <v>0</v>
      </c>
      <c r="L85" s="12">
        <f t="shared" si="72"/>
        <v>-4616.0617710702354</v>
      </c>
      <c r="M85" s="62">
        <f t="shared" si="72"/>
        <v>-40091.226243459205</v>
      </c>
      <c r="N85" s="26">
        <f t="shared" si="72"/>
        <v>-583856.12321086565</v>
      </c>
      <c r="O85" s="12">
        <f t="shared" ref="O85" si="74">O83*0.21</f>
        <v>-588025.29404745018</v>
      </c>
      <c r="P85" s="26">
        <f t="shared" si="72"/>
        <v>-1254531.319035949</v>
      </c>
      <c r="Q85" s="12">
        <f t="shared" si="72"/>
        <v>-395372.67</v>
      </c>
      <c r="R85" s="12">
        <f t="shared" si="72"/>
        <v>0</v>
      </c>
      <c r="S85" s="12">
        <f t="shared" si="72"/>
        <v>-1431906.5139747304</v>
      </c>
      <c r="T85" s="62">
        <f t="shared" ref="T85:U85" si="75">T83*0.21</f>
        <v>0</v>
      </c>
      <c r="U85" s="26">
        <f t="shared" si="75"/>
        <v>0</v>
      </c>
      <c r="V85" s="26">
        <f t="shared" si="72"/>
        <v>1298884.6543424646</v>
      </c>
      <c r="W85" s="62">
        <f t="shared" ref="W85" si="76">W83*0.21</f>
        <v>0</v>
      </c>
      <c r="X85" s="12"/>
    </row>
    <row r="86" spans="1:24" x14ac:dyDescent="0.2">
      <c r="A86" s="14" t="s">
        <v>129</v>
      </c>
      <c r="B86" s="31">
        <f>SUM(C86:X86)</f>
        <v>0</v>
      </c>
      <c r="C86" s="26"/>
      <c r="D86" s="12"/>
      <c r="E86" s="12"/>
      <c r="F86" s="26"/>
      <c r="G86" s="62"/>
      <c r="H86" s="26"/>
      <c r="I86" s="12"/>
      <c r="J86" s="12"/>
      <c r="K86" s="12"/>
      <c r="L86" s="12"/>
      <c r="M86" s="62"/>
      <c r="N86" s="26"/>
      <c r="O86" s="12"/>
      <c r="P86" s="26"/>
      <c r="Q86" s="12"/>
      <c r="R86" s="12"/>
      <c r="S86" s="12"/>
      <c r="T86" s="62"/>
      <c r="U86" s="26"/>
      <c r="V86" s="26"/>
      <c r="W86" s="62"/>
      <c r="X86" s="12"/>
    </row>
    <row r="87" spans="1:24" s="2" customFormat="1" ht="13.5" thickBot="1" x14ac:dyDescent="0.25">
      <c r="A87" s="14" t="s">
        <v>83</v>
      </c>
      <c r="B87" s="246">
        <f>SUM(C87:X87)</f>
        <v>-4203860.5848277248</v>
      </c>
      <c r="C87" s="247">
        <f>C85+C86</f>
        <v>483297.15244031587</v>
      </c>
      <c r="D87" s="248">
        <f t="shared" ref="D87:S87" si="77">D85+D86</f>
        <v>-126480.68493967857</v>
      </c>
      <c r="E87" s="248">
        <f t="shared" ref="E87" si="78">E85+E86</f>
        <v>-42133.15848400008</v>
      </c>
      <c r="F87" s="247">
        <f t="shared" si="77"/>
        <v>-724257.10919062386</v>
      </c>
      <c r="G87" s="249">
        <f t="shared" si="77"/>
        <v>-794772.23071267956</v>
      </c>
      <c r="H87" s="247">
        <f t="shared" si="77"/>
        <v>0</v>
      </c>
      <c r="I87" s="248">
        <f t="shared" si="77"/>
        <v>0</v>
      </c>
      <c r="J87" s="248">
        <f t="shared" ref="J87:K87" si="79">J85+J86</f>
        <v>0</v>
      </c>
      <c r="K87" s="248">
        <f t="shared" si="79"/>
        <v>0</v>
      </c>
      <c r="L87" s="248">
        <f t="shared" si="77"/>
        <v>-4616.0617710702354</v>
      </c>
      <c r="M87" s="249">
        <f t="shared" si="77"/>
        <v>-40091.226243459205</v>
      </c>
      <c r="N87" s="247">
        <f t="shared" si="77"/>
        <v>-583856.12321086565</v>
      </c>
      <c r="O87" s="248">
        <f t="shared" ref="O87" si="80">O85+O86</f>
        <v>-588025.29404745018</v>
      </c>
      <c r="P87" s="247">
        <f t="shared" ref="P87:R87" si="81">P85+P86</f>
        <v>-1254531.319035949</v>
      </c>
      <c r="Q87" s="248">
        <f t="shared" si="81"/>
        <v>-395372.67</v>
      </c>
      <c r="R87" s="248">
        <f t="shared" si="81"/>
        <v>0</v>
      </c>
      <c r="S87" s="248">
        <f t="shared" si="77"/>
        <v>-1431906.5139747304</v>
      </c>
      <c r="T87" s="249">
        <f t="shared" ref="T87:U87" si="82">T85+T86</f>
        <v>0</v>
      </c>
      <c r="U87" s="247">
        <f t="shared" si="82"/>
        <v>0</v>
      </c>
      <c r="V87" s="247">
        <f t="shared" ref="V87:W87" si="83">V85+V86</f>
        <v>1298884.6543424646</v>
      </c>
      <c r="W87" s="249">
        <f t="shared" si="83"/>
        <v>0</v>
      </c>
      <c r="X87" s="12"/>
    </row>
    <row r="88" spans="1:24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s="2" customFormat="1" x14ac:dyDescent="0.2">
      <c r="A90" s="1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s="2" customFormat="1" x14ac:dyDescent="0.2">
      <c r="A92" s="14"/>
      <c r="C92" s="146"/>
    </row>
    <row r="93" spans="1:24" s="2" customFormat="1" x14ac:dyDescent="0.2">
      <c r="A93" s="124"/>
    </row>
  </sheetData>
  <mergeCells count="6">
    <mergeCell ref="H7:M7"/>
    <mergeCell ref="N7:O7"/>
    <mergeCell ref="V7:W7"/>
    <mergeCell ref="P7:T7"/>
    <mergeCell ref="C7:E7"/>
    <mergeCell ref="F7:G7"/>
  </mergeCells>
  <phoneticPr fontId="3" type="noConversion"/>
  <pageMargins left="1" right="0.5" top="1" bottom="0.5" header="0.4" footer="0.5"/>
  <pageSetup scale="61" firstPageNumber="4" fitToWidth="0" orientation="portrait" useFirstPageNumber="1" r:id="rId1"/>
  <headerFooter alignWithMargins="0">
    <oddHeader xml:space="preserve">&amp;L&amp;"Arial,Bold"&amp;12PacifiCorp
Washington 2023 General Rate Case
Summary of  2025 Pro Forma Adjustments&amp;"Arial,Regular"&amp;10
&amp;R&amp;12Page &amp;P
&amp;10
</oddHeader>
  </headerFooter>
  <colBreaks count="3" manualBreakCount="3">
    <brk id="7" min="6" max="86" man="1"/>
    <brk id="13" min="6" max="86" man="1"/>
    <brk id="20" min="6" max="86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K33"/>
  <sheetViews>
    <sheetView showOutlineSymbols="0" workbookViewId="0"/>
  </sheetViews>
  <sheetFormatPr defaultRowHeight="12.75" x14ac:dyDescent="0.2"/>
  <cols>
    <col min="1" max="1" width="3.140625" style="19" customWidth="1"/>
    <col min="2" max="2" width="42.28515625" style="19" customWidth="1"/>
    <col min="3" max="3" width="16.28515625" style="19" customWidth="1"/>
    <col min="4" max="4" width="26.28515625" style="19" customWidth="1"/>
    <col min="5" max="5" width="14" style="19" bestFit="1" customWidth="1"/>
    <col min="6" max="16384" width="9.140625" style="19"/>
  </cols>
  <sheetData>
    <row r="1" spans="2:4" x14ac:dyDescent="0.2">
      <c r="B1" s="24" t="s">
        <v>6</v>
      </c>
    </row>
    <row r="2" spans="2:4" x14ac:dyDescent="0.2">
      <c r="B2" s="24" t="str">
        <f>Summary!A2</f>
        <v>Washington 2023 General Rate Case</v>
      </c>
    </row>
    <row r="3" spans="2:4" x14ac:dyDescent="0.2">
      <c r="B3" s="24" t="s">
        <v>166</v>
      </c>
    </row>
    <row r="5" spans="2:4" x14ac:dyDescent="0.2">
      <c r="B5" s="25" t="s">
        <v>161</v>
      </c>
      <c r="D5" s="52" t="s">
        <v>96</v>
      </c>
    </row>
    <row r="6" spans="2:4" x14ac:dyDescent="0.2">
      <c r="B6" s="19" t="s">
        <v>167</v>
      </c>
      <c r="C6" s="3">
        <f>Summary!B74</f>
        <v>25573245.579682641</v>
      </c>
      <c r="D6" s="202" t="s">
        <v>227</v>
      </c>
    </row>
    <row r="7" spans="2:4" x14ac:dyDescent="0.2">
      <c r="D7" s="189"/>
    </row>
    <row r="8" spans="2:4" x14ac:dyDescent="0.2">
      <c r="D8" s="189"/>
    </row>
    <row r="9" spans="2:4" x14ac:dyDescent="0.2">
      <c r="B9" s="25" t="s">
        <v>162</v>
      </c>
      <c r="D9" s="189"/>
    </row>
    <row r="10" spans="2:4" x14ac:dyDescent="0.2">
      <c r="B10" s="19" t="s">
        <v>78</v>
      </c>
      <c r="C10" s="3">
        <f>Summary!J64</f>
        <v>1357485560.829288</v>
      </c>
      <c r="D10" s="202" t="s">
        <v>204</v>
      </c>
    </row>
    <row r="11" spans="2:4" x14ac:dyDescent="0.2">
      <c r="B11" s="19" t="s">
        <v>79</v>
      </c>
      <c r="C11" s="48">
        <f>Variables!$E$8</f>
        <v>2.323944E-2</v>
      </c>
      <c r="D11" s="19" t="s">
        <v>206</v>
      </c>
    </row>
    <row r="12" spans="2:4" x14ac:dyDescent="0.2">
      <c r="B12" s="19" t="s">
        <v>80</v>
      </c>
      <c r="C12" s="3">
        <f>C10*C11</f>
        <v>31547204.241758589</v>
      </c>
      <c r="D12" s="202" t="s">
        <v>204</v>
      </c>
    </row>
    <row r="14" spans="2:4" x14ac:dyDescent="0.2">
      <c r="B14" s="19" t="s">
        <v>77</v>
      </c>
      <c r="C14" s="3">
        <f>Summary!B74</f>
        <v>25573245.579682641</v>
      </c>
      <c r="D14" s="19" t="s">
        <v>95</v>
      </c>
    </row>
    <row r="15" spans="2:4" x14ac:dyDescent="0.2">
      <c r="D15" s="189"/>
    </row>
    <row r="16" spans="2:4" x14ac:dyDescent="0.2">
      <c r="B16" s="19" t="s">
        <v>163</v>
      </c>
      <c r="C16" s="3">
        <f>C12-C14</f>
        <v>5973958.662075948</v>
      </c>
      <c r="D16" s="229" t="s">
        <v>228</v>
      </c>
    </row>
    <row r="17" spans="2:11" x14ac:dyDescent="0.2">
      <c r="D17" s="189"/>
    </row>
    <row r="18" spans="2:11" x14ac:dyDescent="0.2">
      <c r="D18" s="189"/>
    </row>
    <row r="19" spans="2:11" x14ac:dyDescent="0.2">
      <c r="B19" s="38"/>
      <c r="C19" s="20"/>
      <c r="D19" s="210"/>
      <c r="E19" s="20"/>
      <c r="F19" s="20"/>
      <c r="G19" s="20"/>
      <c r="H19" s="20"/>
      <c r="I19" s="20"/>
      <c r="J19" s="20"/>
      <c r="K19" s="20"/>
    </row>
    <row r="20" spans="2:11" x14ac:dyDescent="0.2">
      <c r="B20" s="20"/>
      <c r="C20" s="211"/>
      <c r="D20" s="202"/>
      <c r="E20" s="20"/>
      <c r="F20" s="20"/>
      <c r="G20" s="20"/>
      <c r="H20" s="20"/>
      <c r="I20" s="20"/>
      <c r="J20" s="20"/>
      <c r="K20" s="20"/>
    </row>
    <row r="21" spans="2:11" x14ac:dyDescent="0.2">
      <c r="B21" s="20"/>
      <c r="C21" s="212"/>
      <c r="D21" s="20"/>
      <c r="E21" s="20"/>
      <c r="F21" s="20"/>
      <c r="G21" s="20"/>
      <c r="H21" s="20"/>
      <c r="I21" s="20"/>
      <c r="J21" s="20"/>
      <c r="K21" s="20"/>
    </row>
    <row r="22" spans="2:11" x14ac:dyDescent="0.2">
      <c r="B22" s="20"/>
      <c r="C22" s="211"/>
      <c r="D22" s="202"/>
      <c r="E22" s="20"/>
      <c r="F22" s="20"/>
      <c r="G22" s="20"/>
      <c r="H22" s="20"/>
      <c r="I22" s="20"/>
      <c r="J22" s="20"/>
      <c r="K22" s="20"/>
    </row>
    <row r="23" spans="2:1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2:11" x14ac:dyDescent="0.2">
      <c r="B24" s="20"/>
      <c r="C24" s="211"/>
      <c r="D24" s="203"/>
      <c r="E24" s="20"/>
      <c r="F24" s="20"/>
      <c r="G24" s="20"/>
      <c r="H24" s="20"/>
      <c r="I24" s="20"/>
      <c r="J24" s="20"/>
      <c r="K24" s="20"/>
    </row>
    <row r="25" spans="2:11" x14ac:dyDescent="0.2">
      <c r="B25" s="20"/>
      <c r="C25" s="20"/>
      <c r="D25" s="210"/>
      <c r="E25" s="20"/>
      <c r="F25" s="20"/>
      <c r="G25" s="20"/>
      <c r="H25" s="20"/>
      <c r="I25" s="20"/>
      <c r="J25" s="20"/>
      <c r="K25" s="20"/>
    </row>
    <row r="26" spans="2:11" x14ac:dyDescent="0.2">
      <c r="B26" s="20"/>
      <c r="C26" s="211"/>
      <c r="D26" s="20"/>
      <c r="E26" s="20"/>
      <c r="F26" s="20"/>
      <c r="G26" s="20"/>
      <c r="H26" s="20"/>
      <c r="I26" s="20"/>
      <c r="J26" s="20"/>
      <c r="K26" s="20"/>
    </row>
    <row r="27" spans="2:11" x14ac:dyDescent="0.2">
      <c r="B27" s="20"/>
      <c r="C27" s="20"/>
      <c r="D27" s="210"/>
      <c r="E27" s="20"/>
      <c r="F27" s="20"/>
      <c r="G27" s="20"/>
      <c r="H27" s="20"/>
      <c r="I27" s="20"/>
      <c r="J27" s="20"/>
      <c r="K27" s="20"/>
    </row>
    <row r="28" spans="2:11" x14ac:dyDescent="0.2">
      <c r="B28" s="20"/>
      <c r="C28" s="20"/>
      <c r="D28" s="210"/>
      <c r="E28" s="20"/>
      <c r="F28" s="20"/>
      <c r="G28" s="20"/>
      <c r="H28" s="20"/>
      <c r="I28" s="20"/>
      <c r="J28" s="20"/>
      <c r="K28" s="20"/>
    </row>
    <row r="29" spans="2:11" x14ac:dyDescent="0.2">
      <c r="B29" s="20"/>
      <c r="C29" s="20"/>
      <c r="D29" s="210"/>
      <c r="E29" s="20"/>
      <c r="F29" s="20"/>
      <c r="G29" s="20"/>
      <c r="H29" s="20"/>
      <c r="I29" s="20"/>
      <c r="J29" s="20"/>
      <c r="K29" s="20"/>
    </row>
    <row r="30" spans="2:11" x14ac:dyDescent="0.2">
      <c r="B30" s="20"/>
      <c r="C30" s="20"/>
      <c r="D30" s="210"/>
      <c r="E30" s="20"/>
      <c r="F30" s="20"/>
      <c r="G30" s="20"/>
      <c r="H30" s="20"/>
      <c r="I30" s="20"/>
      <c r="J30" s="20"/>
      <c r="K30" s="20"/>
    </row>
    <row r="31" spans="2:11" x14ac:dyDescent="0.2">
      <c r="B31" s="20"/>
      <c r="C31" s="20"/>
      <c r="D31" s="210"/>
      <c r="E31" s="20"/>
      <c r="F31" s="20"/>
      <c r="G31" s="20"/>
      <c r="H31" s="20"/>
      <c r="I31" s="20"/>
      <c r="J31" s="20"/>
      <c r="K31" s="20"/>
    </row>
    <row r="32" spans="2:1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</row>
  </sheetData>
  <pageMargins left="0.7" right="0.7" top="0.75" bottom="0.75" header="0.3" footer="0.3"/>
  <pageSetup scale="8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H35"/>
  <sheetViews>
    <sheetView showOutlineSymbols="0" workbookViewId="0">
      <selection activeCell="D9" sqref="D9"/>
    </sheetView>
  </sheetViews>
  <sheetFormatPr defaultRowHeight="12.75" x14ac:dyDescent="0.2"/>
  <cols>
    <col min="1" max="1" width="3.85546875" style="19" customWidth="1"/>
    <col min="2" max="4" width="15.7109375" style="19" customWidth="1"/>
    <col min="5" max="5" width="13.42578125" style="19" bestFit="1" customWidth="1"/>
    <col min="6" max="16384" width="9.140625" style="19"/>
  </cols>
  <sheetData>
    <row r="1" spans="2:8" x14ac:dyDescent="0.2">
      <c r="B1" s="24" t="s">
        <v>6</v>
      </c>
      <c r="H1" s="253" t="s">
        <v>206</v>
      </c>
    </row>
    <row r="2" spans="2:8" x14ac:dyDescent="0.2">
      <c r="B2" s="24" t="s">
        <v>128</v>
      </c>
    </row>
    <row r="3" spans="2:8" x14ac:dyDescent="0.2">
      <c r="B3" s="24" t="s">
        <v>94</v>
      </c>
    </row>
    <row r="6" spans="2:8" x14ac:dyDescent="0.2">
      <c r="B6" s="38" t="s">
        <v>205</v>
      </c>
      <c r="C6" s="44"/>
      <c r="D6" s="44"/>
      <c r="E6" s="44"/>
    </row>
    <row r="7" spans="2:8" s="46" customFormat="1" x14ac:dyDescent="0.2">
      <c r="B7" s="39"/>
      <c r="C7" s="39" t="s">
        <v>0</v>
      </c>
      <c r="D7" s="40" t="s">
        <v>1</v>
      </c>
      <c r="E7" s="39" t="s">
        <v>2</v>
      </c>
      <c r="G7" s="230"/>
    </row>
    <row r="8" spans="2:8" x14ac:dyDescent="0.2">
      <c r="B8" s="41" t="s">
        <v>3</v>
      </c>
      <c r="C8" s="145">
        <f>[21]Variables!G3</f>
        <v>0.48720000000000002</v>
      </c>
      <c r="D8" s="146">
        <f>[21]Variables!G7</f>
        <v>4.7699999999999999E-2</v>
      </c>
      <c r="E8" s="215">
        <f>C8*D8</f>
        <v>2.323944E-2</v>
      </c>
    </row>
    <row r="9" spans="2:8" x14ac:dyDescent="0.2">
      <c r="B9" s="41" t="s">
        <v>4</v>
      </c>
      <c r="C9" s="145">
        <f>[21]Variables!G4</f>
        <v>1E-4</v>
      </c>
      <c r="D9" s="146">
        <f>[21]Variables!G8</f>
        <v>6.7500000000000004E-2</v>
      </c>
      <c r="E9" s="215">
        <f>C9*D9</f>
        <v>6.7500000000000006E-6</v>
      </c>
    </row>
    <row r="10" spans="2:8" x14ac:dyDescent="0.2">
      <c r="B10" s="42" t="s">
        <v>5</v>
      </c>
      <c r="C10" s="147">
        <f>[21]Variables!G5</f>
        <v>0.51270000000000004</v>
      </c>
      <c r="D10" s="148">
        <f>[21]Variables!G9</f>
        <v>0.10299999999999999</v>
      </c>
      <c r="E10" s="216">
        <f>C10*D10</f>
        <v>5.2808100000000004E-2</v>
      </c>
    </row>
    <row r="11" spans="2:8" x14ac:dyDescent="0.2">
      <c r="E11" s="217">
        <f>ROUNDDOWN(SUM(E8:E10),4)</f>
        <v>7.5999999999999998E-2</v>
      </c>
    </row>
    <row r="16" spans="2:8" x14ac:dyDescent="0.2">
      <c r="B16" s="256" t="s">
        <v>226</v>
      </c>
      <c r="C16" s="257"/>
      <c r="D16" s="257"/>
      <c r="E16" s="257"/>
    </row>
    <row r="17" spans="2:6" x14ac:dyDescent="0.2">
      <c r="B17" s="19" t="s">
        <v>62</v>
      </c>
      <c r="D17" s="32">
        <v>1</v>
      </c>
    </row>
    <row r="18" spans="2:6" x14ac:dyDescent="0.2">
      <c r="D18" s="32"/>
    </row>
    <row r="19" spans="2:6" x14ac:dyDescent="0.2">
      <c r="B19" s="19" t="s">
        <v>86</v>
      </c>
      <c r="D19" s="32"/>
    </row>
    <row r="20" spans="2:6" x14ac:dyDescent="0.2">
      <c r="B20" s="19" t="s">
        <v>87</v>
      </c>
      <c r="D20" s="149">
        <f>[21]Results!D153</f>
        <v>5.5958046338404543E-3</v>
      </c>
      <c r="F20" s="51"/>
    </row>
    <row r="21" spans="2:6" x14ac:dyDescent="0.2">
      <c r="B21" s="19" t="s">
        <v>85</v>
      </c>
      <c r="D21" s="149">
        <f>[21]Results!D154</f>
        <v>4.0000000000000001E-3</v>
      </c>
    </row>
    <row r="22" spans="2:6" x14ac:dyDescent="0.2">
      <c r="B22" s="19" t="s">
        <v>126</v>
      </c>
      <c r="D22" s="149">
        <f>[21]Results!D155</f>
        <v>3.8733999999999998E-2</v>
      </c>
    </row>
    <row r="23" spans="2:6" x14ac:dyDescent="0.2">
      <c r="B23" s="19" t="s">
        <v>88</v>
      </c>
      <c r="D23" s="149">
        <f>[21]Results!D156</f>
        <v>0</v>
      </c>
    </row>
    <row r="24" spans="2:6" x14ac:dyDescent="0.2">
      <c r="B24" s="19" t="s">
        <v>89</v>
      </c>
      <c r="D24" s="148">
        <f>[21]Results!D157</f>
        <v>0</v>
      </c>
    </row>
    <row r="25" spans="2:6" x14ac:dyDescent="0.2">
      <c r="D25" s="32"/>
    </row>
    <row r="26" spans="2:6" x14ac:dyDescent="0.2">
      <c r="B26" s="19" t="s">
        <v>90</v>
      </c>
      <c r="D26" s="47">
        <f>D17-SUM(D19:D24)</f>
        <v>0.95167019536615949</v>
      </c>
    </row>
    <row r="27" spans="2:6" x14ac:dyDescent="0.2">
      <c r="D27" s="32"/>
    </row>
    <row r="28" spans="2:6" x14ac:dyDescent="0.2">
      <c r="B28" s="19" t="s">
        <v>92</v>
      </c>
      <c r="D28" s="33">
        <v>0</v>
      </c>
    </row>
    <row r="29" spans="2:6" x14ac:dyDescent="0.2">
      <c r="D29" s="32"/>
    </row>
    <row r="30" spans="2:6" x14ac:dyDescent="0.2">
      <c r="B30" s="19" t="s">
        <v>90</v>
      </c>
      <c r="D30" s="47">
        <f>D26-D28</f>
        <v>0.95167019536615949</v>
      </c>
    </row>
    <row r="31" spans="2:6" x14ac:dyDescent="0.2">
      <c r="D31" s="32"/>
    </row>
    <row r="32" spans="2:6" x14ac:dyDescent="0.2">
      <c r="B32" s="19" t="s">
        <v>127</v>
      </c>
      <c r="D32" s="33">
        <f>D30*0.21</f>
        <v>0.19985074102689349</v>
      </c>
    </row>
    <row r="33" spans="2:4" x14ac:dyDescent="0.2">
      <c r="D33" s="48"/>
    </row>
    <row r="34" spans="2:4" ht="13.5" thickBot="1" x14ac:dyDescent="0.25">
      <c r="B34" s="19" t="s">
        <v>91</v>
      </c>
      <c r="D34" s="49">
        <f>ROUND(D30-D32,5)</f>
        <v>0.75182000000000004</v>
      </c>
    </row>
    <row r="35" spans="2:4" ht="13.5" thickTop="1" x14ac:dyDescent="0.2">
      <c r="D35" s="50"/>
    </row>
  </sheetData>
  <phoneticPr fontId="3" type="noConversion"/>
  <pageMargins left="0.7" right="0.7" top="0.75" bottom="0.75" header="0.3" footer="0.3"/>
  <pageSetup fitToHeight="0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54"/>
  <sheetViews>
    <sheetView showOutlineSymbols="0" workbookViewId="0">
      <selection activeCell="D42" sqref="D42"/>
    </sheetView>
  </sheetViews>
  <sheetFormatPr defaultRowHeight="11.25" x14ac:dyDescent="0.2"/>
  <cols>
    <col min="1" max="1" width="4.28515625" style="56" customWidth="1"/>
    <col min="2" max="2" width="11.140625" style="128" customWidth="1"/>
    <col min="3" max="3" width="51.5703125" style="56" bestFit="1" customWidth="1"/>
    <col min="4" max="4" width="10.7109375" style="56" customWidth="1"/>
    <col min="5" max="5" width="12" style="56" bestFit="1" customWidth="1"/>
    <col min="6" max="6" width="10.7109375" style="56" customWidth="1"/>
    <col min="7" max="7" width="14" style="56" customWidth="1"/>
    <col min="8" max="8" width="10.42578125" style="56" bestFit="1" customWidth="1"/>
    <col min="9" max="16384" width="9.140625" style="56"/>
  </cols>
  <sheetData>
    <row r="1" spans="1:9" ht="19.5" x14ac:dyDescent="0.3">
      <c r="A1" s="134" t="s">
        <v>111</v>
      </c>
      <c r="C1" s="135"/>
      <c r="D1" s="135"/>
      <c r="E1" s="135"/>
      <c r="F1" s="135"/>
      <c r="G1" s="135"/>
    </row>
    <row r="2" spans="1:9" ht="6" customHeight="1" x14ac:dyDescent="0.2">
      <c r="A2" s="136"/>
    </row>
    <row r="3" spans="1:9" ht="12.75" customHeight="1" x14ac:dyDescent="0.2">
      <c r="A3" s="278" t="s">
        <v>218</v>
      </c>
      <c r="B3" s="278"/>
      <c r="C3" s="278"/>
      <c r="D3" s="278"/>
      <c r="E3" s="278"/>
      <c r="F3" s="278"/>
      <c r="G3" s="278"/>
    </row>
    <row r="4" spans="1:9" ht="12.75" customHeight="1" x14ac:dyDescent="0.2">
      <c r="A4" s="278"/>
      <c r="B4" s="278"/>
      <c r="C4" s="278"/>
      <c r="D4" s="278"/>
      <c r="E4" s="278"/>
      <c r="F4" s="278"/>
      <c r="G4" s="278"/>
    </row>
    <row r="5" spans="1:9" ht="12.75" x14ac:dyDescent="0.2">
      <c r="B5" s="137"/>
    </row>
    <row r="6" spans="1:9" x14ac:dyDescent="0.2">
      <c r="B6" s="144" t="s">
        <v>117</v>
      </c>
      <c r="C6" s="144" t="s">
        <v>118</v>
      </c>
      <c r="D6" s="144" t="s">
        <v>119</v>
      </c>
      <c r="E6" s="144" t="s">
        <v>120</v>
      </c>
      <c r="F6" s="144" t="s">
        <v>121</v>
      </c>
      <c r="G6" s="144" t="s">
        <v>122</v>
      </c>
    </row>
    <row r="7" spans="1:9" x14ac:dyDescent="0.2">
      <c r="D7" s="138" t="s">
        <v>106</v>
      </c>
      <c r="E7" s="139" t="s">
        <v>107</v>
      </c>
      <c r="F7" s="138" t="s">
        <v>108</v>
      </c>
      <c r="G7" s="209" t="s">
        <v>96</v>
      </c>
    </row>
    <row r="8" spans="1:9" x14ac:dyDescent="0.2">
      <c r="C8" s="129" t="s">
        <v>219</v>
      </c>
      <c r="D8" s="130">
        <f>Summary!F37</f>
        <v>83632235.745591104</v>
      </c>
      <c r="E8" s="130">
        <f>Summary!F64</f>
        <v>1100424346.7003789</v>
      </c>
      <c r="F8" s="130">
        <f>-(D8-(E8*Overall_ROR))/gross_up_factor-Summary!F68</f>
        <v>0</v>
      </c>
      <c r="G8" s="54" t="s">
        <v>213</v>
      </c>
    </row>
    <row r="9" spans="1:9" x14ac:dyDescent="0.2">
      <c r="C9" s="129"/>
      <c r="D9" s="130"/>
      <c r="E9" s="130"/>
      <c r="F9" s="130"/>
      <c r="G9" s="54"/>
    </row>
    <row r="10" spans="1:9" s="142" customFormat="1" ht="24.75" customHeight="1" x14ac:dyDescent="0.2">
      <c r="A10" s="140" t="s">
        <v>116</v>
      </c>
      <c r="B10" s="140" t="s">
        <v>115</v>
      </c>
      <c r="C10" s="140"/>
      <c r="D10" s="140"/>
      <c r="E10" s="140"/>
      <c r="F10" s="141"/>
      <c r="G10" s="141"/>
    </row>
    <row r="11" spans="1:9" x14ac:dyDescent="0.2">
      <c r="A11" s="128">
        <v>1</v>
      </c>
      <c r="B11" s="127" t="str">
        <f t="array" ref="B11:B13">TRANSPOSE('Pro Forma Adj'!C8:E8)</f>
        <v>13.1</v>
      </c>
      <c r="C11" s="56" t="str">
        <f t="array" ref="C11:C13">TRANSPOSE('Pro Forma Adj'!C9:E9)</f>
        <v>Wheeling Revenues - 
Year 2</v>
      </c>
      <c r="D11" s="54">
        <f t="array" ref="D11:D13">TRANSPOSE('Pro Forma Adj'!C40:E40)</f>
        <v>1818117.859180236</v>
      </c>
      <c r="E11" s="54">
        <f t="array" ref="E11:E13">TRANSPOSE('Pro Forma Adj'!C67:E67)</f>
        <v>0</v>
      </c>
      <c r="F11" s="54">
        <f t="shared" ref="F11:F25" si="0">-(D11-(E11*Overall_ROR))/gross_up_factor</f>
        <v>-2418288.7648376417</v>
      </c>
      <c r="G11" s="54" t="s">
        <v>214</v>
      </c>
      <c r="H11" s="58"/>
    </row>
    <row r="12" spans="1:9" x14ac:dyDescent="0.2">
      <c r="A12" s="128">
        <f>A11+1</f>
        <v>2</v>
      </c>
      <c r="B12" s="127" t="str">
        <v>13.2</v>
      </c>
      <c r="C12" s="56" t="str">
        <v xml:space="preserve">General Wage Increase (Pro Forma) - 
Year 2 </v>
      </c>
      <c r="D12" s="54">
        <v>-475808.29096355272</v>
      </c>
      <c r="E12" s="54">
        <v>0</v>
      </c>
      <c r="F12" s="54">
        <f t="shared" si="0"/>
        <v>632875.27727854101</v>
      </c>
      <c r="G12" s="54" t="s">
        <v>214</v>
      </c>
    </row>
    <row r="13" spans="1:9" x14ac:dyDescent="0.2">
      <c r="A13" s="128">
        <f t="shared" ref="A13:A37" si="1">A12+1</f>
        <v>3</v>
      </c>
      <c r="B13" s="127" t="str">
        <v>13.3</v>
      </c>
      <c r="C13" s="56" t="str">
        <v>Pryor Mountain REC Revenues - Year 2</v>
      </c>
      <c r="D13" s="57">
        <v>-158500.92953504794</v>
      </c>
      <c r="E13" s="57">
        <v>0</v>
      </c>
      <c r="F13" s="57">
        <f>-(D13-(E13*Overall_ROR))/gross_up_factor</f>
        <v>210822.97562587843</v>
      </c>
      <c r="G13" s="54" t="s">
        <v>214</v>
      </c>
    </row>
    <row r="14" spans="1:9" x14ac:dyDescent="0.2">
      <c r="A14" s="128">
        <f>A13+1</f>
        <v>4</v>
      </c>
      <c r="B14" s="127"/>
      <c r="C14" s="129" t="s">
        <v>220</v>
      </c>
      <c r="D14" s="130">
        <f>SUM(D11:D13)</f>
        <v>1183808.6386816355</v>
      </c>
      <c r="E14" s="130">
        <f>SUM(E11:E13)</f>
        <v>0</v>
      </c>
      <c r="F14" s="130">
        <f>SUM(F11:F13)</f>
        <v>-1574590.5119332222</v>
      </c>
      <c r="G14" s="54"/>
    </row>
    <row r="15" spans="1:9" x14ac:dyDescent="0.2">
      <c r="A15" s="128">
        <f t="shared" si="1"/>
        <v>5</v>
      </c>
      <c r="D15" s="54"/>
      <c r="E15" s="54"/>
      <c r="F15" s="54"/>
      <c r="G15" s="54"/>
      <c r="H15" s="154">
        <f>SUM('Pro Forma Adj'!C71:E71)-F14</f>
        <v>0</v>
      </c>
      <c r="I15" s="56" t="s">
        <v>125</v>
      </c>
    </row>
    <row r="16" spans="1:9" x14ac:dyDescent="0.2">
      <c r="A16" s="128">
        <f t="shared" si="1"/>
        <v>6</v>
      </c>
      <c r="B16" s="128" t="str">
        <f t="array" ref="B16:B24">TRANSPOSE('Pro Forma Adj'!F8:N8)</f>
        <v>14.1</v>
      </c>
      <c r="C16" s="56" t="str">
        <f t="array" ref="C16:C24">TRANSPOSE('Pro Forma Adj'!F9:N9)</f>
        <v>Pro Forma Major Plant Additions - Year 2</v>
      </c>
      <c r="D16" s="54">
        <f t="array" ref="D16:D24">TRANSPOSE('Pro Forma Adj'!F40:N40)</f>
        <v>-123696.40812281473</v>
      </c>
      <c r="E16" s="54">
        <f t="array" ref="E16:E24">TRANSPOSE('Pro Forma Adj'!F67:N67)</f>
        <v>112345973.80883749</v>
      </c>
      <c r="F16" s="54">
        <f t="shared" ref="F16:F18" si="2">-(D16-(E16*Overall_ROR))/gross_up_factor</f>
        <v>11521362.051547529</v>
      </c>
      <c r="G16" s="54" t="s">
        <v>214</v>
      </c>
      <c r="H16" s="154"/>
    </row>
    <row r="17" spans="1:9" x14ac:dyDescent="0.2">
      <c r="A17" s="128">
        <f t="shared" si="1"/>
        <v>7</v>
      </c>
      <c r="B17" s="128" t="str">
        <v>14.2</v>
      </c>
      <c r="C17" s="56" t="str">
        <v>Pro Forma Depreciation &amp; Amortization Expense - 
Year 2</v>
      </c>
      <c r="D17" s="54">
        <v>-2989857.4393476993</v>
      </c>
      <c r="E17" s="54">
        <v>0</v>
      </c>
      <c r="F17" s="54">
        <f t="shared" si="2"/>
        <v>3976826.1543290936</v>
      </c>
      <c r="G17" s="54" t="s">
        <v>214</v>
      </c>
      <c r="H17" s="54"/>
    </row>
    <row r="18" spans="1:9" x14ac:dyDescent="0.2">
      <c r="A18" s="128">
        <f t="shared" si="1"/>
        <v>8</v>
      </c>
      <c r="B18" s="128" t="str">
        <v>14.3</v>
      </c>
      <c r="C18" s="56" t="str">
        <v>Pro Forma Depreciation &amp; Amortization Reserve - 
Year 2</v>
      </c>
      <c r="D18" s="54">
        <v>0</v>
      </c>
      <c r="E18" s="54">
        <v>-47426374.488113694</v>
      </c>
      <c r="F18" s="54">
        <f t="shared" si="2"/>
        <v>-4794238.5958030382</v>
      </c>
      <c r="G18" s="54" t="s">
        <v>215</v>
      </c>
      <c r="H18" s="154"/>
    </row>
    <row r="19" spans="1:9" x14ac:dyDescent="0.2">
      <c r="A19" s="128">
        <f t="shared" si="1"/>
        <v>9</v>
      </c>
      <c r="B19" s="127" t="str">
        <v>14.4</v>
      </c>
      <c r="C19" s="56" t="str">
        <v>Decommissioning and Other Plant Closure Costs - 
Year 2</v>
      </c>
      <c r="D19" s="54">
        <v>0</v>
      </c>
      <c r="E19" s="54">
        <v>-4474785.9431036776</v>
      </c>
      <c r="F19" s="54">
        <f t="shared" si="0"/>
        <v>-452347.27950291225</v>
      </c>
      <c r="G19" s="54" t="s">
        <v>215</v>
      </c>
    </row>
    <row r="20" spans="1:9" x14ac:dyDescent="0.2">
      <c r="A20" s="128">
        <f t="shared" si="1"/>
        <v>10</v>
      </c>
      <c r="B20" s="127" t="str">
        <v>14.5</v>
      </c>
      <c r="C20" s="56" t="str">
        <v>Jim Bridger Mine Rate Base - 
Year 2</v>
      </c>
      <c r="D20" s="54">
        <v>0</v>
      </c>
      <c r="E20" s="54">
        <v>-883607.65821111342</v>
      </c>
      <c r="F20" s="54">
        <f t="shared" si="0"/>
        <v>-89322.15427102847</v>
      </c>
      <c r="G20" s="54" t="s">
        <v>215</v>
      </c>
    </row>
    <row r="21" spans="1:9" x14ac:dyDescent="0.2">
      <c r="A21" s="128">
        <f t="shared" si="1"/>
        <v>11</v>
      </c>
      <c r="B21" s="127" t="str">
        <v>14.6</v>
      </c>
      <c r="C21" s="56" t="str">
        <v>Existing Coal-Fired Generation Assets - 
Year 2</v>
      </c>
      <c r="D21" s="54">
        <v>0</v>
      </c>
      <c r="E21" s="54">
        <v>-2226609.2301684245</v>
      </c>
      <c r="F21" s="54">
        <f t="shared" si="0"/>
        <v>-225083.5326179142</v>
      </c>
      <c r="G21" s="54" t="s">
        <v>215</v>
      </c>
    </row>
    <row r="22" spans="1:9" x14ac:dyDescent="0.2">
      <c r="A22" s="128">
        <f t="shared" si="1"/>
        <v>12</v>
      </c>
      <c r="B22" s="127" t="str">
        <v>14.7</v>
      </c>
      <c r="C22" s="56" t="str">
        <v>Pro Forma JB Units 3, 4 and Colstrip 4 Additions - 
Year 2</v>
      </c>
      <c r="D22" s="54">
        <v>-12092.008887911908</v>
      </c>
      <c r="E22" s="54">
        <v>650369.2315541734</v>
      </c>
      <c r="F22" s="54">
        <f t="shared" si="0"/>
        <v>81828.190904776522</v>
      </c>
      <c r="G22" s="54" t="s">
        <v>215</v>
      </c>
    </row>
    <row r="23" spans="1:9" x14ac:dyDescent="0.2">
      <c r="A23" s="128">
        <f t="shared" si="1"/>
        <v>13</v>
      </c>
      <c r="B23" s="127" t="str">
        <v>14.8</v>
      </c>
      <c r="C23" s="56" t="str">
        <v>Pro Forma JB Units 1 &amp; 2 Additions - Year 2</v>
      </c>
      <c r="D23" s="54">
        <v>-19059.167514700493</v>
      </c>
      <c r="E23" s="54">
        <v>1683546.0347273466</v>
      </c>
      <c r="F23" s="54">
        <f t="shared" si="0"/>
        <v>195537.05162669101</v>
      </c>
      <c r="G23" s="54" t="s">
        <v>215</v>
      </c>
    </row>
    <row r="24" spans="1:9" x14ac:dyDescent="0.2">
      <c r="A24" s="128">
        <f t="shared" si="1"/>
        <v>14</v>
      </c>
      <c r="B24" s="127" t="str">
        <v>14.9</v>
      </c>
      <c r="C24" s="56" t="str">
        <v>Confidential Wind Generation Captial Additions - 
Year 2</v>
      </c>
      <c r="D24" s="131">
        <v>-2196411.1301742094</v>
      </c>
      <c r="E24" s="131">
        <v>55614054.06789159</v>
      </c>
      <c r="F24" s="131">
        <f t="shared" si="0"/>
        <v>8543373.7321885154</v>
      </c>
      <c r="G24" s="54" t="s">
        <v>216</v>
      </c>
    </row>
    <row r="25" spans="1:9" x14ac:dyDescent="0.2">
      <c r="A25" s="128">
        <f t="shared" si="1"/>
        <v>15</v>
      </c>
      <c r="B25" s="155" t="s">
        <v>180</v>
      </c>
      <c r="C25" s="56" t="str">
        <f>'Pro Forma Adj'!O9</f>
        <v>Major Transmission Capital Additions - 
Year 2</v>
      </c>
      <c r="D25" s="57">
        <f>'Pro Forma Adj'!O40</f>
        <v>-2212095.1537975511</v>
      </c>
      <c r="E25" s="57">
        <f>'Pro Forma Adj'!O67</f>
        <v>161088063.75272372</v>
      </c>
      <c r="F25" s="57">
        <f t="shared" si="0"/>
        <v>19226394.614408441</v>
      </c>
      <c r="G25" s="54" t="s">
        <v>216</v>
      </c>
    </row>
    <row r="26" spans="1:9" x14ac:dyDescent="0.2">
      <c r="A26" s="128">
        <f>A24+1</f>
        <v>15</v>
      </c>
      <c r="B26" s="127"/>
      <c r="C26" s="129" t="s">
        <v>221</v>
      </c>
      <c r="D26" s="132">
        <f>SUM(D16:D25)</f>
        <v>-7553211.3078448866</v>
      </c>
      <c r="E26" s="132">
        <f>SUM(E16:E25)</f>
        <v>276370629.57613742</v>
      </c>
      <c r="F26" s="132">
        <f>SUM(F16:F25)</f>
        <v>37984330.232810155</v>
      </c>
      <c r="G26" s="54"/>
      <c r="H26" s="154">
        <f>SUM('Pro Forma Adj'!F71:O71)-F26</f>
        <v>0</v>
      </c>
      <c r="I26" s="56" t="s">
        <v>125</v>
      </c>
    </row>
    <row r="27" spans="1:9" x14ac:dyDescent="0.2">
      <c r="A27" s="128">
        <f t="shared" si="1"/>
        <v>16</v>
      </c>
      <c r="D27" s="54"/>
      <c r="E27" s="54"/>
      <c r="F27" s="54"/>
      <c r="G27" s="54"/>
    </row>
    <row r="28" spans="1:9" x14ac:dyDescent="0.2">
      <c r="A28" s="128">
        <f t="shared" si="1"/>
        <v>17</v>
      </c>
      <c r="B28" s="127" t="str">
        <f t="array" ref="B28:B33">TRANSPOSE('Pro Forma Adj'!P8:U8)</f>
        <v>15.1</v>
      </c>
      <c r="C28" s="56" t="str">
        <f t="array" ref="C28:C33">TRANSPOSE('Pro Forma Adj'!P9:U9)</f>
        <v>Interest True-Up - Year 2</v>
      </c>
      <c r="D28" s="54">
        <f t="array" ref="D28:D33">TRANSPOSE('Pro Forma Adj'!P40:U40)</f>
        <v>1254531.319035949</v>
      </c>
      <c r="E28" s="54">
        <f t="array" ref="E28:E33">TRANSPOSE('Pro Forma Adj'!P67:U67)</f>
        <v>0</v>
      </c>
      <c r="F28" s="54">
        <f t="shared" ref="F28:F33" si="3">-(D28-(E28*Overall_ROR))/gross_up_factor</f>
        <v>-1668659.1458539928</v>
      </c>
      <c r="G28" s="54" t="s">
        <v>216</v>
      </c>
    </row>
    <row r="29" spans="1:9" x14ac:dyDescent="0.2">
      <c r="A29" s="128">
        <f t="shared" si="1"/>
        <v>18</v>
      </c>
      <c r="B29" s="127" t="str">
        <v>15.2</v>
      </c>
      <c r="C29" s="56" t="str">
        <v>Property Taxes - 
Year 2</v>
      </c>
      <c r="D29" s="54">
        <v>-1487354.33</v>
      </c>
      <c r="E29" s="54">
        <v>0</v>
      </c>
      <c r="F29" s="54">
        <f t="shared" ref="F29:F31" si="4">-(D29-(E29*Overall_ROR))/gross_up_factor</f>
        <v>1978338.3389641137</v>
      </c>
      <c r="G29" s="54" t="s">
        <v>216</v>
      </c>
    </row>
    <row r="30" spans="1:9" x14ac:dyDescent="0.2">
      <c r="A30" s="128">
        <f t="shared" si="1"/>
        <v>19</v>
      </c>
      <c r="B30" s="127" t="str">
        <v>15.3</v>
      </c>
      <c r="C30" s="56" t="str">
        <v>Removal of TCJA Balances Adjustment - Year 2</v>
      </c>
      <c r="D30" s="54">
        <v>0</v>
      </c>
      <c r="E30" s="54">
        <v>2003147.5631538227</v>
      </c>
      <c r="F30" s="54">
        <f t="shared" si="4"/>
        <v>202494.23372574622</v>
      </c>
      <c r="G30" s="54" t="s">
        <v>216</v>
      </c>
    </row>
    <row r="31" spans="1:9" x14ac:dyDescent="0.2">
      <c r="A31" s="128">
        <f t="shared" si="1"/>
        <v>20</v>
      </c>
      <c r="B31" s="127" t="str">
        <v>15.4</v>
      </c>
      <c r="C31" s="56" t="str">
        <v>PowerTax ADIT Balance Adjustment - Year 2</v>
      </c>
      <c r="D31" s="54">
        <v>-897339.74776876858</v>
      </c>
      <c r="E31" s="54">
        <v>-24209006.120432053</v>
      </c>
      <c r="F31" s="54">
        <f t="shared" si="4"/>
        <v>-1253684.0166317301</v>
      </c>
      <c r="G31" s="54" t="s">
        <v>216</v>
      </c>
    </row>
    <row r="32" spans="1:9" x14ac:dyDescent="0.2">
      <c r="A32" s="128">
        <f t="shared" si="1"/>
        <v>21</v>
      </c>
      <c r="B32" s="128" t="str">
        <v>15.5</v>
      </c>
      <c r="C32" s="213" t="str">
        <v>Permanent Schedule M Adjustment - Year 2</v>
      </c>
      <c r="D32" s="131">
        <v>0</v>
      </c>
      <c r="E32" s="131">
        <v>0</v>
      </c>
      <c r="F32" s="131">
        <f t="shared" si="3"/>
        <v>0</v>
      </c>
      <c r="G32" s="54" t="s">
        <v>216</v>
      </c>
    </row>
    <row r="33" spans="1:9" x14ac:dyDescent="0.2">
      <c r="A33" s="128">
        <f t="shared" si="1"/>
        <v>22</v>
      </c>
      <c r="B33" s="127" t="str">
        <v>15.6</v>
      </c>
      <c r="C33" s="213" t="str">
        <v>Remove Deferred State Tax Expense &amp; Balance - 
Year 2</v>
      </c>
      <c r="D33" s="57">
        <v>517664</v>
      </c>
      <c r="E33" s="57">
        <v>3265398</v>
      </c>
      <c r="F33" s="57">
        <f t="shared" si="3"/>
        <v>-358455.15149902896</v>
      </c>
      <c r="G33" s="54" t="s">
        <v>217</v>
      </c>
      <c r="H33" s="154">
        <f>SUM('Pro Forma Adj'!P71:U71)-F34</f>
        <v>0</v>
      </c>
      <c r="I33" s="56" t="s">
        <v>125</v>
      </c>
    </row>
    <row r="34" spans="1:9" x14ac:dyDescent="0.2">
      <c r="A34" s="128">
        <f t="shared" si="1"/>
        <v>23</v>
      </c>
      <c r="C34" s="129" t="s">
        <v>222</v>
      </c>
      <c r="D34" s="130">
        <f t="shared" ref="D34:E34" si="5">SUM(D28:D33)</f>
        <v>-612498.7587328197</v>
      </c>
      <c r="E34" s="130">
        <f t="shared" si="5"/>
        <v>-18940460.557278231</v>
      </c>
      <c r="F34" s="130">
        <f>SUM(F28:F33)</f>
        <v>-1099965.741294892</v>
      </c>
      <c r="G34" s="54"/>
    </row>
    <row r="35" spans="1:9" x14ac:dyDescent="0.2">
      <c r="A35" s="128">
        <f t="shared" si="1"/>
        <v>24</v>
      </c>
      <c r="B35" s="155"/>
      <c r="D35" s="54"/>
      <c r="E35" s="54"/>
      <c r="F35" s="54"/>
      <c r="G35" s="54"/>
    </row>
    <row r="36" spans="1:9" x14ac:dyDescent="0.2">
      <c r="A36" s="128">
        <f t="shared" si="1"/>
        <v>25</v>
      </c>
      <c r="B36" s="155" t="str">
        <f t="array" ref="B36:B37">TRANSPOSE('Pro Forma Adj'!V8:W8)</f>
        <v>16.1</v>
      </c>
      <c r="C36" s="56" t="str">
        <f t="array" ref="C36:C37">TRANSPOSE('Pro Forma Adj'!V9:W9)</f>
        <v>Regulatory Assets &amp; Liabilities Amortization - Year 2</v>
      </c>
      <c r="D36" s="131">
        <f t="array" ref="D36:D37">TRANSPOSE('Pro Forma Adj'!V40:W40)</f>
        <v>5509265.0565951578</v>
      </c>
      <c r="E36" s="131">
        <f t="array" ref="E36:E37">TRANSPOSE('Pro Forma Adj'!V67:W67)</f>
        <v>-311492.34512960946</v>
      </c>
      <c r="F36" s="131">
        <f t="shared" ref="F36" si="6">-(D36-(E36*Overall_ROR))/gross_up_factor</f>
        <v>-7359392.5072823381</v>
      </c>
      <c r="G36" s="54" t="s">
        <v>217</v>
      </c>
    </row>
    <row r="37" spans="1:9" x14ac:dyDescent="0.2">
      <c r="A37" s="128">
        <f t="shared" si="1"/>
        <v>26</v>
      </c>
      <c r="B37" s="155" t="str">
        <v>16.2</v>
      </c>
      <c r="C37" s="56" t="str">
        <v>Klamath Hydroelectric Assets Amortization - Year 2</v>
      </c>
      <c r="D37" s="57">
        <v>0</v>
      </c>
      <c r="E37" s="57">
        <v>-57462.544820610856</v>
      </c>
      <c r="F37" s="57">
        <f t="shared" ref="F37" si="7">-(D37-(E37*Overall_ROR))/gross_up_factor</f>
        <v>-5808.7752472219745</v>
      </c>
      <c r="G37" s="54" t="s">
        <v>217</v>
      </c>
    </row>
    <row r="38" spans="1:9" x14ac:dyDescent="0.2">
      <c r="A38" s="128">
        <f>A37+1</f>
        <v>27</v>
      </c>
      <c r="B38" s="127"/>
      <c r="C38" s="129" t="s">
        <v>223</v>
      </c>
      <c r="D38" s="130">
        <f>SUM(D35:D37)</f>
        <v>5509265.0565951578</v>
      </c>
      <c r="E38" s="130">
        <f>SUM(E35:E37)</f>
        <v>-368954.8899502203</v>
      </c>
      <c r="F38" s="130">
        <f>SUM(F35:F37)</f>
        <v>-7365201.2825295599</v>
      </c>
      <c r="G38" s="54"/>
      <c r="H38" s="154">
        <f>SUM('Pro Forma Adj'!V71:W71)-F38</f>
        <v>0</v>
      </c>
      <c r="I38" s="56" t="s">
        <v>125</v>
      </c>
    </row>
    <row r="39" spans="1:9" x14ac:dyDescent="0.2">
      <c r="A39" s="128">
        <f t="shared" ref="A39:A46" si="8">A38+1</f>
        <v>28</v>
      </c>
      <c r="D39" s="54"/>
      <c r="E39" s="54"/>
      <c r="F39" s="54"/>
      <c r="G39" s="54"/>
    </row>
    <row r="40" spans="1:9" x14ac:dyDescent="0.2">
      <c r="A40" s="128">
        <f t="shared" si="8"/>
        <v>29</v>
      </c>
      <c r="C40" s="133" t="s">
        <v>123</v>
      </c>
      <c r="D40" s="132">
        <f>D14+D26+D34+D38</f>
        <v>-1472636.3713009134</v>
      </c>
      <c r="E40" s="132">
        <f>E14+E26+E34+E38</f>
        <v>257061214.12890899</v>
      </c>
      <c r="F40" s="132">
        <f>F14+F26+F34+F38</f>
        <v>27944572.697052483</v>
      </c>
      <c r="G40" s="54"/>
      <c r="H40" s="154">
        <f>'Pro Forma Adj'!B71-F40</f>
        <v>0</v>
      </c>
      <c r="I40" s="56" t="s">
        <v>125</v>
      </c>
    </row>
    <row r="41" spans="1:9" x14ac:dyDescent="0.2">
      <c r="A41" s="128">
        <f t="shared" si="8"/>
        <v>30</v>
      </c>
      <c r="B41" s="55"/>
      <c r="C41" s="133"/>
      <c r="D41" s="132"/>
      <c r="E41" s="132"/>
      <c r="F41" s="132"/>
      <c r="G41" s="54"/>
    </row>
    <row r="42" spans="1:9" x14ac:dyDescent="0.2">
      <c r="A42" s="128">
        <f t="shared" si="8"/>
        <v>31</v>
      </c>
      <c r="C42" s="143" t="s">
        <v>110</v>
      </c>
      <c r="D42" s="143">
        <f>D8+D40</f>
        <v>82159599.374290198</v>
      </c>
      <c r="E42" s="143">
        <f>E8+E40</f>
        <v>1357485560.829288</v>
      </c>
      <c r="F42" s="143">
        <f>F8+F40</f>
        <v>27944572.697052483</v>
      </c>
      <c r="G42" s="53" t="s">
        <v>213</v>
      </c>
      <c r="H42" s="55"/>
      <c r="I42" s="55"/>
    </row>
    <row r="43" spans="1:9" x14ac:dyDescent="0.2">
      <c r="A43" s="128">
        <f t="shared" si="8"/>
        <v>32</v>
      </c>
      <c r="C43" s="133"/>
      <c r="D43" s="132"/>
      <c r="E43" s="132"/>
      <c r="F43" s="132"/>
      <c r="G43" s="54"/>
    </row>
    <row r="44" spans="1:9" x14ac:dyDescent="0.2">
      <c r="A44" s="128">
        <f t="shared" si="8"/>
        <v>33</v>
      </c>
      <c r="B44" s="136" t="s">
        <v>109</v>
      </c>
      <c r="C44" s="133"/>
      <c r="D44" s="132"/>
      <c r="E44" s="132"/>
      <c r="F44" s="132"/>
      <c r="G44" s="54"/>
    </row>
    <row r="45" spans="1:9" x14ac:dyDescent="0.2">
      <c r="A45" s="128">
        <f t="shared" si="8"/>
        <v>34</v>
      </c>
      <c r="B45" s="136" t="s">
        <v>224</v>
      </c>
      <c r="C45" s="188"/>
    </row>
    <row r="46" spans="1:9" x14ac:dyDescent="0.2">
      <c r="A46" s="128">
        <f t="shared" si="8"/>
        <v>35</v>
      </c>
      <c r="B46" s="136" t="s">
        <v>225</v>
      </c>
      <c r="C46" s="188"/>
    </row>
    <row r="47" spans="1:9" x14ac:dyDescent="0.2">
      <c r="A47" s="128"/>
    </row>
    <row r="48" spans="1:9" x14ac:dyDescent="0.2">
      <c r="A48" s="128"/>
    </row>
    <row r="49" spans="1:1" x14ac:dyDescent="0.2">
      <c r="A49" s="128"/>
    </row>
    <row r="50" spans="1:1" x14ac:dyDescent="0.2">
      <c r="A50" s="128"/>
    </row>
    <row r="51" spans="1:1" x14ac:dyDescent="0.2">
      <c r="A51" s="128"/>
    </row>
    <row r="52" spans="1:1" x14ac:dyDescent="0.2">
      <c r="A52" s="128"/>
    </row>
    <row r="53" spans="1:1" x14ac:dyDescent="0.2">
      <c r="A53" s="128"/>
    </row>
    <row r="54" spans="1:1" x14ac:dyDescent="0.2">
      <c r="A54" s="128"/>
    </row>
  </sheetData>
  <mergeCells count="1">
    <mergeCell ref="A3:G4"/>
  </mergeCells>
  <pageMargins left="0.7" right="0.7" top="0.75" bottom="0.75" header="0.3" footer="0.3"/>
  <pageSetup scale="79" orientation="portrait" r:id="rId1"/>
  <headerFooter>
    <oddHeader>&amp;RExhibit No. SLC-3
Page &amp;P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M85"/>
  <sheetViews>
    <sheetView showOutlineSymbols="0" workbookViewId="0">
      <selection activeCell="J19" sqref="J19"/>
    </sheetView>
  </sheetViews>
  <sheetFormatPr defaultRowHeight="11.25" x14ac:dyDescent="0.2"/>
  <cols>
    <col min="1" max="1" width="3.42578125" style="78" customWidth="1"/>
    <col min="2" max="2" width="24.28515625" style="78" customWidth="1"/>
    <col min="3" max="3" width="15.7109375" style="78" customWidth="1"/>
    <col min="4" max="4" width="3.28515625" style="78" customWidth="1"/>
    <col min="5" max="5" width="14.85546875" style="78" customWidth="1"/>
    <col min="6" max="6" width="15.28515625" style="78" customWidth="1"/>
    <col min="7" max="7" width="13.28515625" style="78" customWidth="1"/>
    <col min="8" max="8" width="14.7109375" style="78" customWidth="1"/>
    <col min="9" max="9" width="3" style="191" customWidth="1"/>
    <col min="10" max="10" width="14.140625" style="78" customWidth="1"/>
    <col min="11" max="11" width="3.140625" style="78" customWidth="1"/>
    <col min="12" max="12" width="15.28515625" style="78" customWidth="1"/>
    <col min="13" max="13" width="12.28515625" style="190" bestFit="1" customWidth="1"/>
    <col min="14" max="16384" width="9.140625" style="78"/>
  </cols>
  <sheetData>
    <row r="1" spans="1:13" ht="12" x14ac:dyDescent="0.2">
      <c r="A1" s="76" t="s">
        <v>6</v>
      </c>
      <c r="B1" s="77"/>
      <c r="E1" s="79"/>
      <c r="F1" s="79"/>
      <c r="G1" s="79"/>
      <c r="H1" s="79"/>
      <c r="I1" s="259"/>
      <c r="J1" s="79"/>
      <c r="K1" s="79"/>
      <c r="L1" s="200"/>
    </row>
    <row r="2" spans="1:13" ht="12" x14ac:dyDescent="0.2">
      <c r="A2" s="279" t="s">
        <v>112</v>
      </c>
      <c r="B2" s="280"/>
      <c r="E2" s="79"/>
      <c r="F2" s="79"/>
      <c r="G2" s="79"/>
      <c r="H2" s="79"/>
      <c r="I2" s="259"/>
      <c r="J2" s="79"/>
      <c r="K2" s="79"/>
      <c r="L2" s="201"/>
    </row>
    <row r="3" spans="1:13" ht="12" customHeight="1" x14ac:dyDescent="0.2">
      <c r="A3" s="281" t="s">
        <v>128</v>
      </c>
      <c r="B3" s="281"/>
      <c r="C3" s="281"/>
      <c r="E3" s="79"/>
      <c r="F3" s="79"/>
      <c r="G3" s="79"/>
      <c r="H3" s="79"/>
      <c r="I3" s="259"/>
      <c r="J3" s="79"/>
      <c r="K3" s="79"/>
      <c r="L3" s="79"/>
    </row>
    <row r="4" spans="1:13" ht="12" x14ac:dyDescent="0.2">
      <c r="A4" s="80" t="s">
        <v>199</v>
      </c>
      <c r="B4" s="77"/>
      <c r="E4" s="79"/>
      <c r="F4" s="79"/>
      <c r="G4" s="79"/>
      <c r="H4" s="79"/>
      <c r="I4" s="259"/>
      <c r="J4" s="79"/>
      <c r="K4" s="79"/>
      <c r="L4" s="79"/>
    </row>
    <row r="5" spans="1:13" ht="12.75" x14ac:dyDescent="0.2">
      <c r="A5" s="81"/>
      <c r="E5" s="79"/>
      <c r="F5" s="79"/>
      <c r="G5" s="79"/>
      <c r="H5" s="79"/>
      <c r="I5" s="259"/>
      <c r="J5" s="79"/>
      <c r="K5" s="79"/>
      <c r="L5" s="79"/>
    </row>
    <row r="6" spans="1:13" x14ac:dyDescent="0.2">
      <c r="A6" s="82"/>
      <c r="C6" s="84"/>
      <c r="D6" s="85"/>
      <c r="E6" s="282" t="s">
        <v>201</v>
      </c>
      <c r="F6" s="282"/>
      <c r="G6" s="282"/>
      <c r="H6" s="282"/>
      <c r="I6" s="182"/>
      <c r="J6" s="83"/>
      <c r="L6" s="186"/>
      <c r="M6" s="191"/>
    </row>
    <row r="7" spans="1:13" x14ac:dyDescent="0.2">
      <c r="C7" s="183"/>
      <c r="D7" s="184"/>
      <c r="E7" s="185"/>
      <c r="F7" s="182"/>
      <c r="G7" s="182"/>
      <c r="H7" s="182"/>
      <c r="J7" s="86" t="s">
        <v>113</v>
      </c>
      <c r="M7" s="192"/>
    </row>
    <row r="8" spans="1:13" x14ac:dyDescent="0.2">
      <c r="C8" s="86"/>
      <c r="D8" s="85"/>
      <c r="E8" s="86" t="s">
        <v>190</v>
      </c>
      <c r="F8" s="86" t="s">
        <v>191</v>
      </c>
      <c r="G8" s="86" t="s">
        <v>193</v>
      </c>
      <c r="H8" s="86" t="s">
        <v>192</v>
      </c>
      <c r="I8" s="184"/>
      <c r="J8" s="86" t="s">
        <v>197</v>
      </c>
    </row>
    <row r="9" spans="1:13" ht="55.5" customHeight="1" x14ac:dyDescent="0.2">
      <c r="C9" s="87" t="s">
        <v>202</v>
      </c>
      <c r="D9" s="88"/>
      <c r="E9" s="87" t="s">
        <v>194</v>
      </c>
      <c r="F9" s="87" t="s">
        <v>229</v>
      </c>
      <c r="G9" s="87" t="s">
        <v>195</v>
      </c>
      <c r="H9" s="87" t="s">
        <v>196</v>
      </c>
      <c r="I9" s="260"/>
      <c r="J9" s="87" t="s">
        <v>198</v>
      </c>
      <c r="L9" s="87" t="s">
        <v>230</v>
      </c>
      <c r="M9" s="193"/>
    </row>
    <row r="10" spans="1:13" x14ac:dyDescent="0.2">
      <c r="A10" s="89">
        <v>1</v>
      </c>
      <c r="B10" s="89" t="s">
        <v>9</v>
      </c>
    </row>
    <row r="11" spans="1:13" x14ac:dyDescent="0.2">
      <c r="A11" s="89">
        <v>2</v>
      </c>
      <c r="B11" s="89" t="s">
        <v>10</v>
      </c>
      <c r="C11" s="53">
        <f>Summary!F9</f>
        <v>431787534.92591649</v>
      </c>
      <c r="D11" s="90"/>
      <c r="E11" s="103">
        <f>'Exhibit No. SLC-5 pg 3'!D6</f>
        <v>0</v>
      </c>
      <c r="F11" s="103">
        <f>'Exhibit No. SLC-5 pg 3'!E6</f>
        <v>0</v>
      </c>
      <c r="G11" s="103">
        <f>'Exhibit No. SLC-5 pg 3'!F6</f>
        <v>0</v>
      </c>
      <c r="H11" s="103">
        <f>'Exhibit No. SLC-5 pg 3'!G6</f>
        <v>0</v>
      </c>
      <c r="J11" s="53">
        <f>SUM(E11:H11)</f>
        <v>0</v>
      </c>
      <c r="L11" s="91">
        <f>+C11+J11</f>
        <v>431787534.92591649</v>
      </c>
      <c r="M11" s="194"/>
    </row>
    <row r="12" spans="1:13" x14ac:dyDescent="0.2">
      <c r="A12" s="89">
        <v>3</v>
      </c>
      <c r="B12" s="89" t="s">
        <v>11</v>
      </c>
      <c r="C12" s="53">
        <f>Summary!F10</f>
        <v>0</v>
      </c>
      <c r="D12" s="90"/>
      <c r="E12" s="103">
        <f>'Exhibit No. SLC-5 pg 3'!D7</f>
        <v>0</v>
      </c>
      <c r="F12" s="103">
        <f>'Exhibit No. SLC-5 pg 3'!E7</f>
        <v>0</v>
      </c>
      <c r="G12" s="103">
        <f>'Exhibit No. SLC-5 pg 3'!F7</f>
        <v>0</v>
      </c>
      <c r="H12" s="103">
        <f>'Exhibit No. SLC-5 pg 3'!G7</f>
        <v>0</v>
      </c>
      <c r="J12" s="53">
        <f>SUM(E12:H12)</f>
        <v>0</v>
      </c>
      <c r="L12" s="91">
        <f>+C12+J12</f>
        <v>0</v>
      </c>
      <c r="M12" s="194"/>
    </row>
    <row r="13" spans="1:13" x14ac:dyDescent="0.2">
      <c r="A13" s="89">
        <v>4</v>
      </c>
      <c r="B13" s="89" t="s">
        <v>12</v>
      </c>
      <c r="C13" s="53">
        <f>Summary!F11</f>
        <v>20434313.037797622</v>
      </c>
      <c r="D13" s="90"/>
      <c r="E13" s="103">
        <f>'Exhibit No. SLC-5 pg 3'!D8</f>
        <v>0</v>
      </c>
      <c r="F13" s="103">
        <f>'Exhibit No. SLC-5 pg 3'!E8</f>
        <v>0</v>
      </c>
      <c r="G13" s="103">
        <f>'Exhibit No. SLC-5 pg 3'!F8</f>
        <v>0</v>
      </c>
      <c r="H13" s="103">
        <f>'Exhibit No. SLC-5 pg 3'!G8</f>
        <v>0</v>
      </c>
      <c r="J13" s="53">
        <f>SUM(E13:H13)</f>
        <v>0</v>
      </c>
      <c r="L13" s="91">
        <f>+C13+J13</f>
        <v>20434313.037797622</v>
      </c>
      <c r="M13" s="194"/>
    </row>
    <row r="14" spans="1:13" x14ac:dyDescent="0.2">
      <c r="A14" s="89">
        <v>5</v>
      </c>
      <c r="B14" s="89" t="s">
        <v>13</v>
      </c>
      <c r="C14" s="53">
        <f>Summary!F12</f>
        <v>20654359.453849081</v>
      </c>
      <c r="D14" s="90"/>
      <c r="E14" s="103">
        <f>'Exhibit No. SLC-5 pg 3'!D9</f>
        <v>2100780.9236015039</v>
      </c>
      <c r="F14" s="103">
        <f>'Exhibit No. SLC-5 pg 3'!E9</f>
        <v>0</v>
      </c>
      <c r="G14" s="103">
        <f>'Exhibit No. SLC-5 pg 3'!F9</f>
        <v>0</v>
      </c>
      <c r="H14" s="103">
        <f>'Exhibit No. SLC-5 pg 3'!G9</f>
        <v>0</v>
      </c>
      <c r="J14" s="53">
        <f>SUM(E14:H14)</f>
        <v>2100780.9236015039</v>
      </c>
      <c r="L14" s="91">
        <f>+C14+J14</f>
        <v>22755140.377450585</v>
      </c>
      <c r="M14" s="194"/>
    </row>
    <row r="15" spans="1:13" x14ac:dyDescent="0.2">
      <c r="A15" s="89">
        <v>6</v>
      </c>
      <c r="B15" s="89" t="s">
        <v>14</v>
      </c>
      <c r="C15" s="92">
        <f>SUM(C11:C14)</f>
        <v>472876207.4175632</v>
      </c>
      <c r="D15" s="93"/>
      <c r="E15" s="92">
        <f t="shared" ref="E15:L15" si="0">SUM(E11:E14)</f>
        <v>2100780.9236015039</v>
      </c>
      <c r="F15" s="92">
        <f t="shared" si="0"/>
        <v>0</v>
      </c>
      <c r="G15" s="92">
        <f t="shared" si="0"/>
        <v>0</v>
      </c>
      <c r="H15" s="92">
        <f t="shared" si="0"/>
        <v>0</v>
      </c>
      <c r="J15" s="92">
        <f t="shared" si="0"/>
        <v>2100780.9236015039</v>
      </c>
      <c r="L15" s="92">
        <f t="shared" si="0"/>
        <v>474976988.34116471</v>
      </c>
      <c r="M15" s="195"/>
    </row>
    <row r="16" spans="1:13" ht="12.75" x14ac:dyDescent="0.2">
      <c r="A16" s="89">
        <v>7</v>
      </c>
      <c r="B16" s="89"/>
      <c r="C16" s="94"/>
      <c r="D16" s="90"/>
      <c r="E16" s="94"/>
      <c r="F16" s="94"/>
      <c r="G16" s="94"/>
      <c r="H16" s="94"/>
      <c r="J16" s="94"/>
    </row>
    <row r="17" spans="1:13" ht="12.75" x14ac:dyDescent="0.2">
      <c r="A17" s="89">
        <v>8</v>
      </c>
      <c r="B17" s="89" t="s">
        <v>15</v>
      </c>
      <c r="C17" s="94"/>
      <c r="D17" s="90"/>
      <c r="E17" s="94"/>
      <c r="F17" s="94"/>
      <c r="G17" s="94"/>
      <c r="H17" s="94"/>
      <c r="J17" s="94"/>
    </row>
    <row r="18" spans="1:13" x14ac:dyDescent="0.2">
      <c r="A18" s="89">
        <v>9</v>
      </c>
      <c r="B18" s="89" t="s">
        <v>16</v>
      </c>
      <c r="C18" s="53">
        <f>Summary!F16</f>
        <v>58831521.465247311</v>
      </c>
      <c r="D18" s="90"/>
      <c r="E18" s="103">
        <f>'Exhibit No. SLC-5 pg 3'!D13</f>
        <v>102967.18817462141</v>
      </c>
      <c r="F18" s="103">
        <f>'Exhibit No. SLC-5 pg 3'!E13</f>
        <v>0</v>
      </c>
      <c r="G18" s="103">
        <f>'Exhibit No. SLC-5 pg 3'!F13</f>
        <v>0</v>
      </c>
      <c r="H18" s="103">
        <f>'Exhibit No. SLC-5 pg 3'!G13</f>
        <v>0</v>
      </c>
      <c r="J18" s="53">
        <f t="shared" ref="J18:J27" si="1">SUM(E18:H18)</f>
        <v>102967.18817462141</v>
      </c>
      <c r="L18" s="91">
        <f t="shared" ref="L18:L27" si="2">+C18+J18</f>
        <v>58934488.653421931</v>
      </c>
      <c r="M18" s="194"/>
    </row>
    <row r="19" spans="1:13" x14ac:dyDescent="0.2">
      <c r="A19" s="89">
        <v>10</v>
      </c>
      <c r="B19" s="89" t="s">
        <v>17</v>
      </c>
      <c r="C19" s="53">
        <f>Summary!F17</f>
        <v>0</v>
      </c>
      <c r="D19" s="90"/>
      <c r="E19" s="103">
        <f>'Exhibit No. SLC-5 pg 3'!D14</f>
        <v>0</v>
      </c>
      <c r="F19" s="103">
        <f>'Exhibit No. SLC-5 pg 3'!E14</f>
        <v>0</v>
      </c>
      <c r="G19" s="103">
        <f>'Exhibit No. SLC-5 pg 3'!F14</f>
        <v>0</v>
      </c>
      <c r="H19" s="103">
        <f>'Exhibit No. SLC-5 pg 3'!G14</f>
        <v>0</v>
      </c>
      <c r="J19" s="53">
        <f t="shared" si="1"/>
        <v>0</v>
      </c>
      <c r="L19" s="91">
        <f t="shared" si="2"/>
        <v>0</v>
      </c>
      <c r="M19" s="194"/>
    </row>
    <row r="20" spans="1:13" x14ac:dyDescent="0.2">
      <c r="A20" s="95">
        <v>11</v>
      </c>
      <c r="B20" s="89" t="s">
        <v>18</v>
      </c>
      <c r="C20" s="53">
        <f>Summary!F18</f>
        <v>3444613.8016366521</v>
      </c>
      <c r="D20" s="90"/>
      <c r="E20" s="103">
        <f>'Exhibit No. SLC-5 pg 3'!D15</f>
        <v>36612.357282862256</v>
      </c>
      <c r="F20" s="103">
        <f>'Exhibit No. SLC-5 pg 3'!E15</f>
        <v>0</v>
      </c>
      <c r="G20" s="103">
        <f>'Exhibit No. SLC-5 pg 3'!F15</f>
        <v>0</v>
      </c>
      <c r="H20" s="103">
        <f>'Exhibit No. SLC-5 pg 3'!G15</f>
        <v>0</v>
      </c>
      <c r="J20" s="53">
        <f t="shared" si="1"/>
        <v>36612.357282862256</v>
      </c>
      <c r="L20" s="91">
        <f t="shared" si="2"/>
        <v>3481226.1589195142</v>
      </c>
      <c r="M20" s="194"/>
    </row>
    <row r="21" spans="1:13" x14ac:dyDescent="0.2">
      <c r="A21" s="89">
        <v>12</v>
      </c>
      <c r="B21" s="89" t="s">
        <v>19</v>
      </c>
      <c r="C21" s="53">
        <f>Summary!F19</f>
        <v>176104438.11497581</v>
      </c>
      <c r="D21" s="90"/>
      <c r="E21" s="103">
        <f>'Exhibit No. SLC-5 pg 3'!D16</f>
        <v>62254.61173888667</v>
      </c>
      <c r="F21" s="103">
        <f>'Exhibit No. SLC-5 pg 3'!E16</f>
        <v>395579.72739742004</v>
      </c>
      <c r="G21" s="103">
        <f>'Exhibit No. SLC-5 pg 3'!F16</f>
        <v>0</v>
      </c>
      <c r="H21" s="103">
        <f>'Exhibit No. SLC-5 pg 3'!G16</f>
        <v>0</v>
      </c>
      <c r="J21" s="53">
        <f t="shared" si="1"/>
        <v>457834.33913630672</v>
      </c>
      <c r="L21" s="91">
        <f t="shared" si="2"/>
        <v>176562272.45411211</v>
      </c>
      <c r="M21" s="194"/>
    </row>
    <row r="22" spans="1:13" x14ac:dyDescent="0.2">
      <c r="A22" s="89">
        <v>13</v>
      </c>
      <c r="B22" s="89" t="s">
        <v>20</v>
      </c>
      <c r="C22" s="53">
        <f>Summary!F20</f>
        <v>19982105.937540375</v>
      </c>
      <c r="D22" s="90"/>
      <c r="E22" s="103">
        <f>'Exhibit No. SLC-5 pg 3'!D17</f>
        <v>35793.424398043266</v>
      </c>
      <c r="F22" s="103">
        <f>'Exhibit No. SLC-5 pg 3'!E17</f>
        <v>0</v>
      </c>
      <c r="G22" s="103">
        <f>'Exhibit No. SLC-5 pg 3'!F17</f>
        <v>0</v>
      </c>
      <c r="H22" s="103">
        <f>'Exhibit No. SLC-5 pg 3'!G17</f>
        <v>0</v>
      </c>
      <c r="J22" s="53">
        <f t="shared" si="1"/>
        <v>35793.424398043266</v>
      </c>
      <c r="L22" s="91">
        <f t="shared" si="2"/>
        <v>20017899.361938417</v>
      </c>
      <c r="M22" s="194"/>
    </row>
    <row r="23" spans="1:13" x14ac:dyDescent="0.2">
      <c r="A23" s="89">
        <v>14</v>
      </c>
      <c r="B23" s="89" t="s">
        <v>21</v>
      </c>
      <c r="C23" s="53">
        <f>Summary!F21</f>
        <v>18590890.067977503</v>
      </c>
      <c r="D23" s="90"/>
      <c r="E23" s="103">
        <f>'Exhibit No. SLC-5 pg 3'!D18</f>
        <v>241927.83756353604</v>
      </c>
      <c r="F23" s="103">
        <f>'Exhibit No. SLC-5 pg 3'!E18</f>
        <v>0</v>
      </c>
      <c r="G23" s="103">
        <f>'Exhibit No. SLC-5 pg 3'!F18</f>
        <v>0</v>
      </c>
      <c r="H23" s="103">
        <f>'Exhibit No. SLC-5 pg 3'!G18</f>
        <v>0</v>
      </c>
      <c r="J23" s="53">
        <f t="shared" si="1"/>
        <v>241927.83756353604</v>
      </c>
      <c r="L23" s="91">
        <f t="shared" si="2"/>
        <v>18832817.90554104</v>
      </c>
      <c r="M23" s="194"/>
    </row>
    <row r="24" spans="1:13" x14ac:dyDescent="0.2">
      <c r="A24" s="89">
        <v>15</v>
      </c>
      <c r="B24" s="89" t="s">
        <v>22</v>
      </c>
      <c r="C24" s="53">
        <f>Summary!F22</f>
        <v>6903378.6912497999</v>
      </c>
      <c r="D24" s="90"/>
      <c r="E24" s="103">
        <f>'Exhibit No. SLC-5 pg 3'!D19</f>
        <v>55381.593112062139</v>
      </c>
      <c r="F24" s="103">
        <f>'Exhibit No. SLC-5 pg 3'!E19</f>
        <v>0</v>
      </c>
      <c r="G24" s="103">
        <f>'Exhibit No. SLC-5 pg 3'!F19</f>
        <v>0</v>
      </c>
      <c r="H24" s="103">
        <f>'Exhibit No. SLC-5 pg 3'!G19</f>
        <v>0</v>
      </c>
      <c r="J24" s="53">
        <f t="shared" si="1"/>
        <v>55381.593112062139</v>
      </c>
      <c r="L24" s="91">
        <f t="shared" si="2"/>
        <v>6958760.2843618616</v>
      </c>
      <c r="M24" s="194"/>
    </row>
    <row r="25" spans="1:13" x14ac:dyDescent="0.2">
      <c r="A25" s="89">
        <v>16</v>
      </c>
      <c r="B25" s="89" t="s">
        <v>23</v>
      </c>
      <c r="C25" s="53">
        <f>Summary!F23</f>
        <v>709693.335290174</v>
      </c>
      <c r="D25" s="90"/>
      <c r="E25" s="103">
        <f>'Exhibit No. SLC-5 pg 3'!D20</f>
        <v>22498.957719657268</v>
      </c>
      <c r="F25" s="103">
        <f>'Exhibit No. SLC-5 pg 3'!E20</f>
        <v>0</v>
      </c>
      <c r="G25" s="103">
        <f>'Exhibit No. SLC-5 pg 3'!F20</f>
        <v>0</v>
      </c>
      <c r="H25" s="103">
        <f>'Exhibit No. SLC-5 pg 3'!G20</f>
        <v>0</v>
      </c>
      <c r="J25" s="53">
        <f t="shared" si="1"/>
        <v>22498.957719657268</v>
      </c>
      <c r="L25" s="91">
        <f t="shared" si="2"/>
        <v>732192.29300983122</v>
      </c>
      <c r="M25" s="194"/>
    </row>
    <row r="26" spans="1:13" x14ac:dyDescent="0.2">
      <c r="A26" s="89">
        <v>17</v>
      </c>
      <c r="B26" s="89" t="s">
        <v>24</v>
      </c>
      <c r="C26" s="53">
        <f>Summary!F24</f>
        <v>0</v>
      </c>
      <c r="D26" s="90"/>
      <c r="E26" s="103">
        <f>'Exhibit No. SLC-5 pg 3'!D21</f>
        <v>0</v>
      </c>
      <c r="F26" s="103">
        <f>'Exhibit No. SLC-5 pg 3'!E21</f>
        <v>0</v>
      </c>
      <c r="G26" s="103">
        <f>'Exhibit No. SLC-5 pg 3'!F21</f>
        <v>0</v>
      </c>
      <c r="H26" s="103">
        <f>'Exhibit No. SLC-5 pg 3'!G21</f>
        <v>0</v>
      </c>
      <c r="J26" s="53">
        <f t="shared" si="1"/>
        <v>0</v>
      </c>
      <c r="L26" s="91">
        <f t="shared" si="2"/>
        <v>0</v>
      </c>
      <c r="M26" s="194"/>
    </row>
    <row r="27" spans="1:13" x14ac:dyDescent="0.2">
      <c r="A27" s="89">
        <v>18</v>
      </c>
      <c r="B27" s="89" t="s">
        <v>25</v>
      </c>
      <c r="C27" s="53">
        <f>Summary!F25</f>
        <v>15197082.03775673</v>
      </c>
      <c r="D27" s="90"/>
      <c r="E27" s="103">
        <f>'Exhibit No. SLC-5 pg 3'!D22</f>
        <v>44853.005913562411</v>
      </c>
      <c r="F27" s="103">
        <f>'Exhibit No. SLC-5 pg 3'!E22</f>
        <v>0</v>
      </c>
      <c r="G27" s="103">
        <f>'Exhibit No. SLC-5 pg 3'!F22</f>
        <v>0</v>
      </c>
      <c r="H27" s="103">
        <f>'Exhibit No. SLC-5 pg 3'!G22</f>
        <v>0</v>
      </c>
      <c r="J27" s="96">
        <f t="shared" si="1"/>
        <v>44853.005913562411</v>
      </c>
      <c r="L27" s="91">
        <f t="shared" si="2"/>
        <v>15241935.043670293</v>
      </c>
      <c r="M27" s="194"/>
    </row>
    <row r="28" spans="1:13" x14ac:dyDescent="0.2">
      <c r="A28" s="89">
        <v>19</v>
      </c>
      <c r="B28" s="89" t="s">
        <v>26</v>
      </c>
      <c r="C28" s="116">
        <f>SUM(C18:C27)</f>
        <v>299763723.4516744</v>
      </c>
      <c r="D28" s="93"/>
      <c r="E28" s="116">
        <f t="shared" ref="E28:H28" si="3">SUM(E18:E27)</f>
        <v>602288.9759032313</v>
      </c>
      <c r="F28" s="116">
        <f t="shared" si="3"/>
        <v>395579.72739742004</v>
      </c>
      <c r="G28" s="116">
        <f t="shared" si="3"/>
        <v>0</v>
      </c>
      <c r="H28" s="116">
        <f t="shared" si="3"/>
        <v>0</v>
      </c>
      <c r="J28" s="91">
        <f>SUM(J18:J27)</f>
        <v>997868.70330065151</v>
      </c>
      <c r="L28" s="116">
        <f>SUM(L18:L27)</f>
        <v>300761592.154975</v>
      </c>
      <c r="M28" s="196"/>
    </row>
    <row r="29" spans="1:13" x14ac:dyDescent="0.2">
      <c r="A29" s="89">
        <v>20</v>
      </c>
      <c r="B29" s="89" t="s">
        <v>27</v>
      </c>
      <c r="C29" s="53">
        <f>Summary!F27</f>
        <v>55619535.625454247</v>
      </c>
      <c r="D29" s="90"/>
      <c r="E29" s="103">
        <f>'Exhibit No. SLC-5 pg 3'!D24</f>
        <v>0</v>
      </c>
      <c r="F29" s="103">
        <f>'Exhibit No. SLC-5 pg 3'!E24</f>
        <v>7769787.527010344</v>
      </c>
      <c r="G29" s="103">
        <f>'Exhibit No. SLC-5 pg 3'!F24</f>
        <v>0</v>
      </c>
      <c r="H29" s="103">
        <f>'Exhibit No. SLC-5 pg 3'!G24</f>
        <v>0</v>
      </c>
      <c r="J29" s="53">
        <f t="shared" ref="J29:J36" si="4">SUM(E29:H29)</f>
        <v>7769787.527010344</v>
      </c>
      <c r="L29" s="91">
        <f t="shared" ref="L29:L36" si="5">+C29+J29</f>
        <v>63389323.152464591</v>
      </c>
      <c r="M29" s="194"/>
    </row>
    <row r="30" spans="1:13" x14ac:dyDescent="0.2">
      <c r="A30" s="89">
        <v>21</v>
      </c>
      <c r="B30" s="89" t="s">
        <v>28</v>
      </c>
      <c r="C30" s="53">
        <f>Summary!F28</f>
        <v>15472658.727303546</v>
      </c>
      <c r="D30" s="90"/>
      <c r="E30" s="103">
        <f>'Exhibit No. SLC-5 pg 3'!D25</f>
        <v>0</v>
      </c>
      <c r="F30" s="103">
        <f>'Exhibit No. SLC-5 pg 3'!E25</f>
        <v>1230830.8889248422</v>
      </c>
      <c r="G30" s="103">
        <f>'Exhibit No. SLC-5 pg 3'!F25</f>
        <v>0</v>
      </c>
      <c r="H30" s="103">
        <f>'Exhibit No. SLC-5 pg 3'!G25</f>
        <v>-7011257.8506784029</v>
      </c>
      <c r="J30" s="53">
        <f t="shared" si="4"/>
        <v>-5780426.9617535602</v>
      </c>
      <c r="L30" s="91">
        <f t="shared" si="5"/>
        <v>9692231.7655499857</v>
      </c>
      <c r="M30" s="194"/>
    </row>
    <row r="31" spans="1:13" x14ac:dyDescent="0.2">
      <c r="A31" s="89">
        <v>22</v>
      </c>
      <c r="B31" s="89" t="s">
        <v>29</v>
      </c>
      <c r="C31" s="53">
        <f>Summary!F29</f>
        <v>30041859.085808739</v>
      </c>
      <c r="D31" s="90"/>
      <c r="E31" s="103">
        <f>'Exhibit No. SLC-5 pg 3'!D26</f>
        <v>0</v>
      </c>
      <c r="F31" s="103">
        <f>'Exhibit No. SLC-5 pg 3'!E26</f>
        <v>0</v>
      </c>
      <c r="G31" s="103">
        <f>'Exhibit No. SLC-5 pg 3'!F26</f>
        <v>1882727</v>
      </c>
      <c r="H31" s="103">
        <f>'Exhibit No. SLC-5 pg 3'!G26</f>
        <v>0</v>
      </c>
      <c r="J31" s="53">
        <f t="shared" si="4"/>
        <v>1882727</v>
      </c>
      <c r="L31" s="91">
        <f t="shared" si="5"/>
        <v>31924586.085808739</v>
      </c>
      <c r="M31" s="194"/>
    </row>
    <row r="32" spans="1:13" x14ac:dyDescent="0.2">
      <c r="A32" s="89">
        <v>23</v>
      </c>
      <c r="B32" s="89" t="s">
        <v>30</v>
      </c>
      <c r="C32" s="53">
        <f>Summary!F30</f>
        <v>-8843791.541803468</v>
      </c>
      <c r="D32" s="90"/>
      <c r="E32" s="103">
        <f>'Exhibit No. SLC-5 pg 3'!D27</f>
        <v>314683.30901663721</v>
      </c>
      <c r="F32" s="103">
        <f>'Exhibit No. SLC-5 pg 3'!E27</f>
        <v>-2735618.0451761484</v>
      </c>
      <c r="G32" s="103">
        <f>'Exhibit No. SLC-5 pg 3'!F27</f>
        <v>-3081810.503010679</v>
      </c>
      <c r="H32" s="103">
        <f>'Exhibit No. SLC-5 pg 3'!G27</f>
        <v>1298884.6543424646</v>
      </c>
      <c r="J32" s="53">
        <f t="shared" si="4"/>
        <v>-4203860.5848277248</v>
      </c>
      <c r="L32" s="91">
        <f t="shared" si="5"/>
        <v>-13047652.126631193</v>
      </c>
      <c r="M32" s="194"/>
    </row>
    <row r="33" spans="1:13" x14ac:dyDescent="0.2">
      <c r="A33" s="89">
        <v>24</v>
      </c>
      <c r="B33" s="89" t="s">
        <v>31</v>
      </c>
      <c r="C33" s="53">
        <f>Summary!F31</f>
        <v>0</v>
      </c>
      <c r="D33" s="90"/>
      <c r="E33" s="103">
        <f>'Exhibit No. SLC-5 pg 3'!D28</f>
        <v>0</v>
      </c>
      <c r="F33" s="103">
        <f>'Exhibit No. SLC-5 pg 3'!E28</f>
        <v>0</v>
      </c>
      <c r="G33" s="103">
        <f>'Exhibit No. SLC-5 pg 3'!F28</f>
        <v>0</v>
      </c>
      <c r="H33" s="103">
        <f>'Exhibit No. SLC-5 pg 3'!G28</f>
        <v>0</v>
      </c>
      <c r="J33" s="53">
        <f t="shared" si="4"/>
        <v>0</v>
      </c>
      <c r="L33" s="91">
        <f t="shared" si="5"/>
        <v>0</v>
      </c>
      <c r="M33" s="194"/>
    </row>
    <row r="34" spans="1:13" x14ac:dyDescent="0.2">
      <c r="A34" s="89">
        <v>25</v>
      </c>
      <c r="B34" s="89" t="s">
        <v>32</v>
      </c>
      <c r="C34" s="53">
        <f>Summary!F32</f>
        <v>-2711754.5123083103</v>
      </c>
      <c r="D34" s="90"/>
      <c r="E34" s="103">
        <f>'Exhibit No. SLC-5 pg 3'!D29</f>
        <v>0</v>
      </c>
      <c r="F34" s="103">
        <f>'Exhibit No. SLC-5 pg 3'!E29</f>
        <v>892631.20968842856</v>
      </c>
      <c r="G34" s="103">
        <f>'Exhibit No. SLC-5 pg 3'!F29</f>
        <v>1811582.261743499</v>
      </c>
      <c r="H34" s="103">
        <f>'Exhibit No. SLC-5 pg 3'!G29</f>
        <v>203108.13974078008</v>
      </c>
      <c r="J34" s="53">
        <f t="shared" si="4"/>
        <v>2907321.6111727078</v>
      </c>
      <c r="L34" s="91">
        <f t="shared" si="5"/>
        <v>195567.0988643975</v>
      </c>
      <c r="M34" s="194"/>
    </row>
    <row r="35" spans="1:13" x14ac:dyDescent="0.2">
      <c r="A35" s="89">
        <v>26</v>
      </c>
      <c r="B35" s="89" t="s">
        <v>33</v>
      </c>
      <c r="C35" s="53">
        <f>Summary!F33</f>
        <v>0</v>
      </c>
      <c r="D35" s="90"/>
      <c r="E35" s="103">
        <f>'Exhibit No. SLC-5 pg 3'!D30</f>
        <v>0</v>
      </c>
      <c r="F35" s="103">
        <f>'Exhibit No. SLC-5 pg 3'!E30</f>
        <v>0</v>
      </c>
      <c r="G35" s="103">
        <f>'Exhibit No. SLC-5 pg 3'!F30</f>
        <v>0</v>
      </c>
      <c r="H35" s="103">
        <f>'Exhibit No. SLC-5 pg 3'!G30</f>
        <v>0</v>
      </c>
      <c r="J35" s="53">
        <f t="shared" si="4"/>
        <v>0</v>
      </c>
      <c r="L35" s="91">
        <f t="shared" si="5"/>
        <v>0</v>
      </c>
      <c r="M35" s="194"/>
    </row>
    <row r="36" spans="1:13" x14ac:dyDescent="0.2">
      <c r="A36" s="89">
        <v>27</v>
      </c>
      <c r="B36" s="89" t="s">
        <v>34</v>
      </c>
      <c r="C36" s="53">
        <f>Summary!F34</f>
        <v>-98259.16415706859</v>
      </c>
      <c r="D36" s="90"/>
      <c r="E36" s="103">
        <f>'Exhibit No. SLC-5 pg 3'!D31</f>
        <v>0</v>
      </c>
      <c r="F36" s="103">
        <f>'Exhibit No. SLC-5 pg 3'!E31</f>
        <v>0</v>
      </c>
      <c r="G36" s="103">
        <f>'Exhibit No. SLC-5 pg 3'!F31</f>
        <v>0</v>
      </c>
      <c r="H36" s="103">
        <f>'Exhibit No. SLC-5 pg 3'!G31</f>
        <v>0</v>
      </c>
      <c r="J36" s="53">
        <f t="shared" si="4"/>
        <v>0</v>
      </c>
      <c r="L36" s="91">
        <f t="shared" si="5"/>
        <v>-98259.16415706859</v>
      </c>
      <c r="M36" s="194"/>
    </row>
    <row r="37" spans="1:13" x14ac:dyDescent="0.2">
      <c r="A37" s="89">
        <v>28</v>
      </c>
      <c r="B37" s="89" t="s">
        <v>35</v>
      </c>
      <c r="C37" s="98">
        <f>SUM(C28:C36)</f>
        <v>389243971.6719721</v>
      </c>
      <c r="D37" s="93"/>
      <c r="E37" s="98">
        <f t="shared" ref="E37:H37" si="6">SUM(E28:E36)</f>
        <v>916972.28491986846</v>
      </c>
      <c r="F37" s="98">
        <f t="shared" si="6"/>
        <v>7553211.3078448866</v>
      </c>
      <c r="G37" s="98">
        <f t="shared" si="6"/>
        <v>612498.75873281993</v>
      </c>
      <c r="H37" s="98">
        <f t="shared" si="6"/>
        <v>-5509265.0565951578</v>
      </c>
      <c r="J37" s="98">
        <f>SUM(J28:J36)</f>
        <v>3573417.2949024178</v>
      </c>
      <c r="L37" s="98">
        <f>SUM(L28:L36)</f>
        <v>392817388.96687436</v>
      </c>
      <c r="M37" s="196"/>
    </row>
    <row r="38" spans="1:13" ht="12.75" x14ac:dyDescent="0.2">
      <c r="A38" s="89">
        <v>29</v>
      </c>
      <c r="B38" s="89"/>
      <c r="C38" s="94"/>
      <c r="D38" s="90"/>
      <c r="E38" s="94"/>
      <c r="F38" s="94"/>
      <c r="G38" s="94"/>
      <c r="H38" s="94"/>
      <c r="J38" s="94"/>
      <c r="L38" s="90"/>
      <c r="M38" s="196"/>
    </row>
    <row r="39" spans="1:13" ht="12" thickBot="1" x14ac:dyDescent="0.25">
      <c r="A39" s="89">
        <v>30</v>
      </c>
      <c r="B39" s="99" t="s">
        <v>36</v>
      </c>
      <c r="C39" s="100">
        <f>C15-C37</f>
        <v>83632235.745591104</v>
      </c>
      <c r="D39" s="101"/>
      <c r="E39" s="100">
        <f t="shared" ref="E39:H39" si="7">E15-E37</f>
        <v>1183808.6386816355</v>
      </c>
      <c r="F39" s="100">
        <f t="shared" si="7"/>
        <v>-7553211.3078448866</v>
      </c>
      <c r="G39" s="100">
        <f t="shared" si="7"/>
        <v>-612498.75873281993</v>
      </c>
      <c r="H39" s="100">
        <f t="shared" si="7"/>
        <v>5509265.0565951578</v>
      </c>
      <c r="J39" s="100">
        <f>J15-J37</f>
        <v>-1472636.3713009139</v>
      </c>
      <c r="L39" s="100">
        <f>L15-L37</f>
        <v>82159599.374290347</v>
      </c>
      <c r="M39" s="197"/>
    </row>
    <row r="40" spans="1:13" ht="13.5" thickTop="1" x14ac:dyDescent="0.2">
      <c r="A40" s="89">
        <v>31</v>
      </c>
      <c r="B40" s="89"/>
      <c r="C40" s="94"/>
      <c r="D40" s="90"/>
      <c r="E40" s="94"/>
      <c r="F40" s="94"/>
      <c r="G40" s="94"/>
      <c r="H40" s="94"/>
      <c r="J40" s="94"/>
    </row>
    <row r="41" spans="1:13" ht="12.75" x14ac:dyDescent="0.2">
      <c r="A41" s="89">
        <v>32</v>
      </c>
      <c r="B41" s="89" t="s">
        <v>37</v>
      </c>
      <c r="C41" s="94"/>
      <c r="D41" s="90"/>
      <c r="E41" s="94"/>
      <c r="F41" s="94"/>
      <c r="G41" s="94"/>
      <c r="H41" s="94"/>
      <c r="J41" s="94"/>
    </row>
    <row r="42" spans="1:13" x14ac:dyDescent="0.2">
      <c r="A42" s="89">
        <v>33</v>
      </c>
      <c r="B42" s="89" t="s">
        <v>38</v>
      </c>
      <c r="C42" s="53">
        <f>Summary!F40</f>
        <v>2408541688.7416582</v>
      </c>
      <c r="D42" s="90"/>
      <c r="E42" s="103">
        <f>'Exhibit No. SLC-5 pg 3'!D37</f>
        <v>0</v>
      </c>
      <c r="F42" s="103">
        <f>'Exhibit No. SLC-5 pg 3'!E37</f>
        <v>335866632.59656978</v>
      </c>
      <c r="G42" s="103">
        <f>'Exhibit No. SLC-5 pg 3'!F37</f>
        <v>0</v>
      </c>
      <c r="H42" s="103">
        <f>'Exhibit No. SLC-5 pg 3'!G37</f>
        <v>0</v>
      </c>
      <c r="J42" s="53">
        <f t="shared" ref="J42:J52" si="8">SUM(E42:H42)</f>
        <v>335866632.59656978</v>
      </c>
      <c r="L42" s="91">
        <f t="shared" ref="L42:L52" si="9">+C42+J42</f>
        <v>2744408321.3382282</v>
      </c>
      <c r="M42" s="194"/>
    </row>
    <row r="43" spans="1:13" x14ac:dyDescent="0.2">
      <c r="A43" s="89">
        <v>34</v>
      </c>
      <c r="B43" s="89" t="s">
        <v>39</v>
      </c>
      <c r="C43" s="53">
        <f>Summary!F41</f>
        <v>467184.71621561563</v>
      </c>
      <c r="D43" s="90"/>
      <c r="E43" s="103">
        <f>'Exhibit No. SLC-5 pg 3'!D38</f>
        <v>0</v>
      </c>
      <c r="F43" s="103">
        <f>'Exhibit No. SLC-5 pg 3'!E38</f>
        <v>0</v>
      </c>
      <c r="G43" s="103">
        <f>'Exhibit No. SLC-5 pg 3'!F38</f>
        <v>0</v>
      </c>
      <c r="H43" s="103">
        <f>'Exhibit No. SLC-5 pg 3'!G38</f>
        <v>0</v>
      </c>
      <c r="J43" s="53">
        <f t="shared" si="8"/>
        <v>0</v>
      </c>
      <c r="L43" s="91">
        <f t="shared" si="9"/>
        <v>467184.71621561563</v>
      </c>
      <c r="M43" s="194"/>
    </row>
    <row r="44" spans="1:13" x14ac:dyDescent="0.2">
      <c r="A44" s="89">
        <v>35</v>
      </c>
      <c r="B44" s="89" t="s">
        <v>40</v>
      </c>
      <c r="C44" s="53">
        <f>Summary!F42</f>
        <v>392246.60856479767</v>
      </c>
      <c r="D44" s="90"/>
      <c r="E44" s="103">
        <f>'Exhibit No. SLC-5 pg 3'!D39</f>
        <v>0</v>
      </c>
      <c r="F44" s="103">
        <f>'Exhibit No. SLC-5 pg 3'!E39</f>
        <v>0</v>
      </c>
      <c r="G44" s="103">
        <f>'Exhibit No. SLC-5 pg 3'!F39</f>
        <v>0</v>
      </c>
      <c r="H44" s="103">
        <f>'Exhibit No. SLC-5 pg 3'!G39</f>
        <v>-489243.1450514372</v>
      </c>
      <c r="J44" s="53">
        <f t="shared" si="8"/>
        <v>-489243.1450514372</v>
      </c>
      <c r="L44" s="91">
        <f t="shared" si="9"/>
        <v>-96996.536486639525</v>
      </c>
      <c r="M44" s="194"/>
    </row>
    <row r="45" spans="1:13" x14ac:dyDescent="0.2">
      <c r="A45" s="89">
        <v>36</v>
      </c>
      <c r="B45" s="89" t="s">
        <v>41</v>
      </c>
      <c r="C45" s="53">
        <f>Summary!F43</f>
        <v>115844.19848648913</v>
      </c>
      <c r="D45" s="90"/>
      <c r="E45" s="103">
        <f>'Exhibit No. SLC-5 pg 3'!D40</f>
        <v>0</v>
      </c>
      <c r="F45" s="103">
        <f>'Exhibit No. SLC-5 pg 3'!E40</f>
        <v>0</v>
      </c>
      <c r="G45" s="103">
        <f>'Exhibit No. SLC-5 pg 3'!F40</f>
        <v>0</v>
      </c>
      <c r="H45" s="103">
        <f>'Exhibit No. SLC-5 pg 3'!G40</f>
        <v>0</v>
      </c>
      <c r="J45" s="53">
        <f t="shared" si="8"/>
        <v>0</v>
      </c>
      <c r="L45" s="91">
        <f t="shared" si="9"/>
        <v>115844.19848648913</v>
      </c>
      <c r="M45" s="194"/>
    </row>
    <row r="46" spans="1:13" x14ac:dyDescent="0.2">
      <c r="A46" s="89">
        <v>37</v>
      </c>
      <c r="B46" s="89" t="s">
        <v>42</v>
      </c>
      <c r="C46" s="53">
        <f>Summary!F44</f>
        <v>0</v>
      </c>
      <c r="D46" s="90"/>
      <c r="E46" s="103">
        <f>'Exhibit No. SLC-5 pg 3'!D41</f>
        <v>0</v>
      </c>
      <c r="F46" s="103">
        <f>'Exhibit No. SLC-5 pg 3'!E41</f>
        <v>0</v>
      </c>
      <c r="G46" s="103">
        <f>'Exhibit No. SLC-5 pg 3'!F41</f>
        <v>0</v>
      </c>
      <c r="H46" s="103">
        <f>'Exhibit No. SLC-5 pg 3'!G41</f>
        <v>0</v>
      </c>
      <c r="J46" s="53">
        <f t="shared" si="8"/>
        <v>0</v>
      </c>
      <c r="L46" s="91">
        <f t="shared" si="9"/>
        <v>0</v>
      </c>
      <c r="M46" s="194"/>
    </row>
    <row r="47" spans="1:13" x14ac:dyDescent="0.2">
      <c r="A47" s="89">
        <v>38</v>
      </c>
      <c r="B47" s="89" t="s">
        <v>43</v>
      </c>
      <c r="C47" s="53">
        <f>Summary!F45</f>
        <v>5.1222741603851318E-9</v>
      </c>
      <c r="D47" s="90"/>
      <c r="E47" s="103">
        <f>'Exhibit No. SLC-5 pg 3'!D42</f>
        <v>0</v>
      </c>
      <c r="F47" s="103">
        <f>'Exhibit No. SLC-5 pg 3'!E42</f>
        <v>0</v>
      </c>
      <c r="G47" s="103">
        <f>'Exhibit No. SLC-5 pg 3'!F42</f>
        <v>0</v>
      </c>
      <c r="H47" s="103">
        <f>'Exhibit No. SLC-5 pg 3'!G42</f>
        <v>0</v>
      </c>
      <c r="J47" s="53">
        <f t="shared" si="8"/>
        <v>0</v>
      </c>
      <c r="L47" s="91">
        <f t="shared" si="9"/>
        <v>5.1222741603851318E-9</v>
      </c>
      <c r="M47" s="194"/>
    </row>
    <row r="48" spans="1:13" x14ac:dyDescent="0.2">
      <c r="A48" s="89">
        <v>39</v>
      </c>
      <c r="B48" s="89" t="s">
        <v>44</v>
      </c>
      <c r="C48" s="53">
        <f>Summary!F46</f>
        <v>1.57160684466362E-9</v>
      </c>
      <c r="D48" s="90"/>
      <c r="E48" s="103">
        <f>'Exhibit No. SLC-5 pg 3'!D43</f>
        <v>0</v>
      </c>
      <c r="F48" s="103">
        <f>'Exhibit No. SLC-5 pg 3'!E43</f>
        <v>0</v>
      </c>
      <c r="G48" s="103">
        <f>'Exhibit No. SLC-5 pg 3'!F43</f>
        <v>0</v>
      </c>
      <c r="H48" s="103">
        <f>'Exhibit No. SLC-5 pg 3'!G43</f>
        <v>0</v>
      </c>
      <c r="J48" s="53">
        <f t="shared" si="8"/>
        <v>0</v>
      </c>
      <c r="L48" s="91">
        <f t="shared" si="9"/>
        <v>1.57160684466362E-9</v>
      </c>
      <c r="M48" s="194"/>
    </row>
    <row r="49" spans="1:13" x14ac:dyDescent="0.2">
      <c r="A49" s="89">
        <v>40</v>
      </c>
      <c r="B49" s="89" t="s">
        <v>45</v>
      </c>
      <c r="C49" s="53">
        <f>Summary!F47</f>
        <v>8.6889034719206393E-5</v>
      </c>
      <c r="D49" s="90"/>
      <c r="E49" s="103">
        <f>'Exhibit No. SLC-5 pg 3'!D44</f>
        <v>0</v>
      </c>
      <c r="F49" s="103">
        <f>'Exhibit No. SLC-5 pg 3'!E44</f>
        <v>0</v>
      </c>
      <c r="G49" s="103">
        <f>'Exhibit No. SLC-5 pg 3'!F44</f>
        <v>0</v>
      </c>
      <c r="H49" s="103">
        <f>'Exhibit No. SLC-5 pg 3'!G44</f>
        <v>0</v>
      </c>
      <c r="J49" s="53">
        <f t="shared" si="8"/>
        <v>0</v>
      </c>
      <c r="L49" s="91">
        <f t="shared" si="9"/>
        <v>8.6889034719206393E-5</v>
      </c>
      <c r="M49" s="194"/>
    </row>
    <row r="50" spans="1:13" x14ac:dyDescent="0.2">
      <c r="A50" s="89">
        <v>41</v>
      </c>
      <c r="B50" s="89" t="s">
        <v>46</v>
      </c>
      <c r="C50" s="53">
        <f>Summary!F48</f>
        <v>29873668.417190563</v>
      </c>
      <c r="D50" s="90"/>
      <c r="E50" s="103">
        <f>'Exhibit No. SLC-5 pg 3'!D45</f>
        <v>0</v>
      </c>
      <c r="F50" s="103">
        <f>'Exhibit No. SLC-5 pg 3'!E45</f>
        <v>0</v>
      </c>
      <c r="G50" s="103">
        <f>'Exhibit No. SLC-5 pg 3'!F45</f>
        <v>0</v>
      </c>
      <c r="H50" s="103">
        <f>'Exhibit No. SLC-5 pg 3'!G45</f>
        <v>0</v>
      </c>
      <c r="J50" s="53">
        <f t="shared" si="8"/>
        <v>0</v>
      </c>
      <c r="L50" s="91">
        <f t="shared" si="9"/>
        <v>29873668.417190563</v>
      </c>
      <c r="M50" s="194"/>
    </row>
    <row r="51" spans="1:13" x14ac:dyDescent="0.2">
      <c r="A51" s="89">
        <v>42</v>
      </c>
      <c r="B51" s="89" t="s">
        <v>47</v>
      </c>
      <c r="C51" s="53">
        <f>Summary!F49</f>
        <v>3311.89</v>
      </c>
      <c r="D51" s="90"/>
      <c r="E51" s="103">
        <f>'Exhibit No. SLC-5 pg 3'!D46</f>
        <v>0</v>
      </c>
      <c r="F51" s="103">
        <f>'Exhibit No. SLC-5 pg 3'!E46</f>
        <v>0</v>
      </c>
      <c r="G51" s="103">
        <f>'Exhibit No. SLC-5 pg 3'!F46</f>
        <v>0</v>
      </c>
      <c r="H51" s="103">
        <f>'Exhibit No. SLC-5 pg 3'!G46</f>
        <v>0</v>
      </c>
      <c r="J51" s="53">
        <f t="shared" si="8"/>
        <v>0</v>
      </c>
      <c r="L51" s="91">
        <f t="shared" si="9"/>
        <v>3311.89</v>
      </c>
      <c r="M51" s="194"/>
    </row>
    <row r="52" spans="1:13" x14ac:dyDescent="0.2">
      <c r="A52" s="89">
        <v>43</v>
      </c>
      <c r="B52" s="89" t="s">
        <v>48</v>
      </c>
      <c r="C52" s="53">
        <f>Summary!F50</f>
        <v>0</v>
      </c>
      <c r="D52" s="90"/>
      <c r="E52" s="103">
        <f>'Exhibit No. SLC-5 pg 3'!D47</f>
        <v>0</v>
      </c>
      <c r="F52" s="103">
        <f>'Exhibit No. SLC-5 pg 3'!E47</f>
        <v>0</v>
      </c>
      <c r="G52" s="103">
        <f>'Exhibit No. SLC-5 pg 3'!F47</f>
        <v>0</v>
      </c>
      <c r="H52" s="103">
        <f>'Exhibit No. SLC-5 pg 3'!G47</f>
        <v>0</v>
      </c>
      <c r="J52" s="53">
        <f t="shared" si="8"/>
        <v>0</v>
      </c>
      <c r="L52" s="91">
        <f t="shared" si="9"/>
        <v>0</v>
      </c>
      <c r="M52" s="194"/>
    </row>
    <row r="53" spans="1:13" x14ac:dyDescent="0.2">
      <c r="A53" s="89">
        <v>44</v>
      </c>
      <c r="B53" s="89" t="s">
        <v>49</v>
      </c>
      <c r="C53" s="98">
        <f>SUM(C42:C52)</f>
        <v>2439393944.5722022</v>
      </c>
      <c r="D53" s="93"/>
      <c r="E53" s="98">
        <f t="shared" ref="E53:H53" si="10">SUM(E42:E52)</f>
        <v>0</v>
      </c>
      <c r="F53" s="98">
        <f t="shared" si="10"/>
        <v>335866632.59656978</v>
      </c>
      <c r="G53" s="98">
        <f t="shared" si="10"/>
        <v>0</v>
      </c>
      <c r="H53" s="98">
        <f t="shared" si="10"/>
        <v>-489243.1450514372</v>
      </c>
      <c r="J53" s="98">
        <f>SUM(J42:J52)</f>
        <v>335377389.45151836</v>
      </c>
      <c r="L53" s="98">
        <f>SUM(L42:L52)</f>
        <v>2774771334.0237207</v>
      </c>
      <c r="M53" s="196"/>
    </row>
    <row r="54" spans="1:13" ht="12.75" x14ac:dyDescent="0.2">
      <c r="A54" s="89">
        <v>45</v>
      </c>
      <c r="B54" s="89"/>
      <c r="C54" s="94"/>
      <c r="D54" s="90"/>
      <c r="E54" s="94"/>
      <c r="F54" s="94"/>
      <c r="G54" s="94"/>
      <c r="H54" s="94"/>
      <c r="J54" s="94"/>
    </row>
    <row r="55" spans="1:13" ht="12.75" x14ac:dyDescent="0.2">
      <c r="A55" s="89">
        <v>46</v>
      </c>
      <c r="B55" s="89" t="s">
        <v>50</v>
      </c>
      <c r="C55" s="94"/>
      <c r="D55" s="90"/>
      <c r="E55" s="94"/>
      <c r="F55" s="94"/>
      <c r="G55" s="94"/>
      <c r="H55" s="94"/>
      <c r="J55" s="94"/>
    </row>
    <row r="56" spans="1:13" x14ac:dyDescent="0.2">
      <c r="A56" s="89">
        <v>47</v>
      </c>
      <c r="B56" s="89" t="s">
        <v>51</v>
      </c>
      <c r="C56" s="53">
        <f>Summary!F54</f>
        <v>-1005501106.3249345</v>
      </c>
      <c r="D56" s="90"/>
      <c r="E56" s="103">
        <f>'Exhibit No. SLC-5 pg 3'!D51</f>
        <v>0</v>
      </c>
      <c r="F56" s="103">
        <f>'Exhibit No. SLC-5 pg 3'!E51</f>
        <v>-51320415.002068095</v>
      </c>
      <c r="G56" s="103">
        <f>'Exhibit No. SLC-5 pg 3'!F51</f>
        <v>0</v>
      </c>
      <c r="H56" s="103">
        <f>'Exhibit No. SLC-5 pg 3'!G51</f>
        <v>0</v>
      </c>
      <c r="J56" s="53">
        <f t="shared" ref="J56:J62" si="11">SUM(E56:H56)</f>
        <v>-51320415.002068095</v>
      </c>
      <c r="L56" s="91">
        <f t="shared" ref="L56:L63" si="12">+C56+J56</f>
        <v>-1056821521.3270025</v>
      </c>
      <c r="M56" s="194"/>
    </row>
    <row r="57" spans="1:13" x14ac:dyDescent="0.2">
      <c r="A57" s="89">
        <v>48</v>
      </c>
      <c r="B57" s="89" t="s">
        <v>52</v>
      </c>
      <c r="C57" s="53">
        <f>Summary!F55</f>
        <v>-64932897.347893581</v>
      </c>
      <c r="D57" s="90"/>
      <c r="E57" s="103">
        <f>'Exhibit No. SLC-5 pg 3'!D52</f>
        <v>0</v>
      </c>
      <c r="F57" s="103">
        <f>'Exhibit No. SLC-5 pg 3'!E52</f>
        <v>-4541116.6972164949</v>
      </c>
      <c r="G57" s="103">
        <f>'Exhibit No. SLC-5 pg 3'!F52</f>
        <v>0</v>
      </c>
      <c r="H57" s="103">
        <f>'Exhibit No. SLC-5 pg 3'!G52</f>
        <v>0</v>
      </c>
      <c r="J57" s="53">
        <f t="shared" si="11"/>
        <v>-4541116.6972164949</v>
      </c>
      <c r="L57" s="91">
        <f t="shared" si="12"/>
        <v>-69474014.045110077</v>
      </c>
      <c r="M57" s="194"/>
    </row>
    <row r="58" spans="1:13" x14ac:dyDescent="0.2">
      <c r="A58" s="89">
        <v>49</v>
      </c>
      <c r="B58" s="89" t="s">
        <v>53</v>
      </c>
      <c r="C58" s="53">
        <f>Summary!F56</f>
        <v>-164955908.35129285</v>
      </c>
      <c r="D58" s="90"/>
      <c r="E58" s="103">
        <f>'Exhibit No. SLC-5 pg 3'!D53</f>
        <v>0</v>
      </c>
      <c r="F58" s="103">
        <f>'Exhibit No. SLC-5 pg 3'!E53</f>
        <v>2299203.5205960581</v>
      </c>
      <c r="G58" s="103">
        <f>'Exhibit No. SLC-5 pg 3'!F53</f>
        <v>-21538851.557278231</v>
      </c>
      <c r="H58" s="103">
        <f>'Exhibit No. SLC-5 pg 3'!G53</f>
        <v>120288.25510121686</v>
      </c>
      <c r="J58" s="53">
        <f t="shared" si="11"/>
        <v>-19119359.781580959</v>
      </c>
      <c r="L58" s="91">
        <f t="shared" si="12"/>
        <v>-184075268.1328738</v>
      </c>
      <c r="M58" s="194"/>
    </row>
    <row r="59" spans="1:13" x14ac:dyDescent="0.2">
      <c r="A59" s="89">
        <v>50</v>
      </c>
      <c r="B59" s="89" t="s">
        <v>54</v>
      </c>
      <c r="C59" s="53">
        <f>Summary!F57</f>
        <v>-14943.338687945423</v>
      </c>
      <c r="D59" s="90"/>
      <c r="E59" s="103">
        <f>'Exhibit No. SLC-5 pg 3'!D54</f>
        <v>0</v>
      </c>
      <c r="F59" s="103">
        <f>'Exhibit No. SLC-5 pg 3'!E54</f>
        <v>0</v>
      </c>
      <c r="G59" s="103">
        <f>'Exhibit No. SLC-5 pg 3'!F54</f>
        <v>0</v>
      </c>
      <c r="H59" s="103">
        <f>'Exhibit No. SLC-5 pg 3'!G54</f>
        <v>0</v>
      </c>
      <c r="J59" s="53">
        <f t="shared" si="11"/>
        <v>0</v>
      </c>
      <c r="L59" s="91">
        <f t="shared" si="12"/>
        <v>-14943.338687945423</v>
      </c>
      <c r="M59" s="194"/>
    </row>
    <row r="60" spans="1:13" x14ac:dyDescent="0.2">
      <c r="A60" s="89">
        <v>51</v>
      </c>
      <c r="B60" s="89" t="s">
        <v>55</v>
      </c>
      <c r="C60" s="53">
        <f>Summary!F58</f>
        <v>-7825156.6492933882</v>
      </c>
      <c r="D60" s="90"/>
      <c r="E60" s="103">
        <f>'Exhibit No. SLC-5 pg 3'!D55</f>
        <v>0</v>
      </c>
      <c r="F60" s="103">
        <f>'Exhibit No. SLC-5 pg 3'!E55</f>
        <v>0</v>
      </c>
      <c r="G60" s="103">
        <f>'Exhibit No. SLC-5 pg 3'!F55</f>
        <v>0</v>
      </c>
      <c r="H60" s="103">
        <f>'Exhibit No. SLC-5 pg 3'!G55</f>
        <v>0</v>
      </c>
      <c r="J60" s="53">
        <f t="shared" si="11"/>
        <v>0</v>
      </c>
      <c r="L60" s="91">
        <f t="shared" si="12"/>
        <v>-7825156.6492933882</v>
      </c>
      <c r="M60" s="194"/>
    </row>
    <row r="61" spans="1:13" x14ac:dyDescent="0.2">
      <c r="A61" s="89">
        <v>52</v>
      </c>
      <c r="B61" s="89" t="s">
        <v>56</v>
      </c>
      <c r="C61" s="53">
        <f>Summary!F59</f>
        <v>-408390.63249999989</v>
      </c>
      <c r="D61" s="90"/>
      <c r="E61" s="103">
        <f>'Exhibit No. SLC-5 pg 3'!D56</f>
        <v>0</v>
      </c>
      <c r="F61" s="103">
        <f>'Exhibit No. SLC-5 pg 3'!E56</f>
        <v>0</v>
      </c>
      <c r="G61" s="103">
        <f>'Exhibit No. SLC-5 pg 3'!F56</f>
        <v>0</v>
      </c>
      <c r="H61" s="103">
        <f>'Exhibit No. SLC-5 pg 3'!G56</f>
        <v>0</v>
      </c>
      <c r="J61" s="53">
        <f t="shared" si="11"/>
        <v>0</v>
      </c>
      <c r="L61" s="91">
        <f t="shared" si="12"/>
        <v>-408390.63249999989</v>
      </c>
      <c r="M61" s="194"/>
    </row>
    <row r="62" spans="1:13" x14ac:dyDescent="0.2">
      <c r="A62" s="89">
        <v>53</v>
      </c>
      <c r="B62" s="89" t="s">
        <v>57</v>
      </c>
      <c r="C62" s="53">
        <f>Summary!F60</f>
        <v>-95331195.22722128</v>
      </c>
      <c r="D62" s="90"/>
      <c r="E62" s="103">
        <f>'Exhibit No. SLC-5 pg 3'!D57</f>
        <v>0</v>
      </c>
      <c r="F62" s="103">
        <f>'Exhibit No. SLC-5 pg 3'!E57</f>
        <v>-5933674.8417438725</v>
      </c>
      <c r="G62" s="103">
        <f>'Exhibit No. SLC-5 pg 3'!F57</f>
        <v>2598391</v>
      </c>
      <c r="H62" s="103">
        <f>'Exhibit No. SLC-5 pg 3'!G57</f>
        <v>0</v>
      </c>
      <c r="J62" s="53">
        <f t="shared" si="11"/>
        <v>-3335283.8417438725</v>
      </c>
      <c r="L62" s="91">
        <f t="shared" si="12"/>
        <v>-98666479.068965152</v>
      </c>
      <c r="M62" s="194"/>
    </row>
    <row r="63" spans="1:13" ht="12.75" x14ac:dyDescent="0.2">
      <c r="A63" s="89">
        <v>54</v>
      </c>
      <c r="B63" s="89"/>
      <c r="C63" s="94"/>
      <c r="D63" s="90"/>
      <c r="E63" s="103">
        <f>'Exhibit No. SLC-5 pg 3'!D58</f>
        <v>0</v>
      </c>
      <c r="F63" s="103">
        <f>'Exhibit No. SLC-5 pg 3'!E58</f>
        <v>0</v>
      </c>
      <c r="G63" s="103">
        <f>'Exhibit No. SLC-5 pg 3'!F58</f>
        <v>0</v>
      </c>
      <c r="H63" s="103">
        <f>'Exhibit No. SLC-5 pg 3'!G58</f>
        <v>0</v>
      </c>
      <c r="J63" s="94"/>
      <c r="L63" s="91">
        <f t="shared" si="12"/>
        <v>0</v>
      </c>
      <c r="M63" s="194"/>
    </row>
    <row r="64" spans="1:13" x14ac:dyDescent="0.2">
      <c r="A64" s="89">
        <v>55</v>
      </c>
      <c r="B64" s="89" t="s">
        <v>58</v>
      </c>
      <c r="C64" s="98">
        <f>SUM(C56:C63)</f>
        <v>-1338969597.8718233</v>
      </c>
      <c r="D64" s="93"/>
      <c r="E64" s="98">
        <f t="shared" ref="E64:H64" si="13">SUM(E56:E63)</f>
        <v>0</v>
      </c>
      <c r="F64" s="98">
        <f t="shared" si="13"/>
        <v>-59496003.020432405</v>
      </c>
      <c r="G64" s="98">
        <f t="shared" si="13"/>
        <v>-18940460.557278231</v>
      </c>
      <c r="H64" s="98">
        <f t="shared" si="13"/>
        <v>120288.25510121686</v>
      </c>
      <c r="J64" s="98">
        <f>SUM(J56:J63)</f>
        <v>-78316175.322609425</v>
      </c>
      <c r="L64" s="98">
        <f>SUM(L56:L63)</f>
        <v>-1417285773.1944327</v>
      </c>
      <c r="M64" s="196"/>
    </row>
    <row r="65" spans="1:13" ht="12.75" x14ac:dyDescent="0.2">
      <c r="A65" s="89">
        <v>56</v>
      </c>
      <c r="B65" s="89"/>
      <c r="C65" s="94"/>
      <c r="D65" s="90"/>
      <c r="E65" s="94"/>
      <c r="F65" s="94"/>
      <c r="G65" s="94"/>
      <c r="H65" s="94"/>
      <c r="J65" s="94"/>
      <c r="L65" s="90"/>
      <c r="M65" s="196"/>
    </row>
    <row r="66" spans="1:13" ht="12" thickBot="1" x14ac:dyDescent="0.25">
      <c r="A66" s="89">
        <v>57</v>
      </c>
      <c r="B66" s="89" t="s">
        <v>59</v>
      </c>
      <c r="C66" s="100">
        <f>C53+C64</f>
        <v>1100424346.7003789</v>
      </c>
      <c r="D66" s="93"/>
      <c r="E66" s="100">
        <f t="shared" ref="E66:H66" si="14">E53+E64</f>
        <v>0</v>
      </c>
      <c r="F66" s="100">
        <f t="shared" si="14"/>
        <v>276370629.57613736</v>
      </c>
      <c r="G66" s="100">
        <f t="shared" si="14"/>
        <v>-18940460.557278231</v>
      </c>
      <c r="H66" s="100">
        <f t="shared" si="14"/>
        <v>-368954.88995022036</v>
      </c>
      <c r="J66" s="100">
        <f>J53+J64</f>
        <v>257061214.12890893</v>
      </c>
      <c r="L66" s="100">
        <f>L53+L64</f>
        <v>1357485560.829288</v>
      </c>
      <c r="M66" s="196"/>
    </row>
    <row r="67" spans="1:13" ht="13.5" thickTop="1" x14ac:dyDescent="0.2">
      <c r="A67" s="89">
        <v>58</v>
      </c>
      <c r="B67" s="89"/>
      <c r="C67" s="94"/>
      <c r="D67" s="90"/>
      <c r="E67" s="94"/>
      <c r="F67" s="94"/>
      <c r="G67" s="94"/>
      <c r="H67" s="94"/>
      <c r="J67" s="94"/>
    </row>
    <row r="68" spans="1:13" s="115" customFormat="1" x14ac:dyDescent="0.2">
      <c r="A68" s="111">
        <v>59</v>
      </c>
      <c r="B68" s="111" t="s">
        <v>60</v>
      </c>
      <c r="C68" s="112">
        <f>Unadj_ROE</f>
        <v>0.10299999999999999</v>
      </c>
      <c r="D68" s="113"/>
      <c r="E68" s="112">
        <f>'Exhibit No. SLC-5 pg 3'!D63</f>
        <v>1.9923374279549599E-3</v>
      </c>
      <c r="F68" s="112">
        <f>'Exhibit No. SLC-5 pg 3'!E63</f>
        <v>-4.0562173485255079E-2</v>
      </c>
      <c r="G68" s="112">
        <f>'Exhibit No. SLC-5 pg 3'!F63</f>
        <v>1.3855365920462381E-3</v>
      </c>
      <c r="H68" s="112">
        <f>'Exhibit No. SLC-5 pg 3'!G63</f>
        <v>9.712029366363506E-3</v>
      </c>
      <c r="I68" s="261"/>
      <c r="J68" s="112"/>
      <c r="K68" s="114"/>
      <c r="L68" s="112">
        <f>Summary!J67</f>
        <v>7.2707585137214134E-2</v>
      </c>
      <c r="M68" s="198"/>
    </row>
    <row r="69" spans="1:13" x14ac:dyDescent="0.2">
      <c r="A69" s="89">
        <v>60</v>
      </c>
      <c r="B69" s="78" t="s">
        <v>84</v>
      </c>
      <c r="C69" s="53">
        <f>Summary!D9</f>
        <v>26763219.025179848</v>
      </c>
      <c r="D69" s="102"/>
      <c r="E69" s="103">
        <f>'Exhibit No. SLC-5 pg 3'!D64</f>
        <v>-1574590.5119332226</v>
      </c>
      <c r="F69" s="103">
        <f>'Exhibit No. SLC-5 pg 3'!E64</f>
        <v>37984330.232810147</v>
      </c>
      <c r="G69" s="103">
        <f>'Exhibit No. SLC-5 pg 3'!F64</f>
        <v>-1099965.7412948918</v>
      </c>
      <c r="H69" s="103">
        <f>'Exhibit No. SLC-5 pg 3'!G64</f>
        <v>-7365201.2825295608</v>
      </c>
      <c r="J69" s="53">
        <f>-(J39-(J66*Overall_ROR))/gross_up_factor</f>
        <v>27944572.697052475</v>
      </c>
      <c r="L69" s="53">
        <f>-(L39-(L66*Overall_ROR))/gross_up_factor-20</f>
        <v>27944572.121432699</v>
      </c>
      <c r="M69" s="199"/>
    </row>
    <row r="70" spans="1:13" x14ac:dyDescent="0.2">
      <c r="A70" s="89">
        <v>61</v>
      </c>
      <c r="B70" s="89"/>
      <c r="C70" s="103"/>
      <c r="D70" s="90"/>
      <c r="E70" s="103"/>
      <c r="F70" s="103"/>
      <c r="G70" s="103"/>
      <c r="H70" s="103"/>
      <c r="J70" s="103"/>
    </row>
    <row r="71" spans="1:13" ht="12.75" x14ac:dyDescent="0.2">
      <c r="A71" s="89">
        <v>62</v>
      </c>
      <c r="B71" s="89" t="s">
        <v>61</v>
      </c>
      <c r="C71" s="94"/>
      <c r="D71" s="90"/>
      <c r="E71" s="94"/>
      <c r="F71" s="94"/>
      <c r="G71" s="94"/>
      <c r="H71" s="94"/>
      <c r="J71" s="94"/>
      <c r="M71" s="194"/>
    </row>
    <row r="72" spans="1:13" x14ac:dyDescent="0.2">
      <c r="A72" s="89">
        <v>63</v>
      </c>
      <c r="B72" s="89" t="s">
        <v>62</v>
      </c>
      <c r="C72" s="91">
        <f>Summary!F71</f>
        <v>72076689.691479281</v>
      </c>
      <c r="D72" s="91"/>
      <c r="E72" s="103">
        <f>'Exhibit No. SLC-5 pg 3'!D67</f>
        <v>1498491.9476982728</v>
      </c>
      <c r="F72" s="103">
        <f>'Exhibit No. SLC-5 pg 3'!E67</f>
        <v>-9396198.1433326062</v>
      </c>
      <c r="G72" s="103">
        <f>'Exhibit No. SLC-5 pg 3'!F67</f>
        <v>-1882727</v>
      </c>
      <c r="H72" s="103">
        <f>'Exhibit No. SLC-5 pg 3'!G67</f>
        <v>7011257.8506784029</v>
      </c>
      <c r="J72" s="91">
        <f>SUM(E72:H72)</f>
        <v>-2769175.3449559305</v>
      </c>
      <c r="L72" s="91">
        <f>+L15-L28-L29-L30-L31-L36</f>
        <v>69307514.346523449</v>
      </c>
      <c r="M72" s="194"/>
    </row>
    <row r="73" spans="1:13" x14ac:dyDescent="0.2">
      <c r="A73" s="89">
        <v>64</v>
      </c>
      <c r="B73" s="89" t="s">
        <v>63</v>
      </c>
      <c r="C73" s="91">
        <f>Summary!F72</f>
        <v>0</v>
      </c>
      <c r="D73" s="90"/>
      <c r="E73" s="103">
        <f>'Exhibit No. SLC-5 pg 3'!D68</f>
        <v>0</v>
      </c>
      <c r="F73" s="103">
        <f>'Exhibit No. SLC-5 pg 3'!E68</f>
        <v>0</v>
      </c>
      <c r="G73" s="103">
        <f>'Exhibit No. SLC-5 pg 3'!F68</f>
        <v>0</v>
      </c>
      <c r="H73" s="103">
        <f>'Exhibit No. SLC-5 pg 3'!G68</f>
        <v>0</v>
      </c>
    </row>
    <row r="74" spans="1:13" x14ac:dyDescent="0.2">
      <c r="A74" s="89">
        <v>65</v>
      </c>
      <c r="B74" s="89" t="s">
        <v>64</v>
      </c>
      <c r="C74" s="91">
        <f>Summary!F73</f>
        <v>-3636274.7351071914</v>
      </c>
      <c r="D74" s="90"/>
      <c r="E74" s="103">
        <f>'Exhibit No. SLC-5 pg 3'!D69</f>
        <v>0</v>
      </c>
      <c r="F74" s="103">
        <f>'Exhibit No. SLC-5 pg 3'!E69</f>
        <v>0</v>
      </c>
      <c r="G74" s="103">
        <f>'Exhibit No. SLC-5 pg 3'!F69</f>
        <v>0</v>
      </c>
      <c r="H74" s="103">
        <f>'Exhibit No. SLC-5 pg 3'!G69</f>
        <v>0</v>
      </c>
      <c r="J74" s="91">
        <f>SUM(E74:H74)</f>
        <v>0</v>
      </c>
      <c r="L74" s="91">
        <f>+C74+J74</f>
        <v>-3636274.7351071914</v>
      </c>
      <c r="M74" s="194"/>
    </row>
    <row r="75" spans="1:13" x14ac:dyDescent="0.2">
      <c r="A75" s="89">
        <v>66</v>
      </c>
      <c r="B75" s="89" t="s">
        <v>65</v>
      </c>
      <c r="C75" s="91">
        <f>Summary!F74</f>
        <v>25573245.579682641</v>
      </c>
      <c r="D75" s="90"/>
      <c r="E75" s="103">
        <f>'Exhibit No. SLC-5 pg 3'!D70</f>
        <v>0</v>
      </c>
      <c r="F75" s="103">
        <f>'Exhibit No. SLC-5 pg 3'!E70</f>
        <v>0</v>
      </c>
      <c r="G75" s="103">
        <f>'Exhibit No. SLC-5 pg 3'!F70</f>
        <v>5973958.662075948</v>
      </c>
      <c r="H75" s="103">
        <f>'Exhibit No. SLC-5 pg 3'!G70</f>
        <v>0</v>
      </c>
      <c r="J75" s="91">
        <f>SUM(E75:H75)</f>
        <v>5973958.662075948</v>
      </c>
      <c r="L75" s="91">
        <f>+C75+J75</f>
        <v>31547204.241758589</v>
      </c>
      <c r="M75" s="194"/>
    </row>
    <row r="76" spans="1:13" x14ac:dyDescent="0.2">
      <c r="A76" s="89">
        <v>67</v>
      </c>
      <c r="B76" s="104" t="s">
        <v>66</v>
      </c>
      <c r="C76" s="91">
        <f>Summary!F75</f>
        <v>102431858.53765158</v>
      </c>
      <c r="D76" s="93"/>
      <c r="E76" s="103">
        <f>'Exhibit No. SLC-5 pg 3'!D71</f>
        <v>0</v>
      </c>
      <c r="F76" s="103">
        <f>'Exhibit No. SLC-5 pg 3'!E71</f>
        <v>289965.89217130182</v>
      </c>
      <c r="G76" s="103">
        <f>'Exhibit No. SLC-5 pg 3'!F71</f>
        <v>10157136.349259827</v>
      </c>
      <c r="H76" s="103">
        <f>'Exhibit No. SLC-5 pg 3'!G71</f>
        <v>0</v>
      </c>
      <c r="J76" s="91">
        <f>SUM(E76:H76)</f>
        <v>10447102.241431128</v>
      </c>
      <c r="L76" s="91">
        <f>+C76+J76</f>
        <v>112878960.77908272</v>
      </c>
      <c r="M76" s="194"/>
    </row>
    <row r="77" spans="1:13" x14ac:dyDescent="0.2">
      <c r="A77" s="89">
        <v>68</v>
      </c>
      <c r="B77" s="104" t="s">
        <v>67</v>
      </c>
      <c r="C77" s="91">
        <f>Summary!F76</f>
        <v>113644045.8027956</v>
      </c>
      <c r="D77" s="93"/>
      <c r="E77" s="103">
        <f>'Exhibit No. SLC-5 pg 3'!D72</f>
        <v>0</v>
      </c>
      <c r="F77" s="103">
        <f>'Exhibit No. SLC-5 pg 3'!E72</f>
        <v>3920520.3449155949</v>
      </c>
      <c r="G77" s="103">
        <f>'Exhibit No. SLC-5 pg 3'!F72</f>
        <v>16975738.796758544</v>
      </c>
      <c r="H77" s="103">
        <f>'Exhibit No. SLC-5 pg 3'!G72</f>
        <v>826092.83000000054</v>
      </c>
      <c r="J77" s="105">
        <f>SUM(E77:H77)</f>
        <v>21722351.971674141</v>
      </c>
      <c r="L77" s="91">
        <f>+C77+J77</f>
        <v>135366397.77446973</v>
      </c>
      <c r="M77" s="194"/>
    </row>
    <row r="78" spans="1:13" x14ac:dyDescent="0.2">
      <c r="A78" s="89">
        <v>69</v>
      </c>
      <c r="B78" s="89" t="s">
        <v>68</v>
      </c>
      <c r="C78" s="117">
        <f>Summary!F77</f>
        <v>38927531.581759825</v>
      </c>
      <c r="D78" s="90"/>
      <c r="E78" s="117">
        <f>'Exhibit No. SLC-5 pg 3'!D73</f>
        <v>1498491.9476982728</v>
      </c>
      <c r="F78" s="117">
        <f>'Exhibit No. SLC-5 pg 3'!E73</f>
        <v>-13026752.5960769</v>
      </c>
      <c r="G78" s="117">
        <f>'Exhibit No. SLC-5 pg 3'!F73</f>
        <v>-14675288.109574664</v>
      </c>
      <c r="H78" s="117">
        <f>'Exhibit No. SLC-5 pg 3'!G73</f>
        <v>6185165.0206784029</v>
      </c>
      <c r="J78" s="106">
        <f>SUM(E78:H78)</f>
        <v>-20018383.737274893</v>
      </c>
      <c r="L78" s="97">
        <f>+C78+J78</f>
        <v>18909147.844484933</v>
      </c>
      <c r="M78" s="196"/>
    </row>
    <row r="79" spans="1:13" x14ac:dyDescent="0.2">
      <c r="A79" s="89">
        <v>70</v>
      </c>
      <c r="B79" s="89"/>
      <c r="C79" s="107"/>
      <c r="D79" s="90"/>
      <c r="E79" s="107"/>
      <c r="F79" s="107"/>
      <c r="G79" s="107"/>
      <c r="H79" s="107"/>
      <c r="J79" s="107"/>
    </row>
    <row r="80" spans="1:13" x14ac:dyDescent="0.2">
      <c r="A80" s="89">
        <v>71</v>
      </c>
      <c r="B80" s="89" t="s">
        <v>69</v>
      </c>
      <c r="C80" s="91">
        <v>0</v>
      </c>
      <c r="D80" s="93"/>
      <c r="E80" s="91">
        <f>'Exhibit No. SLC-5 pg 3'!D75</f>
        <v>0</v>
      </c>
      <c r="F80" s="91">
        <f>'Exhibit No. SLC-5 pg 3'!E75</f>
        <v>0</v>
      </c>
      <c r="G80" s="91">
        <f>'Exhibit No. SLC-5 pg 3'!F75</f>
        <v>0</v>
      </c>
      <c r="H80" s="91">
        <f>'Exhibit No. SLC-5 pg 3'!G75</f>
        <v>0</v>
      </c>
      <c r="J80" s="91">
        <f>SUM(E80:H80)</f>
        <v>0</v>
      </c>
      <c r="L80" s="108">
        <f>+C80+J80</f>
        <v>0</v>
      </c>
      <c r="M80" s="196"/>
    </row>
    <row r="81" spans="1:13" ht="12" thickBot="1" x14ac:dyDescent="0.25">
      <c r="A81" s="89">
        <v>72</v>
      </c>
      <c r="B81" s="89" t="s">
        <v>70</v>
      </c>
      <c r="C81" s="109">
        <f>Summary!F80</f>
        <v>38927531.581759803</v>
      </c>
      <c r="D81" s="93"/>
      <c r="E81" s="109">
        <f>'Exhibit No. SLC-5 pg 3'!D76</f>
        <v>1498491.9476982728</v>
      </c>
      <c r="F81" s="109">
        <f>'Exhibit No. SLC-5 pg 3'!E76</f>
        <v>-13026752.5960769</v>
      </c>
      <c r="G81" s="109">
        <f>'Exhibit No. SLC-5 pg 3'!F76</f>
        <v>-14675288.109574664</v>
      </c>
      <c r="H81" s="109">
        <f>'Exhibit No. SLC-5 pg 3'!G76</f>
        <v>6185165.0206784029</v>
      </c>
      <c r="J81" s="109">
        <f>SUM(E81:H81)</f>
        <v>-20018383.737274893</v>
      </c>
      <c r="L81" s="110">
        <f>+C81+J81</f>
        <v>18909147.84448491</v>
      </c>
      <c r="M81" s="196"/>
    </row>
    <row r="82" spans="1:13" ht="13.5" thickTop="1" x14ac:dyDescent="0.2">
      <c r="A82" s="89">
        <v>73</v>
      </c>
      <c r="B82" s="89"/>
      <c r="C82" s="94"/>
      <c r="D82" s="90"/>
      <c r="E82" s="94"/>
      <c r="F82" s="94"/>
      <c r="G82" s="94"/>
      <c r="H82" s="94"/>
      <c r="J82" s="94"/>
    </row>
    <row r="83" spans="1:13" ht="12" thickBot="1" x14ac:dyDescent="0.25">
      <c r="A83" s="89">
        <v>74</v>
      </c>
      <c r="B83" s="104" t="s">
        <v>114</v>
      </c>
      <c r="C83" s="109">
        <f>Summary!F84</f>
        <v>-8843791.541803468</v>
      </c>
      <c r="D83" s="93"/>
      <c r="E83" s="109">
        <f>'Exhibit No. SLC-5 pg 3'!D78</f>
        <v>314683.30901663727</v>
      </c>
      <c r="F83" s="109">
        <f>'Exhibit No. SLC-5 pg 3'!E78</f>
        <v>-2735618.0451761489</v>
      </c>
      <c r="G83" s="109">
        <f>'Exhibit No. SLC-5 pg 3'!F78</f>
        <v>-3081810.5030106795</v>
      </c>
      <c r="H83" s="109">
        <f>'Exhibit No. SLC-5 pg 3'!G78</f>
        <v>1298884.6543424646</v>
      </c>
      <c r="J83" s="109">
        <f>SUM(E83:H83)</f>
        <v>-4203860.5848277267</v>
      </c>
      <c r="L83" s="109">
        <f>+C83+J83</f>
        <v>-13047652.126631195</v>
      </c>
      <c r="M83" s="194"/>
    </row>
    <row r="84" spans="1:13" ht="12" thickTop="1" x14ac:dyDescent="0.2"/>
    <row r="85" spans="1:13" x14ac:dyDescent="0.2">
      <c r="L85" s="91"/>
    </row>
  </sheetData>
  <mergeCells count="3">
    <mergeCell ref="A2:B2"/>
    <mergeCell ref="A3:C3"/>
    <mergeCell ref="E6:H6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SLC-3
Page &amp;P</oddHeader>
  </headerFooter>
  <customProperties>
    <customPr name="_pios_id" r:id="rId2"/>
  </customProperties>
  <ignoredErrors>
    <ignoredError sqref="J28 L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81"/>
  <sheetViews>
    <sheetView showOutlineSymbols="0" topLeftCell="A46" workbookViewId="0">
      <selection activeCell="J26" sqref="J26"/>
    </sheetView>
  </sheetViews>
  <sheetFormatPr defaultRowHeight="12.75" x14ac:dyDescent="0.2"/>
  <cols>
    <col min="1" max="1" width="5.140625" style="164" customWidth="1"/>
    <col min="2" max="2" width="25.140625" style="164" bestFit="1" customWidth="1"/>
    <col min="3" max="3" width="19.28515625" style="164" customWidth="1"/>
    <col min="4" max="4" width="19.140625" style="164" customWidth="1"/>
    <col min="5" max="5" width="19.7109375" style="164" customWidth="1"/>
    <col min="6" max="6" width="16.85546875" style="164" customWidth="1"/>
    <col min="7" max="7" width="18.42578125" style="164" customWidth="1"/>
    <col min="8" max="16384" width="9.140625" style="164"/>
  </cols>
  <sheetData>
    <row r="1" spans="1:9" x14ac:dyDescent="0.2">
      <c r="B1" s="283" t="s">
        <v>124</v>
      </c>
      <c r="C1" s="283"/>
      <c r="D1" s="283"/>
      <c r="E1" s="283"/>
      <c r="F1" s="283"/>
      <c r="G1" s="283"/>
      <c r="I1" s="19"/>
    </row>
    <row r="3" spans="1:9" ht="51" x14ac:dyDescent="0.2">
      <c r="C3" s="165" t="s">
        <v>97</v>
      </c>
      <c r="D3" s="157" t="s">
        <v>186</v>
      </c>
      <c r="E3" s="224" t="s">
        <v>187</v>
      </c>
      <c r="F3" s="157" t="s">
        <v>188</v>
      </c>
      <c r="G3" s="157" t="s">
        <v>189</v>
      </c>
    </row>
    <row r="4" spans="1:9" x14ac:dyDescent="0.2">
      <c r="D4" s="156"/>
      <c r="E4" s="156"/>
      <c r="F4" s="156"/>
      <c r="G4" s="156"/>
    </row>
    <row r="5" spans="1:9" x14ac:dyDescent="0.2">
      <c r="A5" s="166">
        <v>1</v>
      </c>
      <c r="B5" s="166" t="s">
        <v>9</v>
      </c>
      <c r="D5" s="156"/>
      <c r="E5" s="156"/>
      <c r="F5" s="156"/>
      <c r="G5" s="156"/>
    </row>
    <row r="6" spans="1:9" x14ac:dyDescent="0.2">
      <c r="A6" s="166">
        <v>2</v>
      </c>
      <c r="B6" s="166" t="s">
        <v>10</v>
      </c>
      <c r="C6" s="167">
        <f>SUM(D6:G6)</f>
        <v>0</v>
      </c>
      <c r="D6" s="158">
        <f>SUM('Pro Forma Adj'!C12:E12)</f>
        <v>0</v>
      </c>
      <c r="E6" s="158">
        <f>SUM('Pro Forma Adj'!F12:O12)</f>
        <v>0</v>
      </c>
      <c r="F6" s="158">
        <f>SUM('Pro Forma Adj'!P12:U12)</f>
        <v>0</v>
      </c>
      <c r="G6" s="158">
        <f>SUM('Pro Forma Adj'!V12:W12)</f>
        <v>0</v>
      </c>
    </row>
    <row r="7" spans="1:9" x14ac:dyDescent="0.2">
      <c r="A7" s="166">
        <v>3</v>
      </c>
      <c r="B7" s="166" t="s">
        <v>11</v>
      </c>
      <c r="C7" s="167">
        <f>SUM(D7:G7)</f>
        <v>0</v>
      </c>
      <c r="D7" s="167">
        <f>SUM('Pro Forma Adj'!C13:E13)</f>
        <v>0</v>
      </c>
      <c r="E7" s="167">
        <f>SUM('Pro Forma Adj'!F13:O13)</f>
        <v>0</v>
      </c>
      <c r="F7" s="167">
        <f>SUM('Pro Forma Adj'!P13:U13)</f>
        <v>0</v>
      </c>
      <c r="G7" s="167">
        <f>SUM('Pro Forma Adj'!V13:W13)</f>
        <v>0</v>
      </c>
    </row>
    <row r="8" spans="1:9" x14ac:dyDescent="0.2">
      <c r="A8" s="166">
        <v>4</v>
      </c>
      <c r="B8" s="166" t="s">
        <v>12</v>
      </c>
      <c r="C8" s="167">
        <f>SUM(D8:G8)</f>
        <v>0</v>
      </c>
      <c r="D8" s="167">
        <f>SUM('Pro Forma Adj'!C14:E14)</f>
        <v>0</v>
      </c>
      <c r="E8" s="167">
        <f>SUM('Pro Forma Adj'!F14:O14)</f>
        <v>0</v>
      </c>
      <c r="F8" s="167">
        <f>SUM('Pro Forma Adj'!P14:U14)</f>
        <v>0</v>
      </c>
      <c r="G8" s="167">
        <f>SUM('Pro Forma Adj'!V14:W14)</f>
        <v>0</v>
      </c>
    </row>
    <row r="9" spans="1:9" x14ac:dyDescent="0.2">
      <c r="A9" s="166">
        <v>5</v>
      </c>
      <c r="B9" s="166" t="s">
        <v>13</v>
      </c>
      <c r="C9" s="167">
        <f>SUM(D9:G9)</f>
        <v>2100780.9236015039</v>
      </c>
      <c r="D9" s="167">
        <f>SUM('Pro Forma Adj'!C15:E15)</f>
        <v>2100780.9236015039</v>
      </c>
      <c r="E9" s="167">
        <f>SUM('Pro Forma Adj'!F15:O15)</f>
        <v>0</v>
      </c>
      <c r="F9" s="167">
        <f>SUM('Pro Forma Adj'!P15:U15)</f>
        <v>0</v>
      </c>
      <c r="G9" s="167">
        <f>SUM('Pro Forma Adj'!V15:W15)</f>
        <v>0</v>
      </c>
    </row>
    <row r="10" spans="1:9" x14ac:dyDescent="0.2">
      <c r="A10" s="166">
        <v>6</v>
      </c>
      <c r="B10" s="166" t="s">
        <v>14</v>
      </c>
      <c r="C10" s="168">
        <f>SUM(C6:C9)</f>
        <v>2100780.9236015039</v>
      </c>
      <c r="D10" s="168">
        <f t="shared" ref="D10:G10" si="0">SUM(D6:D9)</f>
        <v>2100780.9236015039</v>
      </c>
      <c r="E10" s="168">
        <f t="shared" si="0"/>
        <v>0</v>
      </c>
      <c r="F10" s="168">
        <f t="shared" si="0"/>
        <v>0</v>
      </c>
      <c r="G10" s="168">
        <f t="shared" si="0"/>
        <v>0</v>
      </c>
    </row>
    <row r="11" spans="1:9" x14ac:dyDescent="0.2">
      <c r="A11" s="166">
        <v>7</v>
      </c>
      <c r="B11" s="166"/>
      <c r="D11" s="156"/>
      <c r="E11" s="156"/>
      <c r="F11" s="156"/>
      <c r="G11" s="156"/>
    </row>
    <row r="12" spans="1:9" x14ac:dyDescent="0.2">
      <c r="A12" s="166">
        <v>8</v>
      </c>
      <c r="B12" s="166" t="s">
        <v>15</v>
      </c>
      <c r="D12" s="156"/>
      <c r="E12" s="156"/>
      <c r="F12" s="156"/>
      <c r="G12" s="156"/>
    </row>
    <row r="13" spans="1:9" x14ac:dyDescent="0.2">
      <c r="A13" s="166">
        <v>9</v>
      </c>
      <c r="B13" s="166" t="s">
        <v>16</v>
      </c>
      <c r="C13" s="167">
        <f t="shared" ref="C13:C22" si="1">SUM(D13:G13)</f>
        <v>102967.18817462141</v>
      </c>
      <c r="D13" s="167">
        <f>SUM('Pro Forma Adj'!C19:E19)</f>
        <v>102967.18817462141</v>
      </c>
      <c r="E13" s="167">
        <f>SUM('Pro Forma Adj'!F19:O19)</f>
        <v>0</v>
      </c>
      <c r="F13" s="167">
        <f>SUM('Pro Forma Adj'!P19:U19)</f>
        <v>0</v>
      </c>
      <c r="G13" s="167">
        <f>SUM('Pro Forma Adj'!V19:W19)</f>
        <v>0</v>
      </c>
    </row>
    <row r="14" spans="1:9" x14ac:dyDescent="0.2">
      <c r="A14" s="166">
        <v>10</v>
      </c>
      <c r="B14" s="166" t="s">
        <v>17</v>
      </c>
      <c r="C14" s="167">
        <f t="shared" si="1"/>
        <v>0</v>
      </c>
      <c r="D14" s="167">
        <f>SUM('Pro Forma Adj'!C20:E20)</f>
        <v>0</v>
      </c>
      <c r="E14" s="167">
        <f>SUM('Pro Forma Adj'!F20:O20)</f>
        <v>0</v>
      </c>
      <c r="F14" s="167">
        <f>SUM('Pro Forma Adj'!P20:U20)</f>
        <v>0</v>
      </c>
      <c r="G14" s="167">
        <f>SUM('Pro Forma Adj'!V20:W20)</f>
        <v>0</v>
      </c>
    </row>
    <row r="15" spans="1:9" x14ac:dyDescent="0.2">
      <c r="A15" s="166">
        <v>11</v>
      </c>
      <c r="B15" s="166" t="s">
        <v>18</v>
      </c>
      <c r="C15" s="167">
        <f t="shared" si="1"/>
        <v>36612.357282862256</v>
      </c>
      <c r="D15" s="167">
        <f>SUM('Pro Forma Adj'!C21:E21)</f>
        <v>36612.357282862256</v>
      </c>
      <c r="E15" s="167">
        <f>SUM('Pro Forma Adj'!F21:O21)</f>
        <v>0</v>
      </c>
      <c r="F15" s="167">
        <f>SUM('Pro Forma Adj'!P21:U21)</f>
        <v>0</v>
      </c>
      <c r="G15" s="167">
        <f>SUM('Pro Forma Adj'!V21:W21)</f>
        <v>0</v>
      </c>
    </row>
    <row r="16" spans="1:9" x14ac:dyDescent="0.2">
      <c r="A16" s="166">
        <v>12</v>
      </c>
      <c r="B16" s="166" t="s">
        <v>19</v>
      </c>
      <c r="C16" s="167">
        <f t="shared" si="1"/>
        <v>457834.33913630672</v>
      </c>
      <c r="D16" s="167">
        <f>SUM('Pro Forma Adj'!C22:E22)</f>
        <v>62254.61173888667</v>
      </c>
      <c r="E16" s="167">
        <f>SUM('Pro Forma Adj'!F22:O22)</f>
        <v>395579.72739742004</v>
      </c>
      <c r="F16" s="167">
        <f>SUM('Pro Forma Adj'!P22:U22)</f>
        <v>0</v>
      </c>
      <c r="G16" s="167">
        <f>SUM('Pro Forma Adj'!V22:W22)</f>
        <v>0</v>
      </c>
    </row>
    <row r="17" spans="1:9" x14ac:dyDescent="0.2">
      <c r="A17" s="166">
        <v>13</v>
      </c>
      <c r="B17" s="166" t="s">
        <v>20</v>
      </c>
      <c r="C17" s="167">
        <f t="shared" si="1"/>
        <v>35793.424398043266</v>
      </c>
      <c r="D17" s="167">
        <f>SUM('Pro Forma Adj'!C23:E23)</f>
        <v>35793.424398043266</v>
      </c>
      <c r="E17" s="167">
        <f>SUM('Pro Forma Adj'!F23:O23)</f>
        <v>0</v>
      </c>
      <c r="F17" s="167">
        <f>SUM('Pro Forma Adj'!P23:U23)</f>
        <v>0</v>
      </c>
      <c r="G17" s="167">
        <f>SUM('Pro Forma Adj'!V23:W23)</f>
        <v>0</v>
      </c>
    </row>
    <row r="18" spans="1:9" x14ac:dyDescent="0.2">
      <c r="A18" s="166">
        <v>14</v>
      </c>
      <c r="B18" s="166" t="s">
        <v>21</v>
      </c>
      <c r="C18" s="167">
        <f t="shared" si="1"/>
        <v>241927.83756353604</v>
      </c>
      <c r="D18" s="167">
        <f>SUM('Pro Forma Adj'!C24:E24)</f>
        <v>241927.83756353604</v>
      </c>
      <c r="E18" s="167">
        <f>SUM('Pro Forma Adj'!F24:O24)</f>
        <v>0</v>
      </c>
      <c r="F18" s="167">
        <f>SUM('Pro Forma Adj'!P24:U24)</f>
        <v>0</v>
      </c>
      <c r="G18" s="167">
        <f>SUM('Pro Forma Adj'!V24:W24)</f>
        <v>0</v>
      </c>
    </row>
    <row r="19" spans="1:9" x14ac:dyDescent="0.2">
      <c r="A19" s="166">
        <v>15</v>
      </c>
      <c r="B19" s="166" t="s">
        <v>22</v>
      </c>
      <c r="C19" s="167">
        <f t="shared" si="1"/>
        <v>55381.593112062139</v>
      </c>
      <c r="D19" s="167">
        <f>SUM('Pro Forma Adj'!C25:E25)</f>
        <v>55381.593112062139</v>
      </c>
      <c r="E19" s="167">
        <f>SUM('Pro Forma Adj'!F25:O25)</f>
        <v>0</v>
      </c>
      <c r="F19" s="167">
        <f>SUM('Pro Forma Adj'!P25:U25)</f>
        <v>0</v>
      </c>
      <c r="G19" s="167">
        <f>SUM('Pro Forma Adj'!V25:W25)</f>
        <v>0</v>
      </c>
    </row>
    <row r="20" spans="1:9" x14ac:dyDescent="0.2">
      <c r="A20" s="166">
        <v>16</v>
      </c>
      <c r="B20" s="166" t="s">
        <v>23</v>
      </c>
      <c r="C20" s="167">
        <f t="shared" si="1"/>
        <v>22498.957719657268</v>
      </c>
      <c r="D20" s="167">
        <f>SUM('Pro Forma Adj'!C26:E26)</f>
        <v>22498.957719657268</v>
      </c>
      <c r="E20" s="167">
        <f>SUM('Pro Forma Adj'!F26:O26)</f>
        <v>0</v>
      </c>
      <c r="F20" s="167">
        <f>SUM('Pro Forma Adj'!P26:U26)</f>
        <v>0</v>
      </c>
      <c r="G20" s="167">
        <f>SUM('Pro Forma Adj'!V26:W26)</f>
        <v>0</v>
      </c>
    </row>
    <row r="21" spans="1:9" x14ac:dyDescent="0.2">
      <c r="A21" s="166">
        <v>17</v>
      </c>
      <c r="B21" s="166" t="s">
        <v>24</v>
      </c>
      <c r="C21" s="167">
        <f t="shared" si="1"/>
        <v>0</v>
      </c>
      <c r="D21" s="167">
        <f>SUM('Pro Forma Adj'!C27:E27)</f>
        <v>0</v>
      </c>
      <c r="E21" s="167">
        <f>SUM('Pro Forma Adj'!F27:O27)</f>
        <v>0</v>
      </c>
      <c r="F21" s="167">
        <f>SUM('Pro Forma Adj'!P27:U27)</f>
        <v>0</v>
      </c>
      <c r="G21" s="167">
        <f>SUM('Pro Forma Adj'!V27:W27)</f>
        <v>0</v>
      </c>
    </row>
    <row r="22" spans="1:9" x14ac:dyDescent="0.2">
      <c r="A22" s="166">
        <v>18</v>
      </c>
      <c r="B22" s="166" t="s">
        <v>25</v>
      </c>
      <c r="C22" s="173">
        <f t="shared" si="1"/>
        <v>44853.005913562411</v>
      </c>
      <c r="D22" s="169">
        <f>SUM('Pro Forma Adj'!C28:E28)</f>
        <v>44853.005913562411</v>
      </c>
      <c r="E22" s="169">
        <f>SUM('Pro Forma Adj'!F28:O28)</f>
        <v>0</v>
      </c>
      <c r="F22" s="169">
        <f>SUM('Pro Forma Adj'!P28:U28)</f>
        <v>0</v>
      </c>
      <c r="G22" s="169">
        <f>SUM('Pro Forma Adj'!V28:W28)</f>
        <v>0</v>
      </c>
    </row>
    <row r="23" spans="1:9" x14ac:dyDescent="0.2">
      <c r="A23" s="166">
        <v>19</v>
      </c>
      <c r="B23" s="166" t="s">
        <v>26</v>
      </c>
      <c r="C23" s="177">
        <f>SUM(C13:C22)</f>
        <v>997868.70330065151</v>
      </c>
      <c r="D23" s="225">
        <f t="shared" ref="D23:E23" si="2">SUM(D13:D22)</f>
        <v>602288.9759032313</v>
      </c>
      <c r="E23" s="225">
        <f t="shared" si="2"/>
        <v>395579.72739742004</v>
      </c>
      <c r="F23" s="225">
        <f t="shared" ref="F23:G23" si="3">SUM(F13:F22)</f>
        <v>0</v>
      </c>
      <c r="G23" s="225">
        <f t="shared" si="3"/>
        <v>0</v>
      </c>
    </row>
    <row r="24" spans="1:9" x14ac:dyDescent="0.2">
      <c r="A24" s="166">
        <v>20</v>
      </c>
      <c r="B24" s="166" t="s">
        <v>27</v>
      </c>
      <c r="C24" s="167">
        <f>SUM(D24:G24)</f>
        <v>7769787.527010344</v>
      </c>
      <c r="D24" s="167">
        <f>SUM('Pro Forma Adj'!C30:E30)</f>
        <v>0</v>
      </c>
      <c r="E24" s="167">
        <f>SUM('Pro Forma Adj'!F30:O30)</f>
        <v>7769787.527010344</v>
      </c>
      <c r="F24" s="167">
        <f>SUM('Pro Forma Adj'!P30:U30)</f>
        <v>0</v>
      </c>
      <c r="G24" s="167">
        <f>SUM('Pro Forma Adj'!V30:W30)</f>
        <v>0</v>
      </c>
    </row>
    <row r="25" spans="1:9" x14ac:dyDescent="0.2">
      <c r="A25" s="166">
        <v>21</v>
      </c>
      <c r="B25" s="166" t="s">
        <v>28</v>
      </c>
      <c r="C25" s="167">
        <f>SUM(D25:G25)</f>
        <v>-5780426.9617535602</v>
      </c>
      <c r="D25" s="167">
        <f>SUM('Pro Forma Adj'!C31:E31)</f>
        <v>0</v>
      </c>
      <c r="E25" s="167">
        <f>SUM('Pro Forma Adj'!F31:O31)</f>
        <v>1230830.8889248422</v>
      </c>
      <c r="F25" s="167">
        <f>SUM('Pro Forma Adj'!P31:U31)</f>
        <v>0</v>
      </c>
      <c r="G25" s="167">
        <f>SUM('Pro Forma Adj'!V31:W31)</f>
        <v>-7011257.8506784029</v>
      </c>
    </row>
    <row r="26" spans="1:9" x14ac:dyDescent="0.2">
      <c r="A26" s="166">
        <v>22</v>
      </c>
      <c r="B26" s="166" t="s">
        <v>29</v>
      </c>
      <c r="C26" s="167">
        <f>SUM(D26:G26)</f>
        <v>1882727</v>
      </c>
      <c r="D26" s="167">
        <f>SUM('Pro Forma Adj'!C32:E32)</f>
        <v>0</v>
      </c>
      <c r="E26" s="167">
        <f>SUM('Pro Forma Adj'!F32:O32)</f>
        <v>0</v>
      </c>
      <c r="F26" s="167">
        <f>SUM('Pro Forma Adj'!P32:U32)</f>
        <v>1882727</v>
      </c>
      <c r="G26" s="167">
        <f>SUM('Pro Forma Adj'!V32:W32)</f>
        <v>0</v>
      </c>
    </row>
    <row r="27" spans="1:9" x14ac:dyDescent="0.2">
      <c r="A27" s="166">
        <v>23</v>
      </c>
      <c r="B27" s="166" t="s">
        <v>98</v>
      </c>
      <c r="C27" s="167">
        <f>C80</f>
        <v>-4203860.5848277267</v>
      </c>
      <c r="D27" s="167">
        <f>SUM('Pro Forma Adj'!C33:E33)</f>
        <v>314683.30901663721</v>
      </c>
      <c r="E27" s="167">
        <f>SUM('Pro Forma Adj'!F33:O33)</f>
        <v>-2735618.0451761484</v>
      </c>
      <c r="F27" s="167">
        <f>SUM('Pro Forma Adj'!P33:U33)</f>
        <v>-3081810.503010679</v>
      </c>
      <c r="G27" s="167">
        <f>SUM('Pro Forma Adj'!V33:W33)</f>
        <v>1298884.6543424646</v>
      </c>
    </row>
    <row r="28" spans="1:9" x14ac:dyDescent="0.2">
      <c r="A28" s="166">
        <v>24</v>
      </c>
      <c r="B28" s="166" t="s">
        <v>99</v>
      </c>
      <c r="C28" s="167">
        <f>SUM(D28:G28)</f>
        <v>0</v>
      </c>
      <c r="D28" s="167">
        <f>SUM('Pro Forma Adj'!C34:E34)</f>
        <v>0</v>
      </c>
      <c r="E28" s="167">
        <f>SUM('Pro Forma Adj'!F34:O34)</f>
        <v>0</v>
      </c>
      <c r="F28" s="167">
        <f>SUM('Pro Forma Adj'!P34:U34)</f>
        <v>0</v>
      </c>
      <c r="G28" s="167">
        <f>SUM('Pro Forma Adj'!V34:W34)</f>
        <v>0</v>
      </c>
    </row>
    <row r="29" spans="1:9" x14ac:dyDescent="0.2">
      <c r="A29" s="166">
        <v>25</v>
      </c>
      <c r="B29" s="166" t="s">
        <v>100</v>
      </c>
      <c r="C29" s="167">
        <f>SUM(D29:G29)</f>
        <v>2907321.6111727078</v>
      </c>
      <c r="D29" s="167">
        <f>SUM('Pro Forma Adj'!C35:E35)</f>
        <v>0</v>
      </c>
      <c r="E29" s="167">
        <f>SUM('Pro Forma Adj'!F35:O35)</f>
        <v>892631.20968842856</v>
      </c>
      <c r="F29" s="167">
        <f>SUM('Pro Forma Adj'!P35:U35)</f>
        <v>1811582.261743499</v>
      </c>
      <c r="G29" s="167">
        <f>SUM('Pro Forma Adj'!V35:W35)</f>
        <v>203108.13974078008</v>
      </c>
      <c r="I29" s="254"/>
    </row>
    <row r="30" spans="1:9" x14ac:dyDescent="0.2">
      <c r="A30" s="166">
        <v>26</v>
      </c>
      <c r="B30" s="166" t="s">
        <v>33</v>
      </c>
      <c r="C30" s="167">
        <f>SUM(D30:G30)</f>
        <v>0</v>
      </c>
      <c r="D30" s="167">
        <f>SUM('Pro Forma Adj'!C36:E36)</f>
        <v>0</v>
      </c>
      <c r="E30" s="167">
        <f>SUM('Pro Forma Adj'!F36:O36)</f>
        <v>0</v>
      </c>
      <c r="F30" s="167">
        <f>SUM('Pro Forma Adj'!P36:U36)</f>
        <v>0</v>
      </c>
      <c r="G30" s="167">
        <f>SUM('Pro Forma Adj'!V36:W36)</f>
        <v>0</v>
      </c>
    </row>
    <row r="31" spans="1:9" x14ac:dyDescent="0.2">
      <c r="A31" s="166">
        <v>27</v>
      </c>
      <c r="B31" s="166" t="s">
        <v>34</v>
      </c>
      <c r="C31" s="167">
        <f>SUM(D31:G31)</f>
        <v>0</v>
      </c>
      <c r="D31" s="167">
        <f>SUM('Pro Forma Adj'!C37:E37)</f>
        <v>0</v>
      </c>
      <c r="E31" s="167">
        <f>SUM('Pro Forma Adj'!F37:O37)</f>
        <v>0</v>
      </c>
      <c r="F31" s="167">
        <f>SUM('Pro Forma Adj'!P37:U37)</f>
        <v>0</v>
      </c>
      <c r="G31" s="167">
        <f>SUM('Pro Forma Adj'!V37:W37)</f>
        <v>0</v>
      </c>
    </row>
    <row r="32" spans="1:9" x14ac:dyDescent="0.2">
      <c r="A32" s="166">
        <v>28</v>
      </c>
      <c r="B32" s="170" t="s">
        <v>35</v>
      </c>
      <c r="C32" s="171">
        <f>SUM(C23:C31)</f>
        <v>3573417.2949024159</v>
      </c>
      <c r="D32" s="160">
        <f t="shared" ref="D32:G32" si="4">SUM(D23:D31)</f>
        <v>916972.28491986846</v>
      </c>
      <c r="E32" s="160">
        <f t="shared" si="4"/>
        <v>7553211.3078448866</v>
      </c>
      <c r="F32" s="160">
        <f t="shared" si="4"/>
        <v>612498.75873281993</v>
      </c>
      <c r="G32" s="160">
        <f t="shared" si="4"/>
        <v>-5509265.0565951578</v>
      </c>
    </row>
    <row r="33" spans="1:7" x14ac:dyDescent="0.2">
      <c r="A33" s="166">
        <v>29</v>
      </c>
      <c r="B33" s="166"/>
      <c r="D33" s="156"/>
      <c r="E33" s="156"/>
      <c r="F33" s="156"/>
      <c r="G33" s="156"/>
    </row>
    <row r="34" spans="1:7" ht="13.5" thickBot="1" x14ac:dyDescent="0.25">
      <c r="A34" s="166">
        <v>30</v>
      </c>
      <c r="B34" s="166" t="s">
        <v>36</v>
      </c>
      <c r="C34" s="172">
        <f>C10-C32</f>
        <v>-1472636.371300912</v>
      </c>
      <c r="D34" s="161">
        <f t="shared" ref="D34:G34" si="5">D10-D32</f>
        <v>1183808.6386816355</v>
      </c>
      <c r="E34" s="161">
        <f t="shared" si="5"/>
        <v>-7553211.3078448866</v>
      </c>
      <c r="F34" s="161">
        <f t="shared" si="5"/>
        <v>-612498.75873281993</v>
      </c>
      <c r="G34" s="161">
        <f t="shared" si="5"/>
        <v>5509265.0565951578</v>
      </c>
    </row>
    <row r="35" spans="1:7" ht="13.5" thickTop="1" x14ac:dyDescent="0.2">
      <c r="A35" s="166">
        <v>31</v>
      </c>
      <c r="B35" s="166"/>
      <c r="D35" s="156"/>
      <c r="E35" s="156"/>
      <c r="F35" s="156"/>
      <c r="G35" s="156"/>
    </row>
    <row r="36" spans="1:7" x14ac:dyDescent="0.2">
      <c r="A36" s="166">
        <v>32</v>
      </c>
      <c r="B36" s="166" t="s">
        <v>37</v>
      </c>
      <c r="D36" s="156"/>
      <c r="E36" s="156"/>
      <c r="F36" s="156"/>
      <c r="G36" s="156"/>
    </row>
    <row r="37" spans="1:7" x14ac:dyDescent="0.2">
      <c r="A37" s="166">
        <v>33</v>
      </c>
      <c r="B37" s="166" t="s">
        <v>38</v>
      </c>
      <c r="C37" s="167">
        <f t="shared" ref="C37:C47" si="6">SUM(D37:G37)</f>
        <v>335866632.59656978</v>
      </c>
      <c r="D37" s="167">
        <f>SUM('Pro Forma Adj'!C43:E43)</f>
        <v>0</v>
      </c>
      <c r="E37" s="167">
        <f>SUM('Pro Forma Adj'!F43:O43)</f>
        <v>335866632.59656978</v>
      </c>
      <c r="F37" s="167">
        <f>SUM('Pro Forma Adj'!P43:U43)</f>
        <v>0</v>
      </c>
      <c r="G37" s="167">
        <f>SUM('Pro Forma Adj'!V43:W43)</f>
        <v>0</v>
      </c>
    </row>
    <row r="38" spans="1:7" x14ac:dyDescent="0.2">
      <c r="A38" s="166">
        <v>34</v>
      </c>
      <c r="B38" s="166" t="s">
        <v>39</v>
      </c>
      <c r="C38" s="167">
        <f t="shared" si="6"/>
        <v>0</v>
      </c>
      <c r="D38" s="167">
        <f>SUM('Pro Forma Adj'!C44:E44)</f>
        <v>0</v>
      </c>
      <c r="E38" s="167">
        <f>SUM('Pro Forma Adj'!F44:O44)</f>
        <v>0</v>
      </c>
      <c r="F38" s="167">
        <f>SUM('Pro Forma Adj'!P44:U44)</f>
        <v>0</v>
      </c>
      <c r="G38" s="167">
        <f>SUM('Pro Forma Adj'!V44:W44)</f>
        <v>0</v>
      </c>
    </row>
    <row r="39" spans="1:7" x14ac:dyDescent="0.2">
      <c r="A39" s="166">
        <v>35</v>
      </c>
      <c r="B39" s="166" t="s">
        <v>40</v>
      </c>
      <c r="C39" s="167">
        <f t="shared" si="6"/>
        <v>-489243.1450514372</v>
      </c>
      <c r="D39" s="167">
        <f>SUM('Pro Forma Adj'!C45:E45)</f>
        <v>0</v>
      </c>
      <c r="E39" s="167">
        <f>SUM('Pro Forma Adj'!F45:O45)</f>
        <v>0</v>
      </c>
      <c r="F39" s="167">
        <f>SUM('Pro Forma Adj'!P45:U45)</f>
        <v>0</v>
      </c>
      <c r="G39" s="167">
        <f>SUM('Pro Forma Adj'!V45:W45)</f>
        <v>-489243.1450514372</v>
      </c>
    </row>
    <row r="40" spans="1:7" x14ac:dyDescent="0.2">
      <c r="A40" s="166">
        <v>36</v>
      </c>
      <c r="B40" s="166" t="s">
        <v>41</v>
      </c>
      <c r="C40" s="167">
        <f t="shared" si="6"/>
        <v>0</v>
      </c>
      <c r="D40" s="167">
        <f>SUM('Pro Forma Adj'!C46:E46)</f>
        <v>0</v>
      </c>
      <c r="E40" s="167">
        <f>SUM('Pro Forma Adj'!F46:O46)</f>
        <v>0</v>
      </c>
      <c r="F40" s="167">
        <f>SUM('Pro Forma Adj'!P46:U46)</f>
        <v>0</v>
      </c>
      <c r="G40" s="167">
        <f>SUM('Pro Forma Adj'!V46:W46)</f>
        <v>0</v>
      </c>
    </row>
    <row r="41" spans="1:7" x14ac:dyDescent="0.2">
      <c r="A41" s="166">
        <v>37</v>
      </c>
      <c r="B41" s="166" t="s">
        <v>42</v>
      </c>
      <c r="C41" s="167">
        <f t="shared" si="6"/>
        <v>0</v>
      </c>
      <c r="D41" s="167">
        <f>SUM('Pro Forma Adj'!C47:E47)</f>
        <v>0</v>
      </c>
      <c r="E41" s="167">
        <f>SUM('Pro Forma Adj'!F47:O47)</f>
        <v>0</v>
      </c>
      <c r="F41" s="167">
        <f>SUM('Pro Forma Adj'!P47:U47)</f>
        <v>0</v>
      </c>
      <c r="G41" s="167">
        <f>SUM('Pro Forma Adj'!V47:W47)</f>
        <v>0</v>
      </c>
    </row>
    <row r="42" spans="1:7" x14ac:dyDescent="0.2">
      <c r="A42" s="166">
        <v>38</v>
      </c>
      <c r="B42" s="166" t="s">
        <v>43</v>
      </c>
      <c r="C42" s="167">
        <f t="shared" si="6"/>
        <v>0</v>
      </c>
      <c r="D42" s="167">
        <f>SUM('Pro Forma Adj'!C48:E48)</f>
        <v>0</v>
      </c>
      <c r="E42" s="167">
        <f>SUM('Pro Forma Adj'!F48:O48)</f>
        <v>0</v>
      </c>
      <c r="F42" s="167">
        <f>SUM('Pro Forma Adj'!P48:U48)</f>
        <v>0</v>
      </c>
      <c r="G42" s="167">
        <f>SUM('Pro Forma Adj'!V48:W48)</f>
        <v>0</v>
      </c>
    </row>
    <row r="43" spans="1:7" x14ac:dyDescent="0.2">
      <c r="A43" s="166">
        <v>39</v>
      </c>
      <c r="B43" s="166" t="s">
        <v>44</v>
      </c>
      <c r="C43" s="167">
        <f t="shared" si="6"/>
        <v>0</v>
      </c>
      <c r="D43" s="167">
        <f>SUM('Pro Forma Adj'!C49:E49)</f>
        <v>0</v>
      </c>
      <c r="E43" s="167">
        <f>SUM('Pro Forma Adj'!F49:O49)</f>
        <v>0</v>
      </c>
      <c r="F43" s="167">
        <f>SUM('Pro Forma Adj'!P49:U49)</f>
        <v>0</v>
      </c>
      <c r="G43" s="167">
        <f>SUM('Pro Forma Adj'!V49:W49)</f>
        <v>0</v>
      </c>
    </row>
    <row r="44" spans="1:7" x14ac:dyDescent="0.2">
      <c r="A44" s="166">
        <v>40</v>
      </c>
      <c r="B44" s="166" t="s">
        <v>45</v>
      </c>
      <c r="C44" s="167">
        <f t="shared" si="6"/>
        <v>0</v>
      </c>
      <c r="D44" s="167">
        <f>SUM('Pro Forma Adj'!C50:E50)</f>
        <v>0</v>
      </c>
      <c r="E44" s="167">
        <f>SUM('Pro Forma Adj'!F50:O50)</f>
        <v>0</v>
      </c>
      <c r="F44" s="167">
        <f>SUM('Pro Forma Adj'!P50:U50)</f>
        <v>0</v>
      </c>
      <c r="G44" s="167">
        <f>SUM('Pro Forma Adj'!V50:W50)</f>
        <v>0</v>
      </c>
    </row>
    <row r="45" spans="1:7" x14ac:dyDescent="0.2">
      <c r="A45" s="166">
        <v>41</v>
      </c>
      <c r="B45" s="166" t="s">
        <v>46</v>
      </c>
      <c r="C45" s="167">
        <f t="shared" si="6"/>
        <v>0</v>
      </c>
      <c r="D45" s="167">
        <f>SUM('Pro Forma Adj'!C51:E51)</f>
        <v>0</v>
      </c>
      <c r="E45" s="167">
        <f>SUM('Pro Forma Adj'!F51:O51)</f>
        <v>0</v>
      </c>
      <c r="F45" s="167">
        <f>SUM('Pro Forma Adj'!P51:U51)</f>
        <v>0</v>
      </c>
      <c r="G45" s="167">
        <f>SUM('Pro Forma Adj'!V51:W51)</f>
        <v>0</v>
      </c>
    </row>
    <row r="46" spans="1:7" x14ac:dyDescent="0.2">
      <c r="A46" s="166">
        <v>42</v>
      </c>
      <c r="B46" s="166" t="s">
        <v>101</v>
      </c>
      <c r="C46" s="167">
        <f t="shared" si="6"/>
        <v>0</v>
      </c>
      <c r="D46" s="167">
        <f>SUM('Pro Forma Adj'!C52:E52)</f>
        <v>0</v>
      </c>
      <c r="E46" s="167">
        <f>SUM('Pro Forma Adj'!F52:O52)</f>
        <v>0</v>
      </c>
      <c r="F46" s="167">
        <f>SUM('Pro Forma Adj'!P52:U52)</f>
        <v>0</v>
      </c>
      <c r="G46" s="167">
        <f>SUM('Pro Forma Adj'!V52:W52)</f>
        <v>0</v>
      </c>
    </row>
    <row r="47" spans="1:7" x14ac:dyDescent="0.2">
      <c r="A47" s="166">
        <v>43</v>
      </c>
      <c r="B47" s="166" t="s">
        <v>48</v>
      </c>
      <c r="C47" s="167">
        <f t="shared" si="6"/>
        <v>0</v>
      </c>
      <c r="D47" s="173">
        <f>SUM('Pro Forma Adj'!C53:E53)</f>
        <v>0</v>
      </c>
      <c r="E47" s="173">
        <f>SUM('Pro Forma Adj'!F53:O53)</f>
        <v>0</v>
      </c>
      <c r="F47" s="173">
        <f>SUM('Pro Forma Adj'!P53:U53)</f>
        <v>0</v>
      </c>
      <c r="G47" s="173">
        <f>SUM('Pro Forma Adj'!V53:W53)</f>
        <v>0</v>
      </c>
    </row>
    <row r="48" spans="1:7" x14ac:dyDescent="0.2">
      <c r="A48" s="166">
        <v>44</v>
      </c>
      <c r="B48" s="166" t="s">
        <v>49</v>
      </c>
      <c r="C48" s="171">
        <f>SUM(C37:C47)</f>
        <v>335377389.45151836</v>
      </c>
      <c r="D48" s="160">
        <f t="shared" ref="D48:G48" si="7">SUM(D37:D47)</f>
        <v>0</v>
      </c>
      <c r="E48" s="160">
        <f t="shared" si="7"/>
        <v>335866632.59656978</v>
      </c>
      <c r="F48" s="160">
        <f t="shared" si="7"/>
        <v>0</v>
      </c>
      <c r="G48" s="160">
        <f t="shared" si="7"/>
        <v>-489243.1450514372</v>
      </c>
    </row>
    <row r="49" spans="1:7" x14ac:dyDescent="0.2">
      <c r="A49" s="166">
        <v>45</v>
      </c>
      <c r="B49" s="166"/>
      <c r="D49" s="156"/>
      <c r="E49" s="156"/>
      <c r="F49" s="156"/>
      <c r="G49" s="156"/>
    </row>
    <row r="50" spans="1:7" x14ac:dyDescent="0.2">
      <c r="A50" s="166">
        <v>46</v>
      </c>
      <c r="B50" s="166" t="s">
        <v>102</v>
      </c>
      <c r="D50" s="156"/>
      <c r="E50" s="156"/>
      <c r="F50" s="156"/>
      <c r="G50" s="156"/>
    </row>
    <row r="51" spans="1:7" x14ac:dyDescent="0.2">
      <c r="A51" s="166">
        <v>47</v>
      </c>
      <c r="B51" s="166" t="s">
        <v>51</v>
      </c>
      <c r="C51" s="167">
        <f t="shared" ref="C51:C57" si="8">SUM(D51:G51)</f>
        <v>-51320415.002068095</v>
      </c>
      <c r="D51" s="167">
        <f>SUM('Pro Forma Adj'!C57:E57)</f>
        <v>0</v>
      </c>
      <c r="E51" s="167">
        <f>SUM('Pro Forma Adj'!F57:O57)</f>
        <v>-51320415.002068095</v>
      </c>
      <c r="F51" s="167">
        <f>SUM('Pro Forma Adj'!P57:U57)</f>
        <v>0</v>
      </c>
      <c r="G51" s="167">
        <f>SUM('Pro Forma Adj'!V57:W57)</f>
        <v>0</v>
      </c>
    </row>
    <row r="52" spans="1:7" x14ac:dyDescent="0.2">
      <c r="A52" s="166">
        <v>48</v>
      </c>
      <c r="B52" s="166" t="s">
        <v>52</v>
      </c>
      <c r="C52" s="167">
        <f t="shared" si="8"/>
        <v>-4541116.6972164949</v>
      </c>
      <c r="D52" s="167">
        <f>SUM('Pro Forma Adj'!C58:E58)</f>
        <v>0</v>
      </c>
      <c r="E52" s="167">
        <f>SUM('Pro Forma Adj'!F58:O58)</f>
        <v>-4541116.6972164949</v>
      </c>
      <c r="F52" s="167">
        <f>SUM('Pro Forma Adj'!P58:U58)</f>
        <v>0</v>
      </c>
      <c r="G52" s="167">
        <f>SUM('Pro Forma Adj'!V58:W58)</f>
        <v>0</v>
      </c>
    </row>
    <row r="53" spans="1:7" x14ac:dyDescent="0.2">
      <c r="A53" s="166">
        <v>49</v>
      </c>
      <c r="B53" s="166" t="s">
        <v>53</v>
      </c>
      <c r="C53" s="167">
        <f t="shared" si="8"/>
        <v>-19119359.781580959</v>
      </c>
      <c r="D53" s="167">
        <f>SUM('Pro Forma Adj'!C59:E59)</f>
        <v>0</v>
      </c>
      <c r="E53" s="167">
        <f>SUM('Pro Forma Adj'!F59:O59)</f>
        <v>2299203.5205960581</v>
      </c>
      <c r="F53" s="167">
        <f>SUM('Pro Forma Adj'!P59:U59)</f>
        <v>-21538851.557278231</v>
      </c>
      <c r="G53" s="167">
        <f>SUM('Pro Forma Adj'!V59:W59)</f>
        <v>120288.25510121686</v>
      </c>
    </row>
    <row r="54" spans="1:7" x14ac:dyDescent="0.2">
      <c r="A54" s="166">
        <v>50</v>
      </c>
      <c r="B54" s="166" t="s">
        <v>54</v>
      </c>
      <c r="C54" s="167">
        <f t="shared" si="8"/>
        <v>0</v>
      </c>
      <c r="D54" s="167">
        <f>SUM('Pro Forma Adj'!C60:E60)</f>
        <v>0</v>
      </c>
      <c r="E54" s="167">
        <f>SUM('Pro Forma Adj'!F60:O60)</f>
        <v>0</v>
      </c>
      <c r="F54" s="167">
        <f>SUM('Pro Forma Adj'!P60:U60)</f>
        <v>0</v>
      </c>
      <c r="G54" s="167">
        <f>SUM('Pro Forma Adj'!V60:W60)</f>
        <v>0</v>
      </c>
    </row>
    <row r="55" spans="1:7" x14ac:dyDescent="0.2">
      <c r="A55" s="166">
        <v>51</v>
      </c>
      <c r="B55" s="166" t="s">
        <v>55</v>
      </c>
      <c r="C55" s="167">
        <f t="shared" si="8"/>
        <v>0</v>
      </c>
      <c r="D55" s="167">
        <f>SUM('Pro Forma Adj'!C61:E61)</f>
        <v>0</v>
      </c>
      <c r="E55" s="167">
        <f>SUM('Pro Forma Adj'!F61:O61)</f>
        <v>0</v>
      </c>
      <c r="F55" s="167">
        <f>SUM('Pro Forma Adj'!P61:U61)</f>
        <v>0</v>
      </c>
      <c r="G55" s="167">
        <f>SUM('Pro Forma Adj'!V61:W61)</f>
        <v>0</v>
      </c>
    </row>
    <row r="56" spans="1:7" x14ac:dyDescent="0.2">
      <c r="A56" s="166">
        <v>52</v>
      </c>
      <c r="B56" s="166" t="s">
        <v>56</v>
      </c>
      <c r="C56" s="167">
        <f t="shared" si="8"/>
        <v>0</v>
      </c>
      <c r="D56" s="167">
        <f>SUM('Pro Forma Adj'!C62:E62)</f>
        <v>0</v>
      </c>
      <c r="E56" s="167">
        <f>SUM('Pro Forma Adj'!F62:O62)</f>
        <v>0</v>
      </c>
      <c r="F56" s="167">
        <f>SUM('Pro Forma Adj'!P62:U62)</f>
        <v>0</v>
      </c>
      <c r="G56" s="167">
        <f>SUM('Pro Forma Adj'!V62:W62)</f>
        <v>0</v>
      </c>
    </row>
    <row r="57" spans="1:7" x14ac:dyDescent="0.2">
      <c r="A57" s="166">
        <v>53</v>
      </c>
      <c r="B57" s="166" t="s">
        <v>103</v>
      </c>
      <c r="C57" s="167">
        <f t="shared" si="8"/>
        <v>-3335283.8417438725</v>
      </c>
      <c r="D57" s="167">
        <f>SUM('Pro Forma Adj'!C63:E63)</f>
        <v>0</v>
      </c>
      <c r="E57" s="167">
        <f>SUM('Pro Forma Adj'!F63:O63)</f>
        <v>-5933674.8417438725</v>
      </c>
      <c r="F57" s="167">
        <f>SUM('Pro Forma Adj'!P63:U63)</f>
        <v>2598391</v>
      </c>
      <c r="G57" s="167">
        <f>SUM('Pro Forma Adj'!V63:W63)</f>
        <v>0</v>
      </c>
    </row>
    <row r="58" spans="1:7" x14ac:dyDescent="0.2">
      <c r="A58" s="166">
        <v>54</v>
      </c>
      <c r="B58" s="166"/>
      <c r="D58" s="156"/>
      <c r="E58" s="156"/>
      <c r="F58" s="156"/>
      <c r="G58" s="156"/>
    </row>
    <row r="59" spans="1:7" x14ac:dyDescent="0.2">
      <c r="A59" s="166">
        <v>55</v>
      </c>
      <c r="B59" s="166" t="s">
        <v>104</v>
      </c>
      <c r="C59" s="171">
        <f>SUM(C51:C58)</f>
        <v>-78316175.322609425</v>
      </c>
      <c r="D59" s="160">
        <f t="shared" ref="D59:G59" si="9">SUM(D51:D58)</f>
        <v>0</v>
      </c>
      <c r="E59" s="160">
        <f t="shared" si="9"/>
        <v>-59496003.020432405</v>
      </c>
      <c r="F59" s="160">
        <f t="shared" si="9"/>
        <v>-18940460.557278231</v>
      </c>
      <c r="G59" s="160">
        <f t="shared" si="9"/>
        <v>120288.25510121686</v>
      </c>
    </row>
    <row r="60" spans="1:7" x14ac:dyDescent="0.2">
      <c r="A60" s="166">
        <v>56</v>
      </c>
      <c r="B60" s="166"/>
      <c r="D60" s="156"/>
      <c r="E60" s="156"/>
      <c r="F60" s="156"/>
      <c r="G60" s="156"/>
    </row>
    <row r="61" spans="1:7" ht="13.5" thickBot="1" x14ac:dyDescent="0.25">
      <c r="A61" s="166">
        <v>57</v>
      </c>
      <c r="B61" s="166" t="s">
        <v>59</v>
      </c>
      <c r="C61" s="172">
        <f>C48+C59</f>
        <v>257061214.12890893</v>
      </c>
      <c r="D61" s="161">
        <f t="shared" ref="D61:G61" si="10">D48+D59</f>
        <v>0</v>
      </c>
      <c r="E61" s="161">
        <f t="shared" si="10"/>
        <v>276370629.57613736</v>
      </c>
      <c r="F61" s="161">
        <f t="shared" si="10"/>
        <v>-18940460.557278231</v>
      </c>
      <c r="G61" s="161">
        <f t="shared" si="10"/>
        <v>-368954.88995022036</v>
      </c>
    </row>
    <row r="62" spans="1:7" ht="13.5" thickTop="1" x14ac:dyDescent="0.2">
      <c r="A62" s="166">
        <v>58</v>
      </c>
      <c r="B62" s="166"/>
      <c r="D62" s="156"/>
      <c r="E62" s="156"/>
      <c r="F62" s="156"/>
      <c r="G62" s="156"/>
    </row>
    <row r="63" spans="1:7" x14ac:dyDescent="0.2">
      <c r="A63" s="166">
        <v>59</v>
      </c>
      <c r="B63" s="174" t="s">
        <v>105</v>
      </c>
      <c r="C63" s="258">
        <f>(((C34+Unadj_Op_revenue)/(C61+Unadj_rate_base))-Weighted_cost_debt-Weighted_cost_pref)/Percent_common-Unadj_ROE</f>
        <v>-3.0292414862786055E-2</v>
      </c>
      <c r="D63" s="16">
        <f>(((D34+Unadj_Op_revenue)/(D61+Unadj_rate_base))-Weighted_cost_debt-Weighted_cost_pref)/Percent_common-Unadj_ROE</f>
        <v>1.9923374279549599E-3</v>
      </c>
      <c r="E63" s="175">
        <f>(((E34+Unadj_Op_revenue)/(E61+Unadj_rate_base))-Weighted_cost_debt-Weighted_cost_pref)/Percent_common-Unadj_ROE</f>
        <v>-4.0562173485255079E-2</v>
      </c>
      <c r="F63" s="175">
        <f>(((F34+Unadj_Op_revenue)/(F61+Unadj_rate_base))-Weighted_cost_debt-Weighted_cost_pref)/Percent_common-Unadj_ROE</f>
        <v>1.3855365920462381E-3</v>
      </c>
      <c r="G63" s="175">
        <f>(((G34+Unadj_Op_revenue)/(G61+Unadj_rate_base))-Weighted_cost_debt-Weighted_cost_pref)/Percent_common-Unadj_ROE</f>
        <v>9.712029366363506E-3</v>
      </c>
    </row>
    <row r="64" spans="1:7" x14ac:dyDescent="0.2">
      <c r="A64" s="166">
        <v>60</v>
      </c>
      <c r="B64" s="162" t="s">
        <v>7</v>
      </c>
      <c r="C64" s="176">
        <f t="shared" ref="C64" si="11">-(C34-(C61*Overall_ROR))/gross_up_factor</f>
        <v>27944572.697052475</v>
      </c>
      <c r="D64" s="176">
        <f t="shared" ref="D64:E64" si="12">-(D34-(D61*Overall_ROR))/gross_up_factor</f>
        <v>-1574590.5119332226</v>
      </c>
      <c r="E64" s="176">
        <f t="shared" si="12"/>
        <v>37984330.232810147</v>
      </c>
      <c r="F64" s="176">
        <f t="shared" ref="F64:G64" si="13">-(F34-(F61*Overall_ROR))/gross_up_factor</f>
        <v>-1099965.7412948918</v>
      </c>
      <c r="G64" s="176">
        <f t="shared" si="13"/>
        <v>-7365201.2825295608</v>
      </c>
    </row>
    <row r="65" spans="1:7" x14ac:dyDescent="0.2">
      <c r="A65" s="166">
        <v>61</v>
      </c>
      <c r="B65" s="166"/>
      <c r="D65" s="156"/>
      <c r="E65" s="156"/>
      <c r="F65" s="156"/>
      <c r="G65" s="156"/>
    </row>
    <row r="66" spans="1:7" x14ac:dyDescent="0.2">
      <c r="A66" s="166">
        <v>62</v>
      </c>
      <c r="B66" s="166" t="s">
        <v>61</v>
      </c>
      <c r="D66" s="156"/>
      <c r="E66" s="156"/>
      <c r="F66" s="156"/>
      <c r="G66" s="156"/>
    </row>
    <row r="67" spans="1:7" x14ac:dyDescent="0.2">
      <c r="A67" s="166">
        <v>63</v>
      </c>
      <c r="B67" s="166" t="s">
        <v>62</v>
      </c>
      <c r="C67" s="177">
        <f>SUM(D67:G67)</f>
        <v>-2769175.3449559305</v>
      </c>
      <c r="D67" s="159">
        <f t="shared" ref="D67:G67" si="14">D10-D23-D24-D25-D26-D31</f>
        <v>1498491.9476982728</v>
      </c>
      <c r="E67" s="159">
        <f t="shared" si="14"/>
        <v>-9396198.1433326062</v>
      </c>
      <c r="F67" s="159">
        <f t="shared" si="14"/>
        <v>-1882727</v>
      </c>
      <c r="G67" s="159">
        <f t="shared" si="14"/>
        <v>7011257.8506784029</v>
      </c>
    </row>
    <row r="68" spans="1:7" x14ac:dyDescent="0.2">
      <c r="A68" s="166">
        <v>64</v>
      </c>
      <c r="B68" s="166" t="s">
        <v>63</v>
      </c>
      <c r="C68" s="177">
        <v>0</v>
      </c>
      <c r="D68" s="15">
        <f>SUM('Pro Forma Adj'!C75:E75)</f>
        <v>0</v>
      </c>
      <c r="E68" s="15">
        <f>SUM('Pro Forma Adj'!F75:O75)</f>
        <v>0</v>
      </c>
      <c r="F68" s="15">
        <f>SUM('Pro Forma Adj'!P75:U75)</f>
        <v>0</v>
      </c>
      <c r="G68" s="15">
        <f>SUM('Pro Forma Adj'!V75:W75)</f>
        <v>0</v>
      </c>
    </row>
    <row r="69" spans="1:7" x14ac:dyDescent="0.2">
      <c r="A69" s="166">
        <v>65</v>
      </c>
      <c r="B69" s="166" t="s">
        <v>64</v>
      </c>
      <c r="C69" s="177">
        <f>SUM(D69:G69)</f>
        <v>0</v>
      </c>
      <c r="D69" s="159">
        <f>SUM('Pro Forma Adj'!C76:E76)</f>
        <v>0</v>
      </c>
      <c r="E69" s="159">
        <f>SUM('Pro Forma Adj'!F76:O76)</f>
        <v>0</v>
      </c>
      <c r="F69" s="159">
        <f>SUM('Pro Forma Adj'!P76:U76)</f>
        <v>0</v>
      </c>
      <c r="G69" s="159">
        <f>SUM('Pro Forma Adj'!V76:W76)</f>
        <v>0</v>
      </c>
    </row>
    <row r="70" spans="1:7" x14ac:dyDescent="0.2">
      <c r="A70" s="166">
        <v>66</v>
      </c>
      <c r="B70" s="166" t="s">
        <v>65</v>
      </c>
      <c r="C70" s="177">
        <f>SUM(D70:G70)</f>
        <v>5973958.662075948</v>
      </c>
      <c r="D70" s="159">
        <f>SUM('Pro Forma Adj'!C77:E77)</f>
        <v>0</v>
      </c>
      <c r="E70" s="159">
        <f>SUM('Pro Forma Adj'!F77:O77)</f>
        <v>0</v>
      </c>
      <c r="F70" s="159">
        <f>SUM('Pro Forma Adj'!P77:U77)</f>
        <v>5973958.662075948</v>
      </c>
      <c r="G70" s="159">
        <f>SUM('Pro Forma Adj'!V77:W77)</f>
        <v>0</v>
      </c>
    </row>
    <row r="71" spans="1:7" x14ac:dyDescent="0.2">
      <c r="A71" s="166">
        <v>67</v>
      </c>
      <c r="B71" s="170" t="s">
        <v>66</v>
      </c>
      <c r="C71" s="177">
        <f>SUM(D71:G71)</f>
        <v>10447102.241431128</v>
      </c>
      <c r="D71" s="159">
        <f>SUM('Pro Forma Adj'!C78:E78)</f>
        <v>0</v>
      </c>
      <c r="E71" s="159">
        <f>SUM('Pro Forma Adj'!F78:O78)</f>
        <v>289965.89217130182</v>
      </c>
      <c r="F71" s="159">
        <f>SUM('Pro Forma Adj'!P78:U78)</f>
        <v>10157136.349259827</v>
      </c>
      <c r="G71" s="159">
        <f>SUM('Pro Forma Adj'!V78:W78)</f>
        <v>0</v>
      </c>
    </row>
    <row r="72" spans="1:7" x14ac:dyDescent="0.2">
      <c r="A72" s="166">
        <v>68</v>
      </c>
      <c r="B72" s="170" t="s">
        <v>67</v>
      </c>
      <c r="C72" s="181">
        <f>SUM(D72:G72)</f>
        <v>21722351.971674141</v>
      </c>
      <c r="D72" s="159">
        <f>SUM('Pro Forma Adj'!C79:E79)</f>
        <v>0</v>
      </c>
      <c r="E72" s="159">
        <f>SUM('Pro Forma Adj'!F79:O79)</f>
        <v>3920520.3449155949</v>
      </c>
      <c r="F72" s="159">
        <f>SUM('Pro Forma Adj'!P79:U79)</f>
        <v>16975738.796758544</v>
      </c>
      <c r="G72" s="159">
        <f>SUM('Pro Forma Adj'!V79:W79)</f>
        <v>826092.83000000054</v>
      </c>
    </row>
    <row r="73" spans="1:7" x14ac:dyDescent="0.2">
      <c r="A73" s="166">
        <v>69</v>
      </c>
      <c r="B73" s="170" t="s">
        <v>68</v>
      </c>
      <c r="C73" s="169">
        <f>SUM(D73:G73)</f>
        <v>-20018383.737274893</v>
      </c>
      <c r="D73" s="179">
        <f>D67-D69-D70+D71-D72</f>
        <v>1498491.9476982728</v>
      </c>
      <c r="E73" s="179">
        <f>E67-E69-E70+E71-E72</f>
        <v>-13026752.5960769</v>
      </c>
      <c r="F73" s="179">
        <f>F67-F69-F70+F71-F72</f>
        <v>-14675288.109574664</v>
      </c>
      <c r="G73" s="179">
        <f>G67-G69-G70+G71-G72</f>
        <v>6185165.0206784029</v>
      </c>
    </row>
    <row r="74" spans="1:7" x14ac:dyDescent="0.2">
      <c r="A74" s="166">
        <v>70</v>
      </c>
      <c r="B74" s="166"/>
      <c r="C74" s="178"/>
      <c r="D74" s="159"/>
      <c r="E74" s="159"/>
      <c r="F74" s="159"/>
      <c r="G74" s="159"/>
    </row>
    <row r="75" spans="1:7" x14ac:dyDescent="0.2">
      <c r="A75" s="166">
        <v>71</v>
      </c>
      <c r="B75" s="166" t="s">
        <v>69</v>
      </c>
      <c r="C75" s="177">
        <f>SUM(D75:G75)</f>
        <v>0</v>
      </c>
      <c r="D75" s="159">
        <f>H162</f>
        <v>0</v>
      </c>
      <c r="E75" s="159">
        <f>I162</f>
        <v>0</v>
      </c>
      <c r="F75" s="159">
        <f>J162</f>
        <v>0</v>
      </c>
      <c r="G75" s="159">
        <f>K162</f>
        <v>0</v>
      </c>
    </row>
    <row r="76" spans="1:7" x14ac:dyDescent="0.2">
      <c r="A76" s="166">
        <v>72</v>
      </c>
      <c r="B76" s="166" t="s">
        <v>70</v>
      </c>
      <c r="C76" s="177">
        <f>SUM(D76:G76)</f>
        <v>-20018383.737274893</v>
      </c>
      <c r="D76" s="159">
        <f>D73-D75</f>
        <v>1498491.9476982728</v>
      </c>
      <c r="E76" s="159">
        <f>E73-E75</f>
        <v>-13026752.5960769</v>
      </c>
      <c r="F76" s="159">
        <f>F73-F75</f>
        <v>-14675288.109574664</v>
      </c>
      <c r="G76" s="159">
        <f>G73-G75</f>
        <v>6185165.0206784029</v>
      </c>
    </row>
    <row r="77" spans="1:7" x14ac:dyDescent="0.2">
      <c r="A77" s="166">
        <v>73</v>
      </c>
      <c r="B77" s="166"/>
      <c r="D77" s="156"/>
      <c r="E77" s="156"/>
      <c r="F77" s="156"/>
      <c r="G77" s="156"/>
    </row>
    <row r="78" spans="1:7" x14ac:dyDescent="0.2">
      <c r="A78" s="166">
        <v>74</v>
      </c>
      <c r="B78" s="166" t="s">
        <v>83</v>
      </c>
      <c r="C78" s="178">
        <f>SUM(D78:G78)</f>
        <v>-4203860.5848277267</v>
      </c>
      <c r="D78" s="159">
        <f t="shared" ref="D78:G78" si="15">D76*0.21</f>
        <v>314683.30901663727</v>
      </c>
      <c r="E78" s="159">
        <f t="shared" si="15"/>
        <v>-2735618.0451761489</v>
      </c>
      <c r="F78" s="159">
        <f t="shared" si="15"/>
        <v>-3081810.5030106795</v>
      </c>
      <c r="G78" s="159">
        <f t="shared" si="15"/>
        <v>1298884.6543424646</v>
      </c>
    </row>
    <row r="79" spans="1:7" x14ac:dyDescent="0.2">
      <c r="A79" s="166">
        <v>75</v>
      </c>
      <c r="B79" s="166" t="s">
        <v>82</v>
      </c>
      <c r="C79" s="178">
        <f>SUM(D79:G79)</f>
        <v>0</v>
      </c>
      <c r="D79" s="159">
        <f>SUM('Pro Forma Adj'!C86:E86)</f>
        <v>0</v>
      </c>
      <c r="E79" s="159">
        <f>SUM('Pro Forma Adj'!F86:O86)</f>
        <v>0</v>
      </c>
      <c r="F79" s="159">
        <f>SUM('Pro Forma Adj'!P86:U86)</f>
        <v>0</v>
      </c>
      <c r="G79" s="159">
        <f>SUM('Pro Forma Adj'!V86:W86)</f>
        <v>0</v>
      </c>
    </row>
    <row r="80" spans="1:7" ht="13.5" thickBot="1" x14ac:dyDescent="0.25">
      <c r="A80" s="166">
        <v>76</v>
      </c>
      <c r="B80" s="166" t="s">
        <v>83</v>
      </c>
      <c r="C80" s="180">
        <f>SUM(D80:G80)</f>
        <v>-4203860.5848277267</v>
      </c>
      <c r="D80" s="163">
        <f t="shared" ref="D80:G80" si="16">D78+D79</f>
        <v>314683.30901663727</v>
      </c>
      <c r="E80" s="163">
        <f t="shared" si="16"/>
        <v>-2735618.0451761489</v>
      </c>
      <c r="F80" s="163">
        <f t="shared" si="16"/>
        <v>-3081810.5030106795</v>
      </c>
      <c r="G80" s="163">
        <f t="shared" si="16"/>
        <v>1298884.6543424646</v>
      </c>
    </row>
    <row r="81" ht="13.5" thickTop="1" x14ac:dyDescent="0.2"/>
  </sheetData>
  <mergeCells count="1">
    <mergeCell ref="B1:G1"/>
  </mergeCells>
  <pageMargins left="0.5" right="0.5" top="0.4" bottom="0.25" header="0.25" footer="0.3"/>
  <pageSetup scale="71" orientation="portrait" r:id="rId1"/>
  <headerFooter>
    <oddHeader>&amp;RPage 3</oddHeader>
  </headerFooter>
  <customProperties>
    <customPr name="_pios_id" r:id="rId2"/>
  </customProperties>
  <ignoredErrors>
    <ignoredError sqref="C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DA6C-DE30-40AB-9CA4-666ACF2B4AAD}">
  <sheetPr>
    <pageSetUpPr fitToPage="1"/>
  </sheetPr>
  <dimension ref="A2:E92"/>
  <sheetViews>
    <sheetView showOutlineSymbols="0" topLeftCell="A28" workbookViewId="0"/>
  </sheetViews>
  <sheetFormatPr defaultRowHeight="12.75" x14ac:dyDescent="0.2"/>
  <cols>
    <col min="1" max="1" width="36.28515625" style="2" customWidth="1"/>
    <col min="2" max="2" width="19" style="2" customWidth="1"/>
    <col min="3" max="3" width="17.28515625" style="2" bestFit="1" customWidth="1"/>
    <col min="4" max="5" width="16" style="2" customWidth="1"/>
    <col min="6" max="16384" width="9.140625" style="15"/>
  </cols>
  <sheetData>
    <row r="2" spans="1:5" s="2" customFormat="1" x14ac:dyDescent="0.2">
      <c r="A2" s="268"/>
    </row>
    <row r="3" spans="1:5" s="2" customFormat="1" x14ac:dyDescent="0.2">
      <c r="A3" s="269"/>
    </row>
    <row r="4" spans="1:5" s="2" customFormat="1" x14ac:dyDescent="0.2">
      <c r="A4" s="270"/>
    </row>
    <row r="5" spans="1:5" s="2" customFormat="1" x14ac:dyDescent="0.2">
      <c r="A5" s="271"/>
    </row>
    <row r="6" spans="1:5" s="4" customFormat="1" x14ac:dyDescent="0.2">
      <c r="A6" s="270"/>
      <c r="E6" s="226"/>
    </row>
    <row r="7" spans="1:5" x14ac:dyDescent="0.2">
      <c r="B7" s="59"/>
      <c r="C7" s="59" t="str">
        <f>'Pro Forma Adj'!C8</f>
        <v>13.1</v>
      </c>
      <c r="D7" s="59" t="str">
        <f>'Pro Forma Adj'!D8</f>
        <v>13.2</v>
      </c>
      <c r="E7" s="59" t="str">
        <f>'Pro Forma Adj'!E8</f>
        <v>13.3</v>
      </c>
    </row>
    <row r="8" spans="1:5" s="122" customFormat="1" ht="81" customHeight="1" x14ac:dyDescent="0.2">
      <c r="A8" s="13"/>
      <c r="B8" s="263" t="s">
        <v>231</v>
      </c>
      <c r="C8" s="262" t="str">
        <f>'Pro Forma Adj'!C9</f>
        <v>Wheeling Revenues - 
Year 2</v>
      </c>
      <c r="D8" s="262" t="str">
        <f>'Pro Forma Adj'!D9</f>
        <v xml:space="preserve">General Wage Increase (Pro Forma) - 
Year 2 </v>
      </c>
      <c r="E8" s="262" t="str">
        <f>'Pro Forma Adj'!E9</f>
        <v>Pryor Mountain REC Revenues - Year 2</v>
      </c>
    </row>
    <row r="9" spans="1:5" x14ac:dyDescent="0.2">
      <c r="B9" s="264"/>
    </row>
    <row r="10" spans="1:5" x14ac:dyDescent="0.2">
      <c r="A10" s="13" t="s">
        <v>9</v>
      </c>
      <c r="B10" s="12"/>
      <c r="C10" s="12"/>
      <c r="D10" s="12"/>
      <c r="E10" s="12"/>
    </row>
    <row r="11" spans="1:5" x14ac:dyDescent="0.2">
      <c r="A11" s="13" t="s">
        <v>10</v>
      </c>
      <c r="B11" s="63">
        <f>SUM(C11:E11)</f>
        <v>0</v>
      </c>
      <c r="C11" s="65">
        <f>'Pro Forma Adj'!C12</f>
        <v>0</v>
      </c>
      <c r="D11" s="65">
        <f>'Pro Forma Adj'!D12</f>
        <v>0</v>
      </c>
      <c r="E11" s="65">
        <f>'Pro Forma Adj'!E12</f>
        <v>0</v>
      </c>
    </row>
    <row r="12" spans="1:5" x14ac:dyDescent="0.2">
      <c r="A12" s="13" t="s">
        <v>11</v>
      </c>
      <c r="B12" s="63">
        <f>SUM(C12:E12)</f>
        <v>0</v>
      </c>
      <c r="C12" s="65">
        <f>'Pro Forma Adj'!C13</f>
        <v>0</v>
      </c>
      <c r="D12" s="65">
        <f>'Pro Forma Adj'!D13</f>
        <v>0</v>
      </c>
      <c r="E12" s="65">
        <f>'Pro Forma Adj'!E13</f>
        <v>0</v>
      </c>
    </row>
    <row r="13" spans="1:5" x14ac:dyDescent="0.2">
      <c r="A13" s="13" t="s">
        <v>12</v>
      </c>
      <c r="B13" s="63">
        <f>SUM(C13:E13)</f>
        <v>0</v>
      </c>
      <c r="C13" s="65">
        <f>'Pro Forma Adj'!C14</f>
        <v>0</v>
      </c>
      <c r="D13" s="65">
        <f>'Pro Forma Adj'!D14</f>
        <v>0</v>
      </c>
      <c r="E13" s="65">
        <f>'Pro Forma Adj'!E14</f>
        <v>0</v>
      </c>
    </row>
    <row r="14" spans="1:5" x14ac:dyDescent="0.2">
      <c r="A14" s="13" t="s">
        <v>13</v>
      </c>
      <c r="B14" s="63">
        <f>SUM(C14:E14)</f>
        <v>2100780.9236015039</v>
      </c>
      <c r="C14" s="65">
        <f>'Pro Forma Adj'!C15</f>
        <v>2301415.0116205518</v>
      </c>
      <c r="D14" s="65">
        <f>'Pro Forma Adj'!D15</f>
        <v>0</v>
      </c>
      <c r="E14" s="65">
        <f>'Pro Forma Adj'!E15</f>
        <v>-200634.08801904801</v>
      </c>
    </row>
    <row r="15" spans="1:5" x14ac:dyDescent="0.2">
      <c r="A15" s="13" t="s">
        <v>14</v>
      </c>
      <c r="B15" s="232">
        <f>SUM(C15:E15)</f>
        <v>2100780.9236015039</v>
      </c>
      <c r="C15" s="232">
        <f t="shared" ref="C15:E15" si="0">SUM(C11:C14)</f>
        <v>2301415.0116205518</v>
      </c>
      <c r="D15" s="232">
        <f t="shared" si="0"/>
        <v>0</v>
      </c>
      <c r="E15" s="232">
        <f t="shared" si="0"/>
        <v>-200634.08801904801</v>
      </c>
    </row>
    <row r="16" spans="1:5" x14ac:dyDescent="0.2">
      <c r="A16" s="13"/>
      <c r="B16" s="12"/>
      <c r="C16" s="12"/>
      <c r="D16" s="12"/>
      <c r="E16" s="12"/>
    </row>
    <row r="17" spans="1:5" x14ac:dyDescent="0.2">
      <c r="A17" s="13" t="s">
        <v>15</v>
      </c>
      <c r="B17" s="12"/>
      <c r="C17" s="12"/>
      <c r="D17" s="12"/>
      <c r="E17" s="12"/>
    </row>
    <row r="18" spans="1:5" x14ac:dyDescent="0.2">
      <c r="A18" s="13" t="s">
        <v>16</v>
      </c>
      <c r="B18" s="63">
        <f t="shared" ref="B18:B39" si="1">SUM(C18:E18)</f>
        <v>102967.18817462141</v>
      </c>
      <c r="C18" s="65">
        <f>'Pro Forma Adj'!C19</f>
        <v>0</v>
      </c>
      <c r="D18" s="65">
        <f>'Pro Forma Adj'!D19</f>
        <v>102967.18817462141</v>
      </c>
      <c r="E18" s="65">
        <f>'Pro Forma Adj'!E19</f>
        <v>0</v>
      </c>
    </row>
    <row r="19" spans="1:5" x14ac:dyDescent="0.2">
      <c r="A19" s="13" t="s">
        <v>17</v>
      </c>
      <c r="B19" s="63">
        <f t="shared" si="1"/>
        <v>0</v>
      </c>
      <c r="C19" s="65">
        <f>'Pro Forma Adj'!C20</f>
        <v>0</v>
      </c>
      <c r="D19" s="65">
        <f>'Pro Forma Adj'!D20</f>
        <v>0</v>
      </c>
      <c r="E19" s="65">
        <f>'Pro Forma Adj'!E20</f>
        <v>0</v>
      </c>
    </row>
    <row r="20" spans="1:5" x14ac:dyDescent="0.2">
      <c r="A20" s="13" t="s">
        <v>18</v>
      </c>
      <c r="B20" s="63">
        <f t="shared" si="1"/>
        <v>36612.357282862256</v>
      </c>
      <c r="C20" s="65">
        <f>'Pro Forma Adj'!C21</f>
        <v>0</v>
      </c>
      <c r="D20" s="65">
        <f>'Pro Forma Adj'!D21</f>
        <v>36612.357282862256</v>
      </c>
      <c r="E20" s="65">
        <f>'Pro Forma Adj'!E21</f>
        <v>0</v>
      </c>
    </row>
    <row r="21" spans="1:5" x14ac:dyDescent="0.2">
      <c r="A21" s="13" t="s">
        <v>19</v>
      </c>
      <c r="B21" s="63">
        <f t="shared" si="1"/>
        <v>62254.61173888667</v>
      </c>
      <c r="C21" s="65">
        <f>'Pro Forma Adj'!C22</f>
        <v>0</v>
      </c>
      <c r="D21" s="65">
        <f>'Pro Forma Adj'!D22</f>
        <v>62254.61173888667</v>
      </c>
      <c r="E21" s="65">
        <f>'Pro Forma Adj'!E22</f>
        <v>0</v>
      </c>
    </row>
    <row r="22" spans="1:5" x14ac:dyDescent="0.2">
      <c r="A22" s="13" t="s">
        <v>20</v>
      </c>
      <c r="B22" s="63">
        <f t="shared" si="1"/>
        <v>35793.424398043266</v>
      </c>
      <c r="C22" s="65">
        <f>'Pro Forma Adj'!C23</f>
        <v>0</v>
      </c>
      <c r="D22" s="65">
        <f>'Pro Forma Adj'!D23</f>
        <v>35793.424398043266</v>
      </c>
      <c r="E22" s="65">
        <f>'Pro Forma Adj'!E23</f>
        <v>0</v>
      </c>
    </row>
    <row r="23" spans="1:5" x14ac:dyDescent="0.2">
      <c r="A23" s="13" t="s">
        <v>21</v>
      </c>
      <c r="B23" s="63">
        <f t="shared" si="1"/>
        <v>241927.83756353604</v>
      </c>
      <c r="C23" s="65">
        <f>'Pro Forma Adj'!C24</f>
        <v>0</v>
      </c>
      <c r="D23" s="65">
        <f>'Pro Forma Adj'!D24</f>
        <v>241927.83756353604</v>
      </c>
      <c r="E23" s="65">
        <f>'Pro Forma Adj'!E24</f>
        <v>0</v>
      </c>
    </row>
    <row r="24" spans="1:5" x14ac:dyDescent="0.2">
      <c r="A24" s="13" t="s">
        <v>22</v>
      </c>
      <c r="B24" s="63">
        <f t="shared" si="1"/>
        <v>55381.593112062139</v>
      </c>
      <c r="C24" s="65">
        <f>'Pro Forma Adj'!C25</f>
        <v>0</v>
      </c>
      <c r="D24" s="65">
        <f>'Pro Forma Adj'!D25</f>
        <v>55381.593112062139</v>
      </c>
      <c r="E24" s="65">
        <f>'Pro Forma Adj'!E25</f>
        <v>0</v>
      </c>
    </row>
    <row r="25" spans="1:5" x14ac:dyDescent="0.2">
      <c r="A25" s="13" t="s">
        <v>23</v>
      </c>
      <c r="B25" s="63">
        <f t="shared" si="1"/>
        <v>22498.957719657268</v>
      </c>
      <c r="C25" s="65">
        <f>'Pro Forma Adj'!C26</f>
        <v>0</v>
      </c>
      <c r="D25" s="65">
        <f>'Pro Forma Adj'!D26</f>
        <v>22498.957719657268</v>
      </c>
      <c r="E25" s="65">
        <f>'Pro Forma Adj'!E26</f>
        <v>0</v>
      </c>
    </row>
    <row r="26" spans="1:5" x14ac:dyDescent="0.2">
      <c r="A26" s="13" t="s">
        <v>24</v>
      </c>
      <c r="B26" s="63">
        <f t="shared" si="1"/>
        <v>0</v>
      </c>
      <c r="C26" s="65">
        <f>'Pro Forma Adj'!C27</f>
        <v>0</v>
      </c>
      <c r="D26" s="65">
        <f>'Pro Forma Adj'!D27</f>
        <v>0</v>
      </c>
      <c r="E26" s="65">
        <f>'Pro Forma Adj'!E27</f>
        <v>0</v>
      </c>
    </row>
    <row r="27" spans="1:5" x14ac:dyDescent="0.2">
      <c r="A27" s="13" t="s">
        <v>25</v>
      </c>
      <c r="B27" s="69">
        <f t="shared" si="1"/>
        <v>44853.005913562411</v>
      </c>
      <c r="C27" s="68">
        <f>'Pro Forma Adj'!C28</f>
        <v>0</v>
      </c>
      <c r="D27" s="68">
        <f>'Pro Forma Adj'!D28</f>
        <v>44853.005913562411</v>
      </c>
      <c r="E27" s="68">
        <f>'Pro Forma Adj'!E28</f>
        <v>0</v>
      </c>
    </row>
    <row r="28" spans="1:5" x14ac:dyDescent="0.2">
      <c r="A28" s="13" t="s">
        <v>26</v>
      </c>
      <c r="B28" s="12">
        <f t="shared" si="1"/>
        <v>602288.9759032313</v>
      </c>
      <c r="C28" s="12">
        <f t="shared" ref="C28:E28" si="2">SUM(C18:C27)</f>
        <v>0</v>
      </c>
      <c r="D28" s="12">
        <f t="shared" si="2"/>
        <v>602288.9759032313</v>
      </c>
      <c r="E28" s="12">
        <f t="shared" si="2"/>
        <v>0</v>
      </c>
    </row>
    <row r="29" spans="1:5" x14ac:dyDescent="0.2">
      <c r="A29" s="13" t="s">
        <v>27</v>
      </c>
      <c r="B29" s="63">
        <f t="shared" si="1"/>
        <v>0</v>
      </c>
      <c r="C29" s="65">
        <f>'Pro Forma Adj'!C30</f>
        <v>0</v>
      </c>
      <c r="D29" s="65">
        <f>'Pro Forma Adj'!D30</f>
        <v>0</v>
      </c>
      <c r="E29" s="65">
        <f>'Pro Forma Adj'!E30</f>
        <v>0</v>
      </c>
    </row>
    <row r="30" spans="1:5" x14ac:dyDescent="0.2">
      <c r="A30" s="13" t="s">
        <v>28</v>
      </c>
      <c r="B30" s="63">
        <f t="shared" si="1"/>
        <v>0</v>
      </c>
      <c r="C30" s="65">
        <f>'Pro Forma Adj'!C31</f>
        <v>0</v>
      </c>
      <c r="D30" s="65">
        <f>'Pro Forma Adj'!D31</f>
        <v>0</v>
      </c>
      <c r="E30" s="65">
        <f>'Pro Forma Adj'!E31</f>
        <v>0</v>
      </c>
    </row>
    <row r="31" spans="1:5" x14ac:dyDescent="0.2">
      <c r="A31" s="13" t="s">
        <v>29</v>
      </c>
      <c r="B31" s="63">
        <f t="shared" si="1"/>
        <v>0</v>
      </c>
      <c r="C31" s="65">
        <f>'Pro Forma Adj'!C32</f>
        <v>0</v>
      </c>
      <c r="D31" s="65">
        <f>'Pro Forma Adj'!D32</f>
        <v>0</v>
      </c>
      <c r="E31" s="65">
        <f>'Pro Forma Adj'!E32</f>
        <v>0</v>
      </c>
    </row>
    <row r="32" spans="1:5" x14ac:dyDescent="0.2">
      <c r="A32" s="13" t="s">
        <v>30</v>
      </c>
      <c r="B32" s="63">
        <f t="shared" si="1"/>
        <v>314683.30901663721</v>
      </c>
      <c r="C32" s="65">
        <f>C86</f>
        <v>483297.15244031587</v>
      </c>
      <c r="D32" s="65">
        <f t="shared" ref="D32:E32" si="3">D86</f>
        <v>-126480.68493967857</v>
      </c>
      <c r="E32" s="65">
        <f t="shared" si="3"/>
        <v>-42133.15848400008</v>
      </c>
    </row>
    <row r="33" spans="1:5" x14ac:dyDescent="0.2">
      <c r="A33" s="13" t="s">
        <v>31</v>
      </c>
      <c r="B33" s="63">
        <f t="shared" si="1"/>
        <v>0</v>
      </c>
      <c r="C33" s="63">
        <f>'Pro Forma Adj'!C34</f>
        <v>0</v>
      </c>
      <c r="D33" s="63">
        <f>'Pro Forma Adj'!D34</f>
        <v>0</v>
      </c>
      <c r="E33" s="63">
        <f>'Pro Forma Adj'!E34</f>
        <v>0</v>
      </c>
    </row>
    <row r="34" spans="1:5" x14ac:dyDescent="0.2">
      <c r="A34" s="13" t="s">
        <v>32</v>
      </c>
      <c r="B34" s="63">
        <f t="shared" si="1"/>
        <v>0</v>
      </c>
      <c r="C34" s="65">
        <f>'Pro Forma Adj'!C35</f>
        <v>0</v>
      </c>
      <c r="D34" s="65">
        <f>'Pro Forma Adj'!D35</f>
        <v>0</v>
      </c>
      <c r="E34" s="65">
        <f>'Pro Forma Adj'!E35</f>
        <v>0</v>
      </c>
    </row>
    <row r="35" spans="1:5" x14ac:dyDescent="0.2">
      <c r="A35" s="13" t="s">
        <v>33</v>
      </c>
      <c r="B35" s="63">
        <f t="shared" si="1"/>
        <v>0</v>
      </c>
      <c r="C35" s="65">
        <f>'Pro Forma Adj'!C36</f>
        <v>0</v>
      </c>
      <c r="D35" s="65">
        <f>'Pro Forma Adj'!D36</f>
        <v>0</v>
      </c>
      <c r="E35" s="65">
        <f>'Pro Forma Adj'!E36</f>
        <v>0</v>
      </c>
    </row>
    <row r="36" spans="1:5" x14ac:dyDescent="0.2">
      <c r="A36" s="13" t="s">
        <v>34</v>
      </c>
      <c r="B36" s="63">
        <f t="shared" si="1"/>
        <v>0</v>
      </c>
      <c r="C36" s="65">
        <f>'Pro Forma Adj'!C37</f>
        <v>0</v>
      </c>
      <c r="D36" s="65">
        <f>'Pro Forma Adj'!D37</f>
        <v>0</v>
      </c>
      <c r="E36" s="65">
        <f>'Pro Forma Adj'!E37</f>
        <v>0</v>
      </c>
    </row>
    <row r="37" spans="1:5" x14ac:dyDescent="0.2">
      <c r="A37" s="13" t="s">
        <v>35</v>
      </c>
      <c r="B37" s="232">
        <f t="shared" si="1"/>
        <v>916972.28491986846</v>
      </c>
      <c r="C37" s="232">
        <f>SUM(C28:C36)</f>
        <v>483297.15244031587</v>
      </c>
      <c r="D37" s="232">
        <f t="shared" ref="D37:E37" si="4">SUM(D28:D36)</f>
        <v>475808.29096355272</v>
      </c>
      <c r="E37" s="232">
        <f t="shared" si="4"/>
        <v>-42133.15848400008</v>
      </c>
    </row>
    <row r="38" spans="1:5" x14ac:dyDescent="0.2">
      <c r="A38" s="13"/>
      <c r="B38" s="12">
        <f t="shared" si="1"/>
        <v>0</v>
      </c>
      <c r="C38" s="12"/>
      <c r="D38" s="12"/>
      <c r="E38" s="12"/>
    </row>
    <row r="39" spans="1:5" ht="13.5" thickBot="1" x14ac:dyDescent="0.25">
      <c r="A39" s="13" t="s">
        <v>36</v>
      </c>
      <c r="B39" s="236">
        <f t="shared" si="1"/>
        <v>1183808.6386816355</v>
      </c>
      <c r="C39" s="236">
        <f t="shared" ref="C39:E39" si="5">C15-C37</f>
        <v>1818117.859180236</v>
      </c>
      <c r="D39" s="236">
        <f t="shared" si="5"/>
        <v>-475808.29096355272</v>
      </c>
      <c r="E39" s="236">
        <f t="shared" si="5"/>
        <v>-158500.92953504794</v>
      </c>
    </row>
    <row r="40" spans="1:5" ht="13.5" thickTop="1" x14ac:dyDescent="0.2">
      <c r="A40" s="13"/>
      <c r="B40" s="12"/>
      <c r="C40" s="12"/>
      <c r="D40" s="12"/>
      <c r="E40" s="12"/>
    </row>
    <row r="41" spans="1:5" x14ac:dyDescent="0.2">
      <c r="A41" s="13" t="s">
        <v>37</v>
      </c>
      <c r="B41" s="12"/>
      <c r="C41" s="12"/>
      <c r="D41" s="12"/>
      <c r="E41" s="12"/>
    </row>
    <row r="42" spans="1:5" x14ac:dyDescent="0.2">
      <c r="A42" s="13" t="s">
        <v>38</v>
      </c>
      <c r="B42" s="63">
        <f t="shared" ref="B42:B53" si="6">SUM(C42:E42)</f>
        <v>0</v>
      </c>
      <c r="C42" s="65">
        <f>'Pro Forma Adj'!C43</f>
        <v>0</v>
      </c>
      <c r="D42" s="65">
        <f>'Pro Forma Adj'!D43</f>
        <v>0</v>
      </c>
      <c r="E42" s="65">
        <f>'Pro Forma Adj'!E43</f>
        <v>0</v>
      </c>
    </row>
    <row r="43" spans="1:5" x14ac:dyDescent="0.2">
      <c r="A43" s="13" t="s">
        <v>39</v>
      </c>
      <c r="B43" s="63">
        <f t="shared" si="6"/>
        <v>0</v>
      </c>
      <c r="C43" s="65">
        <f>'Pro Forma Adj'!C44</f>
        <v>0</v>
      </c>
      <c r="D43" s="65">
        <f>'Pro Forma Adj'!D44</f>
        <v>0</v>
      </c>
      <c r="E43" s="65">
        <f>'Pro Forma Adj'!E44</f>
        <v>0</v>
      </c>
    </row>
    <row r="44" spans="1:5" x14ac:dyDescent="0.2">
      <c r="A44" s="13" t="s">
        <v>40</v>
      </c>
      <c r="B44" s="63">
        <f t="shared" si="6"/>
        <v>0</v>
      </c>
      <c r="C44" s="65">
        <f>'Pro Forma Adj'!C45</f>
        <v>0</v>
      </c>
      <c r="D44" s="65">
        <f>'Pro Forma Adj'!D45</f>
        <v>0</v>
      </c>
      <c r="E44" s="65">
        <f>'Pro Forma Adj'!E45</f>
        <v>0</v>
      </c>
    </row>
    <row r="45" spans="1:5" x14ac:dyDescent="0.2">
      <c r="A45" s="13" t="s">
        <v>41</v>
      </c>
      <c r="B45" s="63">
        <f t="shared" si="6"/>
        <v>0</v>
      </c>
      <c r="C45" s="65">
        <f>'Pro Forma Adj'!C46</f>
        <v>0</v>
      </c>
      <c r="D45" s="65">
        <f>'Pro Forma Adj'!D46</f>
        <v>0</v>
      </c>
      <c r="E45" s="65">
        <f>'Pro Forma Adj'!E46</f>
        <v>0</v>
      </c>
    </row>
    <row r="46" spans="1:5" x14ac:dyDescent="0.2">
      <c r="A46" s="13" t="s">
        <v>42</v>
      </c>
      <c r="B46" s="63">
        <f t="shared" si="6"/>
        <v>0</v>
      </c>
      <c r="C46" s="65">
        <f>'Pro Forma Adj'!C47</f>
        <v>0</v>
      </c>
      <c r="D46" s="65">
        <f>'Pro Forma Adj'!D47</f>
        <v>0</v>
      </c>
      <c r="E46" s="65">
        <f>'Pro Forma Adj'!E47</f>
        <v>0</v>
      </c>
    </row>
    <row r="47" spans="1:5" x14ac:dyDescent="0.2">
      <c r="A47" s="13" t="s">
        <v>43</v>
      </c>
      <c r="B47" s="63">
        <f t="shared" si="6"/>
        <v>0</v>
      </c>
      <c r="C47" s="65">
        <f>'Pro Forma Adj'!C48</f>
        <v>0</v>
      </c>
      <c r="D47" s="65">
        <f>'Pro Forma Adj'!D48</f>
        <v>0</v>
      </c>
      <c r="E47" s="65">
        <f>'Pro Forma Adj'!E48</f>
        <v>0</v>
      </c>
    </row>
    <row r="48" spans="1:5" x14ac:dyDescent="0.2">
      <c r="A48" s="13" t="s">
        <v>44</v>
      </c>
      <c r="B48" s="63">
        <f t="shared" si="6"/>
        <v>0</v>
      </c>
      <c r="C48" s="65">
        <f>'Pro Forma Adj'!C49</f>
        <v>0</v>
      </c>
      <c r="D48" s="65">
        <f>'Pro Forma Adj'!D49</f>
        <v>0</v>
      </c>
      <c r="E48" s="65">
        <f>'Pro Forma Adj'!E49</f>
        <v>0</v>
      </c>
    </row>
    <row r="49" spans="1:5" x14ac:dyDescent="0.2">
      <c r="A49" s="13" t="s">
        <v>45</v>
      </c>
      <c r="B49" s="63">
        <f t="shared" si="6"/>
        <v>0</v>
      </c>
      <c r="C49" s="65">
        <f>'Pro Forma Adj'!C50</f>
        <v>0</v>
      </c>
      <c r="D49" s="65">
        <f>'Pro Forma Adj'!D50</f>
        <v>0</v>
      </c>
      <c r="E49" s="65">
        <f>'Pro Forma Adj'!E50</f>
        <v>0</v>
      </c>
    </row>
    <row r="50" spans="1:5" x14ac:dyDescent="0.2">
      <c r="A50" s="13" t="s">
        <v>46</v>
      </c>
      <c r="B50" s="63">
        <f t="shared" si="6"/>
        <v>0</v>
      </c>
      <c r="C50" s="65">
        <f>'Pro Forma Adj'!C51</f>
        <v>0</v>
      </c>
      <c r="D50" s="65">
        <f>'Pro Forma Adj'!D51</f>
        <v>0</v>
      </c>
      <c r="E50" s="65">
        <f>'Pro Forma Adj'!E51</f>
        <v>0</v>
      </c>
    </row>
    <row r="51" spans="1:5" x14ac:dyDescent="0.2">
      <c r="A51" s="13" t="s">
        <v>47</v>
      </c>
      <c r="B51" s="63">
        <f t="shared" si="6"/>
        <v>0</v>
      </c>
      <c r="C51" s="65">
        <f>'Pro Forma Adj'!C52</f>
        <v>0</v>
      </c>
      <c r="D51" s="65">
        <f>'Pro Forma Adj'!D52</f>
        <v>0</v>
      </c>
      <c r="E51" s="65">
        <f>'Pro Forma Adj'!E52</f>
        <v>0</v>
      </c>
    </row>
    <row r="52" spans="1:5" x14ac:dyDescent="0.2">
      <c r="A52" s="13" t="s">
        <v>48</v>
      </c>
      <c r="B52" s="63">
        <f t="shared" si="6"/>
        <v>0</v>
      </c>
      <c r="C52" s="65">
        <f>'Pro Forma Adj'!C53</f>
        <v>0</v>
      </c>
      <c r="D52" s="65">
        <f>'Pro Forma Adj'!D53</f>
        <v>0</v>
      </c>
      <c r="E52" s="65">
        <f>'Pro Forma Adj'!E53</f>
        <v>0</v>
      </c>
    </row>
    <row r="53" spans="1:5" x14ac:dyDescent="0.2">
      <c r="A53" s="13" t="s">
        <v>49</v>
      </c>
      <c r="B53" s="239">
        <f t="shared" si="6"/>
        <v>0</v>
      </c>
      <c r="C53" s="239">
        <f>SUM(C42:C52)</f>
        <v>0</v>
      </c>
      <c r="D53" s="239">
        <f t="shared" ref="D53:E53" si="7">SUM(D42:D52)</f>
        <v>0</v>
      </c>
      <c r="E53" s="239">
        <f t="shared" si="7"/>
        <v>0</v>
      </c>
    </row>
    <row r="54" spans="1:5" x14ac:dyDescent="0.2">
      <c r="A54" s="13"/>
      <c r="B54" s="12"/>
      <c r="C54" s="12"/>
      <c r="D54" s="12"/>
      <c r="E54" s="12"/>
    </row>
    <row r="55" spans="1:5" x14ac:dyDescent="0.2">
      <c r="A55" s="13" t="s">
        <v>50</v>
      </c>
      <c r="B55" s="12"/>
      <c r="C55" s="12"/>
      <c r="D55" s="12"/>
      <c r="E55" s="12"/>
    </row>
    <row r="56" spans="1:5" x14ac:dyDescent="0.2">
      <c r="A56" s="13" t="s">
        <v>51</v>
      </c>
      <c r="B56" s="63">
        <f t="shared" ref="B56:B64" si="8">SUM(C56:E56)</f>
        <v>0</v>
      </c>
      <c r="C56" s="65">
        <f>'Pro Forma Adj'!C57</f>
        <v>0</v>
      </c>
      <c r="D56" s="65">
        <f>'Pro Forma Adj'!D57</f>
        <v>0</v>
      </c>
      <c r="E56" s="65">
        <f>'Pro Forma Adj'!E57</f>
        <v>0</v>
      </c>
    </row>
    <row r="57" spans="1:5" x14ac:dyDescent="0.2">
      <c r="A57" s="13" t="s">
        <v>52</v>
      </c>
      <c r="B57" s="63">
        <f t="shared" si="8"/>
        <v>0</v>
      </c>
      <c r="C57" s="65">
        <f>'Pro Forma Adj'!C58</f>
        <v>0</v>
      </c>
      <c r="D57" s="65">
        <f>'Pro Forma Adj'!D58</f>
        <v>0</v>
      </c>
      <c r="E57" s="65">
        <f>'Pro Forma Adj'!E58</f>
        <v>0</v>
      </c>
    </row>
    <row r="58" spans="1:5" x14ac:dyDescent="0.2">
      <c r="A58" s="13" t="s">
        <v>53</v>
      </c>
      <c r="B58" s="63">
        <f t="shared" si="8"/>
        <v>0</v>
      </c>
      <c r="C58" s="65">
        <f>'Pro Forma Adj'!C59</f>
        <v>0</v>
      </c>
      <c r="D58" s="65">
        <f>'Pro Forma Adj'!D59</f>
        <v>0</v>
      </c>
      <c r="E58" s="65">
        <f>'Pro Forma Adj'!E59</f>
        <v>0</v>
      </c>
    </row>
    <row r="59" spans="1:5" x14ac:dyDescent="0.2">
      <c r="A59" s="13" t="s">
        <v>54</v>
      </c>
      <c r="B59" s="63">
        <f t="shared" si="8"/>
        <v>0</v>
      </c>
      <c r="C59" s="65">
        <f>'Pro Forma Adj'!C60</f>
        <v>0</v>
      </c>
      <c r="D59" s="65">
        <f>'Pro Forma Adj'!D60</f>
        <v>0</v>
      </c>
      <c r="E59" s="65">
        <f>'Pro Forma Adj'!E60</f>
        <v>0</v>
      </c>
    </row>
    <row r="60" spans="1:5" x14ac:dyDescent="0.2">
      <c r="A60" s="13" t="s">
        <v>55</v>
      </c>
      <c r="B60" s="63">
        <f t="shared" si="8"/>
        <v>0</v>
      </c>
      <c r="C60" s="65">
        <f>'Pro Forma Adj'!C61</f>
        <v>0</v>
      </c>
      <c r="D60" s="65">
        <f>'Pro Forma Adj'!D61</f>
        <v>0</v>
      </c>
      <c r="E60" s="65">
        <f>'Pro Forma Adj'!E61</f>
        <v>0</v>
      </c>
    </row>
    <row r="61" spans="1:5" x14ac:dyDescent="0.2">
      <c r="A61" s="13" t="s">
        <v>56</v>
      </c>
      <c r="B61" s="63">
        <f t="shared" si="8"/>
        <v>0</v>
      </c>
      <c r="C61" s="65">
        <f>'Pro Forma Adj'!C62</f>
        <v>0</v>
      </c>
      <c r="D61" s="65">
        <f>'Pro Forma Adj'!D62</f>
        <v>0</v>
      </c>
      <c r="E61" s="65">
        <f>'Pro Forma Adj'!E62</f>
        <v>0</v>
      </c>
    </row>
    <row r="62" spans="1:5" x14ac:dyDescent="0.2">
      <c r="A62" s="13" t="s">
        <v>57</v>
      </c>
      <c r="B62" s="63">
        <f t="shared" si="8"/>
        <v>0</v>
      </c>
      <c r="C62" s="65">
        <f>'Pro Forma Adj'!C63</f>
        <v>0</v>
      </c>
      <c r="D62" s="65">
        <f>'Pro Forma Adj'!D63</f>
        <v>0</v>
      </c>
      <c r="E62" s="65">
        <f>'Pro Forma Adj'!E63</f>
        <v>0</v>
      </c>
    </row>
    <row r="63" spans="1:5" x14ac:dyDescent="0.2">
      <c r="A63" s="13"/>
      <c r="B63" s="12">
        <f t="shared" si="8"/>
        <v>0</v>
      </c>
      <c r="C63" s="12">
        <f>'Pro Forma Adj'!C64</f>
        <v>0</v>
      </c>
      <c r="D63" s="12">
        <f>'Pro Forma Adj'!D64</f>
        <v>0</v>
      </c>
      <c r="E63" s="12">
        <f>'Pro Forma Adj'!E64</f>
        <v>0</v>
      </c>
    </row>
    <row r="64" spans="1:5" x14ac:dyDescent="0.2">
      <c r="A64" s="13" t="s">
        <v>58</v>
      </c>
      <c r="B64" s="232">
        <f t="shared" si="8"/>
        <v>0</v>
      </c>
      <c r="C64" s="232">
        <f t="shared" ref="C64:E64" si="9">SUM(C56:C63)</f>
        <v>0</v>
      </c>
      <c r="D64" s="232">
        <f t="shared" si="9"/>
        <v>0</v>
      </c>
      <c r="E64" s="232">
        <f t="shared" si="9"/>
        <v>0</v>
      </c>
    </row>
    <row r="65" spans="1:5" x14ac:dyDescent="0.2">
      <c r="A65" s="13"/>
      <c r="B65" s="12"/>
      <c r="C65" s="12"/>
      <c r="D65" s="12"/>
      <c r="E65" s="12"/>
    </row>
    <row r="66" spans="1:5" ht="13.5" thickBot="1" x14ac:dyDescent="0.25">
      <c r="A66" s="13" t="s">
        <v>59</v>
      </c>
      <c r="B66" s="242">
        <f>SUM(C66:E66)</f>
        <v>0</v>
      </c>
      <c r="C66" s="242">
        <f t="shared" ref="C66:E66" si="10">C53+C64</f>
        <v>0</v>
      </c>
      <c r="D66" s="242">
        <f t="shared" si="10"/>
        <v>0</v>
      </c>
      <c r="E66" s="242">
        <f t="shared" si="10"/>
        <v>0</v>
      </c>
    </row>
    <row r="67" spans="1:5" ht="13.5" thickTop="1" x14ac:dyDescent="0.2">
      <c r="A67" s="13"/>
      <c r="B67" s="12"/>
      <c r="C67" s="12"/>
      <c r="D67" s="12"/>
      <c r="E67" s="12"/>
    </row>
    <row r="68" spans="1:5" x14ac:dyDescent="0.2">
      <c r="A68" s="13"/>
      <c r="B68" s="12"/>
      <c r="C68" s="12"/>
      <c r="D68" s="12"/>
      <c r="E68" s="12"/>
    </row>
    <row r="69" spans="1:5" s="149" customFormat="1" x14ac:dyDescent="0.2">
      <c r="A69" s="16" t="s">
        <v>93</v>
      </c>
      <c r="B69" s="16">
        <f t="shared" ref="B69:E69" si="11">(((B39+Unadj_Op_revenue)/(B66+Unadj_rate_base))-Weighted_cost_debt-Weighted_cost_pref)/Percent_common-Unadj_ROE</f>
        <v>1.9923374279549599E-3</v>
      </c>
      <c r="C69" s="16">
        <f t="shared" si="11"/>
        <v>3.1166252758259155E-3</v>
      </c>
      <c r="D69" s="16">
        <f t="shared" si="11"/>
        <v>-9.4926752720293772E-4</v>
      </c>
      <c r="E69" s="16">
        <f t="shared" si="11"/>
        <v>-3.8685285788180035E-4</v>
      </c>
    </row>
    <row r="70" spans="1:5" x14ac:dyDescent="0.2">
      <c r="A70" s="13" t="s">
        <v>7</v>
      </c>
      <c r="B70" s="244">
        <f>SUM(C70:E70)</f>
        <v>-1574590.5119332222</v>
      </c>
      <c r="C70" s="244">
        <f t="shared" ref="C70:E70" si="12">-(C39-(C66*Overall_ROR))/gross_up_factor</f>
        <v>-2418288.7648376417</v>
      </c>
      <c r="D70" s="244">
        <f t="shared" si="12"/>
        <v>632875.27727854101</v>
      </c>
      <c r="E70" s="244">
        <f t="shared" si="12"/>
        <v>210822.97562587843</v>
      </c>
    </row>
    <row r="71" spans="1:5" x14ac:dyDescent="0.2">
      <c r="A71" s="13"/>
      <c r="B71" s="16"/>
      <c r="C71" s="16"/>
      <c r="D71" s="16"/>
      <c r="E71" s="16"/>
    </row>
    <row r="72" spans="1:5" x14ac:dyDescent="0.2">
      <c r="A72" s="13" t="s">
        <v>61</v>
      </c>
      <c r="B72" s="12"/>
      <c r="C72" s="12"/>
      <c r="D72" s="12"/>
      <c r="E72" s="12"/>
    </row>
    <row r="73" spans="1:5" x14ac:dyDescent="0.2">
      <c r="A73" s="13" t="s">
        <v>62</v>
      </c>
      <c r="B73" s="244">
        <f t="shared" ref="B73:B79" si="13">SUM(C73:E73)</f>
        <v>1498491.9476982725</v>
      </c>
      <c r="C73" s="244">
        <f t="shared" ref="C73:E73" si="14">C15-C28-C29-C30-C31-C36</f>
        <v>2301415.0116205518</v>
      </c>
      <c r="D73" s="244">
        <f t="shared" si="14"/>
        <v>-602288.9759032313</v>
      </c>
      <c r="E73" s="244">
        <f t="shared" si="14"/>
        <v>-200634.08801904801</v>
      </c>
    </row>
    <row r="74" spans="1:5" x14ac:dyDescent="0.2">
      <c r="A74" s="13" t="s">
        <v>63</v>
      </c>
      <c r="B74" s="244">
        <f t="shared" si="13"/>
        <v>0</v>
      </c>
      <c r="C74" s="12">
        <f>'Pro Forma Adj'!C75</f>
        <v>0</v>
      </c>
      <c r="D74" s="12">
        <f>'Pro Forma Adj'!D75</f>
        <v>0</v>
      </c>
      <c r="E74" s="12">
        <f>'Pro Forma Adj'!E75</f>
        <v>0</v>
      </c>
    </row>
    <row r="75" spans="1:5" x14ac:dyDescent="0.2">
      <c r="A75" s="13" t="s">
        <v>64</v>
      </c>
      <c r="B75" s="244">
        <f t="shared" si="13"/>
        <v>0</v>
      </c>
      <c r="C75" s="63">
        <f>'Pro Forma Adj'!C76</f>
        <v>0</v>
      </c>
      <c r="D75" s="63">
        <f>'Pro Forma Adj'!D76</f>
        <v>0</v>
      </c>
      <c r="E75" s="63">
        <f>'Pro Forma Adj'!E76</f>
        <v>0</v>
      </c>
    </row>
    <row r="76" spans="1:5" x14ac:dyDescent="0.2">
      <c r="A76" s="13" t="s">
        <v>65</v>
      </c>
      <c r="B76" s="244">
        <f t="shared" si="13"/>
        <v>0</v>
      </c>
      <c r="C76" s="63">
        <f>'Pro Forma Adj'!C77</f>
        <v>0</v>
      </c>
      <c r="D76" s="63">
        <f>'Pro Forma Adj'!D77</f>
        <v>0</v>
      </c>
      <c r="E76" s="63">
        <f>'Pro Forma Adj'!E77</f>
        <v>0</v>
      </c>
    </row>
    <row r="77" spans="1:5" x14ac:dyDescent="0.2">
      <c r="A77" s="13" t="s">
        <v>66</v>
      </c>
      <c r="B77" s="244">
        <f t="shared" si="13"/>
        <v>0</v>
      </c>
      <c r="C77" s="63">
        <f>'Pro Forma Adj'!C78</f>
        <v>0</v>
      </c>
      <c r="D77" s="63">
        <f>'Pro Forma Adj'!D78</f>
        <v>0</v>
      </c>
      <c r="E77" s="63">
        <f>'Pro Forma Adj'!E78</f>
        <v>0</v>
      </c>
    </row>
    <row r="78" spans="1:5" x14ac:dyDescent="0.2">
      <c r="A78" s="13" t="s">
        <v>67</v>
      </c>
      <c r="B78" s="265">
        <f t="shared" si="13"/>
        <v>0</v>
      </c>
      <c r="C78" s="69">
        <f>'Pro Forma Adj'!C79</f>
        <v>0</v>
      </c>
      <c r="D78" s="69">
        <f>'Pro Forma Adj'!D79</f>
        <v>0</v>
      </c>
      <c r="E78" s="69">
        <f>'Pro Forma Adj'!E79</f>
        <v>0</v>
      </c>
    </row>
    <row r="79" spans="1:5" x14ac:dyDescent="0.2">
      <c r="A79" s="13" t="s">
        <v>68</v>
      </c>
      <c r="B79" s="13">
        <f t="shared" si="13"/>
        <v>1498491.9476982725</v>
      </c>
      <c r="C79" s="13">
        <f t="shared" ref="C79:E79" si="15">C73-C75-C76+C77-C78</f>
        <v>2301415.0116205518</v>
      </c>
      <c r="D79" s="13">
        <f t="shared" si="15"/>
        <v>-602288.9759032313</v>
      </c>
      <c r="E79" s="13">
        <f t="shared" si="15"/>
        <v>-200634.08801904801</v>
      </c>
    </row>
    <row r="80" spans="1:5" x14ac:dyDescent="0.2">
      <c r="A80" s="13"/>
      <c r="B80" s="12"/>
      <c r="C80" s="12"/>
      <c r="D80" s="12"/>
      <c r="E80" s="12"/>
    </row>
    <row r="81" spans="1:5" x14ac:dyDescent="0.2">
      <c r="A81" s="13" t="s">
        <v>69</v>
      </c>
      <c r="B81" s="2">
        <f>SUM(C81:E81)</f>
        <v>0</v>
      </c>
      <c r="C81" s="12">
        <v>0</v>
      </c>
      <c r="D81" s="12">
        <v>0</v>
      </c>
      <c r="E81" s="12">
        <v>0</v>
      </c>
    </row>
    <row r="82" spans="1:5" ht="13.5" thickBot="1" x14ac:dyDescent="0.25">
      <c r="A82" s="13" t="s">
        <v>70</v>
      </c>
      <c r="B82" s="266">
        <f>SUM(C82:E82)</f>
        <v>1498491.9476982725</v>
      </c>
      <c r="C82" s="267">
        <f>C79-C81</f>
        <v>2301415.0116205518</v>
      </c>
      <c r="D82" s="267">
        <f t="shared" ref="D82:E82" si="16">D79-D81</f>
        <v>-602288.9759032313</v>
      </c>
      <c r="E82" s="267">
        <f t="shared" si="16"/>
        <v>-200634.08801904801</v>
      </c>
    </row>
    <row r="83" spans="1:5" x14ac:dyDescent="0.2">
      <c r="A83" s="13"/>
      <c r="C83" s="12"/>
      <c r="D83" s="12"/>
      <c r="E83" s="12"/>
    </row>
    <row r="84" spans="1:5" x14ac:dyDescent="0.2">
      <c r="A84" s="13" t="s">
        <v>81</v>
      </c>
      <c r="B84" s="2">
        <f>SUM(C84:E84)</f>
        <v>314683.30901663721</v>
      </c>
      <c r="C84" s="12">
        <f>C82*0.21</f>
        <v>483297.15244031587</v>
      </c>
      <c r="D84" s="12">
        <f t="shared" ref="D84:E84" si="17">D82*0.21</f>
        <v>-126480.68493967857</v>
      </c>
      <c r="E84" s="12">
        <f t="shared" si="17"/>
        <v>-42133.15848400008</v>
      </c>
    </row>
    <row r="85" spans="1:5" x14ac:dyDescent="0.2">
      <c r="A85" s="13" t="s">
        <v>129</v>
      </c>
      <c r="B85" s="2">
        <f>SUM(C85:E85)</f>
        <v>0</v>
      </c>
      <c r="C85" s="12"/>
      <c r="D85" s="12"/>
      <c r="E85" s="12"/>
    </row>
    <row r="86" spans="1:5" s="2" customFormat="1" ht="13.5" thickBot="1" x14ac:dyDescent="0.25">
      <c r="A86" s="13" t="s">
        <v>83</v>
      </c>
      <c r="B86" s="273">
        <f>SUM(C86:E86)</f>
        <v>314683.30901663721</v>
      </c>
      <c r="C86" s="274">
        <f>C84+C85</f>
        <v>483297.15244031587</v>
      </c>
      <c r="D86" s="274">
        <f t="shared" ref="D86:E86" si="18">D84+D85</f>
        <v>-126480.68493967857</v>
      </c>
      <c r="E86" s="274">
        <f t="shared" si="18"/>
        <v>-42133.15848400008</v>
      </c>
    </row>
    <row r="87" spans="1:5" s="2" customFormat="1" ht="13.5" thickTop="1" x14ac:dyDescent="0.2">
      <c r="A87" s="13"/>
      <c r="B87" s="13"/>
      <c r="C87" s="13"/>
      <c r="D87" s="13"/>
      <c r="E87" s="13"/>
    </row>
    <row r="88" spans="1:5" s="2" customFormat="1" x14ac:dyDescent="0.2">
      <c r="A88" s="13"/>
      <c r="B88" s="14"/>
      <c r="C88" s="14"/>
      <c r="D88" s="14"/>
      <c r="E88" s="14"/>
    </row>
    <row r="89" spans="1:5" s="2" customFormat="1" x14ac:dyDescent="0.2">
      <c r="A89" s="123"/>
      <c r="B89" s="12"/>
      <c r="C89" s="12"/>
      <c r="D89" s="12"/>
      <c r="E89" s="12"/>
    </row>
    <row r="90" spans="1:5" s="2" customFormat="1" x14ac:dyDescent="0.2">
      <c r="A90" s="13"/>
      <c r="B90" s="12"/>
      <c r="C90" s="12"/>
      <c r="D90" s="12"/>
      <c r="E90" s="12"/>
    </row>
    <row r="91" spans="1:5" s="2" customFormat="1" x14ac:dyDescent="0.2">
      <c r="A91" s="13"/>
      <c r="C91" s="146"/>
    </row>
    <row r="92" spans="1:5" s="2" customFormat="1" x14ac:dyDescent="0.2">
      <c r="A92" s="272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&amp;L&amp;12WAHSINGTON INTER-JURISDICTIONAL ALLOCATION METHDOLOGY
Revenues &amp; Expenses - Year 2 Adjustments (Tab 13)
PRO FORMA&amp;R&amp;12Page 13.0.&amp;P
&amp;10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3671-DD0B-4769-A161-B87D628E9AFC}">
  <sheetPr>
    <pageSetUpPr fitToPage="1"/>
  </sheetPr>
  <dimension ref="A2:L92"/>
  <sheetViews>
    <sheetView showOutlineSymbols="0" workbookViewId="0"/>
  </sheetViews>
  <sheetFormatPr defaultRowHeight="12.75" x14ac:dyDescent="0.2"/>
  <cols>
    <col min="1" max="1" width="37.5703125" style="2" customWidth="1"/>
    <col min="2" max="12" width="17.28515625" style="2" bestFit="1" customWidth="1"/>
    <col min="13" max="16384" width="9.140625" style="2"/>
  </cols>
  <sheetData>
    <row r="2" spans="1:12" x14ac:dyDescent="0.2">
      <c r="A2" s="269"/>
    </row>
    <row r="3" spans="1:12" x14ac:dyDescent="0.2">
      <c r="A3" s="269"/>
    </row>
    <row r="4" spans="1:12" x14ac:dyDescent="0.2">
      <c r="A4" s="270"/>
    </row>
    <row r="5" spans="1:12" x14ac:dyDescent="0.2">
      <c r="A5" s="270"/>
    </row>
    <row r="6" spans="1:12" x14ac:dyDescent="0.2">
      <c r="A6" s="270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59"/>
      <c r="C7" s="59" t="str">
        <f>'Pro Forma Adj'!F8</f>
        <v>14.1</v>
      </c>
      <c r="D7" s="59" t="str">
        <f>'Pro Forma Adj'!G8</f>
        <v>14.2</v>
      </c>
      <c r="E7" s="59" t="str">
        <f>'Pro Forma Adj'!H8</f>
        <v>14.3</v>
      </c>
      <c r="F7" s="59" t="str">
        <f>'Pro Forma Adj'!I8</f>
        <v>14.4</v>
      </c>
      <c r="G7" s="59" t="str">
        <f>'Pro Forma Adj'!J8</f>
        <v>14.5</v>
      </c>
      <c r="H7" s="59" t="str">
        <f>'Pro Forma Adj'!K8</f>
        <v>14.6</v>
      </c>
      <c r="I7" s="59" t="str">
        <f>'Pro Forma Adj'!L8</f>
        <v>14.7</v>
      </c>
      <c r="J7" s="59" t="str">
        <f>'Pro Forma Adj'!M8</f>
        <v>14.8</v>
      </c>
      <c r="K7" s="59" t="str">
        <f>'Pro Forma Adj'!N8</f>
        <v>14.9</v>
      </c>
      <c r="L7" s="59" t="str">
        <f>'Pro Forma Adj'!O8</f>
        <v>14.10</v>
      </c>
    </row>
    <row r="8" spans="1:12" s="13" customFormat="1" ht="81" customHeight="1" x14ac:dyDescent="0.2">
      <c r="B8" s="262" t="s">
        <v>231</v>
      </c>
      <c r="C8" s="262" t="str">
        <f>'Pro Forma Adj'!F9</f>
        <v>Pro Forma Major Plant Additions - Year 2</v>
      </c>
      <c r="D8" s="262" t="str">
        <f>'Pro Forma Adj'!G9</f>
        <v>Pro Forma Depreciation &amp; Amortization Expense - 
Year 2</v>
      </c>
      <c r="E8" s="262" t="str">
        <f>'Pro Forma Adj'!H9</f>
        <v>Pro Forma Depreciation &amp; Amortization Reserve - 
Year 2</v>
      </c>
      <c r="F8" s="262" t="str">
        <f>'Pro Forma Adj'!I9</f>
        <v>Decommissioning and Other Plant Closure Costs - 
Year 2</v>
      </c>
      <c r="G8" s="262" t="str">
        <f>'Pro Forma Adj'!J9</f>
        <v>Jim Bridger Mine Rate Base - 
Year 2</v>
      </c>
      <c r="H8" s="262" t="str">
        <f>'Pro Forma Adj'!K9</f>
        <v>Existing Coal-Fired Generation Assets - 
Year 2</v>
      </c>
      <c r="I8" s="262" t="str">
        <f>'Pro Forma Adj'!L9</f>
        <v>Pro Forma JB Units 3, 4 and Colstrip 4 Additions - 
Year 2</v>
      </c>
      <c r="J8" s="262" t="str">
        <f>'Pro Forma Adj'!M9</f>
        <v>Pro Forma JB Units 1 &amp; 2 Additions - Year 2</v>
      </c>
      <c r="K8" s="262" t="str">
        <f>'Pro Forma Adj'!N9</f>
        <v>Confidential Wind Generation Captial Additions - 
Year 2</v>
      </c>
      <c r="L8" s="262" t="str">
        <f>'Pro Forma Adj'!O9</f>
        <v>Major Transmission Capital Additions - 
Year 2</v>
      </c>
    </row>
    <row r="10" spans="1:12" x14ac:dyDescent="0.2">
      <c r="A10" s="13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">
      <c r="A11" s="13" t="s">
        <v>10</v>
      </c>
      <c r="B11" s="65">
        <f>SUM(C11:L11)</f>
        <v>0</v>
      </c>
      <c r="C11" s="65">
        <f>'Pro Forma Adj'!F12</f>
        <v>0</v>
      </c>
      <c r="D11" s="65">
        <f>'Pro Forma Adj'!G12</f>
        <v>0</v>
      </c>
      <c r="E11" s="65">
        <f>'Pro Forma Adj'!H12</f>
        <v>0</v>
      </c>
      <c r="F11" s="65">
        <f>'Pro Forma Adj'!I12</f>
        <v>0</v>
      </c>
      <c r="G11" s="65">
        <f>'Pro Forma Adj'!J12</f>
        <v>0</v>
      </c>
      <c r="H11" s="65">
        <f>'Pro Forma Adj'!K12</f>
        <v>0</v>
      </c>
      <c r="I11" s="65">
        <f>'Pro Forma Adj'!L12</f>
        <v>0</v>
      </c>
      <c r="J11" s="65">
        <f>'Pro Forma Adj'!M12</f>
        <v>0</v>
      </c>
      <c r="K11" s="65">
        <f>'Pro Forma Adj'!N12</f>
        <v>0</v>
      </c>
      <c r="L11" s="65">
        <f>'Pro Forma Adj'!O12</f>
        <v>0</v>
      </c>
    </row>
    <row r="12" spans="1:12" x14ac:dyDescent="0.2">
      <c r="A12" s="13" t="s">
        <v>11</v>
      </c>
      <c r="B12" s="65">
        <f>SUM(C12:L12)</f>
        <v>0</v>
      </c>
      <c r="C12" s="65">
        <f>'Pro Forma Adj'!F13</f>
        <v>0</v>
      </c>
      <c r="D12" s="65">
        <f>'Pro Forma Adj'!G13</f>
        <v>0</v>
      </c>
      <c r="E12" s="65">
        <f>'Pro Forma Adj'!H13</f>
        <v>0</v>
      </c>
      <c r="F12" s="65">
        <f>'Pro Forma Adj'!I13</f>
        <v>0</v>
      </c>
      <c r="G12" s="65">
        <f>'Pro Forma Adj'!J13</f>
        <v>0</v>
      </c>
      <c r="H12" s="65">
        <f>'Pro Forma Adj'!K13</f>
        <v>0</v>
      </c>
      <c r="I12" s="65">
        <f>'Pro Forma Adj'!L13</f>
        <v>0</v>
      </c>
      <c r="J12" s="65">
        <f>'Pro Forma Adj'!M13</f>
        <v>0</v>
      </c>
      <c r="K12" s="65">
        <f>'Pro Forma Adj'!N13</f>
        <v>0</v>
      </c>
      <c r="L12" s="65">
        <f>'Pro Forma Adj'!O13</f>
        <v>0</v>
      </c>
    </row>
    <row r="13" spans="1:12" x14ac:dyDescent="0.2">
      <c r="A13" s="13" t="s">
        <v>12</v>
      </c>
      <c r="B13" s="65">
        <f>SUM(C13:L13)</f>
        <v>0</v>
      </c>
      <c r="C13" s="65">
        <f>'Pro Forma Adj'!F14</f>
        <v>0</v>
      </c>
      <c r="D13" s="65">
        <f>'Pro Forma Adj'!G14</f>
        <v>0</v>
      </c>
      <c r="E13" s="65">
        <f>'Pro Forma Adj'!H14</f>
        <v>0</v>
      </c>
      <c r="F13" s="65">
        <f>'Pro Forma Adj'!I14</f>
        <v>0</v>
      </c>
      <c r="G13" s="65">
        <f>'Pro Forma Adj'!J14</f>
        <v>0</v>
      </c>
      <c r="H13" s="65">
        <f>'Pro Forma Adj'!K14</f>
        <v>0</v>
      </c>
      <c r="I13" s="65">
        <f>'Pro Forma Adj'!L14</f>
        <v>0</v>
      </c>
      <c r="J13" s="65">
        <f>'Pro Forma Adj'!M14</f>
        <v>0</v>
      </c>
      <c r="K13" s="65">
        <f>'Pro Forma Adj'!N14</f>
        <v>0</v>
      </c>
      <c r="L13" s="65">
        <f>'Pro Forma Adj'!O14</f>
        <v>0</v>
      </c>
    </row>
    <row r="14" spans="1:12" x14ac:dyDescent="0.2">
      <c r="A14" s="13" t="s">
        <v>13</v>
      </c>
      <c r="B14" s="65">
        <f>SUM(C14:L14)</f>
        <v>0</v>
      </c>
      <c r="C14" s="65">
        <f>'Pro Forma Adj'!F15</f>
        <v>0</v>
      </c>
      <c r="D14" s="65">
        <f>'Pro Forma Adj'!G15</f>
        <v>0</v>
      </c>
      <c r="E14" s="65">
        <f>'Pro Forma Adj'!H15</f>
        <v>0</v>
      </c>
      <c r="F14" s="65">
        <f>'Pro Forma Adj'!I15</f>
        <v>0</v>
      </c>
      <c r="G14" s="65">
        <f>'Pro Forma Adj'!J15</f>
        <v>0</v>
      </c>
      <c r="H14" s="65">
        <f>'Pro Forma Adj'!K15</f>
        <v>0</v>
      </c>
      <c r="I14" s="65">
        <f>'Pro Forma Adj'!L15</f>
        <v>0</v>
      </c>
      <c r="J14" s="65">
        <f>'Pro Forma Adj'!M15</f>
        <v>0</v>
      </c>
      <c r="K14" s="65">
        <f>'Pro Forma Adj'!N15</f>
        <v>0</v>
      </c>
      <c r="L14" s="65">
        <f>'Pro Forma Adj'!O15</f>
        <v>0</v>
      </c>
    </row>
    <row r="15" spans="1:12" x14ac:dyDescent="0.2">
      <c r="A15" s="13" t="s">
        <v>14</v>
      </c>
      <c r="B15" s="232">
        <f>SUM(C15:L15)</f>
        <v>0</v>
      </c>
      <c r="C15" s="232">
        <f t="shared" ref="C15:E15" si="0">SUM(C11:C14)</f>
        <v>0</v>
      </c>
      <c r="D15" s="232">
        <f t="shared" si="0"/>
        <v>0</v>
      </c>
      <c r="E15" s="232">
        <f t="shared" si="0"/>
        <v>0</v>
      </c>
      <c r="F15" s="232">
        <f>SUM(F11:F14)</f>
        <v>0</v>
      </c>
      <c r="G15" s="232">
        <f>SUM(G11:G14)</f>
        <v>0</v>
      </c>
      <c r="H15" s="232">
        <f t="shared" ref="H15:I15" si="1">SUM(H11:H14)</f>
        <v>0</v>
      </c>
      <c r="I15" s="232">
        <f t="shared" si="1"/>
        <v>0</v>
      </c>
      <c r="J15" s="232">
        <f t="shared" ref="J15:K15" si="2">SUM(J11:J14)</f>
        <v>0</v>
      </c>
      <c r="K15" s="232">
        <f t="shared" si="2"/>
        <v>0</v>
      </c>
      <c r="L15" s="232">
        <f t="shared" ref="L15" si="3">SUM(L11:L14)</f>
        <v>0</v>
      </c>
    </row>
    <row r="16" spans="1:12" x14ac:dyDescent="0.2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13" t="s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">
      <c r="A18" s="13" t="s">
        <v>16</v>
      </c>
      <c r="B18" s="65">
        <f t="shared" ref="B18:B39" si="4">SUM(C18:L18)</f>
        <v>0</v>
      </c>
      <c r="C18" s="65">
        <f>'Pro Forma Adj'!F19</f>
        <v>0</v>
      </c>
      <c r="D18" s="65">
        <f>'Pro Forma Adj'!G19</f>
        <v>0</v>
      </c>
      <c r="E18" s="65">
        <f>'Pro Forma Adj'!H19</f>
        <v>0</v>
      </c>
      <c r="F18" s="65">
        <f>'Pro Forma Adj'!I19</f>
        <v>0</v>
      </c>
      <c r="G18" s="65">
        <f>'Pro Forma Adj'!J19</f>
        <v>0</v>
      </c>
      <c r="H18" s="65">
        <f>'Pro Forma Adj'!K19</f>
        <v>0</v>
      </c>
      <c r="I18" s="65">
        <f>'Pro Forma Adj'!L19</f>
        <v>0</v>
      </c>
      <c r="J18" s="65">
        <f>'Pro Forma Adj'!M19</f>
        <v>0</v>
      </c>
      <c r="K18" s="65">
        <f>'Pro Forma Adj'!N19</f>
        <v>0</v>
      </c>
      <c r="L18" s="65">
        <f>'Pro Forma Adj'!O19</f>
        <v>0</v>
      </c>
    </row>
    <row r="19" spans="1:12" x14ac:dyDescent="0.2">
      <c r="A19" s="13" t="s">
        <v>17</v>
      </c>
      <c r="B19" s="65">
        <f t="shared" si="4"/>
        <v>0</v>
      </c>
      <c r="C19" s="65">
        <f>'Pro Forma Adj'!F20</f>
        <v>0</v>
      </c>
      <c r="D19" s="65">
        <f>'Pro Forma Adj'!G20</f>
        <v>0</v>
      </c>
      <c r="E19" s="65">
        <f>'Pro Forma Adj'!H20</f>
        <v>0</v>
      </c>
      <c r="F19" s="65">
        <f>'Pro Forma Adj'!I20</f>
        <v>0</v>
      </c>
      <c r="G19" s="65">
        <f>'Pro Forma Adj'!J20</f>
        <v>0</v>
      </c>
      <c r="H19" s="65">
        <f>'Pro Forma Adj'!K20</f>
        <v>0</v>
      </c>
      <c r="I19" s="65">
        <f>'Pro Forma Adj'!L20</f>
        <v>0</v>
      </c>
      <c r="J19" s="65">
        <f>'Pro Forma Adj'!M20</f>
        <v>0</v>
      </c>
      <c r="K19" s="65">
        <f>'Pro Forma Adj'!N20</f>
        <v>0</v>
      </c>
      <c r="L19" s="65">
        <f>'Pro Forma Adj'!O20</f>
        <v>0</v>
      </c>
    </row>
    <row r="20" spans="1:12" x14ac:dyDescent="0.2">
      <c r="A20" s="13" t="s">
        <v>18</v>
      </c>
      <c r="B20" s="65">
        <f t="shared" si="4"/>
        <v>0</v>
      </c>
      <c r="C20" s="65">
        <f>'Pro Forma Adj'!F21</f>
        <v>0</v>
      </c>
      <c r="D20" s="65">
        <f>'Pro Forma Adj'!G21</f>
        <v>0</v>
      </c>
      <c r="E20" s="65">
        <f>'Pro Forma Adj'!H21</f>
        <v>0</v>
      </c>
      <c r="F20" s="65">
        <f>'Pro Forma Adj'!I21</f>
        <v>0</v>
      </c>
      <c r="G20" s="65">
        <f>'Pro Forma Adj'!J21</f>
        <v>0</v>
      </c>
      <c r="H20" s="65">
        <f>'Pro Forma Adj'!K21</f>
        <v>0</v>
      </c>
      <c r="I20" s="65">
        <f>'Pro Forma Adj'!L21</f>
        <v>0</v>
      </c>
      <c r="J20" s="65">
        <f>'Pro Forma Adj'!M21</f>
        <v>0</v>
      </c>
      <c r="K20" s="65">
        <f>'Pro Forma Adj'!N21</f>
        <v>0</v>
      </c>
      <c r="L20" s="65">
        <f>'Pro Forma Adj'!O21</f>
        <v>0</v>
      </c>
    </row>
    <row r="21" spans="1:12" x14ac:dyDescent="0.2">
      <c r="A21" s="13" t="s">
        <v>19</v>
      </c>
      <c r="B21" s="65">
        <f t="shared" si="4"/>
        <v>395579.72739742004</v>
      </c>
      <c r="C21" s="65">
        <f>'Pro Forma Adj'!F22</f>
        <v>0</v>
      </c>
      <c r="D21" s="65">
        <f>'Pro Forma Adj'!G22</f>
        <v>0</v>
      </c>
      <c r="E21" s="65">
        <f>'Pro Forma Adj'!H22</f>
        <v>0</v>
      </c>
      <c r="F21" s="65">
        <f>'Pro Forma Adj'!I22</f>
        <v>0</v>
      </c>
      <c r="G21" s="65">
        <f>'Pro Forma Adj'!J22</f>
        <v>0</v>
      </c>
      <c r="H21" s="65">
        <f>'Pro Forma Adj'!K22</f>
        <v>0</v>
      </c>
      <c r="I21" s="65">
        <f>'Pro Forma Adj'!L22</f>
        <v>0</v>
      </c>
      <c r="J21" s="65">
        <f>'Pro Forma Adj'!M22</f>
        <v>0</v>
      </c>
      <c r="K21" s="65">
        <f>'Pro Forma Adj'!N22</f>
        <v>395579.72739742004</v>
      </c>
      <c r="L21" s="65">
        <f>'Pro Forma Adj'!O22</f>
        <v>0</v>
      </c>
    </row>
    <row r="22" spans="1:12" x14ac:dyDescent="0.2">
      <c r="A22" s="13" t="s">
        <v>20</v>
      </c>
      <c r="B22" s="65">
        <f t="shared" si="4"/>
        <v>0</v>
      </c>
      <c r="C22" s="65">
        <f>'Pro Forma Adj'!F23</f>
        <v>0</v>
      </c>
      <c r="D22" s="65">
        <f>'Pro Forma Adj'!G23</f>
        <v>0</v>
      </c>
      <c r="E22" s="65">
        <f>'Pro Forma Adj'!H23</f>
        <v>0</v>
      </c>
      <c r="F22" s="65">
        <f>'Pro Forma Adj'!I23</f>
        <v>0</v>
      </c>
      <c r="G22" s="65">
        <f>'Pro Forma Adj'!J23</f>
        <v>0</v>
      </c>
      <c r="H22" s="65">
        <f>'Pro Forma Adj'!K23</f>
        <v>0</v>
      </c>
      <c r="I22" s="65">
        <f>'Pro Forma Adj'!L23</f>
        <v>0</v>
      </c>
      <c r="J22" s="65">
        <f>'Pro Forma Adj'!M23</f>
        <v>0</v>
      </c>
      <c r="K22" s="65">
        <f>'Pro Forma Adj'!N23</f>
        <v>0</v>
      </c>
      <c r="L22" s="65">
        <f>'Pro Forma Adj'!O23</f>
        <v>0</v>
      </c>
    </row>
    <row r="23" spans="1:12" x14ac:dyDescent="0.2">
      <c r="A23" s="13" t="s">
        <v>21</v>
      </c>
      <c r="B23" s="65">
        <f t="shared" si="4"/>
        <v>0</v>
      </c>
      <c r="C23" s="65">
        <f>'Pro Forma Adj'!F24</f>
        <v>0</v>
      </c>
      <c r="D23" s="65">
        <f>'Pro Forma Adj'!G24</f>
        <v>0</v>
      </c>
      <c r="E23" s="65">
        <f>'Pro Forma Adj'!H24</f>
        <v>0</v>
      </c>
      <c r="F23" s="65">
        <f>'Pro Forma Adj'!I24</f>
        <v>0</v>
      </c>
      <c r="G23" s="65">
        <f>'Pro Forma Adj'!J24</f>
        <v>0</v>
      </c>
      <c r="H23" s="65">
        <f>'Pro Forma Adj'!K24</f>
        <v>0</v>
      </c>
      <c r="I23" s="65">
        <f>'Pro Forma Adj'!L24</f>
        <v>0</v>
      </c>
      <c r="J23" s="65">
        <f>'Pro Forma Adj'!M24</f>
        <v>0</v>
      </c>
      <c r="K23" s="65">
        <f>'Pro Forma Adj'!N24</f>
        <v>0</v>
      </c>
      <c r="L23" s="65">
        <f>'Pro Forma Adj'!O24</f>
        <v>0</v>
      </c>
    </row>
    <row r="24" spans="1:12" x14ac:dyDescent="0.2">
      <c r="A24" s="13" t="s">
        <v>22</v>
      </c>
      <c r="B24" s="65">
        <f t="shared" si="4"/>
        <v>0</v>
      </c>
      <c r="C24" s="65">
        <f>'Pro Forma Adj'!F25</f>
        <v>0</v>
      </c>
      <c r="D24" s="65">
        <f>'Pro Forma Adj'!G25</f>
        <v>0</v>
      </c>
      <c r="E24" s="65">
        <f>'Pro Forma Adj'!H25</f>
        <v>0</v>
      </c>
      <c r="F24" s="65">
        <f>'Pro Forma Adj'!I25</f>
        <v>0</v>
      </c>
      <c r="G24" s="65">
        <f>'Pro Forma Adj'!J25</f>
        <v>0</v>
      </c>
      <c r="H24" s="65">
        <f>'Pro Forma Adj'!K25</f>
        <v>0</v>
      </c>
      <c r="I24" s="65">
        <f>'Pro Forma Adj'!L25</f>
        <v>0</v>
      </c>
      <c r="J24" s="65">
        <f>'Pro Forma Adj'!M25</f>
        <v>0</v>
      </c>
      <c r="K24" s="65">
        <f>'Pro Forma Adj'!N25</f>
        <v>0</v>
      </c>
      <c r="L24" s="65">
        <f>'Pro Forma Adj'!O25</f>
        <v>0</v>
      </c>
    </row>
    <row r="25" spans="1:12" x14ac:dyDescent="0.2">
      <c r="A25" s="13" t="s">
        <v>23</v>
      </c>
      <c r="B25" s="65">
        <f t="shared" si="4"/>
        <v>0</v>
      </c>
      <c r="C25" s="65">
        <f>'Pro Forma Adj'!F26</f>
        <v>0</v>
      </c>
      <c r="D25" s="65">
        <f>'Pro Forma Adj'!G26</f>
        <v>0</v>
      </c>
      <c r="E25" s="65">
        <f>'Pro Forma Adj'!H26</f>
        <v>0</v>
      </c>
      <c r="F25" s="65">
        <f>'Pro Forma Adj'!I26</f>
        <v>0</v>
      </c>
      <c r="G25" s="65">
        <f>'Pro Forma Adj'!J26</f>
        <v>0</v>
      </c>
      <c r="H25" s="65">
        <f>'Pro Forma Adj'!K26</f>
        <v>0</v>
      </c>
      <c r="I25" s="65">
        <f>'Pro Forma Adj'!L26</f>
        <v>0</v>
      </c>
      <c r="J25" s="65">
        <f>'Pro Forma Adj'!M26</f>
        <v>0</v>
      </c>
      <c r="K25" s="65">
        <f>'Pro Forma Adj'!N26</f>
        <v>0</v>
      </c>
      <c r="L25" s="65">
        <f>'Pro Forma Adj'!O26</f>
        <v>0</v>
      </c>
    </row>
    <row r="26" spans="1:12" x14ac:dyDescent="0.2">
      <c r="A26" s="13" t="s">
        <v>24</v>
      </c>
      <c r="B26" s="65">
        <f t="shared" si="4"/>
        <v>0</v>
      </c>
      <c r="C26" s="65">
        <f>'Pro Forma Adj'!F27</f>
        <v>0</v>
      </c>
      <c r="D26" s="65">
        <f>'Pro Forma Adj'!G27</f>
        <v>0</v>
      </c>
      <c r="E26" s="65">
        <f>'Pro Forma Adj'!H27</f>
        <v>0</v>
      </c>
      <c r="F26" s="65">
        <f>'Pro Forma Adj'!I27</f>
        <v>0</v>
      </c>
      <c r="G26" s="65">
        <f>'Pro Forma Adj'!J27</f>
        <v>0</v>
      </c>
      <c r="H26" s="65">
        <f>'Pro Forma Adj'!K27</f>
        <v>0</v>
      </c>
      <c r="I26" s="65">
        <f>'Pro Forma Adj'!L27</f>
        <v>0</v>
      </c>
      <c r="J26" s="65">
        <f>'Pro Forma Adj'!M27</f>
        <v>0</v>
      </c>
      <c r="K26" s="65">
        <f>'Pro Forma Adj'!N27</f>
        <v>0</v>
      </c>
      <c r="L26" s="65">
        <f>'Pro Forma Adj'!O27</f>
        <v>0</v>
      </c>
    </row>
    <row r="27" spans="1:12" x14ac:dyDescent="0.2">
      <c r="A27" s="13" t="s">
        <v>25</v>
      </c>
      <c r="B27" s="68">
        <f t="shared" si="4"/>
        <v>0</v>
      </c>
      <c r="C27" s="68">
        <f>'Pro Forma Adj'!F28</f>
        <v>0</v>
      </c>
      <c r="D27" s="68">
        <f>'Pro Forma Adj'!G28</f>
        <v>0</v>
      </c>
      <c r="E27" s="68">
        <f>'Pro Forma Adj'!H28</f>
        <v>0</v>
      </c>
      <c r="F27" s="68">
        <f>'Pro Forma Adj'!I28</f>
        <v>0</v>
      </c>
      <c r="G27" s="68">
        <f>'Pro Forma Adj'!J28</f>
        <v>0</v>
      </c>
      <c r="H27" s="68">
        <f>'Pro Forma Adj'!K28</f>
        <v>0</v>
      </c>
      <c r="I27" s="68">
        <f>'Pro Forma Adj'!L28</f>
        <v>0</v>
      </c>
      <c r="J27" s="68">
        <f>'Pro Forma Adj'!M28</f>
        <v>0</v>
      </c>
      <c r="K27" s="68">
        <f>'Pro Forma Adj'!N28</f>
        <v>0</v>
      </c>
      <c r="L27" s="68">
        <f>'Pro Forma Adj'!O28</f>
        <v>0</v>
      </c>
    </row>
    <row r="28" spans="1:12" x14ac:dyDescent="0.2">
      <c r="A28" s="13" t="s">
        <v>26</v>
      </c>
      <c r="B28" s="12">
        <f t="shared" si="4"/>
        <v>395579.72739742004</v>
      </c>
      <c r="C28" s="12">
        <f t="shared" ref="C28" si="5">SUM(C18:C27)</f>
        <v>0</v>
      </c>
      <c r="D28" s="12">
        <f t="shared" ref="D28:E28" si="6">SUM(D18:D27)</f>
        <v>0</v>
      </c>
      <c r="E28" s="12">
        <f t="shared" si="6"/>
        <v>0</v>
      </c>
      <c r="F28" s="12">
        <f>SUM(F18:F27)</f>
        <v>0</v>
      </c>
      <c r="G28" s="12">
        <f>SUM(G18:G27)</f>
        <v>0</v>
      </c>
      <c r="H28" s="12">
        <f t="shared" ref="H28:I28" si="7">SUM(H18:H27)</f>
        <v>0</v>
      </c>
      <c r="I28" s="12">
        <f t="shared" si="7"/>
        <v>0</v>
      </c>
      <c r="J28" s="12">
        <f t="shared" ref="J28:K28" si="8">SUM(J18:J27)</f>
        <v>0</v>
      </c>
      <c r="K28" s="12">
        <f t="shared" si="8"/>
        <v>395579.72739742004</v>
      </c>
      <c r="L28" s="12">
        <f t="shared" ref="L28" si="9">SUM(L18:L27)</f>
        <v>0</v>
      </c>
    </row>
    <row r="29" spans="1:12" x14ac:dyDescent="0.2">
      <c r="A29" s="13" t="s">
        <v>27</v>
      </c>
      <c r="B29" s="65">
        <f t="shared" si="4"/>
        <v>7769787.527010344</v>
      </c>
      <c r="C29" s="65">
        <f>'Pro Forma Adj'!F30</f>
        <v>0</v>
      </c>
      <c r="D29" s="65">
        <f>'Pro Forma Adj'!G30</f>
        <v>2553798.7811355367</v>
      </c>
      <c r="E29" s="65">
        <f>'Pro Forma Adj'!H30</f>
        <v>0</v>
      </c>
      <c r="F29" s="65">
        <f>'Pro Forma Adj'!I30</f>
        <v>0</v>
      </c>
      <c r="G29" s="65">
        <f>'Pro Forma Adj'!J30</f>
        <v>0</v>
      </c>
      <c r="H29" s="65">
        <f>'Pro Forma Adj'!K30</f>
        <v>0</v>
      </c>
      <c r="I29" s="65">
        <f>'Pro Forma Adj'!L30</f>
        <v>14987.55829505467</v>
      </c>
      <c r="J29" s="65">
        <f>'Pro Forma Adj'!M30</f>
        <v>16193.213747097141</v>
      </c>
      <c r="K29" s="65">
        <f>'Pro Forma Adj'!N30</f>
        <v>2384687.5259876549</v>
      </c>
      <c r="L29" s="65">
        <f>'Pro Forma Adj'!O30</f>
        <v>2800120.4478450012</v>
      </c>
    </row>
    <row r="30" spans="1:12" x14ac:dyDescent="0.2">
      <c r="A30" s="13" t="s">
        <v>28</v>
      </c>
      <c r="B30" s="65">
        <f t="shared" si="4"/>
        <v>1230830.8889248422</v>
      </c>
      <c r="C30" s="65">
        <f>'Pro Forma Adj'!F31</f>
        <v>0</v>
      </c>
      <c r="D30" s="65">
        <f>'Pro Forma Adj'!G31</f>
        <v>1230830.8889248422</v>
      </c>
      <c r="E30" s="65">
        <f>'Pro Forma Adj'!H31</f>
        <v>0</v>
      </c>
      <c r="F30" s="65">
        <f>'Pro Forma Adj'!I31</f>
        <v>0</v>
      </c>
      <c r="G30" s="65">
        <f>'Pro Forma Adj'!J31</f>
        <v>0</v>
      </c>
      <c r="H30" s="65">
        <f>'Pro Forma Adj'!K31</f>
        <v>0</v>
      </c>
      <c r="I30" s="65">
        <f>'Pro Forma Adj'!L31</f>
        <v>0</v>
      </c>
      <c r="J30" s="65">
        <f>'Pro Forma Adj'!M31</f>
        <v>0</v>
      </c>
      <c r="K30" s="65">
        <f>'Pro Forma Adj'!N31</f>
        <v>0</v>
      </c>
      <c r="L30" s="65">
        <f>'Pro Forma Adj'!O31</f>
        <v>0</v>
      </c>
    </row>
    <row r="31" spans="1:12" x14ac:dyDescent="0.2">
      <c r="A31" s="13" t="s">
        <v>29</v>
      </c>
      <c r="B31" s="65">
        <f t="shared" si="4"/>
        <v>0</v>
      </c>
      <c r="C31" s="65">
        <f>'Pro Forma Adj'!F32</f>
        <v>0</v>
      </c>
      <c r="D31" s="65">
        <f>'Pro Forma Adj'!G32</f>
        <v>0</v>
      </c>
      <c r="E31" s="65">
        <f>'Pro Forma Adj'!H32</f>
        <v>0</v>
      </c>
      <c r="F31" s="65">
        <f>'Pro Forma Adj'!I32</f>
        <v>0</v>
      </c>
      <c r="G31" s="65">
        <f>'Pro Forma Adj'!J32</f>
        <v>0</v>
      </c>
      <c r="H31" s="65">
        <f>'Pro Forma Adj'!K32</f>
        <v>0</v>
      </c>
      <c r="I31" s="65">
        <f>'Pro Forma Adj'!L32</f>
        <v>0</v>
      </c>
      <c r="J31" s="65">
        <f>'Pro Forma Adj'!M32</f>
        <v>0</v>
      </c>
      <c r="K31" s="65">
        <f>'Pro Forma Adj'!N32</f>
        <v>0</v>
      </c>
      <c r="L31" s="65">
        <f>'Pro Forma Adj'!O32</f>
        <v>0</v>
      </c>
    </row>
    <row r="32" spans="1:12" x14ac:dyDescent="0.2">
      <c r="A32" s="13" t="s">
        <v>30</v>
      </c>
      <c r="B32" s="65">
        <f t="shared" si="4"/>
        <v>-2735618.0451761484</v>
      </c>
      <c r="C32" s="65">
        <f t="shared" ref="C32:L32" si="10">C86</f>
        <v>-724257.10919062386</v>
      </c>
      <c r="D32" s="65">
        <f t="shared" si="10"/>
        <v>-794772.23071267956</v>
      </c>
      <c r="E32" s="65">
        <f t="shared" si="10"/>
        <v>0</v>
      </c>
      <c r="F32" s="65">
        <f t="shared" si="10"/>
        <v>0</v>
      </c>
      <c r="G32" s="65">
        <f t="shared" si="10"/>
        <v>0</v>
      </c>
      <c r="H32" s="65">
        <f t="shared" si="10"/>
        <v>0</v>
      </c>
      <c r="I32" s="65">
        <f t="shared" si="10"/>
        <v>-4616.0617710702354</v>
      </c>
      <c r="J32" s="65">
        <f t="shared" si="10"/>
        <v>-40091.226243459205</v>
      </c>
      <c r="K32" s="65">
        <f t="shared" si="10"/>
        <v>-583856.12321086565</v>
      </c>
      <c r="L32" s="65">
        <f t="shared" si="10"/>
        <v>-588025.29404745018</v>
      </c>
    </row>
    <row r="33" spans="1:12" x14ac:dyDescent="0.2">
      <c r="A33" s="13" t="s">
        <v>31</v>
      </c>
      <c r="B33" s="63">
        <f t="shared" si="4"/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</row>
    <row r="34" spans="1:12" x14ac:dyDescent="0.2">
      <c r="A34" s="13" t="s">
        <v>32</v>
      </c>
      <c r="B34" s="65">
        <f t="shared" si="4"/>
        <v>892631.20968842856</v>
      </c>
      <c r="C34" s="65">
        <f>'Pro Forma Adj'!F35</f>
        <v>847953.51731343858</v>
      </c>
      <c r="D34" s="65">
        <f>'Pro Forma Adj'!G35</f>
        <v>0</v>
      </c>
      <c r="E34" s="65">
        <f>'Pro Forma Adj'!H35</f>
        <v>0</v>
      </c>
      <c r="F34" s="65">
        <f>'Pro Forma Adj'!I35</f>
        <v>0</v>
      </c>
      <c r="G34" s="65">
        <f>'Pro Forma Adj'!J35</f>
        <v>0</v>
      </c>
      <c r="H34" s="65">
        <f>'Pro Forma Adj'!K35</f>
        <v>0</v>
      </c>
      <c r="I34" s="65">
        <f>'Pro Forma Adj'!L35</f>
        <v>1720.5123639274734</v>
      </c>
      <c r="J34" s="65">
        <f>'Pro Forma Adj'!M35</f>
        <v>42957.180011062555</v>
      </c>
      <c r="K34" s="65">
        <f>'Pro Forma Adj'!N35</f>
        <v>0</v>
      </c>
      <c r="L34" s="65">
        <f>'Pro Forma Adj'!O35</f>
        <v>0</v>
      </c>
    </row>
    <row r="35" spans="1:12" x14ac:dyDescent="0.2">
      <c r="A35" s="13" t="s">
        <v>33</v>
      </c>
      <c r="B35" s="65">
        <f t="shared" si="4"/>
        <v>0</v>
      </c>
      <c r="C35" s="65">
        <f>'Pro Forma Adj'!F36</f>
        <v>0</v>
      </c>
      <c r="D35" s="65">
        <f>'Pro Forma Adj'!G36</f>
        <v>0</v>
      </c>
      <c r="E35" s="65">
        <f>'Pro Forma Adj'!H36</f>
        <v>0</v>
      </c>
      <c r="F35" s="65">
        <f>'Pro Forma Adj'!I36</f>
        <v>0</v>
      </c>
      <c r="G35" s="65">
        <f>'Pro Forma Adj'!J36</f>
        <v>0</v>
      </c>
      <c r="H35" s="65">
        <f>'Pro Forma Adj'!K36</f>
        <v>0</v>
      </c>
      <c r="I35" s="65">
        <f>'Pro Forma Adj'!L36</f>
        <v>0</v>
      </c>
      <c r="J35" s="65">
        <f>'Pro Forma Adj'!M36</f>
        <v>0</v>
      </c>
      <c r="K35" s="65">
        <f>'Pro Forma Adj'!N36</f>
        <v>0</v>
      </c>
      <c r="L35" s="65">
        <f>'Pro Forma Adj'!O36</f>
        <v>0</v>
      </c>
    </row>
    <row r="36" spans="1:12" x14ac:dyDescent="0.2">
      <c r="A36" s="13" t="s">
        <v>34</v>
      </c>
      <c r="B36" s="65">
        <f t="shared" si="4"/>
        <v>0</v>
      </c>
      <c r="C36" s="65">
        <f>'Pro Forma Adj'!F37</f>
        <v>0</v>
      </c>
      <c r="D36" s="65">
        <f>'Pro Forma Adj'!G37</f>
        <v>0</v>
      </c>
      <c r="E36" s="65">
        <f>'Pro Forma Adj'!H37</f>
        <v>0</v>
      </c>
      <c r="F36" s="65">
        <f>'Pro Forma Adj'!I37</f>
        <v>0</v>
      </c>
      <c r="G36" s="65">
        <f>'Pro Forma Adj'!J37</f>
        <v>0</v>
      </c>
      <c r="H36" s="65">
        <f>'Pro Forma Adj'!K37</f>
        <v>0</v>
      </c>
      <c r="I36" s="65">
        <f>'Pro Forma Adj'!L37</f>
        <v>0</v>
      </c>
      <c r="J36" s="65">
        <f>'Pro Forma Adj'!M37</f>
        <v>0</v>
      </c>
      <c r="K36" s="65">
        <f>'Pro Forma Adj'!N37</f>
        <v>0</v>
      </c>
      <c r="L36" s="65">
        <f>'Pro Forma Adj'!O37</f>
        <v>0</v>
      </c>
    </row>
    <row r="37" spans="1:12" x14ac:dyDescent="0.2">
      <c r="A37" s="13" t="s">
        <v>35</v>
      </c>
      <c r="B37" s="232">
        <f t="shared" si="4"/>
        <v>7553211.3078448866</v>
      </c>
      <c r="C37" s="232">
        <f t="shared" ref="C37:I37" si="11">SUM(C28:C36)</f>
        <v>123696.40812281473</v>
      </c>
      <c r="D37" s="232">
        <f t="shared" si="11"/>
        <v>2989857.4393476993</v>
      </c>
      <c r="E37" s="232">
        <f t="shared" si="11"/>
        <v>0</v>
      </c>
      <c r="F37" s="232">
        <f t="shared" si="11"/>
        <v>0</v>
      </c>
      <c r="G37" s="232">
        <f t="shared" si="11"/>
        <v>0</v>
      </c>
      <c r="H37" s="232">
        <f t="shared" si="11"/>
        <v>0</v>
      </c>
      <c r="I37" s="232">
        <f t="shared" si="11"/>
        <v>12092.008887911908</v>
      </c>
      <c r="J37" s="232">
        <f t="shared" ref="J37:K37" si="12">SUM(J28:J36)</f>
        <v>19059.167514700493</v>
      </c>
      <c r="K37" s="232">
        <f t="shared" si="12"/>
        <v>2196411.1301742094</v>
      </c>
      <c r="L37" s="232">
        <f t="shared" ref="L37" si="13">SUM(L28:L36)</f>
        <v>2212095.1537975511</v>
      </c>
    </row>
    <row r="38" spans="1:12" x14ac:dyDescent="0.2">
      <c r="A38" s="13"/>
      <c r="B38" s="12">
        <f t="shared" si="4"/>
        <v>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3.5" thickBot="1" x14ac:dyDescent="0.25">
      <c r="A39" s="13" t="s">
        <v>36</v>
      </c>
      <c r="B39" s="236">
        <f t="shared" si="4"/>
        <v>-7553211.3078448866</v>
      </c>
      <c r="C39" s="236">
        <f t="shared" ref="C39:I39" si="14">C15-C37</f>
        <v>-123696.40812281473</v>
      </c>
      <c r="D39" s="236">
        <f t="shared" si="14"/>
        <v>-2989857.4393476993</v>
      </c>
      <c r="E39" s="236">
        <f t="shared" si="14"/>
        <v>0</v>
      </c>
      <c r="F39" s="236">
        <f t="shared" si="14"/>
        <v>0</v>
      </c>
      <c r="G39" s="236">
        <f t="shared" si="14"/>
        <v>0</v>
      </c>
      <c r="H39" s="236">
        <f t="shared" si="14"/>
        <v>0</v>
      </c>
      <c r="I39" s="236">
        <f t="shared" si="14"/>
        <v>-12092.008887911908</v>
      </c>
      <c r="J39" s="236">
        <f t="shared" ref="J39:K39" si="15">J15-J37</f>
        <v>-19059.167514700493</v>
      </c>
      <c r="K39" s="236">
        <f t="shared" si="15"/>
        <v>-2196411.1301742094</v>
      </c>
      <c r="L39" s="236">
        <f t="shared" ref="L39" si="16">L15-L37</f>
        <v>-2212095.1537975511</v>
      </c>
    </row>
    <row r="40" spans="1:12" ht="13.5" thickTop="1" x14ac:dyDescent="0.2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">
      <c r="A41" s="13" t="s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">
      <c r="A42" s="13" t="s">
        <v>38</v>
      </c>
      <c r="B42" s="65">
        <f t="shared" ref="B42:B53" si="17">SUM(C42:L42)</f>
        <v>335866632.59656978</v>
      </c>
      <c r="C42" s="65">
        <f>'Pro Forma Adj'!F43</f>
        <v>112074897.89437498</v>
      </c>
      <c r="D42" s="65">
        <f>'Pro Forma Adj'!G43</f>
        <v>0</v>
      </c>
      <c r="E42" s="65">
        <f>'Pro Forma Adj'!H43</f>
        <v>0</v>
      </c>
      <c r="F42" s="65">
        <f>'Pro Forma Adj'!I43</f>
        <v>0</v>
      </c>
      <c r="G42" s="65">
        <f>'Pro Forma Adj'!J43</f>
        <v>1155586.2634248782</v>
      </c>
      <c r="H42" s="65">
        <f>'Pro Forma Adj'!K43</f>
        <v>0</v>
      </c>
      <c r="I42" s="65">
        <f>'Pro Forma Adj'!L43</f>
        <v>794536.36941842572</v>
      </c>
      <c r="J42" s="65">
        <f>'Pro Forma Adj'!M43</f>
        <v>1801707.742032642</v>
      </c>
      <c r="K42" s="65">
        <f>'Pro Forma Adj'!N43</f>
        <v>56661694.029025115</v>
      </c>
      <c r="L42" s="65">
        <f>'Pro Forma Adj'!O43</f>
        <v>163378210.29829377</v>
      </c>
    </row>
    <row r="43" spans="1:12" x14ac:dyDescent="0.2">
      <c r="A43" s="13" t="s">
        <v>39</v>
      </c>
      <c r="B43" s="65">
        <f t="shared" si="17"/>
        <v>0</v>
      </c>
      <c r="C43" s="65">
        <f>'Pro Forma Adj'!F44</f>
        <v>0</v>
      </c>
      <c r="D43" s="65">
        <f>'Pro Forma Adj'!G44</f>
        <v>0</v>
      </c>
      <c r="E43" s="65">
        <f>'Pro Forma Adj'!H44</f>
        <v>0</v>
      </c>
      <c r="F43" s="65">
        <f>'Pro Forma Adj'!I44</f>
        <v>0</v>
      </c>
      <c r="G43" s="65">
        <f>'Pro Forma Adj'!J44</f>
        <v>0</v>
      </c>
      <c r="H43" s="65">
        <f>'Pro Forma Adj'!K44</f>
        <v>0</v>
      </c>
      <c r="I43" s="65">
        <f>'Pro Forma Adj'!L44</f>
        <v>0</v>
      </c>
      <c r="J43" s="65">
        <f>'Pro Forma Adj'!M44</f>
        <v>0</v>
      </c>
      <c r="K43" s="65">
        <f>'Pro Forma Adj'!N44</f>
        <v>0</v>
      </c>
      <c r="L43" s="65">
        <f>'Pro Forma Adj'!O44</f>
        <v>0</v>
      </c>
    </row>
    <row r="44" spans="1:12" x14ac:dyDescent="0.2">
      <c r="A44" s="13" t="s">
        <v>40</v>
      </c>
      <c r="B44" s="65">
        <f t="shared" si="17"/>
        <v>0</v>
      </c>
      <c r="C44" s="65">
        <f>'Pro Forma Adj'!F45</f>
        <v>0</v>
      </c>
      <c r="D44" s="65">
        <f>'Pro Forma Adj'!G45</f>
        <v>0</v>
      </c>
      <c r="E44" s="65">
        <f>'Pro Forma Adj'!H45</f>
        <v>0</v>
      </c>
      <c r="F44" s="65">
        <f>'Pro Forma Adj'!I45</f>
        <v>0</v>
      </c>
      <c r="G44" s="65">
        <f>'Pro Forma Adj'!J45</f>
        <v>0</v>
      </c>
      <c r="H44" s="65">
        <f>'Pro Forma Adj'!K45</f>
        <v>0</v>
      </c>
      <c r="I44" s="65">
        <f>'Pro Forma Adj'!L45</f>
        <v>0</v>
      </c>
      <c r="J44" s="65">
        <f>'Pro Forma Adj'!M45</f>
        <v>0</v>
      </c>
      <c r="K44" s="65">
        <f>'Pro Forma Adj'!N45</f>
        <v>0</v>
      </c>
      <c r="L44" s="65">
        <f>'Pro Forma Adj'!O45</f>
        <v>0</v>
      </c>
    </row>
    <row r="45" spans="1:12" x14ac:dyDescent="0.2">
      <c r="A45" s="13" t="s">
        <v>41</v>
      </c>
      <c r="B45" s="65">
        <f t="shared" si="17"/>
        <v>0</v>
      </c>
      <c r="C45" s="65">
        <f>'Pro Forma Adj'!F46</f>
        <v>0</v>
      </c>
      <c r="D45" s="65">
        <f>'Pro Forma Adj'!G46</f>
        <v>0</v>
      </c>
      <c r="E45" s="65">
        <f>'Pro Forma Adj'!H46</f>
        <v>0</v>
      </c>
      <c r="F45" s="65">
        <f>'Pro Forma Adj'!I46</f>
        <v>0</v>
      </c>
      <c r="G45" s="65">
        <f>'Pro Forma Adj'!J46</f>
        <v>0</v>
      </c>
      <c r="H45" s="65">
        <f>'Pro Forma Adj'!K46</f>
        <v>0</v>
      </c>
      <c r="I45" s="65">
        <f>'Pro Forma Adj'!L46</f>
        <v>0</v>
      </c>
      <c r="J45" s="65">
        <f>'Pro Forma Adj'!M46</f>
        <v>0</v>
      </c>
      <c r="K45" s="65">
        <f>'Pro Forma Adj'!N46</f>
        <v>0</v>
      </c>
      <c r="L45" s="65">
        <f>'Pro Forma Adj'!O46</f>
        <v>0</v>
      </c>
    </row>
    <row r="46" spans="1:12" x14ac:dyDescent="0.2">
      <c r="A46" s="13" t="s">
        <v>42</v>
      </c>
      <c r="B46" s="65">
        <f t="shared" si="17"/>
        <v>0</v>
      </c>
      <c r="C46" s="65">
        <f>'Pro Forma Adj'!F47</f>
        <v>0</v>
      </c>
      <c r="D46" s="65">
        <f>'Pro Forma Adj'!G47</f>
        <v>0</v>
      </c>
      <c r="E46" s="65">
        <f>'Pro Forma Adj'!H47</f>
        <v>0</v>
      </c>
      <c r="F46" s="65">
        <f>'Pro Forma Adj'!I47</f>
        <v>0</v>
      </c>
      <c r="G46" s="65">
        <f>'Pro Forma Adj'!J47</f>
        <v>0</v>
      </c>
      <c r="H46" s="65">
        <f>'Pro Forma Adj'!K47</f>
        <v>0</v>
      </c>
      <c r="I46" s="65">
        <f>'Pro Forma Adj'!L47</f>
        <v>0</v>
      </c>
      <c r="J46" s="65">
        <f>'Pro Forma Adj'!M47</f>
        <v>0</v>
      </c>
      <c r="K46" s="65">
        <f>'Pro Forma Adj'!N47</f>
        <v>0</v>
      </c>
      <c r="L46" s="65">
        <f>'Pro Forma Adj'!O47</f>
        <v>0</v>
      </c>
    </row>
    <row r="47" spans="1:12" x14ac:dyDescent="0.2">
      <c r="A47" s="13" t="s">
        <v>43</v>
      </c>
      <c r="B47" s="65">
        <f t="shared" si="17"/>
        <v>0</v>
      </c>
      <c r="C47" s="65">
        <f>'Pro Forma Adj'!F48</f>
        <v>0</v>
      </c>
      <c r="D47" s="65">
        <f>'Pro Forma Adj'!G48</f>
        <v>0</v>
      </c>
      <c r="E47" s="65">
        <f>'Pro Forma Adj'!H48</f>
        <v>0</v>
      </c>
      <c r="F47" s="65">
        <f>'Pro Forma Adj'!I48</f>
        <v>0</v>
      </c>
      <c r="G47" s="65">
        <f>'Pro Forma Adj'!J48</f>
        <v>0</v>
      </c>
      <c r="H47" s="65">
        <f>'Pro Forma Adj'!K48</f>
        <v>0</v>
      </c>
      <c r="I47" s="65">
        <f>'Pro Forma Adj'!L48</f>
        <v>0</v>
      </c>
      <c r="J47" s="65">
        <f>'Pro Forma Adj'!M48</f>
        <v>0</v>
      </c>
      <c r="K47" s="65">
        <f>'Pro Forma Adj'!N48</f>
        <v>0</v>
      </c>
      <c r="L47" s="65">
        <f>'Pro Forma Adj'!O48</f>
        <v>0</v>
      </c>
    </row>
    <row r="48" spans="1:12" x14ac:dyDescent="0.2">
      <c r="A48" s="13" t="s">
        <v>44</v>
      </c>
      <c r="B48" s="65">
        <f t="shared" si="17"/>
        <v>0</v>
      </c>
      <c r="C48" s="65">
        <f>'Pro Forma Adj'!F49</f>
        <v>0</v>
      </c>
      <c r="D48" s="65">
        <f>'Pro Forma Adj'!G49</f>
        <v>0</v>
      </c>
      <c r="E48" s="65">
        <f>'Pro Forma Adj'!H49</f>
        <v>0</v>
      </c>
      <c r="F48" s="65">
        <f>'Pro Forma Adj'!I49</f>
        <v>0</v>
      </c>
      <c r="G48" s="65">
        <f>'Pro Forma Adj'!J49</f>
        <v>0</v>
      </c>
      <c r="H48" s="65">
        <f>'Pro Forma Adj'!K49</f>
        <v>0</v>
      </c>
      <c r="I48" s="65">
        <f>'Pro Forma Adj'!L49</f>
        <v>0</v>
      </c>
      <c r="J48" s="65">
        <f>'Pro Forma Adj'!M49</f>
        <v>0</v>
      </c>
      <c r="K48" s="65">
        <f>'Pro Forma Adj'!N49</f>
        <v>0</v>
      </c>
      <c r="L48" s="65">
        <f>'Pro Forma Adj'!O49</f>
        <v>0</v>
      </c>
    </row>
    <row r="49" spans="1:12" x14ac:dyDescent="0.2">
      <c r="A49" s="13" t="s">
        <v>45</v>
      </c>
      <c r="B49" s="65">
        <f t="shared" si="17"/>
        <v>0</v>
      </c>
      <c r="C49" s="65">
        <f>'Pro Forma Adj'!F50</f>
        <v>0</v>
      </c>
      <c r="D49" s="65">
        <f>'Pro Forma Adj'!G50</f>
        <v>0</v>
      </c>
      <c r="E49" s="65">
        <f>'Pro Forma Adj'!H50</f>
        <v>0</v>
      </c>
      <c r="F49" s="65">
        <f>'Pro Forma Adj'!I50</f>
        <v>0</v>
      </c>
      <c r="G49" s="65">
        <f>'Pro Forma Adj'!J50</f>
        <v>0</v>
      </c>
      <c r="H49" s="65">
        <f>'Pro Forma Adj'!K50</f>
        <v>0</v>
      </c>
      <c r="I49" s="65">
        <f>'Pro Forma Adj'!L50</f>
        <v>0</v>
      </c>
      <c r="J49" s="65">
        <f>'Pro Forma Adj'!M50</f>
        <v>0</v>
      </c>
      <c r="K49" s="65">
        <f>'Pro Forma Adj'!N50</f>
        <v>0</v>
      </c>
      <c r="L49" s="65">
        <f>'Pro Forma Adj'!O50</f>
        <v>0</v>
      </c>
    </row>
    <row r="50" spans="1:12" x14ac:dyDescent="0.2">
      <c r="A50" s="13" t="s">
        <v>46</v>
      </c>
      <c r="B50" s="65">
        <f t="shared" si="17"/>
        <v>0</v>
      </c>
      <c r="C50" s="65">
        <f>'Pro Forma Adj'!F51</f>
        <v>0</v>
      </c>
      <c r="D50" s="65">
        <f>'Pro Forma Adj'!G51</f>
        <v>0</v>
      </c>
      <c r="E50" s="65">
        <f>'Pro Forma Adj'!H51</f>
        <v>0</v>
      </c>
      <c r="F50" s="65">
        <f>'Pro Forma Adj'!I51</f>
        <v>0</v>
      </c>
      <c r="G50" s="65">
        <f>'Pro Forma Adj'!J51</f>
        <v>0</v>
      </c>
      <c r="H50" s="65">
        <f>'Pro Forma Adj'!K51</f>
        <v>0</v>
      </c>
      <c r="I50" s="65">
        <f>'Pro Forma Adj'!L51</f>
        <v>0</v>
      </c>
      <c r="J50" s="65">
        <f>'Pro Forma Adj'!M51</f>
        <v>0</v>
      </c>
      <c r="K50" s="65">
        <f>'Pro Forma Adj'!N51</f>
        <v>0</v>
      </c>
      <c r="L50" s="65">
        <f>'Pro Forma Adj'!O51</f>
        <v>0</v>
      </c>
    </row>
    <row r="51" spans="1:12" x14ac:dyDescent="0.2">
      <c r="A51" s="13" t="s">
        <v>47</v>
      </c>
      <c r="B51" s="65">
        <f t="shared" si="17"/>
        <v>0</v>
      </c>
      <c r="C51" s="65">
        <f>'Pro Forma Adj'!F52</f>
        <v>0</v>
      </c>
      <c r="D51" s="65">
        <f>'Pro Forma Adj'!G52</f>
        <v>0</v>
      </c>
      <c r="E51" s="65">
        <f>'Pro Forma Adj'!H52</f>
        <v>0</v>
      </c>
      <c r="F51" s="65">
        <f>'Pro Forma Adj'!I52</f>
        <v>0</v>
      </c>
      <c r="G51" s="65">
        <f>'Pro Forma Adj'!J52</f>
        <v>0</v>
      </c>
      <c r="H51" s="65">
        <f>'Pro Forma Adj'!K52</f>
        <v>0</v>
      </c>
      <c r="I51" s="65">
        <f>'Pro Forma Adj'!L52</f>
        <v>0</v>
      </c>
      <c r="J51" s="65">
        <f>'Pro Forma Adj'!M52</f>
        <v>0</v>
      </c>
      <c r="K51" s="65">
        <f>'Pro Forma Adj'!N52</f>
        <v>0</v>
      </c>
      <c r="L51" s="65">
        <f>'Pro Forma Adj'!O52</f>
        <v>0</v>
      </c>
    </row>
    <row r="52" spans="1:12" x14ac:dyDescent="0.2">
      <c r="A52" s="13" t="s">
        <v>48</v>
      </c>
      <c r="B52" s="65">
        <f t="shared" si="17"/>
        <v>0</v>
      </c>
      <c r="C52" s="65">
        <f>'Pro Forma Adj'!F53</f>
        <v>0</v>
      </c>
      <c r="D52" s="65">
        <f>'Pro Forma Adj'!G53</f>
        <v>0</v>
      </c>
      <c r="E52" s="65">
        <f>'Pro Forma Adj'!H53</f>
        <v>0</v>
      </c>
      <c r="F52" s="65">
        <f>'Pro Forma Adj'!I53</f>
        <v>0</v>
      </c>
      <c r="G52" s="65">
        <f>'Pro Forma Adj'!J53</f>
        <v>0</v>
      </c>
      <c r="H52" s="65">
        <f>'Pro Forma Adj'!K53</f>
        <v>0</v>
      </c>
      <c r="I52" s="65">
        <f>'Pro Forma Adj'!L53</f>
        <v>0</v>
      </c>
      <c r="J52" s="65">
        <f>'Pro Forma Adj'!M53</f>
        <v>0</v>
      </c>
      <c r="K52" s="65">
        <f>'Pro Forma Adj'!N53</f>
        <v>0</v>
      </c>
      <c r="L52" s="65">
        <f>'Pro Forma Adj'!O53</f>
        <v>0</v>
      </c>
    </row>
    <row r="53" spans="1:12" x14ac:dyDescent="0.2">
      <c r="A53" s="13" t="s">
        <v>49</v>
      </c>
      <c r="B53" s="239">
        <f t="shared" si="17"/>
        <v>335866632.59656978</v>
      </c>
      <c r="C53" s="239">
        <f t="shared" ref="C53:I53" si="18">SUM(C42:C52)</f>
        <v>112074897.89437498</v>
      </c>
      <c r="D53" s="239">
        <f t="shared" si="18"/>
        <v>0</v>
      </c>
      <c r="E53" s="239">
        <f t="shared" si="18"/>
        <v>0</v>
      </c>
      <c r="F53" s="239">
        <f t="shared" si="18"/>
        <v>0</v>
      </c>
      <c r="G53" s="239">
        <f t="shared" si="18"/>
        <v>1155586.2634248782</v>
      </c>
      <c r="H53" s="239">
        <f t="shared" si="18"/>
        <v>0</v>
      </c>
      <c r="I53" s="239">
        <f t="shared" si="18"/>
        <v>794536.36941842572</v>
      </c>
      <c r="J53" s="239">
        <f t="shared" ref="J53:K53" si="19">SUM(J42:J52)</f>
        <v>1801707.742032642</v>
      </c>
      <c r="K53" s="239">
        <f t="shared" si="19"/>
        <v>56661694.029025115</v>
      </c>
      <c r="L53" s="239">
        <f t="shared" ref="L53" si="20">SUM(L42:L52)</f>
        <v>163378210.29829377</v>
      </c>
    </row>
    <row r="54" spans="1:12" x14ac:dyDescent="0.2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">
      <c r="A55" s="13" t="s">
        <v>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">
      <c r="A56" s="13" t="s">
        <v>51</v>
      </c>
      <c r="B56" s="65">
        <f t="shared" ref="B56:B64" si="21">SUM(C56:L56)</f>
        <v>-51320415.002068095</v>
      </c>
      <c r="C56" s="65">
        <f>'Pro Forma Adj'!F57</f>
        <v>0</v>
      </c>
      <c r="D56" s="65">
        <f>'Pro Forma Adj'!G57</f>
        <v>0</v>
      </c>
      <c r="E56" s="65">
        <f>'Pro Forma Adj'!H57</f>
        <v>-42885257.790897198</v>
      </c>
      <c r="F56" s="65">
        <f>'Pro Forma Adj'!I57</f>
        <v>0</v>
      </c>
      <c r="G56" s="65">
        <f>'Pro Forma Adj'!J57</f>
        <v>-2039193.9216359917</v>
      </c>
      <c r="H56" s="65">
        <f>'Pro Forma Adj'!K57</f>
        <v>-2952540.8917818191</v>
      </c>
      <c r="I56" s="65">
        <f>'Pro Forma Adj'!L57</f>
        <v>-55393.974675529142</v>
      </c>
      <c r="J56" s="65">
        <f>'Pro Forma Adj'!M57</f>
        <v>-50241.916373985696</v>
      </c>
      <c r="K56" s="65">
        <f>'Pro Forma Adj'!N57</f>
        <v>-1047639.9611335265</v>
      </c>
      <c r="L56" s="65">
        <f>'Pro Forma Adj'!O57</f>
        <v>-2290146.5455700466</v>
      </c>
    </row>
    <row r="57" spans="1:12" x14ac:dyDescent="0.2">
      <c r="A57" s="13" t="s">
        <v>52</v>
      </c>
      <c r="B57" s="65">
        <f t="shared" si="21"/>
        <v>-4541116.6972164949</v>
      </c>
      <c r="C57" s="65">
        <f>'Pro Forma Adj'!F58</f>
        <v>0</v>
      </c>
      <c r="D57" s="65">
        <f>'Pro Forma Adj'!G58</f>
        <v>0</v>
      </c>
      <c r="E57" s="65">
        <f>'Pro Forma Adj'!H58</f>
        <v>-4541116.6972164949</v>
      </c>
      <c r="F57" s="65">
        <f>'Pro Forma Adj'!I58</f>
        <v>0</v>
      </c>
      <c r="G57" s="65">
        <f>'Pro Forma Adj'!J58</f>
        <v>0</v>
      </c>
      <c r="H57" s="65">
        <f>'Pro Forma Adj'!K58</f>
        <v>0</v>
      </c>
      <c r="I57" s="65">
        <f>'Pro Forma Adj'!L58</f>
        <v>0</v>
      </c>
      <c r="J57" s="65">
        <f>'Pro Forma Adj'!M58</f>
        <v>0</v>
      </c>
      <c r="K57" s="65">
        <f>'Pro Forma Adj'!N58</f>
        <v>0</v>
      </c>
      <c r="L57" s="65">
        <f>'Pro Forma Adj'!O58</f>
        <v>0</v>
      </c>
    </row>
    <row r="58" spans="1:12" x14ac:dyDescent="0.2">
      <c r="A58" s="13" t="s">
        <v>53</v>
      </c>
      <c r="B58" s="65">
        <f t="shared" si="21"/>
        <v>2299203.5205960581</v>
      </c>
      <c r="C58" s="65">
        <f>'Pro Forma Adj'!F59</f>
        <v>271075.9144625013</v>
      </c>
      <c r="D58" s="65">
        <f>'Pro Forma Adj'!G59</f>
        <v>0</v>
      </c>
      <c r="E58" s="65">
        <f>'Pro Forma Adj'!H59</f>
        <v>0</v>
      </c>
      <c r="F58" s="65">
        <f>'Pro Forma Adj'!I59</f>
        <v>1458888.8986401951</v>
      </c>
      <c r="G58" s="65">
        <f>'Pro Forma Adj'!J59</f>
        <v>0</v>
      </c>
      <c r="H58" s="65">
        <f>'Pro Forma Adj'!K59</f>
        <v>725931.66161339439</v>
      </c>
      <c r="I58" s="65">
        <f>'Pro Forma Adj'!L59</f>
        <v>-88773.163188723149</v>
      </c>
      <c r="J58" s="65">
        <f>'Pro Forma Adj'!M59</f>
        <v>-67919.790931309777</v>
      </c>
      <c r="K58" s="65">
        <f>'Pro Forma Adj'!N59</f>
        <v>0</v>
      </c>
      <c r="L58" s="65">
        <f>'Pro Forma Adj'!O59</f>
        <v>0</v>
      </c>
    </row>
    <row r="59" spans="1:12" x14ac:dyDescent="0.2">
      <c r="A59" s="13" t="s">
        <v>54</v>
      </c>
      <c r="B59" s="65">
        <f t="shared" si="21"/>
        <v>0</v>
      </c>
      <c r="C59" s="65">
        <f>'Pro Forma Adj'!F60</f>
        <v>0</v>
      </c>
      <c r="D59" s="65">
        <f>'Pro Forma Adj'!G60</f>
        <v>0</v>
      </c>
      <c r="E59" s="65">
        <f>'Pro Forma Adj'!H60</f>
        <v>0</v>
      </c>
      <c r="F59" s="65">
        <f>'Pro Forma Adj'!I60</f>
        <v>0</v>
      </c>
      <c r="G59" s="65">
        <f>'Pro Forma Adj'!J60</f>
        <v>0</v>
      </c>
      <c r="H59" s="65">
        <f>'Pro Forma Adj'!K60</f>
        <v>0</v>
      </c>
      <c r="I59" s="65">
        <f>'Pro Forma Adj'!L60</f>
        <v>0</v>
      </c>
      <c r="J59" s="65">
        <f>'Pro Forma Adj'!M60</f>
        <v>0</v>
      </c>
      <c r="K59" s="65">
        <f>'Pro Forma Adj'!N60</f>
        <v>0</v>
      </c>
      <c r="L59" s="65">
        <f>'Pro Forma Adj'!O60</f>
        <v>0</v>
      </c>
    </row>
    <row r="60" spans="1:12" x14ac:dyDescent="0.2">
      <c r="A60" s="13" t="s">
        <v>55</v>
      </c>
      <c r="B60" s="65">
        <f t="shared" si="21"/>
        <v>0</v>
      </c>
      <c r="C60" s="65">
        <f>'Pro Forma Adj'!F61</f>
        <v>0</v>
      </c>
      <c r="D60" s="65">
        <f>'Pro Forma Adj'!G61</f>
        <v>0</v>
      </c>
      <c r="E60" s="65">
        <f>'Pro Forma Adj'!H61</f>
        <v>0</v>
      </c>
      <c r="F60" s="65">
        <f>'Pro Forma Adj'!I61</f>
        <v>0</v>
      </c>
      <c r="G60" s="65">
        <f>'Pro Forma Adj'!J61</f>
        <v>0</v>
      </c>
      <c r="H60" s="65">
        <f>'Pro Forma Adj'!K61</f>
        <v>0</v>
      </c>
      <c r="I60" s="65">
        <f>'Pro Forma Adj'!L61</f>
        <v>0</v>
      </c>
      <c r="J60" s="65">
        <f>'Pro Forma Adj'!M61</f>
        <v>0</v>
      </c>
      <c r="K60" s="65">
        <f>'Pro Forma Adj'!N61</f>
        <v>0</v>
      </c>
      <c r="L60" s="65">
        <f>'Pro Forma Adj'!O61</f>
        <v>0</v>
      </c>
    </row>
    <row r="61" spans="1:12" x14ac:dyDescent="0.2">
      <c r="A61" s="13" t="s">
        <v>56</v>
      </c>
      <c r="B61" s="65">
        <f t="shared" si="21"/>
        <v>0</v>
      </c>
      <c r="C61" s="65">
        <f>'Pro Forma Adj'!F62</f>
        <v>0</v>
      </c>
      <c r="D61" s="65">
        <f>'Pro Forma Adj'!G62</f>
        <v>0</v>
      </c>
      <c r="E61" s="65">
        <f>'Pro Forma Adj'!H62</f>
        <v>0</v>
      </c>
      <c r="F61" s="65">
        <f>'Pro Forma Adj'!I62</f>
        <v>0</v>
      </c>
      <c r="G61" s="65">
        <f>'Pro Forma Adj'!J62</f>
        <v>0</v>
      </c>
      <c r="H61" s="65">
        <f>'Pro Forma Adj'!K62</f>
        <v>0</v>
      </c>
      <c r="I61" s="65">
        <f>'Pro Forma Adj'!L62</f>
        <v>0</v>
      </c>
      <c r="J61" s="65">
        <f>'Pro Forma Adj'!M62</f>
        <v>0</v>
      </c>
      <c r="K61" s="65">
        <f>'Pro Forma Adj'!N62</f>
        <v>0</v>
      </c>
      <c r="L61" s="65">
        <f>'Pro Forma Adj'!O62</f>
        <v>0</v>
      </c>
    </row>
    <row r="62" spans="1:12" x14ac:dyDescent="0.2">
      <c r="A62" s="13" t="s">
        <v>57</v>
      </c>
      <c r="B62" s="65">
        <f t="shared" si="21"/>
        <v>-5933674.8417438725</v>
      </c>
      <c r="C62" s="65">
        <f>'Pro Forma Adj'!F63</f>
        <v>0</v>
      </c>
      <c r="D62" s="65">
        <f>'Pro Forma Adj'!G63</f>
        <v>0</v>
      </c>
      <c r="E62" s="65">
        <f>'Pro Forma Adj'!H63</f>
        <v>0</v>
      </c>
      <c r="F62" s="65">
        <f>'Pro Forma Adj'!I63</f>
        <v>-5933674.8417438725</v>
      </c>
      <c r="G62" s="65">
        <f>'Pro Forma Adj'!J63</f>
        <v>0</v>
      </c>
      <c r="H62" s="65">
        <f>'Pro Forma Adj'!K63</f>
        <v>0</v>
      </c>
      <c r="I62" s="65">
        <f>'Pro Forma Adj'!L63</f>
        <v>0</v>
      </c>
      <c r="J62" s="65">
        <f>'Pro Forma Adj'!M63</f>
        <v>0</v>
      </c>
      <c r="K62" s="65">
        <f>'Pro Forma Adj'!N63</f>
        <v>0</v>
      </c>
      <c r="L62" s="65">
        <f>'Pro Forma Adj'!O63</f>
        <v>0</v>
      </c>
    </row>
    <row r="63" spans="1:12" x14ac:dyDescent="0.2">
      <c r="A63" s="13"/>
      <c r="B63" s="12">
        <f t="shared" si="21"/>
        <v>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">
      <c r="A64" s="13" t="s">
        <v>58</v>
      </c>
      <c r="B64" s="232">
        <f t="shared" si="21"/>
        <v>-59496003.020432413</v>
      </c>
      <c r="C64" s="232">
        <f t="shared" ref="C64:G64" si="22">SUM(C56:C63)</f>
        <v>271075.9144625013</v>
      </c>
      <c r="D64" s="232">
        <f t="shared" ref="D64:E64" si="23">SUM(D56:D63)</f>
        <v>0</v>
      </c>
      <c r="E64" s="232">
        <f t="shared" si="23"/>
        <v>-47426374.488113694</v>
      </c>
      <c r="F64" s="232">
        <f t="shared" si="22"/>
        <v>-4474785.9431036776</v>
      </c>
      <c r="G64" s="232">
        <f t="shared" si="22"/>
        <v>-2039193.9216359917</v>
      </c>
      <c r="H64" s="232">
        <f t="shared" ref="H64:I64" si="24">SUM(H56:H63)</f>
        <v>-2226609.2301684245</v>
      </c>
      <c r="I64" s="232">
        <f t="shared" si="24"/>
        <v>-144167.13786425229</v>
      </c>
      <c r="J64" s="232">
        <f t="shared" ref="J64:K64" si="25">SUM(J56:J63)</f>
        <v>-118161.70730529548</v>
      </c>
      <c r="K64" s="232">
        <f t="shared" si="25"/>
        <v>-1047639.9611335265</v>
      </c>
      <c r="L64" s="232">
        <f t="shared" ref="L64" si="26">SUM(L56:L63)</f>
        <v>-2290146.5455700466</v>
      </c>
    </row>
    <row r="65" spans="1:12" x14ac:dyDescent="0.2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3.5" thickBot="1" x14ac:dyDescent="0.25">
      <c r="A66" s="13" t="s">
        <v>59</v>
      </c>
      <c r="B66" s="242">
        <f>SUM(C66:L66)</f>
        <v>276370629.57613742</v>
      </c>
      <c r="C66" s="242">
        <f t="shared" ref="C66:I66" si="27">C53+C64</f>
        <v>112345973.80883749</v>
      </c>
      <c r="D66" s="242">
        <f t="shared" si="27"/>
        <v>0</v>
      </c>
      <c r="E66" s="242">
        <f t="shared" si="27"/>
        <v>-47426374.488113694</v>
      </c>
      <c r="F66" s="242">
        <f t="shared" si="27"/>
        <v>-4474785.9431036776</v>
      </c>
      <c r="G66" s="242">
        <f t="shared" si="27"/>
        <v>-883607.65821111342</v>
      </c>
      <c r="H66" s="242">
        <f t="shared" si="27"/>
        <v>-2226609.2301684245</v>
      </c>
      <c r="I66" s="242">
        <f t="shared" si="27"/>
        <v>650369.2315541734</v>
      </c>
      <c r="J66" s="242">
        <f t="shared" ref="J66:K66" si="28">J53+J64</f>
        <v>1683546.0347273466</v>
      </c>
      <c r="K66" s="242">
        <f t="shared" si="28"/>
        <v>55614054.06789159</v>
      </c>
      <c r="L66" s="242">
        <f t="shared" ref="L66" si="29">L53+L64</f>
        <v>161088063.75272372</v>
      </c>
    </row>
    <row r="67" spans="1:12" ht="13.5" thickTop="1" x14ac:dyDescent="0.2">
      <c r="A67" s="13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s="146" customFormat="1" x14ac:dyDescent="0.2">
      <c r="A69" s="16" t="s">
        <v>93</v>
      </c>
      <c r="B69" s="16">
        <f t="shared" ref="B69:I69" si="30">(((B39+Unadj_Op_revenue)/(B66+Unadj_rate_base))-Weighted_cost_debt-Weighted_cost_pref)/Percent_common-Unadj_ROE</f>
        <v>-4.0562173485255107E-2</v>
      </c>
      <c r="C69" s="16">
        <f t="shared" si="30"/>
        <v>-1.4036706304215649E-2</v>
      </c>
      <c r="D69" s="16">
        <f t="shared" si="30"/>
        <v>-5.4053195837328316E-3</v>
      </c>
      <c r="E69" s="16">
        <f t="shared" si="30"/>
        <v>6.5704874507242633E-3</v>
      </c>
      <c r="F69" s="16">
        <f t="shared" si="30"/>
        <v>4.993296885925369E-4</v>
      </c>
      <c r="G69" s="16">
        <f t="shared" si="30"/>
        <v>1.3207478301066611E-5</v>
      </c>
      <c r="H69" s="16">
        <f t="shared" si="30"/>
        <v>1.9463160484273212E-4</v>
      </c>
      <c r="I69" s="16">
        <f t="shared" si="30"/>
        <v>-2.1489372224926806E-4</v>
      </c>
      <c r="J69" s="16">
        <f t="shared" ref="J69:K69" si="31">(((J39+Unadj_Op_revenue)/(J66+Unadj_rate_base))-Weighted_cost_debt-Weighted_cost_pref)/Percent_common-Unadj_ROE</f>
        <v>-3.6608520476003048E-4</v>
      </c>
      <c r="K69" s="16">
        <f t="shared" si="31"/>
        <v>-1.0942880799160837E-2</v>
      </c>
      <c r="L69" s="16">
        <f t="shared" ref="L69" si="32">(((L39+Unadj_Op_revenue)/(L66+Unadj_rate_base))-Weighted_cost_debt-Weighted_cost_pref)/Percent_common-Unadj_ROE</f>
        <v>-2.2454850498952267E-2</v>
      </c>
    </row>
    <row r="70" spans="1:12" x14ac:dyDescent="0.2">
      <c r="A70" s="13" t="s">
        <v>7</v>
      </c>
      <c r="B70" s="244">
        <f>SUM(C70:L70)</f>
        <v>37984330.232810155</v>
      </c>
      <c r="C70" s="244">
        <f t="shared" ref="C70:I70" si="33">-(C39-(C66*Overall_ROR))/gross_up_factor</f>
        <v>11521362.051547529</v>
      </c>
      <c r="D70" s="244">
        <f t="shared" si="33"/>
        <v>3976826.1543290936</v>
      </c>
      <c r="E70" s="244">
        <f t="shared" si="33"/>
        <v>-4794238.5958030382</v>
      </c>
      <c r="F70" s="244">
        <f t="shared" si="33"/>
        <v>-452347.27950291225</v>
      </c>
      <c r="G70" s="244">
        <f t="shared" si="33"/>
        <v>-89322.15427102847</v>
      </c>
      <c r="H70" s="244">
        <f t="shared" si="33"/>
        <v>-225083.5326179142</v>
      </c>
      <c r="I70" s="244">
        <f t="shared" si="33"/>
        <v>81828.190904776522</v>
      </c>
      <c r="J70" s="244">
        <f t="shared" ref="J70:K70" si="34">-(J39-(J66*Overall_ROR))/gross_up_factor</f>
        <v>195537.05162669101</v>
      </c>
      <c r="K70" s="244">
        <f t="shared" si="34"/>
        <v>8543373.7321885154</v>
      </c>
      <c r="L70" s="244">
        <f t="shared" ref="L70" si="35">-(L39-(L66*Overall_ROR))/gross_up_factor</f>
        <v>19226394.614408441</v>
      </c>
    </row>
    <row r="71" spans="1:12" x14ac:dyDescent="0.2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2">
      <c r="A72" s="13" t="s">
        <v>61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">
      <c r="A73" s="13" t="s">
        <v>62</v>
      </c>
      <c r="B73" s="244">
        <f t="shared" ref="B73:B79" si="36">SUM(C73:L73)</f>
        <v>-9396198.1433326062</v>
      </c>
      <c r="C73" s="244">
        <f t="shared" ref="C73:I73" si="37">C15-C28-C29-C30-C31-C36</f>
        <v>0</v>
      </c>
      <c r="D73" s="244">
        <f t="shared" si="37"/>
        <v>-3784629.670060379</v>
      </c>
      <c r="E73" s="244">
        <f t="shared" si="37"/>
        <v>0</v>
      </c>
      <c r="F73" s="244">
        <f t="shared" si="37"/>
        <v>0</v>
      </c>
      <c r="G73" s="244">
        <f t="shared" si="37"/>
        <v>0</v>
      </c>
      <c r="H73" s="244">
        <f t="shared" si="37"/>
        <v>0</v>
      </c>
      <c r="I73" s="244">
        <f t="shared" si="37"/>
        <v>-14987.55829505467</v>
      </c>
      <c r="J73" s="244">
        <f t="shared" ref="J73:K73" si="38">J15-J28-J29-J30-J31-J36</f>
        <v>-16193.213747097141</v>
      </c>
      <c r="K73" s="244">
        <f t="shared" si="38"/>
        <v>-2780267.2533850749</v>
      </c>
      <c r="L73" s="244">
        <f t="shared" ref="L73" si="39">L15-L28-L29-L30-L31-L36</f>
        <v>-2800120.4478450012</v>
      </c>
    </row>
    <row r="74" spans="1:12" x14ac:dyDescent="0.2">
      <c r="A74" s="13" t="s">
        <v>63</v>
      </c>
      <c r="B74" s="12">
        <f t="shared" si="36"/>
        <v>0</v>
      </c>
      <c r="C74" s="12">
        <f>'Pro Forma Adj'!F75</f>
        <v>0</v>
      </c>
      <c r="D74" s="12">
        <f>'Pro Forma Adj'!G75</f>
        <v>0</v>
      </c>
      <c r="E74" s="12">
        <f>'Pro Forma Adj'!H75</f>
        <v>0</v>
      </c>
      <c r="F74" s="12">
        <f>'Pro Forma Adj'!I75</f>
        <v>0</v>
      </c>
      <c r="G74" s="12">
        <f>'Pro Forma Adj'!J75</f>
        <v>0</v>
      </c>
      <c r="H74" s="12">
        <f>'Pro Forma Adj'!K75</f>
        <v>0</v>
      </c>
      <c r="I74" s="12">
        <f>'Pro Forma Adj'!L75</f>
        <v>0</v>
      </c>
      <c r="J74" s="12">
        <f>'Pro Forma Adj'!M75</f>
        <v>0</v>
      </c>
      <c r="K74" s="12">
        <f>'Pro Forma Adj'!N75</f>
        <v>0</v>
      </c>
      <c r="L74" s="12">
        <f>'Pro Forma Adj'!O75</f>
        <v>0</v>
      </c>
    </row>
    <row r="75" spans="1:12" x14ac:dyDescent="0.2">
      <c r="A75" s="13" t="s">
        <v>64</v>
      </c>
      <c r="B75" s="63">
        <f t="shared" si="36"/>
        <v>0</v>
      </c>
      <c r="C75" s="63">
        <f>'Pro Forma Adj'!F76</f>
        <v>0</v>
      </c>
      <c r="D75" s="63">
        <f>'Pro Forma Adj'!G76</f>
        <v>0</v>
      </c>
      <c r="E75" s="63">
        <f>'Pro Forma Adj'!H76</f>
        <v>0</v>
      </c>
      <c r="F75" s="63">
        <f>'Pro Forma Adj'!I76</f>
        <v>0</v>
      </c>
      <c r="G75" s="63">
        <f>'Pro Forma Adj'!J76</f>
        <v>0</v>
      </c>
      <c r="H75" s="63">
        <f>'Pro Forma Adj'!K76</f>
        <v>0</v>
      </c>
      <c r="I75" s="63">
        <f>'Pro Forma Adj'!L76</f>
        <v>0</v>
      </c>
      <c r="J75" s="63">
        <f>'Pro Forma Adj'!M76</f>
        <v>0</v>
      </c>
      <c r="K75" s="63">
        <f>'Pro Forma Adj'!N76</f>
        <v>0</v>
      </c>
      <c r="L75" s="63">
        <f>'Pro Forma Adj'!O76</f>
        <v>0</v>
      </c>
    </row>
    <row r="76" spans="1:12" x14ac:dyDescent="0.2">
      <c r="A76" s="13" t="s">
        <v>65</v>
      </c>
      <c r="B76" s="63">
        <f t="shared" si="36"/>
        <v>0</v>
      </c>
      <c r="C76" s="63">
        <f>'Pro Forma Adj'!F77</f>
        <v>0</v>
      </c>
      <c r="D76" s="63">
        <f>'Pro Forma Adj'!G77</f>
        <v>0</v>
      </c>
      <c r="E76" s="63">
        <f>'Pro Forma Adj'!H77</f>
        <v>0</v>
      </c>
      <c r="F76" s="63">
        <f>'Pro Forma Adj'!I77</f>
        <v>0</v>
      </c>
      <c r="G76" s="63">
        <f>'Pro Forma Adj'!J77</f>
        <v>0</v>
      </c>
      <c r="H76" s="63">
        <f>'Pro Forma Adj'!K77</f>
        <v>0</v>
      </c>
      <c r="I76" s="63">
        <f>'Pro Forma Adj'!L77</f>
        <v>0</v>
      </c>
      <c r="J76" s="63">
        <f>'Pro Forma Adj'!M77</f>
        <v>0</v>
      </c>
      <c r="K76" s="63">
        <f>'Pro Forma Adj'!N77</f>
        <v>0</v>
      </c>
      <c r="L76" s="63">
        <f>'Pro Forma Adj'!O77</f>
        <v>0</v>
      </c>
    </row>
    <row r="77" spans="1:12" x14ac:dyDescent="0.2">
      <c r="A77" s="13" t="s">
        <v>66</v>
      </c>
      <c r="B77" s="63">
        <f t="shared" si="36"/>
        <v>289965.89217130182</v>
      </c>
      <c r="C77" s="63">
        <f>'Pro Forma Adj'!F78</f>
        <v>254857.61407934257</v>
      </c>
      <c r="D77" s="63">
        <f>'Pro Forma Adj'!G78</f>
        <v>0</v>
      </c>
      <c r="E77" s="63">
        <f>'Pro Forma Adj'!H78</f>
        <v>0</v>
      </c>
      <c r="F77" s="63">
        <f>'Pro Forma Adj'!I78</f>
        <v>0</v>
      </c>
      <c r="G77" s="63">
        <f>'Pro Forma Adj'!J78</f>
        <v>0</v>
      </c>
      <c r="H77" s="63">
        <f>'Pro Forma Adj'!K78</f>
        <v>0</v>
      </c>
      <c r="I77" s="63">
        <f>'Pro Forma Adj'!L78</f>
        <v>15040.527753435337</v>
      </c>
      <c r="J77" s="63">
        <f>'Pro Forma Adj'!M78</f>
        <v>20067.750338523951</v>
      </c>
      <c r="K77" s="63">
        <f>'Pro Forma Adj'!N78</f>
        <v>0</v>
      </c>
      <c r="L77" s="63">
        <f>'Pro Forma Adj'!O78</f>
        <v>0</v>
      </c>
    </row>
    <row r="78" spans="1:12" x14ac:dyDescent="0.2">
      <c r="A78" s="13" t="s">
        <v>67</v>
      </c>
      <c r="B78" s="69">
        <f t="shared" si="36"/>
        <v>3920520.3449155949</v>
      </c>
      <c r="C78" s="69">
        <f>'Pro Forma Adj'!F79</f>
        <v>3703700.9911775519</v>
      </c>
      <c r="D78" s="69">
        <f>'Pro Forma Adj'!G79</f>
        <v>0</v>
      </c>
      <c r="E78" s="69">
        <f>'Pro Forma Adj'!H79</f>
        <v>0</v>
      </c>
      <c r="F78" s="69">
        <f>'Pro Forma Adj'!I79</f>
        <v>0</v>
      </c>
      <c r="G78" s="69">
        <f>'Pro Forma Adj'!J79</f>
        <v>0</v>
      </c>
      <c r="H78" s="69">
        <f>'Pro Forma Adj'!K79</f>
        <v>0</v>
      </c>
      <c r="I78" s="69">
        <f>'Pro Forma Adj'!L79</f>
        <v>22034.215987286549</v>
      </c>
      <c r="J78" s="69">
        <f>'Pro Forma Adj'!M79</f>
        <v>194785.13775075637</v>
      </c>
      <c r="K78" s="69">
        <f>'Pro Forma Adj'!N79</f>
        <v>0</v>
      </c>
      <c r="L78" s="69">
        <f>'Pro Forma Adj'!O79</f>
        <v>0</v>
      </c>
    </row>
    <row r="79" spans="1:12" x14ac:dyDescent="0.2">
      <c r="A79" s="13" t="s">
        <v>68</v>
      </c>
      <c r="B79" s="13">
        <f t="shared" si="36"/>
        <v>-13026752.596076898</v>
      </c>
      <c r="C79" s="13">
        <f t="shared" ref="C79:I79" si="40">C73-C75-C76+C77-C78</f>
        <v>-3448843.3770982092</v>
      </c>
      <c r="D79" s="13">
        <f t="shared" si="40"/>
        <v>-3784629.670060379</v>
      </c>
      <c r="E79" s="13">
        <f t="shared" si="40"/>
        <v>0</v>
      </c>
      <c r="F79" s="13">
        <f t="shared" si="40"/>
        <v>0</v>
      </c>
      <c r="G79" s="13">
        <f t="shared" si="40"/>
        <v>0</v>
      </c>
      <c r="H79" s="13">
        <f t="shared" si="40"/>
        <v>0</v>
      </c>
      <c r="I79" s="13">
        <f t="shared" si="40"/>
        <v>-21981.246528905882</v>
      </c>
      <c r="J79" s="13">
        <f t="shared" ref="J79:K79" si="41">J73-J75-J76+J77-J78</f>
        <v>-190910.60115932956</v>
      </c>
      <c r="K79" s="13">
        <f t="shared" si="41"/>
        <v>-2780267.2533850749</v>
      </c>
      <c r="L79" s="13">
        <f t="shared" ref="L79" si="42">L73-L75-L76+L77-L78</f>
        <v>-2800120.4478450012</v>
      </c>
    </row>
    <row r="80" spans="1:12" x14ac:dyDescent="0.2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">
      <c r="A81" s="13" t="s">
        <v>69</v>
      </c>
      <c r="B81" s="12">
        <f>SUM(C81:L81)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</row>
    <row r="82" spans="1:12" ht="13.5" thickBot="1" x14ac:dyDescent="0.25">
      <c r="A82" s="13" t="s">
        <v>70</v>
      </c>
      <c r="B82" s="267">
        <f>SUM(C82:L82)</f>
        <v>-13026752.596076898</v>
      </c>
      <c r="C82" s="267">
        <f t="shared" ref="C82:I82" si="43">C79-C81</f>
        <v>-3448843.3770982092</v>
      </c>
      <c r="D82" s="267">
        <f t="shared" si="43"/>
        <v>-3784629.670060379</v>
      </c>
      <c r="E82" s="267">
        <f t="shared" si="43"/>
        <v>0</v>
      </c>
      <c r="F82" s="267">
        <f t="shared" si="43"/>
        <v>0</v>
      </c>
      <c r="G82" s="267">
        <f t="shared" si="43"/>
        <v>0</v>
      </c>
      <c r="H82" s="267">
        <f t="shared" si="43"/>
        <v>0</v>
      </c>
      <c r="I82" s="267">
        <f t="shared" si="43"/>
        <v>-21981.246528905882</v>
      </c>
      <c r="J82" s="267">
        <f t="shared" ref="J82:K82" si="44">J79-J81</f>
        <v>-190910.60115932956</v>
      </c>
      <c r="K82" s="267">
        <f t="shared" si="44"/>
        <v>-2780267.2533850749</v>
      </c>
      <c r="L82" s="267">
        <f t="shared" ref="L82" si="45">L79-L81</f>
        <v>-2800120.4478450012</v>
      </c>
    </row>
    <row r="83" spans="1:12" x14ac:dyDescent="0.2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">
      <c r="A84" s="13" t="s">
        <v>81</v>
      </c>
      <c r="B84" s="12">
        <f>SUM(C84:L84)</f>
        <v>-2735618.0451761484</v>
      </c>
      <c r="C84" s="12">
        <f t="shared" ref="C84:I84" si="46">C82*0.21</f>
        <v>-724257.10919062386</v>
      </c>
      <c r="D84" s="12">
        <f t="shared" si="46"/>
        <v>-794772.23071267956</v>
      </c>
      <c r="E84" s="12">
        <f t="shared" si="46"/>
        <v>0</v>
      </c>
      <c r="F84" s="12">
        <f t="shared" si="46"/>
        <v>0</v>
      </c>
      <c r="G84" s="12">
        <f t="shared" si="46"/>
        <v>0</v>
      </c>
      <c r="H84" s="12">
        <f t="shared" si="46"/>
        <v>0</v>
      </c>
      <c r="I84" s="12">
        <f t="shared" si="46"/>
        <v>-4616.0617710702354</v>
      </c>
      <c r="J84" s="12">
        <f t="shared" ref="J84:K84" si="47">J82*0.21</f>
        <v>-40091.226243459205</v>
      </c>
      <c r="K84" s="12">
        <f t="shared" si="47"/>
        <v>-583856.12321086565</v>
      </c>
      <c r="L84" s="12">
        <f t="shared" ref="L84" si="48">L82*0.21</f>
        <v>-588025.29404745018</v>
      </c>
    </row>
    <row r="85" spans="1:12" x14ac:dyDescent="0.2">
      <c r="A85" s="13" t="s">
        <v>129</v>
      </c>
      <c r="B85" s="12">
        <f>SUM(C85:L85)</f>
        <v>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3.5" thickBot="1" x14ac:dyDescent="0.25">
      <c r="A86" s="13" t="s">
        <v>83</v>
      </c>
      <c r="B86" s="274">
        <f>SUM(C86:L86)</f>
        <v>-2735618.0451761484</v>
      </c>
      <c r="C86" s="274">
        <f t="shared" ref="C86:I86" si="49">C84+C85</f>
        <v>-724257.10919062386</v>
      </c>
      <c r="D86" s="274">
        <f t="shared" si="49"/>
        <v>-794772.23071267956</v>
      </c>
      <c r="E86" s="274">
        <f t="shared" si="49"/>
        <v>0</v>
      </c>
      <c r="F86" s="274">
        <f t="shared" si="49"/>
        <v>0</v>
      </c>
      <c r="G86" s="274">
        <f t="shared" si="49"/>
        <v>0</v>
      </c>
      <c r="H86" s="274">
        <f t="shared" si="49"/>
        <v>0</v>
      </c>
      <c r="I86" s="274">
        <f t="shared" si="49"/>
        <v>-4616.0617710702354</v>
      </c>
      <c r="J86" s="274">
        <f t="shared" ref="J86:K86" si="50">J84+J85</f>
        <v>-40091.226243459205</v>
      </c>
      <c r="K86" s="274">
        <f t="shared" si="50"/>
        <v>-583856.12321086565</v>
      </c>
      <c r="L86" s="274">
        <f t="shared" ref="L86" si="51">L84+L85</f>
        <v>-588025.29404745018</v>
      </c>
    </row>
    <row r="87" spans="1:12" ht="13.5" thickTop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">
      <c r="A89" s="1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2">
      <c r="A91" s="13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</row>
    <row r="92" spans="1:12" x14ac:dyDescent="0.2">
      <c r="A92" s="272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METHODOLOGY
Capital Additions, Depreciation, &amp; Amortization - Rate Year 2 Adjustments (Tab 14)
PRO FORMA&amp;R&amp;12Page 14.0.&amp;P
&amp;10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F643-19CA-499A-90E1-DFF9442DD570}">
  <sheetPr>
    <pageSetUpPr fitToPage="1"/>
  </sheetPr>
  <dimension ref="A2:I92"/>
  <sheetViews>
    <sheetView showOutlineSymbols="0" workbookViewId="0"/>
  </sheetViews>
  <sheetFormatPr defaultRowHeight="12.75" x14ac:dyDescent="0.2"/>
  <cols>
    <col min="1" max="1" width="35.5703125" style="2" customWidth="1"/>
    <col min="2" max="8" width="17.28515625" style="2" bestFit="1" customWidth="1"/>
    <col min="9" max="9" width="15.140625" style="2" customWidth="1"/>
    <col min="10" max="16384" width="9.140625" style="2"/>
  </cols>
  <sheetData>
    <row r="2" spans="1:9" x14ac:dyDescent="0.2">
      <c r="A2" s="269"/>
    </row>
    <row r="3" spans="1:9" x14ac:dyDescent="0.2">
      <c r="A3" s="269"/>
    </row>
    <row r="4" spans="1:9" x14ac:dyDescent="0.2">
      <c r="A4" s="270"/>
    </row>
    <row r="5" spans="1:9" x14ac:dyDescent="0.2">
      <c r="A5" s="270"/>
    </row>
    <row r="6" spans="1:9" x14ac:dyDescent="0.2">
      <c r="A6" s="270"/>
      <c r="B6" s="4"/>
      <c r="C6" s="4"/>
      <c r="D6" s="4"/>
      <c r="E6" s="4"/>
      <c r="F6" s="4"/>
      <c r="G6" s="4"/>
      <c r="H6" s="4"/>
    </row>
    <row r="7" spans="1:9" x14ac:dyDescent="0.2">
      <c r="B7" s="59"/>
      <c r="C7" s="59" t="str">
        <f>'Pro Forma Adj'!P8</f>
        <v>15.1</v>
      </c>
      <c r="D7" s="59" t="str">
        <f>'Pro Forma Adj'!Q8</f>
        <v>15.2</v>
      </c>
      <c r="E7" s="59" t="str">
        <f>'Pro Forma Adj'!R8</f>
        <v>15.3</v>
      </c>
      <c r="F7" s="59" t="str">
        <f>'Pro Forma Adj'!S8</f>
        <v>15.4</v>
      </c>
      <c r="G7" s="59" t="str">
        <f>'Pro Forma Adj'!T8</f>
        <v>15.5</v>
      </c>
      <c r="H7" s="59" t="str">
        <f>'Pro Forma Adj'!U8</f>
        <v>15.6</v>
      </c>
      <c r="I7" s="59"/>
    </row>
    <row r="8" spans="1:9" s="13" customFormat="1" ht="81" customHeight="1" x14ac:dyDescent="0.2">
      <c r="B8" s="262" t="s">
        <v>231</v>
      </c>
      <c r="C8" s="262" t="str">
        <f>'Pro Forma Adj'!P9</f>
        <v>Interest True-Up - Year 2</v>
      </c>
      <c r="D8" s="262" t="str">
        <f>'Pro Forma Adj'!Q9</f>
        <v>Property Taxes - 
Year 2</v>
      </c>
      <c r="E8" s="262" t="str">
        <f>'Pro Forma Adj'!R9</f>
        <v>Removal of TCJA Balances Adjustment - Year 2</v>
      </c>
      <c r="F8" s="262" t="str">
        <f>'Pro Forma Adj'!S9</f>
        <v>PowerTax ADIT Balance Adjustment - Year 2</v>
      </c>
      <c r="G8" s="262" t="str">
        <f>'Pro Forma Adj'!T9</f>
        <v>Permanent Schedule M Adjustment - Year 2</v>
      </c>
      <c r="H8" s="262" t="str">
        <f>'Pro Forma Adj'!U9</f>
        <v>Remove Deferred State Tax Expense &amp; Balance - 
Year 2</v>
      </c>
      <c r="I8" s="262"/>
    </row>
    <row r="10" spans="1:9" x14ac:dyDescent="0.2">
      <c r="A10" s="13" t="s">
        <v>9</v>
      </c>
      <c r="B10" s="12"/>
      <c r="C10" s="12"/>
      <c r="D10" s="12"/>
      <c r="E10" s="12"/>
      <c r="F10" s="12"/>
      <c r="G10" s="12"/>
      <c r="H10" s="12"/>
      <c r="I10" s="12"/>
    </row>
    <row r="11" spans="1:9" x14ac:dyDescent="0.2">
      <c r="A11" s="13" t="s">
        <v>10</v>
      </c>
      <c r="B11" s="65">
        <f>SUM(C11:I11)</f>
        <v>0</v>
      </c>
      <c r="C11" s="65">
        <f>'Pro Forma Adj'!P12</f>
        <v>0</v>
      </c>
      <c r="D11" s="65">
        <f>'Pro Forma Adj'!Q12</f>
        <v>0</v>
      </c>
      <c r="E11" s="65">
        <f>'Pro Forma Adj'!R12</f>
        <v>0</v>
      </c>
      <c r="F11" s="65">
        <f>'Pro Forma Adj'!S12</f>
        <v>0</v>
      </c>
      <c r="G11" s="65">
        <f>'Pro Forma Adj'!T12</f>
        <v>0</v>
      </c>
      <c r="H11" s="65">
        <f>'Pro Forma Adj'!U12</f>
        <v>0</v>
      </c>
      <c r="I11" s="65"/>
    </row>
    <row r="12" spans="1:9" x14ac:dyDescent="0.2">
      <c r="A12" s="13" t="s">
        <v>11</v>
      </c>
      <c r="B12" s="65">
        <f>SUM(C12:I12)</f>
        <v>0</v>
      </c>
      <c r="C12" s="65">
        <f>'Pro Forma Adj'!P13</f>
        <v>0</v>
      </c>
      <c r="D12" s="65">
        <f>'Pro Forma Adj'!Q13</f>
        <v>0</v>
      </c>
      <c r="E12" s="65">
        <f>'Pro Forma Adj'!R13</f>
        <v>0</v>
      </c>
      <c r="F12" s="65">
        <f>'Pro Forma Adj'!S13</f>
        <v>0</v>
      </c>
      <c r="G12" s="65">
        <f>'Pro Forma Adj'!T13</f>
        <v>0</v>
      </c>
      <c r="H12" s="65">
        <f>'Pro Forma Adj'!U13</f>
        <v>0</v>
      </c>
      <c r="I12" s="65"/>
    </row>
    <row r="13" spans="1:9" x14ac:dyDescent="0.2">
      <c r="A13" s="13" t="s">
        <v>12</v>
      </c>
      <c r="B13" s="65">
        <f>SUM(C13:I13)</f>
        <v>0</v>
      </c>
      <c r="C13" s="65">
        <f>'Pro Forma Adj'!P14</f>
        <v>0</v>
      </c>
      <c r="D13" s="65">
        <f>'Pro Forma Adj'!Q14</f>
        <v>0</v>
      </c>
      <c r="E13" s="65">
        <f>'Pro Forma Adj'!R14</f>
        <v>0</v>
      </c>
      <c r="F13" s="65">
        <f>'Pro Forma Adj'!S14</f>
        <v>0</v>
      </c>
      <c r="G13" s="65">
        <f>'Pro Forma Adj'!T14</f>
        <v>0</v>
      </c>
      <c r="H13" s="65">
        <f>'Pro Forma Adj'!U14</f>
        <v>0</v>
      </c>
      <c r="I13" s="65"/>
    </row>
    <row r="14" spans="1:9" x14ac:dyDescent="0.2">
      <c r="A14" s="13" t="s">
        <v>13</v>
      </c>
      <c r="B14" s="65">
        <f>SUM(C14:I14)</f>
        <v>0</v>
      </c>
      <c r="C14" s="65">
        <f>'Pro Forma Adj'!P15</f>
        <v>0</v>
      </c>
      <c r="D14" s="65">
        <f>'Pro Forma Adj'!Q15</f>
        <v>0</v>
      </c>
      <c r="E14" s="65">
        <f>'Pro Forma Adj'!R15</f>
        <v>0</v>
      </c>
      <c r="F14" s="65">
        <f>'Pro Forma Adj'!S15</f>
        <v>0</v>
      </c>
      <c r="G14" s="65">
        <f>'Pro Forma Adj'!T15</f>
        <v>0</v>
      </c>
      <c r="H14" s="65">
        <f>'Pro Forma Adj'!U15</f>
        <v>0</v>
      </c>
      <c r="I14" s="65"/>
    </row>
    <row r="15" spans="1:9" x14ac:dyDescent="0.2">
      <c r="A15" s="13" t="s">
        <v>14</v>
      </c>
      <c r="B15" s="232">
        <f>SUM(C15:I15)</f>
        <v>0</v>
      </c>
      <c r="C15" s="232">
        <f t="shared" ref="C15:H15" si="0">SUM(C11:C14)</f>
        <v>0</v>
      </c>
      <c r="D15" s="232">
        <f t="shared" si="0"/>
        <v>0</v>
      </c>
      <c r="E15" s="232">
        <f t="shared" si="0"/>
        <v>0</v>
      </c>
      <c r="F15" s="232">
        <f t="shared" si="0"/>
        <v>0</v>
      </c>
      <c r="G15" s="232">
        <f t="shared" si="0"/>
        <v>0</v>
      </c>
      <c r="H15" s="232">
        <f t="shared" si="0"/>
        <v>0</v>
      </c>
      <c r="I15" s="12"/>
    </row>
    <row r="16" spans="1:9" x14ac:dyDescent="0.2">
      <c r="A16" s="13"/>
      <c r="B16" s="12"/>
      <c r="C16" s="12"/>
      <c r="D16" s="12"/>
      <c r="E16" s="12"/>
      <c r="F16" s="12"/>
      <c r="G16" s="12"/>
      <c r="H16" s="12"/>
      <c r="I16" s="12"/>
    </row>
    <row r="17" spans="1:9" x14ac:dyDescent="0.2">
      <c r="A17" s="13" t="s">
        <v>15</v>
      </c>
      <c r="B17" s="12"/>
      <c r="C17" s="12"/>
      <c r="D17" s="12"/>
      <c r="E17" s="12"/>
      <c r="F17" s="12"/>
      <c r="G17" s="12"/>
      <c r="H17" s="12"/>
      <c r="I17" s="12"/>
    </row>
    <row r="18" spans="1:9" x14ac:dyDescent="0.2">
      <c r="A18" s="13" t="s">
        <v>16</v>
      </c>
      <c r="B18" s="65">
        <f t="shared" ref="B18:B39" si="1">SUM(C18:I18)</f>
        <v>0</v>
      </c>
      <c r="C18" s="65">
        <f>'Pro Forma Adj'!P19</f>
        <v>0</v>
      </c>
      <c r="D18" s="65">
        <f>'Pro Forma Adj'!Q19</f>
        <v>0</v>
      </c>
      <c r="E18" s="65">
        <f>'Pro Forma Adj'!R19</f>
        <v>0</v>
      </c>
      <c r="F18" s="65">
        <f>'Pro Forma Adj'!S19</f>
        <v>0</v>
      </c>
      <c r="G18" s="65">
        <f>'Pro Forma Adj'!T19</f>
        <v>0</v>
      </c>
      <c r="H18" s="65">
        <f>'Pro Forma Adj'!U19</f>
        <v>0</v>
      </c>
      <c r="I18" s="65"/>
    </row>
    <row r="19" spans="1:9" x14ac:dyDescent="0.2">
      <c r="A19" s="13" t="s">
        <v>17</v>
      </c>
      <c r="B19" s="65">
        <f t="shared" si="1"/>
        <v>0</v>
      </c>
      <c r="C19" s="65">
        <f>'Pro Forma Adj'!P20</f>
        <v>0</v>
      </c>
      <c r="D19" s="65">
        <f>'Pro Forma Adj'!Q20</f>
        <v>0</v>
      </c>
      <c r="E19" s="65">
        <f>'Pro Forma Adj'!R20</f>
        <v>0</v>
      </c>
      <c r="F19" s="65">
        <f>'Pro Forma Adj'!S20</f>
        <v>0</v>
      </c>
      <c r="G19" s="65">
        <f>'Pro Forma Adj'!T20</f>
        <v>0</v>
      </c>
      <c r="H19" s="65">
        <f>'Pro Forma Adj'!U20</f>
        <v>0</v>
      </c>
      <c r="I19" s="65"/>
    </row>
    <row r="20" spans="1:9" x14ac:dyDescent="0.2">
      <c r="A20" s="13" t="s">
        <v>18</v>
      </c>
      <c r="B20" s="65">
        <f t="shared" si="1"/>
        <v>0</v>
      </c>
      <c r="C20" s="65">
        <f>'Pro Forma Adj'!P21</f>
        <v>0</v>
      </c>
      <c r="D20" s="65">
        <f>'Pro Forma Adj'!Q21</f>
        <v>0</v>
      </c>
      <c r="E20" s="65">
        <f>'Pro Forma Adj'!R21</f>
        <v>0</v>
      </c>
      <c r="F20" s="65">
        <f>'Pro Forma Adj'!S21</f>
        <v>0</v>
      </c>
      <c r="G20" s="65">
        <f>'Pro Forma Adj'!T21</f>
        <v>0</v>
      </c>
      <c r="H20" s="65">
        <f>'Pro Forma Adj'!U21</f>
        <v>0</v>
      </c>
      <c r="I20" s="65"/>
    </row>
    <row r="21" spans="1:9" x14ac:dyDescent="0.2">
      <c r="A21" s="13" t="s">
        <v>19</v>
      </c>
      <c r="B21" s="65">
        <f t="shared" si="1"/>
        <v>0</v>
      </c>
      <c r="C21" s="65">
        <f>'Pro Forma Adj'!P22</f>
        <v>0</v>
      </c>
      <c r="D21" s="65">
        <f>'Pro Forma Adj'!Q22</f>
        <v>0</v>
      </c>
      <c r="E21" s="65">
        <f>'Pro Forma Adj'!R22</f>
        <v>0</v>
      </c>
      <c r="F21" s="65">
        <f>'Pro Forma Adj'!S22</f>
        <v>0</v>
      </c>
      <c r="G21" s="65">
        <f>'Pro Forma Adj'!T22</f>
        <v>0</v>
      </c>
      <c r="H21" s="65">
        <f>'Pro Forma Adj'!U22</f>
        <v>0</v>
      </c>
      <c r="I21" s="65"/>
    </row>
    <row r="22" spans="1:9" x14ac:dyDescent="0.2">
      <c r="A22" s="13" t="s">
        <v>20</v>
      </c>
      <c r="B22" s="65">
        <f t="shared" si="1"/>
        <v>0</v>
      </c>
      <c r="C22" s="65">
        <f>'Pro Forma Adj'!P23</f>
        <v>0</v>
      </c>
      <c r="D22" s="65">
        <f>'Pro Forma Adj'!Q23</f>
        <v>0</v>
      </c>
      <c r="E22" s="65">
        <f>'Pro Forma Adj'!R23</f>
        <v>0</v>
      </c>
      <c r="F22" s="65">
        <f>'Pro Forma Adj'!S23</f>
        <v>0</v>
      </c>
      <c r="G22" s="65">
        <f>'Pro Forma Adj'!T23</f>
        <v>0</v>
      </c>
      <c r="H22" s="65">
        <f>'Pro Forma Adj'!U23</f>
        <v>0</v>
      </c>
      <c r="I22" s="65"/>
    </row>
    <row r="23" spans="1:9" x14ac:dyDescent="0.2">
      <c r="A23" s="13" t="s">
        <v>21</v>
      </c>
      <c r="B23" s="65">
        <f t="shared" si="1"/>
        <v>0</v>
      </c>
      <c r="C23" s="65">
        <f>'Pro Forma Adj'!P24</f>
        <v>0</v>
      </c>
      <c r="D23" s="65">
        <f>'Pro Forma Adj'!Q24</f>
        <v>0</v>
      </c>
      <c r="E23" s="65">
        <f>'Pro Forma Adj'!R24</f>
        <v>0</v>
      </c>
      <c r="F23" s="65">
        <f>'Pro Forma Adj'!S24</f>
        <v>0</v>
      </c>
      <c r="G23" s="65">
        <f>'Pro Forma Adj'!T24</f>
        <v>0</v>
      </c>
      <c r="H23" s="65">
        <f>'Pro Forma Adj'!U24</f>
        <v>0</v>
      </c>
      <c r="I23" s="65"/>
    </row>
    <row r="24" spans="1:9" x14ac:dyDescent="0.2">
      <c r="A24" s="13" t="s">
        <v>22</v>
      </c>
      <c r="B24" s="65">
        <f t="shared" si="1"/>
        <v>0</v>
      </c>
      <c r="C24" s="65">
        <f>'Pro Forma Adj'!P25</f>
        <v>0</v>
      </c>
      <c r="D24" s="65">
        <f>'Pro Forma Adj'!Q25</f>
        <v>0</v>
      </c>
      <c r="E24" s="65">
        <f>'Pro Forma Adj'!R25</f>
        <v>0</v>
      </c>
      <c r="F24" s="65">
        <f>'Pro Forma Adj'!S25</f>
        <v>0</v>
      </c>
      <c r="G24" s="65">
        <f>'Pro Forma Adj'!T25</f>
        <v>0</v>
      </c>
      <c r="H24" s="65">
        <f>'Pro Forma Adj'!U25</f>
        <v>0</v>
      </c>
      <c r="I24" s="65"/>
    </row>
    <row r="25" spans="1:9" x14ac:dyDescent="0.2">
      <c r="A25" s="13" t="s">
        <v>23</v>
      </c>
      <c r="B25" s="65">
        <f t="shared" si="1"/>
        <v>0</v>
      </c>
      <c r="C25" s="65">
        <f>'Pro Forma Adj'!P26</f>
        <v>0</v>
      </c>
      <c r="D25" s="65">
        <f>'Pro Forma Adj'!Q26</f>
        <v>0</v>
      </c>
      <c r="E25" s="65">
        <f>'Pro Forma Adj'!R26</f>
        <v>0</v>
      </c>
      <c r="F25" s="65">
        <f>'Pro Forma Adj'!S26</f>
        <v>0</v>
      </c>
      <c r="G25" s="65">
        <f>'Pro Forma Adj'!T26</f>
        <v>0</v>
      </c>
      <c r="H25" s="65">
        <f>'Pro Forma Adj'!U26</f>
        <v>0</v>
      </c>
      <c r="I25" s="65"/>
    </row>
    <row r="26" spans="1:9" x14ac:dyDescent="0.2">
      <c r="A26" s="13" t="s">
        <v>24</v>
      </c>
      <c r="B26" s="65">
        <f t="shared" si="1"/>
        <v>0</v>
      </c>
      <c r="C26" s="65">
        <f>'Pro Forma Adj'!P27</f>
        <v>0</v>
      </c>
      <c r="D26" s="65">
        <f>'Pro Forma Adj'!Q27</f>
        <v>0</v>
      </c>
      <c r="E26" s="65">
        <f>'Pro Forma Adj'!R27</f>
        <v>0</v>
      </c>
      <c r="F26" s="65">
        <f>'Pro Forma Adj'!S27</f>
        <v>0</v>
      </c>
      <c r="G26" s="65">
        <f>'Pro Forma Adj'!T27</f>
        <v>0</v>
      </c>
      <c r="H26" s="65">
        <f>'Pro Forma Adj'!U27</f>
        <v>0</v>
      </c>
      <c r="I26" s="65"/>
    </row>
    <row r="27" spans="1:9" x14ac:dyDescent="0.2">
      <c r="A27" s="13" t="s">
        <v>25</v>
      </c>
      <c r="B27" s="68">
        <f t="shared" si="1"/>
        <v>0</v>
      </c>
      <c r="C27" s="68">
        <f>'Pro Forma Adj'!P28</f>
        <v>0</v>
      </c>
      <c r="D27" s="68">
        <f>'Pro Forma Adj'!Q28</f>
        <v>0</v>
      </c>
      <c r="E27" s="68">
        <f>'Pro Forma Adj'!R28</f>
        <v>0</v>
      </c>
      <c r="F27" s="68">
        <f>'Pro Forma Adj'!S28</f>
        <v>0</v>
      </c>
      <c r="G27" s="68">
        <f>'Pro Forma Adj'!T28</f>
        <v>0</v>
      </c>
      <c r="H27" s="68">
        <f>'Pro Forma Adj'!U28</f>
        <v>0</v>
      </c>
      <c r="I27" s="65"/>
    </row>
    <row r="28" spans="1:9" x14ac:dyDescent="0.2">
      <c r="A28" s="13" t="s">
        <v>26</v>
      </c>
      <c r="B28" s="12">
        <f t="shared" si="1"/>
        <v>0</v>
      </c>
      <c r="C28" s="12">
        <f t="shared" ref="C28:H28" si="2">SUM(C18:C27)</f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/>
    </row>
    <row r="29" spans="1:9" x14ac:dyDescent="0.2">
      <c r="A29" s="13" t="s">
        <v>27</v>
      </c>
      <c r="B29" s="65">
        <f t="shared" si="1"/>
        <v>0</v>
      </c>
      <c r="C29" s="65">
        <f>'Pro Forma Adj'!P30</f>
        <v>0</v>
      </c>
      <c r="D29" s="65">
        <f>'Pro Forma Adj'!Q30</f>
        <v>0</v>
      </c>
      <c r="E29" s="65">
        <f>'Pro Forma Adj'!R30</f>
        <v>0</v>
      </c>
      <c r="F29" s="65">
        <f>'Pro Forma Adj'!S30</f>
        <v>0</v>
      </c>
      <c r="G29" s="65">
        <f>'Pro Forma Adj'!T30</f>
        <v>0</v>
      </c>
      <c r="H29" s="65">
        <f>'Pro Forma Adj'!U30</f>
        <v>0</v>
      </c>
      <c r="I29" s="65"/>
    </row>
    <row r="30" spans="1:9" x14ac:dyDescent="0.2">
      <c r="A30" s="13" t="s">
        <v>28</v>
      </c>
      <c r="B30" s="65">
        <f t="shared" si="1"/>
        <v>0</v>
      </c>
      <c r="C30" s="65">
        <f>'Pro Forma Adj'!P31</f>
        <v>0</v>
      </c>
      <c r="D30" s="65">
        <f>'Pro Forma Adj'!Q31</f>
        <v>0</v>
      </c>
      <c r="E30" s="65">
        <f>'Pro Forma Adj'!R31</f>
        <v>0</v>
      </c>
      <c r="F30" s="65">
        <f>'Pro Forma Adj'!S31</f>
        <v>0</v>
      </c>
      <c r="G30" s="65">
        <f>'Pro Forma Adj'!T31</f>
        <v>0</v>
      </c>
      <c r="H30" s="65">
        <f>'Pro Forma Adj'!U31</f>
        <v>0</v>
      </c>
      <c r="I30" s="65"/>
    </row>
    <row r="31" spans="1:9" x14ac:dyDescent="0.2">
      <c r="A31" s="13" t="s">
        <v>29</v>
      </c>
      <c r="B31" s="65">
        <f t="shared" si="1"/>
        <v>1882727</v>
      </c>
      <c r="C31" s="65">
        <f>'Pro Forma Adj'!P32</f>
        <v>0</v>
      </c>
      <c r="D31" s="65">
        <f>'Pro Forma Adj'!Q32</f>
        <v>1882727</v>
      </c>
      <c r="E31" s="65">
        <f>'Pro Forma Adj'!R32</f>
        <v>0</v>
      </c>
      <c r="F31" s="65">
        <f>'Pro Forma Adj'!S32</f>
        <v>0</v>
      </c>
      <c r="G31" s="65">
        <f>'Pro Forma Adj'!T32</f>
        <v>0</v>
      </c>
      <c r="H31" s="65">
        <f>'Pro Forma Adj'!U32</f>
        <v>0</v>
      </c>
      <c r="I31" s="65"/>
    </row>
    <row r="32" spans="1:9" x14ac:dyDescent="0.2">
      <c r="A32" s="13" t="s">
        <v>30</v>
      </c>
      <c r="B32" s="65">
        <f t="shared" si="1"/>
        <v>-3081810.503010679</v>
      </c>
      <c r="C32" s="65">
        <f t="shared" ref="C32:H32" si="3">C86</f>
        <v>-1254531.319035949</v>
      </c>
      <c r="D32" s="65">
        <f t="shared" si="3"/>
        <v>-395372.67</v>
      </c>
      <c r="E32" s="65">
        <f t="shared" si="3"/>
        <v>0</v>
      </c>
      <c r="F32" s="65">
        <f t="shared" si="3"/>
        <v>-1431906.5139747304</v>
      </c>
      <c r="G32" s="65">
        <f t="shared" si="3"/>
        <v>0</v>
      </c>
      <c r="H32" s="65">
        <f t="shared" si="3"/>
        <v>0</v>
      </c>
      <c r="I32" s="65"/>
    </row>
    <row r="33" spans="1:9" x14ac:dyDescent="0.2">
      <c r="A33" s="13" t="s">
        <v>31</v>
      </c>
      <c r="B33" s="63">
        <f t="shared" si="1"/>
        <v>0</v>
      </c>
      <c r="C33" s="63">
        <v>0</v>
      </c>
      <c r="D33" s="63">
        <v>0</v>
      </c>
      <c r="E33" s="63">
        <v>0</v>
      </c>
      <c r="F33" s="63">
        <v>0</v>
      </c>
      <c r="G33" s="63">
        <f>SUM('[17]15.5'!$I$15:$I$17)</f>
        <v>0</v>
      </c>
      <c r="H33" s="63">
        <v>0</v>
      </c>
      <c r="I33" s="63"/>
    </row>
    <row r="34" spans="1:9" x14ac:dyDescent="0.2">
      <c r="A34" s="13" t="s">
        <v>32</v>
      </c>
      <c r="B34" s="65">
        <f t="shared" si="1"/>
        <v>1811582.261743499</v>
      </c>
      <c r="C34" s="65">
        <f>'Pro Forma Adj'!P35</f>
        <v>0</v>
      </c>
      <c r="D34" s="65">
        <f>'Pro Forma Adj'!Q35</f>
        <v>0</v>
      </c>
      <c r="E34" s="65">
        <f>'Pro Forma Adj'!R35</f>
        <v>0</v>
      </c>
      <c r="F34" s="65">
        <f>'Pro Forma Adj'!S35</f>
        <v>2329246.261743499</v>
      </c>
      <c r="G34" s="65">
        <f>'Pro Forma Adj'!T35</f>
        <v>0</v>
      </c>
      <c r="H34" s="65">
        <f>'Pro Forma Adj'!U35</f>
        <v>-517664</v>
      </c>
      <c r="I34" s="65"/>
    </row>
    <row r="35" spans="1:9" x14ac:dyDescent="0.2">
      <c r="A35" s="13" t="s">
        <v>33</v>
      </c>
      <c r="B35" s="65">
        <f t="shared" si="1"/>
        <v>0</v>
      </c>
      <c r="C35" s="65">
        <f>'Pro Forma Adj'!P36</f>
        <v>0</v>
      </c>
      <c r="D35" s="65">
        <f>'Pro Forma Adj'!Q36</f>
        <v>0</v>
      </c>
      <c r="E35" s="65">
        <f>'Pro Forma Adj'!R36</f>
        <v>0</v>
      </c>
      <c r="F35" s="65">
        <f>'Pro Forma Adj'!S36</f>
        <v>0</v>
      </c>
      <c r="G35" s="65">
        <f>'Pro Forma Adj'!T36</f>
        <v>0</v>
      </c>
      <c r="H35" s="65">
        <f>'Pro Forma Adj'!U36</f>
        <v>0</v>
      </c>
      <c r="I35" s="65"/>
    </row>
    <row r="36" spans="1:9" x14ac:dyDescent="0.2">
      <c r="A36" s="13" t="s">
        <v>34</v>
      </c>
      <c r="B36" s="65">
        <f t="shared" si="1"/>
        <v>0</v>
      </c>
      <c r="C36" s="65">
        <f>'Pro Forma Adj'!P37</f>
        <v>0</v>
      </c>
      <c r="D36" s="65">
        <f>'Pro Forma Adj'!Q37</f>
        <v>0</v>
      </c>
      <c r="E36" s="65">
        <f>'Pro Forma Adj'!R37</f>
        <v>0</v>
      </c>
      <c r="F36" s="65">
        <f>'Pro Forma Adj'!S37</f>
        <v>0</v>
      </c>
      <c r="G36" s="65">
        <f>'Pro Forma Adj'!T37</f>
        <v>0</v>
      </c>
      <c r="H36" s="65">
        <f>'Pro Forma Adj'!U37</f>
        <v>0</v>
      </c>
      <c r="I36" s="65"/>
    </row>
    <row r="37" spans="1:9" x14ac:dyDescent="0.2">
      <c r="A37" s="13" t="s">
        <v>35</v>
      </c>
      <c r="B37" s="232">
        <f t="shared" si="1"/>
        <v>612498.7587328197</v>
      </c>
      <c r="C37" s="232">
        <f t="shared" ref="C37:H37" si="4">SUM(C28:C36)</f>
        <v>-1254531.319035949</v>
      </c>
      <c r="D37" s="232">
        <f t="shared" si="4"/>
        <v>1487354.33</v>
      </c>
      <c r="E37" s="232">
        <f t="shared" si="4"/>
        <v>0</v>
      </c>
      <c r="F37" s="232">
        <f t="shared" si="4"/>
        <v>897339.74776876858</v>
      </c>
      <c r="G37" s="232">
        <f t="shared" si="4"/>
        <v>0</v>
      </c>
      <c r="H37" s="232">
        <f t="shared" si="4"/>
        <v>-517664</v>
      </c>
      <c r="I37" s="12"/>
    </row>
    <row r="38" spans="1:9" x14ac:dyDescent="0.2">
      <c r="A38" s="13"/>
      <c r="B38" s="12">
        <f t="shared" si="1"/>
        <v>0</v>
      </c>
      <c r="C38" s="12"/>
      <c r="D38" s="12"/>
      <c r="E38" s="12"/>
      <c r="F38" s="12"/>
      <c r="G38" s="12"/>
      <c r="H38" s="12"/>
      <c r="I38" s="12"/>
    </row>
    <row r="39" spans="1:9" ht="13.5" thickBot="1" x14ac:dyDescent="0.25">
      <c r="A39" s="13" t="s">
        <v>36</v>
      </c>
      <c r="B39" s="236">
        <f t="shared" si="1"/>
        <v>-612498.7587328197</v>
      </c>
      <c r="C39" s="236">
        <f t="shared" ref="C39:H39" si="5">C15-C37</f>
        <v>1254531.319035949</v>
      </c>
      <c r="D39" s="236">
        <f t="shared" si="5"/>
        <v>-1487354.33</v>
      </c>
      <c r="E39" s="236">
        <f t="shared" si="5"/>
        <v>0</v>
      </c>
      <c r="F39" s="236">
        <f t="shared" si="5"/>
        <v>-897339.74776876858</v>
      </c>
      <c r="G39" s="236">
        <f t="shared" si="5"/>
        <v>0</v>
      </c>
      <c r="H39" s="236">
        <f t="shared" si="5"/>
        <v>517664</v>
      </c>
      <c r="I39" s="251"/>
    </row>
    <row r="40" spans="1:9" ht="13.5" thickTop="1" x14ac:dyDescent="0.2">
      <c r="A40" s="13"/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13" t="s">
        <v>37</v>
      </c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13" t="s">
        <v>38</v>
      </c>
      <c r="B42" s="65">
        <f t="shared" ref="B42:B53" si="6">SUM(C42:I42)</f>
        <v>0</v>
      </c>
      <c r="C42" s="65">
        <f>'Pro Forma Adj'!P43</f>
        <v>0</v>
      </c>
      <c r="D42" s="65">
        <f>'Pro Forma Adj'!Q43</f>
        <v>0</v>
      </c>
      <c r="E42" s="65">
        <f>'Pro Forma Adj'!R43</f>
        <v>0</v>
      </c>
      <c r="F42" s="65">
        <f>'Pro Forma Adj'!S43</f>
        <v>0</v>
      </c>
      <c r="G42" s="65">
        <f>'Pro Forma Adj'!T43</f>
        <v>0</v>
      </c>
      <c r="H42" s="65">
        <f>'Pro Forma Adj'!U43</f>
        <v>0</v>
      </c>
      <c r="I42" s="65"/>
    </row>
    <row r="43" spans="1:9" x14ac:dyDescent="0.2">
      <c r="A43" s="13" t="s">
        <v>39</v>
      </c>
      <c r="B43" s="65">
        <f t="shared" si="6"/>
        <v>0</v>
      </c>
      <c r="C43" s="65">
        <f>'Pro Forma Adj'!P44</f>
        <v>0</v>
      </c>
      <c r="D43" s="65">
        <f>'Pro Forma Adj'!Q44</f>
        <v>0</v>
      </c>
      <c r="E43" s="65">
        <f>'Pro Forma Adj'!R44</f>
        <v>0</v>
      </c>
      <c r="F43" s="65">
        <f>'Pro Forma Adj'!S44</f>
        <v>0</v>
      </c>
      <c r="G43" s="65">
        <f>'Pro Forma Adj'!T44</f>
        <v>0</v>
      </c>
      <c r="H43" s="65">
        <f>'Pro Forma Adj'!U44</f>
        <v>0</v>
      </c>
      <c r="I43" s="65"/>
    </row>
    <row r="44" spans="1:9" x14ac:dyDescent="0.2">
      <c r="A44" s="13" t="s">
        <v>40</v>
      </c>
      <c r="B44" s="65">
        <f t="shared" si="6"/>
        <v>0</v>
      </c>
      <c r="C44" s="65">
        <f>'Pro Forma Adj'!P45</f>
        <v>0</v>
      </c>
      <c r="D44" s="65">
        <f>'Pro Forma Adj'!Q45</f>
        <v>0</v>
      </c>
      <c r="E44" s="65">
        <f>'Pro Forma Adj'!R45</f>
        <v>0</v>
      </c>
      <c r="F44" s="65">
        <f>'Pro Forma Adj'!S45</f>
        <v>0</v>
      </c>
      <c r="G44" s="65">
        <f>'Pro Forma Adj'!T45</f>
        <v>0</v>
      </c>
      <c r="H44" s="65">
        <f>'Pro Forma Adj'!U45</f>
        <v>0</v>
      </c>
      <c r="I44" s="65"/>
    </row>
    <row r="45" spans="1:9" x14ac:dyDescent="0.2">
      <c r="A45" s="13" t="s">
        <v>41</v>
      </c>
      <c r="B45" s="65">
        <f t="shared" si="6"/>
        <v>0</v>
      </c>
      <c r="C45" s="65">
        <f>'Pro Forma Adj'!P46</f>
        <v>0</v>
      </c>
      <c r="D45" s="65">
        <f>'Pro Forma Adj'!Q46</f>
        <v>0</v>
      </c>
      <c r="E45" s="65">
        <f>'Pro Forma Adj'!R46</f>
        <v>0</v>
      </c>
      <c r="F45" s="65">
        <f>'Pro Forma Adj'!S46</f>
        <v>0</v>
      </c>
      <c r="G45" s="65">
        <f>'Pro Forma Adj'!T46</f>
        <v>0</v>
      </c>
      <c r="H45" s="65">
        <f>'Pro Forma Adj'!U46</f>
        <v>0</v>
      </c>
      <c r="I45" s="65"/>
    </row>
    <row r="46" spans="1:9" x14ac:dyDescent="0.2">
      <c r="A46" s="13" t="s">
        <v>42</v>
      </c>
      <c r="B46" s="65">
        <f t="shared" si="6"/>
        <v>0</v>
      </c>
      <c r="C46" s="65">
        <f>'Pro Forma Adj'!P47</f>
        <v>0</v>
      </c>
      <c r="D46" s="65">
        <f>'Pro Forma Adj'!Q47</f>
        <v>0</v>
      </c>
      <c r="E46" s="65">
        <f>'Pro Forma Adj'!R47</f>
        <v>0</v>
      </c>
      <c r="F46" s="65">
        <f>'Pro Forma Adj'!S47</f>
        <v>0</v>
      </c>
      <c r="G46" s="65">
        <f>'Pro Forma Adj'!T47</f>
        <v>0</v>
      </c>
      <c r="H46" s="65">
        <f>'Pro Forma Adj'!U47</f>
        <v>0</v>
      </c>
      <c r="I46" s="65"/>
    </row>
    <row r="47" spans="1:9" x14ac:dyDescent="0.2">
      <c r="A47" s="13" t="s">
        <v>43</v>
      </c>
      <c r="B47" s="65">
        <f t="shared" si="6"/>
        <v>0</v>
      </c>
      <c r="C47" s="65">
        <f>'Pro Forma Adj'!P48</f>
        <v>0</v>
      </c>
      <c r="D47" s="65">
        <f>'Pro Forma Adj'!Q48</f>
        <v>0</v>
      </c>
      <c r="E47" s="65">
        <f>'Pro Forma Adj'!R48</f>
        <v>0</v>
      </c>
      <c r="F47" s="65">
        <f>'Pro Forma Adj'!S48</f>
        <v>0</v>
      </c>
      <c r="G47" s="65">
        <f>'Pro Forma Adj'!T48</f>
        <v>0</v>
      </c>
      <c r="H47" s="65">
        <f>'Pro Forma Adj'!U48</f>
        <v>0</v>
      </c>
      <c r="I47" s="65"/>
    </row>
    <row r="48" spans="1:9" x14ac:dyDescent="0.2">
      <c r="A48" s="13" t="s">
        <v>44</v>
      </c>
      <c r="B48" s="65">
        <f t="shared" si="6"/>
        <v>0</v>
      </c>
      <c r="C48" s="65">
        <f>'Pro Forma Adj'!P49</f>
        <v>0</v>
      </c>
      <c r="D48" s="65">
        <f>'Pro Forma Adj'!Q49</f>
        <v>0</v>
      </c>
      <c r="E48" s="65">
        <f>'Pro Forma Adj'!R49</f>
        <v>0</v>
      </c>
      <c r="F48" s="65">
        <f>'Pro Forma Adj'!S49</f>
        <v>0</v>
      </c>
      <c r="G48" s="65">
        <f>'Pro Forma Adj'!T49</f>
        <v>0</v>
      </c>
      <c r="H48" s="65">
        <f>'Pro Forma Adj'!U49</f>
        <v>0</v>
      </c>
      <c r="I48" s="65"/>
    </row>
    <row r="49" spans="1:9" x14ac:dyDescent="0.2">
      <c r="A49" s="13" t="s">
        <v>45</v>
      </c>
      <c r="B49" s="65">
        <f t="shared" si="6"/>
        <v>0</v>
      </c>
      <c r="C49" s="65">
        <f>'Pro Forma Adj'!P50</f>
        <v>0</v>
      </c>
      <c r="D49" s="65">
        <f>'Pro Forma Adj'!Q50</f>
        <v>0</v>
      </c>
      <c r="E49" s="65">
        <f>'Pro Forma Adj'!R50</f>
        <v>0</v>
      </c>
      <c r="F49" s="65">
        <f>'Pro Forma Adj'!S50</f>
        <v>0</v>
      </c>
      <c r="G49" s="65">
        <f>'Pro Forma Adj'!T50</f>
        <v>0</v>
      </c>
      <c r="H49" s="65">
        <f>'Pro Forma Adj'!U50</f>
        <v>0</v>
      </c>
      <c r="I49" s="65"/>
    </row>
    <row r="50" spans="1:9" x14ac:dyDescent="0.2">
      <c r="A50" s="13" t="s">
        <v>46</v>
      </c>
      <c r="B50" s="65">
        <f t="shared" si="6"/>
        <v>0</v>
      </c>
      <c r="C50" s="65">
        <f>'Pro Forma Adj'!P51</f>
        <v>0</v>
      </c>
      <c r="D50" s="65">
        <f>'Pro Forma Adj'!Q51</f>
        <v>0</v>
      </c>
      <c r="E50" s="65">
        <f>'Pro Forma Adj'!R51</f>
        <v>0</v>
      </c>
      <c r="F50" s="65">
        <f>'Pro Forma Adj'!S51</f>
        <v>0</v>
      </c>
      <c r="G50" s="65">
        <f>'Pro Forma Adj'!T51</f>
        <v>0</v>
      </c>
      <c r="H50" s="65">
        <f>'Pro Forma Adj'!U51</f>
        <v>0</v>
      </c>
      <c r="I50" s="65"/>
    </row>
    <row r="51" spans="1:9" x14ac:dyDescent="0.2">
      <c r="A51" s="13" t="s">
        <v>47</v>
      </c>
      <c r="B51" s="65">
        <f t="shared" si="6"/>
        <v>0</v>
      </c>
      <c r="C51" s="65">
        <f>'Pro Forma Adj'!P52</f>
        <v>0</v>
      </c>
      <c r="D51" s="65">
        <f>'Pro Forma Adj'!Q52</f>
        <v>0</v>
      </c>
      <c r="E51" s="65">
        <f>'Pro Forma Adj'!R52</f>
        <v>0</v>
      </c>
      <c r="F51" s="65">
        <f>'Pro Forma Adj'!S52</f>
        <v>0</v>
      </c>
      <c r="G51" s="65">
        <f>'Pro Forma Adj'!T52</f>
        <v>0</v>
      </c>
      <c r="H51" s="65">
        <f>'Pro Forma Adj'!U52</f>
        <v>0</v>
      </c>
      <c r="I51" s="65"/>
    </row>
    <row r="52" spans="1:9" x14ac:dyDescent="0.2">
      <c r="A52" s="13" t="s">
        <v>48</v>
      </c>
      <c r="B52" s="65">
        <f t="shared" si="6"/>
        <v>0</v>
      </c>
      <c r="C52" s="65">
        <f>'Pro Forma Adj'!P53</f>
        <v>0</v>
      </c>
      <c r="D52" s="65">
        <f>'Pro Forma Adj'!Q53</f>
        <v>0</v>
      </c>
      <c r="E52" s="65">
        <f>'Pro Forma Adj'!R53</f>
        <v>0</v>
      </c>
      <c r="F52" s="65">
        <f>'Pro Forma Adj'!S53</f>
        <v>0</v>
      </c>
      <c r="G52" s="65">
        <f>'Pro Forma Adj'!T53</f>
        <v>0</v>
      </c>
      <c r="H52" s="65">
        <f>'Pro Forma Adj'!U53</f>
        <v>0</v>
      </c>
      <c r="I52" s="65"/>
    </row>
    <row r="53" spans="1:9" x14ac:dyDescent="0.2">
      <c r="A53" s="13" t="s">
        <v>49</v>
      </c>
      <c r="B53" s="239">
        <f t="shared" si="6"/>
        <v>0</v>
      </c>
      <c r="C53" s="239">
        <f t="shared" ref="C53:H53" si="7">SUM(C42:C52)</f>
        <v>0</v>
      </c>
      <c r="D53" s="239">
        <f t="shared" si="7"/>
        <v>0</v>
      </c>
      <c r="E53" s="239">
        <f t="shared" si="7"/>
        <v>0</v>
      </c>
      <c r="F53" s="239">
        <f t="shared" si="7"/>
        <v>0</v>
      </c>
      <c r="G53" s="239">
        <f t="shared" si="7"/>
        <v>0</v>
      </c>
      <c r="H53" s="239">
        <f t="shared" si="7"/>
        <v>0</v>
      </c>
      <c r="I53" s="63"/>
    </row>
    <row r="54" spans="1:9" x14ac:dyDescent="0.2">
      <c r="A54" s="13"/>
      <c r="B54" s="12"/>
      <c r="C54" s="12"/>
      <c r="D54" s="12"/>
      <c r="E54" s="12"/>
      <c r="F54" s="12"/>
      <c r="G54" s="12"/>
      <c r="H54" s="12"/>
      <c r="I54" s="12"/>
    </row>
    <row r="55" spans="1:9" x14ac:dyDescent="0.2">
      <c r="A55" s="13" t="s">
        <v>50</v>
      </c>
      <c r="B55" s="12"/>
      <c r="C55" s="12"/>
      <c r="D55" s="12"/>
      <c r="E55" s="12"/>
      <c r="F55" s="12"/>
      <c r="G55" s="12"/>
      <c r="H55" s="12"/>
      <c r="I55" s="12"/>
    </row>
    <row r="56" spans="1:9" x14ac:dyDescent="0.2">
      <c r="A56" s="13" t="s">
        <v>51</v>
      </c>
      <c r="B56" s="65">
        <f t="shared" ref="B56:B64" si="8">SUM(C56:I56)</f>
        <v>0</v>
      </c>
      <c r="C56" s="65">
        <f>'Pro Forma Adj'!P57</f>
        <v>0</v>
      </c>
      <c r="D56" s="65">
        <f>'Pro Forma Adj'!Q57</f>
        <v>0</v>
      </c>
      <c r="E56" s="65">
        <f>'Pro Forma Adj'!R57</f>
        <v>0</v>
      </c>
      <c r="F56" s="65">
        <f>'Pro Forma Adj'!S57</f>
        <v>0</v>
      </c>
      <c r="G56" s="65">
        <f>'Pro Forma Adj'!T57</f>
        <v>0</v>
      </c>
      <c r="H56" s="65">
        <f>'Pro Forma Adj'!U57</f>
        <v>0</v>
      </c>
      <c r="I56" s="65"/>
    </row>
    <row r="57" spans="1:9" x14ac:dyDescent="0.2">
      <c r="A57" s="13" t="s">
        <v>52</v>
      </c>
      <c r="B57" s="65">
        <f t="shared" si="8"/>
        <v>0</v>
      </c>
      <c r="C57" s="65">
        <f>'Pro Forma Adj'!P58</f>
        <v>0</v>
      </c>
      <c r="D57" s="65">
        <f>'Pro Forma Adj'!Q58</f>
        <v>0</v>
      </c>
      <c r="E57" s="65">
        <f>'Pro Forma Adj'!R58</f>
        <v>0</v>
      </c>
      <c r="F57" s="65">
        <f>'Pro Forma Adj'!S58</f>
        <v>0</v>
      </c>
      <c r="G57" s="65">
        <f>'Pro Forma Adj'!T58</f>
        <v>0</v>
      </c>
      <c r="H57" s="65">
        <f>'Pro Forma Adj'!U58</f>
        <v>0</v>
      </c>
      <c r="I57" s="65"/>
    </row>
    <row r="58" spans="1:9" x14ac:dyDescent="0.2">
      <c r="A58" s="13" t="s">
        <v>53</v>
      </c>
      <c r="B58" s="65">
        <f t="shared" si="8"/>
        <v>-21538851.557278231</v>
      </c>
      <c r="C58" s="65">
        <f>'Pro Forma Adj'!P59</f>
        <v>0</v>
      </c>
      <c r="D58" s="65">
        <f>'Pro Forma Adj'!Q59</f>
        <v>0</v>
      </c>
      <c r="E58" s="65">
        <f>'Pro Forma Adj'!R59</f>
        <v>-595243.43684617733</v>
      </c>
      <c r="F58" s="65">
        <f>'Pro Forma Adj'!S59</f>
        <v>-24209006.120432053</v>
      </c>
      <c r="G58" s="65">
        <f>'Pro Forma Adj'!T59</f>
        <v>0</v>
      </c>
      <c r="H58" s="65">
        <f>'Pro Forma Adj'!U59</f>
        <v>3265398</v>
      </c>
      <c r="I58" s="65"/>
    </row>
    <row r="59" spans="1:9" x14ac:dyDescent="0.2">
      <c r="A59" s="13" t="s">
        <v>54</v>
      </c>
      <c r="B59" s="65">
        <f t="shared" si="8"/>
        <v>0</v>
      </c>
      <c r="C59" s="65">
        <f>'Pro Forma Adj'!P60</f>
        <v>0</v>
      </c>
      <c r="D59" s="65">
        <f>'Pro Forma Adj'!Q60</f>
        <v>0</v>
      </c>
      <c r="E59" s="65">
        <f>'Pro Forma Adj'!R60</f>
        <v>0</v>
      </c>
      <c r="F59" s="65">
        <f>'Pro Forma Adj'!S60</f>
        <v>0</v>
      </c>
      <c r="G59" s="65">
        <f>'Pro Forma Adj'!T60</f>
        <v>0</v>
      </c>
      <c r="H59" s="65">
        <f>'Pro Forma Adj'!U60</f>
        <v>0</v>
      </c>
      <c r="I59" s="65"/>
    </row>
    <row r="60" spans="1:9" x14ac:dyDescent="0.2">
      <c r="A60" s="13" t="s">
        <v>55</v>
      </c>
      <c r="B60" s="65">
        <f t="shared" si="8"/>
        <v>0</v>
      </c>
      <c r="C60" s="65">
        <f>'Pro Forma Adj'!P61</f>
        <v>0</v>
      </c>
      <c r="D60" s="65">
        <f>'Pro Forma Adj'!Q61</f>
        <v>0</v>
      </c>
      <c r="E60" s="65">
        <f>'Pro Forma Adj'!R61</f>
        <v>0</v>
      </c>
      <c r="F60" s="65">
        <f>'Pro Forma Adj'!S61</f>
        <v>0</v>
      </c>
      <c r="G60" s="65">
        <f>'Pro Forma Adj'!T61</f>
        <v>0</v>
      </c>
      <c r="H60" s="65">
        <f>'Pro Forma Adj'!U61</f>
        <v>0</v>
      </c>
      <c r="I60" s="65"/>
    </row>
    <row r="61" spans="1:9" x14ac:dyDescent="0.2">
      <c r="A61" s="13" t="s">
        <v>56</v>
      </c>
      <c r="B61" s="65">
        <f t="shared" si="8"/>
        <v>0</v>
      </c>
      <c r="C61" s="65">
        <f>'Pro Forma Adj'!P62</f>
        <v>0</v>
      </c>
      <c r="D61" s="65">
        <f>'Pro Forma Adj'!Q62</f>
        <v>0</v>
      </c>
      <c r="E61" s="65">
        <f>'Pro Forma Adj'!R62</f>
        <v>0</v>
      </c>
      <c r="F61" s="65">
        <f>'Pro Forma Adj'!S62</f>
        <v>0</v>
      </c>
      <c r="G61" s="65">
        <f>'Pro Forma Adj'!T62</f>
        <v>0</v>
      </c>
      <c r="H61" s="65">
        <f>'Pro Forma Adj'!U62</f>
        <v>0</v>
      </c>
      <c r="I61" s="65"/>
    </row>
    <row r="62" spans="1:9" x14ac:dyDescent="0.2">
      <c r="A62" s="13" t="s">
        <v>57</v>
      </c>
      <c r="B62" s="65">
        <f t="shared" si="8"/>
        <v>2598391</v>
      </c>
      <c r="C62" s="65">
        <f>'Pro Forma Adj'!P63</f>
        <v>0</v>
      </c>
      <c r="D62" s="65">
        <f>'Pro Forma Adj'!Q63</f>
        <v>0</v>
      </c>
      <c r="E62" s="65">
        <f>'Pro Forma Adj'!R63</f>
        <v>2598391</v>
      </c>
      <c r="F62" s="65">
        <f>'Pro Forma Adj'!S63</f>
        <v>0</v>
      </c>
      <c r="G62" s="65">
        <f>'Pro Forma Adj'!T63</f>
        <v>0</v>
      </c>
      <c r="H62" s="65">
        <f>'Pro Forma Adj'!U63</f>
        <v>0</v>
      </c>
      <c r="I62" s="65"/>
    </row>
    <row r="63" spans="1:9" x14ac:dyDescent="0.2">
      <c r="A63" s="13"/>
      <c r="B63" s="12">
        <f t="shared" si="8"/>
        <v>0</v>
      </c>
      <c r="C63" s="12">
        <f>'Pro Forma Adj'!P64</f>
        <v>0</v>
      </c>
      <c r="D63" s="12">
        <f>'Pro Forma Adj'!Q64</f>
        <v>0</v>
      </c>
      <c r="E63" s="12">
        <f>'Pro Forma Adj'!R64</f>
        <v>0</v>
      </c>
      <c r="F63" s="12">
        <f>'Pro Forma Adj'!S64</f>
        <v>0</v>
      </c>
      <c r="G63" s="12">
        <f>'Pro Forma Adj'!T64</f>
        <v>0</v>
      </c>
      <c r="H63" s="12">
        <f>'Pro Forma Adj'!U64</f>
        <v>0</v>
      </c>
      <c r="I63" s="12"/>
    </row>
    <row r="64" spans="1:9" x14ac:dyDescent="0.2">
      <c r="A64" s="13" t="s">
        <v>58</v>
      </c>
      <c r="B64" s="232">
        <f t="shared" si="8"/>
        <v>-18940460.557278231</v>
      </c>
      <c r="C64" s="232">
        <f t="shared" ref="C64:H64" si="9">SUM(C56:C63)</f>
        <v>0</v>
      </c>
      <c r="D64" s="232">
        <f t="shared" si="9"/>
        <v>0</v>
      </c>
      <c r="E64" s="232">
        <f t="shared" si="9"/>
        <v>2003147.5631538227</v>
      </c>
      <c r="F64" s="232">
        <f t="shared" si="9"/>
        <v>-24209006.120432053</v>
      </c>
      <c r="G64" s="232">
        <f t="shared" si="9"/>
        <v>0</v>
      </c>
      <c r="H64" s="232">
        <f t="shared" si="9"/>
        <v>3265398</v>
      </c>
      <c r="I64" s="12"/>
    </row>
    <row r="65" spans="1:9" x14ac:dyDescent="0.2">
      <c r="A65" s="13"/>
      <c r="B65" s="12"/>
      <c r="C65" s="12"/>
      <c r="D65" s="12"/>
      <c r="E65" s="12"/>
      <c r="F65" s="12"/>
      <c r="G65" s="12"/>
      <c r="H65" s="12"/>
      <c r="I65" s="12"/>
    </row>
    <row r="66" spans="1:9" ht="13.5" thickBot="1" x14ac:dyDescent="0.25">
      <c r="A66" s="13" t="s">
        <v>59</v>
      </c>
      <c r="B66" s="242">
        <f>SUM(C66:I66)</f>
        <v>-18940460.557278231</v>
      </c>
      <c r="C66" s="242">
        <f t="shared" ref="C66:H66" si="10">C53+C64</f>
        <v>0</v>
      </c>
      <c r="D66" s="242">
        <f t="shared" si="10"/>
        <v>0</v>
      </c>
      <c r="E66" s="242">
        <f t="shared" si="10"/>
        <v>2003147.5631538227</v>
      </c>
      <c r="F66" s="242">
        <f t="shared" si="10"/>
        <v>-24209006.120432053</v>
      </c>
      <c r="G66" s="242">
        <f t="shared" si="10"/>
        <v>0</v>
      </c>
      <c r="H66" s="242">
        <f t="shared" si="10"/>
        <v>3265398</v>
      </c>
      <c r="I66" s="13"/>
    </row>
    <row r="67" spans="1:9" ht="13.5" thickTop="1" x14ac:dyDescent="0.2">
      <c r="A67" s="13"/>
      <c r="B67" s="12"/>
      <c r="C67" s="12"/>
      <c r="D67" s="12"/>
      <c r="E67" s="12"/>
      <c r="F67" s="12"/>
      <c r="G67" s="12"/>
      <c r="H67" s="12"/>
      <c r="I67" s="12"/>
    </row>
    <row r="68" spans="1:9" x14ac:dyDescent="0.2">
      <c r="A68" s="13"/>
      <c r="B68" s="12"/>
      <c r="C68" s="12"/>
      <c r="D68" s="12"/>
      <c r="E68" s="12"/>
      <c r="F68" s="12"/>
      <c r="G68" s="12"/>
      <c r="H68" s="12"/>
      <c r="I68" s="12"/>
    </row>
    <row r="69" spans="1:9" s="146" customFormat="1" x14ac:dyDescent="0.2">
      <c r="A69" s="16" t="s">
        <v>93</v>
      </c>
      <c r="B69" s="16">
        <f t="shared" ref="B69:H69" si="11">(((B39+Unadj_Op_revenue)/(B66+Unadj_rate_base))-Weighted_cost_debt-Weighted_cost_pref)/Percent_common-Unadj_ROE</f>
        <v>1.3855365920462381E-3</v>
      </c>
      <c r="C69" s="16">
        <f t="shared" si="11"/>
        <v>2.1176905641251964E-3</v>
      </c>
      <c r="D69" s="16">
        <f t="shared" si="11"/>
        <v>-2.7421926219331205E-3</v>
      </c>
      <c r="E69" s="16">
        <f t="shared" si="11"/>
        <v>-3.7526386613394302E-4</v>
      </c>
      <c r="F69" s="16">
        <f t="shared" si="11"/>
        <v>1.6022861009259148E-3</v>
      </c>
      <c r="G69" s="16">
        <f t="shared" si="11"/>
        <v>-1.0591626860687042E-4</v>
      </c>
      <c r="H69" s="16">
        <f t="shared" si="11"/>
        <v>3.7033752281125099E-4</v>
      </c>
      <c r="I69" s="16"/>
    </row>
    <row r="70" spans="1:9" x14ac:dyDescent="0.2">
      <c r="A70" s="13" t="s">
        <v>7</v>
      </c>
      <c r="B70" s="244">
        <f>SUM(C70:I70)</f>
        <v>-1099965.741294892</v>
      </c>
      <c r="C70" s="244">
        <f t="shared" ref="C70:H70" si="12">-(C39-(C66*Overall_ROR))/gross_up_factor</f>
        <v>-1668659.1458539928</v>
      </c>
      <c r="D70" s="244">
        <f t="shared" si="12"/>
        <v>1978338.3389641137</v>
      </c>
      <c r="E70" s="244">
        <f t="shared" si="12"/>
        <v>202494.23372574622</v>
      </c>
      <c r="F70" s="244">
        <f t="shared" si="12"/>
        <v>-1253684.0166317301</v>
      </c>
      <c r="G70" s="244">
        <f t="shared" si="12"/>
        <v>0</v>
      </c>
      <c r="H70" s="244">
        <f t="shared" si="12"/>
        <v>-358455.15149902896</v>
      </c>
      <c r="I70" s="244"/>
    </row>
    <row r="71" spans="1:9" x14ac:dyDescent="0.2">
      <c r="A71" s="13"/>
      <c r="B71" s="16"/>
      <c r="C71" s="16"/>
      <c r="D71" s="16"/>
      <c r="E71" s="16"/>
      <c r="F71" s="16"/>
      <c r="G71" s="16"/>
      <c r="H71" s="16"/>
      <c r="I71" s="16"/>
    </row>
    <row r="72" spans="1:9" x14ac:dyDescent="0.2">
      <c r="A72" s="13" t="s">
        <v>61</v>
      </c>
      <c r="B72" s="12"/>
      <c r="C72" s="12"/>
      <c r="D72" s="12"/>
      <c r="E72" s="12"/>
      <c r="F72" s="12"/>
      <c r="G72" s="12"/>
      <c r="H72" s="12"/>
      <c r="I72" s="12"/>
    </row>
    <row r="73" spans="1:9" x14ac:dyDescent="0.2">
      <c r="A73" s="13" t="s">
        <v>62</v>
      </c>
      <c r="B73" s="244">
        <f t="shared" ref="B73:B79" si="13">SUM(C73:I73)</f>
        <v>-1882727</v>
      </c>
      <c r="C73" s="244">
        <f t="shared" ref="C73:H73" si="14">C15-C28-C29-C30-C31-C36</f>
        <v>0</v>
      </c>
      <c r="D73" s="244">
        <f t="shared" si="14"/>
        <v>-1882727</v>
      </c>
      <c r="E73" s="244">
        <f t="shared" si="14"/>
        <v>0</v>
      </c>
      <c r="F73" s="244">
        <f t="shared" si="14"/>
        <v>0</v>
      </c>
      <c r="G73" s="244">
        <f t="shared" si="14"/>
        <v>0</v>
      </c>
      <c r="H73" s="244">
        <f t="shared" si="14"/>
        <v>0</v>
      </c>
      <c r="I73" s="244"/>
    </row>
    <row r="74" spans="1:9" x14ac:dyDescent="0.2">
      <c r="A74" s="13" t="s">
        <v>63</v>
      </c>
      <c r="B74" s="12">
        <f t="shared" si="13"/>
        <v>0</v>
      </c>
      <c r="C74" s="12">
        <f>'Pro Forma Adj'!P75</f>
        <v>0</v>
      </c>
      <c r="D74" s="12">
        <f>'Pro Forma Adj'!Q75</f>
        <v>0</v>
      </c>
      <c r="E74" s="12">
        <f>'Pro Forma Adj'!R75</f>
        <v>0</v>
      </c>
      <c r="F74" s="12">
        <f>'Pro Forma Adj'!S75</f>
        <v>0</v>
      </c>
      <c r="G74" s="12">
        <f>'Pro Forma Adj'!T75</f>
        <v>0</v>
      </c>
      <c r="H74" s="12">
        <f>'Pro Forma Adj'!U75</f>
        <v>0</v>
      </c>
      <c r="I74" s="12"/>
    </row>
    <row r="75" spans="1:9" x14ac:dyDescent="0.2">
      <c r="A75" s="13" t="s">
        <v>64</v>
      </c>
      <c r="B75" s="63">
        <f t="shared" si="13"/>
        <v>0</v>
      </c>
      <c r="C75" s="63">
        <f>'Pro Forma Adj'!P76</f>
        <v>0</v>
      </c>
      <c r="D75" s="63">
        <f>'Pro Forma Adj'!Q76</f>
        <v>0</v>
      </c>
      <c r="E75" s="63">
        <f>'Pro Forma Adj'!R76</f>
        <v>0</v>
      </c>
      <c r="F75" s="63">
        <f>'Pro Forma Adj'!S76</f>
        <v>0</v>
      </c>
      <c r="G75" s="63">
        <f>'Pro Forma Adj'!T76</f>
        <v>0</v>
      </c>
      <c r="H75" s="63">
        <f>'Pro Forma Adj'!U76</f>
        <v>0</v>
      </c>
      <c r="I75" s="63"/>
    </row>
    <row r="76" spans="1:9" x14ac:dyDescent="0.2">
      <c r="A76" s="13" t="s">
        <v>65</v>
      </c>
      <c r="B76" s="63">
        <f t="shared" si="13"/>
        <v>5973958.662075948</v>
      </c>
      <c r="C76" s="63">
        <f>'Pro Forma Adj'!P77</f>
        <v>5973958.662075948</v>
      </c>
      <c r="D76" s="63">
        <f>'Pro Forma Adj'!Q77</f>
        <v>0</v>
      </c>
      <c r="E76" s="63">
        <f>'Pro Forma Adj'!R77</f>
        <v>0</v>
      </c>
      <c r="F76" s="63">
        <f>'Pro Forma Adj'!S77</f>
        <v>0</v>
      </c>
      <c r="G76" s="63">
        <f>'Pro Forma Adj'!T77</f>
        <v>0</v>
      </c>
      <c r="H76" s="63">
        <f>'Pro Forma Adj'!U77</f>
        <v>0</v>
      </c>
      <c r="I76" s="63"/>
    </row>
    <row r="77" spans="1:9" x14ac:dyDescent="0.2">
      <c r="A77" s="13" t="s">
        <v>66</v>
      </c>
      <c r="B77" s="63">
        <f t="shared" si="13"/>
        <v>10157136.349259827</v>
      </c>
      <c r="C77" s="63">
        <f>'Pro Forma Adj'!P78</f>
        <v>0</v>
      </c>
      <c r="D77" s="63">
        <f>'Pro Forma Adj'!Q78</f>
        <v>0</v>
      </c>
      <c r="E77" s="63">
        <f>'Pro Forma Adj'!R78</f>
        <v>0</v>
      </c>
      <c r="F77" s="63">
        <f>'Pro Forma Adj'!S78</f>
        <v>10157136.349259827</v>
      </c>
      <c r="G77" s="63">
        <f>'Pro Forma Adj'!T78</f>
        <v>0</v>
      </c>
      <c r="H77" s="63">
        <f>'Pro Forma Adj'!U78</f>
        <v>0</v>
      </c>
      <c r="I77" s="63"/>
    </row>
    <row r="78" spans="1:9" x14ac:dyDescent="0.2">
      <c r="A78" s="13" t="s">
        <v>67</v>
      </c>
      <c r="B78" s="69">
        <f t="shared" si="13"/>
        <v>16975738.796758544</v>
      </c>
      <c r="C78" s="69">
        <f>'Pro Forma Adj'!P79</f>
        <v>0</v>
      </c>
      <c r="D78" s="69">
        <f>'Pro Forma Adj'!Q79</f>
        <v>0</v>
      </c>
      <c r="E78" s="69">
        <f>'Pro Forma Adj'!R79</f>
        <v>0</v>
      </c>
      <c r="F78" s="69">
        <f>'Pro Forma Adj'!S79</f>
        <v>16975738.796758544</v>
      </c>
      <c r="G78" s="69">
        <f>'Pro Forma Adj'!T79</f>
        <v>0</v>
      </c>
      <c r="H78" s="69">
        <f>'Pro Forma Adj'!U79</f>
        <v>0</v>
      </c>
      <c r="I78" s="63"/>
    </row>
    <row r="79" spans="1:9" x14ac:dyDescent="0.2">
      <c r="A79" s="13" t="s">
        <v>68</v>
      </c>
      <c r="B79" s="13">
        <f t="shared" si="13"/>
        <v>-14675288.109574664</v>
      </c>
      <c r="C79" s="13">
        <f t="shared" ref="C79:D79" si="15">C73-C75-C76+C77-C78</f>
        <v>-5973958.662075948</v>
      </c>
      <c r="D79" s="13">
        <f t="shared" si="15"/>
        <v>-1882727</v>
      </c>
      <c r="E79" s="13">
        <f>E73-E75-E76+E77-E78</f>
        <v>0</v>
      </c>
      <c r="F79" s="13">
        <f t="shared" ref="F79:H79" si="16">F73-F75-F76+F77-F78</f>
        <v>-6818602.4474987164</v>
      </c>
      <c r="G79" s="13">
        <f t="shared" si="16"/>
        <v>0</v>
      </c>
      <c r="H79" s="13">
        <f t="shared" si="16"/>
        <v>0</v>
      </c>
      <c r="I79" s="13"/>
    </row>
    <row r="80" spans="1:9" x14ac:dyDescent="0.2">
      <c r="A80" s="13"/>
      <c r="B80" s="12"/>
      <c r="C80" s="12"/>
      <c r="D80" s="12"/>
      <c r="E80" s="12"/>
      <c r="F80" s="12"/>
      <c r="G80" s="12"/>
      <c r="H80" s="12"/>
      <c r="I80" s="12"/>
    </row>
    <row r="81" spans="1:9" x14ac:dyDescent="0.2">
      <c r="A81" s="13" t="s">
        <v>69</v>
      </c>
      <c r="B81" s="12">
        <f>SUM(C81:I81)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/>
    </row>
    <row r="82" spans="1:9" ht="13.5" thickBot="1" x14ac:dyDescent="0.25">
      <c r="A82" s="13" t="s">
        <v>70</v>
      </c>
      <c r="B82" s="267">
        <f>SUM(C82:I82)</f>
        <v>-14675288.109574664</v>
      </c>
      <c r="C82" s="267">
        <f t="shared" ref="C82:H82" si="17">C79-C81</f>
        <v>-5973958.662075948</v>
      </c>
      <c r="D82" s="267">
        <f t="shared" si="17"/>
        <v>-1882727</v>
      </c>
      <c r="E82" s="267">
        <f t="shared" si="17"/>
        <v>0</v>
      </c>
      <c r="F82" s="267">
        <f t="shared" si="17"/>
        <v>-6818602.4474987164</v>
      </c>
      <c r="G82" s="267">
        <f t="shared" si="17"/>
        <v>0</v>
      </c>
      <c r="H82" s="267">
        <f t="shared" si="17"/>
        <v>0</v>
      </c>
      <c r="I82" s="12"/>
    </row>
    <row r="83" spans="1:9" x14ac:dyDescent="0.2">
      <c r="A83" s="13"/>
      <c r="B83" s="12"/>
      <c r="C83" s="12"/>
      <c r="D83" s="12"/>
      <c r="E83" s="12"/>
      <c r="F83" s="12"/>
      <c r="G83" s="12"/>
      <c r="H83" s="12"/>
      <c r="I83" s="12"/>
    </row>
    <row r="84" spans="1:9" x14ac:dyDescent="0.2">
      <c r="A84" s="13" t="s">
        <v>81</v>
      </c>
      <c r="B84" s="12">
        <f>SUM(C84:I84)</f>
        <v>-3081810.503010679</v>
      </c>
      <c r="C84" s="12">
        <f t="shared" ref="C84:H84" si="18">C82*0.21</f>
        <v>-1254531.319035949</v>
      </c>
      <c r="D84" s="12">
        <f t="shared" si="18"/>
        <v>-395372.67</v>
      </c>
      <c r="E84" s="12">
        <f t="shared" si="18"/>
        <v>0</v>
      </c>
      <c r="F84" s="12">
        <f t="shared" si="18"/>
        <v>-1431906.5139747304</v>
      </c>
      <c r="G84" s="12">
        <f t="shared" si="18"/>
        <v>0</v>
      </c>
      <c r="H84" s="12">
        <f t="shared" si="18"/>
        <v>0</v>
      </c>
      <c r="I84" s="12"/>
    </row>
    <row r="85" spans="1:9" x14ac:dyDescent="0.2">
      <c r="A85" s="13" t="s">
        <v>129</v>
      </c>
      <c r="B85" s="12">
        <f>SUM(C85:I85)</f>
        <v>0</v>
      </c>
      <c r="C85" s="12"/>
      <c r="D85" s="12"/>
      <c r="E85" s="12"/>
      <c r="F85" s="12"/>
      <c r="G85" s="12"/>
      <c r="H85" s="12"/>
      <c r="I85" s="12"/>
    </row>
    <row r="86" spans="1:9" ht="13.5" thickBot="1" x14ac:dyDescent="0.25">
      <c r="A86" s="13" t="s">
        <v>83</v>
      </c>
      <c r="B86" s="274">
        <f>SUM(C86:I86)</f>
        <v>-3081810.503010679</v>
      </c>
      <c r="C86" s="274">
        <f t="shared" ref="C86:H86" si="19">C84+C85</f>
        <v>-1254531.319035949</v>
      </c>
      <c r="D86" s="274">
        <f t="shared" si="19"/>
        <v>-395372.67</v>
      </c>
      <c r="E86" s="274">
        <f t="shared" si="19"/>
        <v>0</v>
      </c>
      <c r="F86" s="274">
        <f t="shared" si="19"/>
        <v>-1431906.5139747304</v>
      </c>
      <c r="G86" s="274">
        <f t="shared" si="19"/>
        <v>0</v>
      </c>
      <c r="H86" s="274">
        <f t="shared" si="19"/>
        <v>0</v>
      </c>
      <c r="I86" s="12"/>
    </row>
    <row r="87" spans="1:9" ht="13.5" thickTop="1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4"/>
      <c r="C88" s="14"/>
      <c r="D88" s="14"/>
      <c r="E88" s="14"/>
      <c r="F88" s="14"/>
      <c r="G88" s="14"/>
      <c r="H88" s="14"/>
      <c r="I88" s="13"/>
    </row>
    <row r="89" spans="1:9" x14ac:dyDescent="0.2">
      <c r="A89" s="123"/>
      <c r="B89" s="12"/>
      <c r="C89" s="12"/>
      <c r="D89" s="12"/>
      <c r="E89" s="12"/>
      <c r="F89" s="12"/>
      <c r="G89" s="12"/>
      <c r="H89" s="12"/>
      <c r="I89" s="12"/>
    </row>
    <row r="90" spans="1:9" x14ac:dyDescent="0.2">
      <c r="A90" s="13"/>
      <c r="B90" s="12"/>
      <c r="C90" s="12"/>
      <c r="D90" s="12"/>
      <c r="E90" s="12"/>
      <c r="F90" s="12"/>
      <c r="G90" s="12"/>
      <c r="H90" s="12"/>
      <c r="I90" s="12"/>
    </row>
    <row r="91" spans="1:9" x14ac:dyDescent="0.2">
      <c r="A91" s="13"/>
      <c r="B91" s="146"/>
      <c r="C91" s="146"/>
      <c r="D91" s="146"/>
      <c r="E91" s="146"/>
      <c r="F91" s="146"/>
      <c r="G91" s="146"/>
      <c r="H91" s="146"/>
    </row>
    <row r="92" spans="1:9" x14ac:dyDescent="0.2">
      <c r="A92" s="272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ALLOCATION METHODOLOGY
Interest &amp; Tax - Rate Year 2 Adjustments (Tab 15)
PRO FORMA&amp;10
&amp;R&amp;12Page 15.0&amp;P
&amp;10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DB5D-3E6E-496C-BF58-6CEAAE11AAEC}">
  <sheetPr>
    <pageSetUpPr fitToPage="1"/>
  </sheetPr>
  <dimension ref="A2:E92"/>
  <sheetViews>
    <sheetView showOutlineSymbols="0" workbookViewId="0"/>
  </sheetViews>
  <sheetFormatPr defaultRowHeight="12.75" x14ac:dyDescent="0.2"/>
  <cols>
    <col min="1" max="1" width="37.5703125" style="2" customWidth="1"/>
    <col min="2" max="4" width="17.28515625" style="2" bestFit="1" customWidth="1"/>
    <col min="5" max="5" width="15.140625" style="2" customWidth="1"/>
    <col min="6" max="16384" width="9.140625" style="2"/>
  </cols>
  <sheetData>
    <row r="2" spans="1:5" x14ac:dyDescent="0.2">
      <c r="A2" s="269"/>
    </row>
    <row r="3" spans="1:5" x14ac:dyDescent="0.2">
      <c r="A3" s="269"/>
    </row>
    <row r="4" spans="1:5" x14ac:dyDescent="0.2">
      <c r="A4" s="270"/>
    </row>
    <row r="5" spans="1:5" x14ac:dyDescent="0.2">
      <c r="A5" s="270"/>
    </row>
    <row r="6" spans="1:5" x14ac:dyDescent="0.2">
      <c r="A6" s="270"/>
      <c r="B6" s="4"/>
      <c r="C6" s="4"/>
      <c r="D6" s="4"/>
    </row>
    <row r="7" spans="1:5" x14ac:dyDescent="0.2">
      <c r="B7" s="59"/>
      <c r="C7" s="59" t="str">
        <f>'Pro Forma Adj'!V8</f>
        <v>16.1</v>
      </c>
      <c r="D7" s="59" t="str">
        <f>'Pro Forma Adj'!W8</f>
        <v>16.2</v>
      </c>
      <c r="E7" s="59"/>
    </row>
    <row r="8" spans="1:5" s="13" customFormat="1" ht="81" customHeight="1" x14ac:dyDescent="0.2">
      <c r="B8" s="262" t="s">
        <v>231</v>
      </c>
      <c r="C8" s="262" t="str">
        <f>'Pro Forma Adj'!V9</f>
        <v>Regulatory Assets &amp; Liabilities Amortization - Year 2</v>
      </c>
      <c r="D8" s="262" t="str">
        <f>'Pro Forma Adj'!W9</f>
        <v>Klamath Hydroelectric Assets Amortization - Year 2</v>
      </c>
      <c r="E8" s="262"/>
    </row>
    <row r="10" spans="1:5" x14ac:dyDescent="0.2">
      <c r="A10" s="13" t="s">
        <v>9</v>
      </c>
      <c r="B10" s="12"/>
      <c r="C10" s="12"/>
      <c r="D10" s="12"/>
      <c r="E10" s="12"/>
    </row>
    <row r="11" spans="1:5" x14ac:dyDescent="0.2">
      <c r="A11" s="13" t="s">
        <v>10</v>
      </c>
      <c r="B11" s="65">
        <f>SUM(C11:E11)</f>
        <v>0</v>
      </c>
      <c r="C11" s="65">
        <f>'Pro Forma Adj'!V12</f>
        <v>0</v>
      </c>
      <c r="D11" s="65">
        <f>'Pro Forma Adj'!W12</f>
        <v>0</v>
      </c>
      <c r="E11" s="65"/>
    </row>
    <row r="12" spans="1:5" x14ac:dyDescent="0.2">
      <c r="A12" s="13" t="s">
        <v>11</v>
      </c>
      <c r="B12" s="65">
        <f>SUM(C12:E12)</f>
        <v>0</v>
      </c>
      <c r="C12" s="65">
        <f>'Pro Forma Adj'!V13</f>
        <v>0</v>
      </c>
      <c r="D12" s="65">
        <f>'Pro Forma Adj'!W13</f>
        <v>0</v>
      </c>
      <c r="E12" s="65"/>
    </row>
    <row r="13" spans="1:5" x14ac:dyDescent="0.2">
      <c r="A13" s="13" t="s">
        <v>12</v>
      </c>
      <c r="B13" s="65">
        <f>SUM(C13:E13)</f>
        <v>0</v>
      </c>
      <c r="C13" s="65">
        <f>'Pro Forma Adj'!V14</f>
        <v>0</v>
      </c>
      <c r="D13" s="65">
        <f>'Pro Forma Adj'!W14</f>
        <v>0</v>
      </c>
      <c r="E13" s="65"/>
    </row>
    <row r="14" spans="1:5" x14ac:dyDescent="0.2">
      <c r="A14" s="13" t="s">
        <v>13</v>
      </c>
      <c r="B14" s="65">
        <f>SUM(C14:E14)</f>
        <v>0</v>
      </c>
      <c r="C14" s="65">
        <f>'Pro Forma Adj'!V15</f>
        <v>0</v>
      </c>
      <c r="D14" s="65">
        <f>'Pro Forma Adj'!W15</f>
        <v>0</v>
      </c>
      <c r="E14" s="65"/>
    </row>
    <row r="15" spans="1:5" x14ac:dyDescent="0.2">
      <c r="A15" s="13" t="s">
        <v>14</v>
      </c>
      <c r="B15" s="232">
        <f>SUM(C15:E15)</f>
        <v>0</v>
      </c>
      <c r="C15" s="232">
        <f t="shared" ref="C15:D15" si="0">SUM(C11:C14)</f>
        <v>0</v>
      </c>
      <c r="D15" s="232">
        <f t="shared" si="0"/>
        <v>0</v>
      </c>
      <c r="E15" s="12"/>
    </row>
    <row r="16" spans="1:5" x14ac:dyDescent="0.2">
      <c r="A16" s="13"/>
      <c r="B16" s="12"/>
      <c r="C16" s="12"/>
      <c r="D16" s="12"/>
      <c r="E16" s="12"/>
    </row>
    <row r="17" spans="1:5" x14ac:dyDescent="0.2">
      <c r="A17" s="13" t="s">
        <v>15</v>
      </c>
      <c r="B17" s="12"/>
      <c r="C17" s="12"/>
      <c r="D17" s="12"/>
      <c r="E17" s="12"/>
    </row>
    <row r="18" spans="1:5" x14ac:dyDescent="0.2">
      <c r="A18" s="13" t="s">
        <v>16</v>
      </c>
      <c r="B18" s="65">
        <f t="shared" ref="B18:B39" si="1">SUM(C18:E18)</f>
        <v>0</v>
      </c>
      <c r="C18" s="65">
        <f>'Pro Forma Adj'!V19</f>
        <v>0</v>
      </c>
      <c r="D18" s="65">
        <f>'Pro Forma Adj'!W19</f>
        <v>0</v>
      </c>
      <c r="E18" s="65"/>
    </row>
    <row r="19" spans="1:5" x14ac:dyDescent="0.2">
      <c r="A19" s="13" t="s">
        <v>17</v>
      </c>
      <c r="B19" s="65">
        <f t="shared" si="1"/>
        <v>0</v>
      </c>
      <c r="C19" s="65">
        <f>'Pro Forma Adj'!V20</f>
        <v>0</v>
      </c>
      <c r="D19" s="65">
        <f>'Pro Forma Adj'!W20</f>
        <v>0</v>
      </c>
      <c r="E19" s="65"/>
    </row>
    <row r="20" spans="1:5" x14ac:dyDescent="0.2">
      <c r="A20" s="13" t="s">
        <v>18</v>
      </c>
      <c r="B20" s="65">
        <f t="shared" si="1"/>
        <v>0</v>
      </c>
      <c r="C20" s="65">
        <f>'Pro Forma Adj'!V21</f>
        <v>0</v>
      </c>
      <c r="D20" s="65">
        <f>'Pro Forma Adj'!W21</f>
        <v>0</v>
      </c>
      <c r="E20" s="65"/>
    </row>
    <row r="21" spans="1:5" x14ac:dyDescent="0.2">
      <c r="A21" s="13" t="s">
        <v>19</v>
      </c>
      <c r="B21" s="65">
        <f t="shared" si="1"/>
        <v>0</v>
      </c>
      <c r="C21" s="65">
        <f>'Pro Forma Adj'!V22</f>
        <v>0</v>
      </c>
      <c r="D21" s="65">
        <f>'Pro Forma Adj'!W22</f>
        <v>0</v>
      </c>
      <c r="E21" s="65"/>
    </row>
    <row r="22" spans="1:5" x14ac:dyDescent="0.2">
      <c r="A22" s="13" t="s">
        <v>20</v>
      </c>
      <c r="B22" s="65">
        <f t="shared" si="1"/>
        <v>0</v>
      </c>
      <c r="C22" s="65">
        <f>'Pro Forma Adj'!V23</f>
        <v>0</v>
      </c>
      <c r="D22" s="65">
        <f>'Pro Forma Adj'!W23</f>
        <v>0</v>
      </c>
      <c r="E22" s="65"/>
    </row>
    <row r="23" spans="1:5" x14ac:dyDescent="0.2">
      <c r="A23" s="13" t="s">
        <v>21</v>
      </c>
      <c r="B23" s="65">
        <f t="shared" si="1"/>
        <v>0</v>
      </c>
      <c r="C23" s="65">
        <f>'Pro Forma Adj'!V24</f>
        <v>0</v>
      </c>
      <c r="D23" s="65">
        <f>'Pro Forma Adj'!W24</f>
        <v>0</v>
      </c>
      <c r="E23" s="65"/>
    </row>
    <row r="24" spans="1:5" x14ac:dyDescent="0.2">
      <c r="A24" s="13" t="s">
        <v>22</v>
      </c>
      <c r="B24" s="65">
        <f t="shared" si="1"/>
        <v>0</v>
      </c>
      <c r="C24" s="65">
        <f>'Pro Forma Adj'!V25</f>
        <v>0</v>
      </c>
      <c r="D24" s="65">
        <f>'Pro Forma Adj'!W25</f>
        <v>0</v>
      </c>
      <c r="E24" s="65"/>
    </row>
    <row r="25" spans="1:5" x14ac:dyDescent="0.2">
      <c r="A25" s="13" t="s">
        <v>23</v>
      </c>
      <c r="B25" s="65">
        <f t="shared" si="1"/>
        <v>0</v>
      </c>
      <c r="C25" s="65">
        <f>'Pro Forma Adj'!V26</f>
        <v>0</v>
      </c>
      <c r="D25" s="65">
        <f>'Pro Forma Adj'!W26</f>
        <v>0</v>
      </c>
      <c r="E25" s="65"/>
    </row>
    <row r="26" spans="1:5" x14ac:dyDescent="0.2">
      <c r="A26" s="13" t="s">
        <v>24</v>
      </c>
      <c r="B26" s="65">
        <f t="shared" si="1"/>
        <v>0</v>
      </c>
      <c r="C26" s="65">
        <f>'Pro Forma Adj'!V27</f>
        <v>0</v>
      </c>
      <c r="D26" s="65">
        <f>'Pro Forma Adj'!W27</f>
        <v>0</v>
      </c>
      <c r="E26" s="65"/>
    </row>
    <row r="27" spans="1:5" x14ac:dyDescent="0.2">
      <c r="A27" s="13" t="s">
        <v>25</v>
      </c>
      <c r="B27" s="68">
        <f t="shared" si="1"/>
        <v>0</v>
      </c>
      <c r="C27" s="68">
        <f>'Pro Forma Adj'!V28</f>
        <v>0</v>
      </c>
      <c r="D27" s="68">
        <f>'Pro Forma Adj'!W28</f>
        <v>0</v>
      </c>
      <c r="E27" s="65"/>
    </row>
    <row r="28" spans="1:5" x14ac:dyDescent="0.2">
      <c r="A28" s="13" t="s">
        <v>26</v>
      </c>
      <c r="B28" s="12">
        <f t="shared" si="1"/>
        <v>0</v>
      </c>
      <c r="C28" s="12">
        <f t="shared" ref="C28:D28" si="2">SUM(C18:C27)</f>
        <v>0</v>
      </c>
      <c r="D28" s="12">
        <f t="shared" si="2"/>
        <v>0</v>
      </c>
      <c r="E28" s="12"/>
    </row>
    <row r="29" spans="1:5" x14ac:dyDescent="0.2">
      <c r="A29" s="13" t="s">
        <v>27</v>
      </c>
      <c r="B29" s="65">
        <f t="shared" si="1"/>
        <v>0</v>
      </c>
      <c r="C29" s="65">
        <f>'Pro Forma Adj'!V30</f>
        <v>0</v>
      </c>
      <c r="D29" s="65">
        <f>'Pro Forma Adj'!W30</f>
        <v>0</v>
      </c>
      <c r="E29" s="65"/>
    </row>
    <row r="30" spans="1:5" x14ac:dyDescent="0.2">
      <c r="A30" s="13" t="s">
        <v>28</v>
      </c>
      <c r="B30" s="65">
        <f t="shared" si="1"/>
        <v>-7011257.8506784029</v>
      </c>
      <c r="C30" s="65">
        <f>'Pro Forma Adj'!V31</f>
        <v>-7011257.8506784029</v>
      </c>
      <c r="D30" s="65">
        <f>'Pro Forma Adj'!W31</f>
        <v>0</v>
      </c>
      <c r="E30" s="65"/>
    </row>
    <row r="31" spans="1:5" x14ac:dyDescent="0.2">
      <c r="A31" s="13" t="s">
        <v>29</v>
      </c>
      <c r="B31" s="65">
        <f t="shared" si="1"/>
        <v>0</v>
      </c>
      <c r="C31" s="65">
        <f>'Pro Forma Adj'!V32</f>
        <v>0</v>
      </c>
      <c r="D31" s="65">
        <f>'Pro Forma Adj'!W32</f>
        <v>0</v>
      </c>
      <c r="E31" s="65"/>
    </row>
    <row r="32" spans="1:5" x14ac:dyDescent="0.2">
      <c r="A32" s="13" t="s">
        <v>30</v>
      </c>
      <c r="B32" s="65">
        <f t="shared" si="1"/>
        <v>1298884.6543424646</v>
      </c>
      <c r="C32" s="65">
        <f t="shared" ref="C32:D32" si="3">C86</f>
        <v>1298884.6543424646</v>
      </c>
      <c r="D32" s="65">
        <f t="shared" si="3"/>
        <v>0</v>
      </c>
      <c r="E32" s="65"/>
    </row>
    <row r="33" spans="1:5" x14ac:dyDescent="0.2">
      <c r="A33" s="13" t="s">
        <v>31</v>
      </c>
      <c r="B33" s="63">
        <f t="shared" si="1"/>
        <v>0</v>
      </c>
      <c r="C33" s="63">
        <v>0</v>
      </c>
      <c r="D33" s="63">
        <v>0</v>
      </c>
      <c r="E33" s="63"/>
    </row>
    <row r="34" spans="1:5" x14ac:dyDescent="0.2">
      <c r="A34" s="13" t="s">
        <v>32</v>
      </c>
      <c r="B34" s="65">
        <f t="shared" si="1"/>
        <v>203108.13974078008</v>
      </c>
      <c r="C34" s="65">
        <f>'Pro Forma Adj'!V35</f>
        <v>203108.13974078008</v>
      </c>
      <c r="D34" s="65">
        <f>'Pro Forma Adj'!W35</f>
        <v>0</v>
      </c>
      <c r="E34" s="65"/>
    </row>
    <row r="35" spans="1:5" x14ac:dyDescent="0.2">
      <c r="A35" s="13" t="s">
        <v>33</v>
      </c>
      <c r="B35" s="65">
        <f t="shared" si="1"/>
        <v>0</v>
      </c>
      <c r="C35" s="65">
        <f>'Pro Forma Adj'!V36</f>
        <v>0</v>
      </c>
      <c r="D35" s="65">
        <f>'Pro Forma Adj'!W36</f>
        <v>0</v>
      </c>
      <c r="E35" s="65"/>
    </row>
    <row r="36" spans="1:5" x14ac:dyDescent="0.2">
      <c r="A36" s="13" t="s">
        <v>34</v>
      </c>
      <c r="B36" s="65">
        <f t="shared" si="1"/>
        <v>0</v>
      </c>
      <c r="C36" s="65">
        <f>'Pro Forma Adj'!V37</f>
        <v>0</v>
      </c>
      <c r="D36" s="65">
        <f>'Pro Forma Adj'!W37</f>
        <v>0</v>
      </c>
      <c r="E36" s="65"/>
    </row>
    <row r="37" spans="1:5" x14ac:dyDescent="0.2">
      <c r="A37" s="13" t="s">
        <v>35</v>
      </c>
      <c r="B37" s="232">
        <f t="shared" si="1"/>
        <v>-5509265.0565951578</v>
      </c>
      <c r="C37" s="232">
        <f t="shared" ref="C37:D37" si="4">SUM(C28:C36)</f>
        <v>-5509265.0565951578</v>
      </c>
      <c r="D37" s="232">
        <f t="shared" si="4"/>
        <v>0</v>
      </c>
      <c r="E37" s="12"/>
    </row>
    <row r="38" spans="1:5" x14ac:dyDescent="0.2">
      <c r="A38" s="13"/>
      <c r="B38" s="12">
        <f t="shared" si="1"/>
        <v>0</v>
      </c>
      <c r="C38" s="12"/>
      <c r="D38" s="12"/>
      <c r="E38" s="12"/>
    </row>
    <row r="39" spans="1:5" ht="13.5" thickBot="1" x14ac:dyDescent="0.25">
      <c r="A39" s="13" t="s">
        <v>36</v>
      </c>
      <c r="B39" s="236">
        <f t="shared" si="1"/>
        <v>5509265.0565951578</v>
      </c>
      <c r="C39" s="236">
        <f t="shared" ref="C39:D39" si="5">C15-C37</f>
        <v>5509265.0565951578</v>
      </c>
      <c r="D39" s="236">
        <f t="shared" si="5"/>
        <v>0</v>
      </c>
      <c r="E39" s="251"/>
    </row>
    <row r="40" spans="1:5" ht="13.5" thickTop="1" x14ac:dyDescent="0.2">
      <c r="A40" s="13"/>
      <c r="B40" s="12"/>
      <c r="C40" s="12"/>
      <c r="D40" s="12"/>
      <c r="E40" s="12"/>
    </row>
    <row r="41" spans="1:5" x14ac:dyDescent="0.2">
      <c r="A41" s="13" t="s">
        <v>37</v>
      </c>
      <c r="B41" s="12"/>
      <c r="C41" s="12"/>
      <c r="D41" s="12"/>
      <c r="E41" s="12"/>
    </row>
    <row r="42" spans="1:5" x14ac:dyDescent="0.2">
      <c r="A42" s="13" t="s">
        <v>38</v>
      </c>
      <c r="B42" s="65">
        <f t="shared" ref="B42:B53" si="6">SUM(C42:E42)</f>
        <v>0</v>
      </c>
      <c r="C42" s="65">
        <f>'Pro Forma Adj'!V43</f>
        <v>0</v>
      </c>
      <c r="D42" s="65">
        <f>'Pro Forma Adj'!W43</f>
        <v>0</v>
      </c>
      <c r="E42" s="65"/>
    </row>
    <row r="43" spans="1:5" x14ac:dyDescent="0.2">
      <c r="A43" s="13" t="s">
        <v>39</v>
      </c>
      <c r="B43" s="65">
        <f t="shared" si="6"/>
        <v>0</v>
      </c>
      <c r="C43" s="65">
        <f>'Pro Forma Adj'!V44</f>
        <v>0</v>
      </c>
      <c r="D43" s="65">
        <f>'Pro Forma Adj'!W44</f>
        <v>0</v>
      </c>
      <c r="E43" s="65"/>
    </row>
    <row r="44" spans="1:5" x14ac:dyDescent="0.2">
      <c r="A44" s="13" t="s">
        <v>40</v>
      </c>
      <c r="B44" s="65">
        <f t="shared" si="6"/>
        <v>-489243.1450514372</v>
      </c>
      <c r="C44" s="65">
        <f>'Pro Forma Adj'!V45</f>
        <v>-413046.41499999963</v>
      </c>
      <c r="D44" s="65">
        <f>'Pro Forma Adj'!W45</f>
        <v>-76196.730051437567</v>
      </c>
      <c r="E44" s="65"/>
    </row>
    <row r="45" spans="1:5" x14ac:dyDescent="0.2">
      <c r="A45" s="13" t="s">
        <v>41</v>
      </c>
      <c r="B45" s="65">
        <f t="shared" si="6"/>
        <v>0</v>
      </c>
      <c r="C45" s="65">
        <f>'Pro Forma Adj'!V46</f>
        <v>0</v>
      </c>
      <c r="D45" s="65">
        <f>'Pro Forma Adj'!W46</f>
        <v>0</v>
      </c>
      <c r="E45" s="65"/>
    </row>
    <row r="46" spans="1:5" x14ac:dyDescent="0.2">
      <c r="A46" s="13" t="s">
        <v>42</v>
      </c>
      <c r="B46" s="65">
        <f t="shared" si="6"/>
        <v>0</v>
      </c>
      <c r="C46" s="65">
        <f>'Pro Forma Adj'!V47</f>
        <v>0</v>
      </c>
      <c r="D46" s="65">
        <f>'Pro Forma Adj'!W47</f>
        <v>0</v>
      </c>
      <c r="E46" s="65"/>
    </row>
    <row r="47" spans="1:5" x14ac:dyDescent="0.2">
      <c r="A47" s="13" t="s">
        <v>43</v>
      </c>
      <c r="B47" s="65">
        <f t="shared" si="6"/>
        <v>0</v>
      </c>
      <c r="C47" s="65">
        <f>'Pro Forma Adj'!V48</f>
        <v>0</v>
      </c>
      <c r="D47" s="65">
        <f>'Pro Forma Adj'!W48</f>
        <v>0</v>
      </c>
      <c r="E47" s="65"/>
    </row>
    <row r="48" spans="1:5" x14ac:dyDescent="0.2">
      <c r="A48" s="13" t="s">
        <v>44</v>
      </c>
      <c r="B48" s="65">
        <f t="shared" si="6"/>
        <v>0</v>
      </c>
      <c r="C48" s="65">
        <f>'Pro Forma Adj'!V49</f>
        <v>0</v>
      </c>
      <c r="D48" s="65">
        <f>'Pro Forma Adj'!W49</f>
        <v>0</v>
      </c>
      <c r="E48" s="65"/>
    </row>
    <row r="49" spans="1:5" x14ac:dyDescent="0.2">
      <c r="A49" s="13" t="s">
        <v>45</v>
      </c>
      <c r="B49" s="65">
        <f t="shared" si="6"/>
        <v>0</v>
      </c>
      <c r="C49" s="65">
        <f>'Pro Forma Adj'!V50</f>
        <v>0</v>
      </c>
      <c r="D49" s="65">
        <f>'Pro Forma Adj'!W50</f>
        <v>0</v>
      </c>
      <c r="E49" s="65"/>
    </row>
    <row r="50" spans="1:5" x14ac:dyDescent="0.2">
      <c r="A50" s="13" t="s">
        <v>46</v>
      </c>
      <c r="B50" s="65">
        <f t="shared" si="6"/>
        <v>0</v>
      </c>
      <c r="C50" s="65">
        <f>'Pro Forma Adj'!V51</f>
        <v>0</v>
      </c>
      <c r="D50" s="65">
        <f>'Pro Forma Adj'!W51</f>
        <v>0</v>
      </c>
      <c r="E50" s="65"/>
    </row>
    <row r="51" spans="1:5" x14ac:dyDescent="0.2">
      <c r="A51" s="13" t="s">
        <v>47</v>
      </c>
      <c r="B51" s="65">
        <f t="shared" si="6"/>
        <v>0</v>
      </c>
      <c r="C51" s="65">
        <f>'Pro Forma Adj'!V52</f>
        <v>0</v>
      </c>
      <c r="D51" s="65">
        <f>'Pro Forma Adj'!W52</f>
        <v>0</v>
      </c>
      <c r="E51" s="65"/>
    </row>
    <row r="52" spans="1:5" x14ac:dyDescent="0.2">
      <c r="A52" s="13" t="s">
        <v>48</v>
      </c>
      <c r="B52" s="65">
        <f t="shared" si="6"/>
        <v>0</v>
      </c>
      <c r="C52" s="65">
        <f>'Pro Forma Adj'!V53</f>
        <v>0</v>
      </c>
      <c r="D52" s="65">
        <f>'Pro Forma Adj'!W53</f>
        <v>0</v>
      </c>
      <c r="E52" s="65"/>
    </row>
    <row r="53" spans="1:5" x14ac:dyDescent="0.2">
      <c r="A53" s="13" t="s">
        <v>49</v>
      </c>
      <c r="B53" s="239">
        <f t="shared" si="6"/>
        <v>-489243.1450514372</v>
      </c>
      <c r="C53" s="239">
        <f t="shared" ref="C53:D53" si="7">SUM(C42:C52)</f>
        <v>-413046.41499999963</v>
      </c>
      <c r="D53" s="239">
        <f t="shared" si="7"/>
        <v>-76196.730051437567</v>
      </c>
      <c r="E53" s="63"/>
    </row>
    <row r="54" spans="1:5" x14ac:dyDescent="0.2">
      <c r="A54" s="13"/>
      <c r="B54" s="12"/>
      <c r="C54" s="12"/>
      <c r="D54" s="12"/>
      <c r="E54" s="12"/>
    </row>
    <row r="55" spans="1:5" x14ac:dyDescent="0.2">
      <c r="A55" s="13" t="s">
        <v>50</v>
      </c>
      <c r="B55" s="12"/>
      <c r="C55" s="12"/>
      <c r="D55" s="12"/>
      <c r="E55" s="12"/>
    </row>
    <row r="56" spans="1:5" x14ac:dyDescent="0.2">
      <c r="A56" s="13" t="s">
        <v>51</v>
      </c>
      <c r="B56" s="65">
        <f t="shared" ref="B56:B64" si="8">SUM(C56:E56)</f>
        <v>0</v>
      </c>
      <c r="C56" s="65">
        <f>'Pro Forma Adj'!V57</f>
        <v>0</v>
      </c>
      <c r="D56" s="65">
        <f>'Pro Forma Adj'!W57</f>
        <v>0</v>
      </c>
      <c r="E56" s="65"/>
    </row>
    <row r="57" spans="1:5" x14ac:dyDescent="0.2">
      <c r="A57" s="13" t="s">
        <v>52</v>
      </c>
      <c r="B57" s="65">
        <f t="shared" si="8"/>
        <v>0</v>
      </c>
      <c r="C57" s="65">
        <f>'Pro Forma Adj'!V58</f>
        <v>0</v>
      </c>
      <c r="D57" s="65">
        <f>'Pro Forma Adj'!W58</f>
        <v>0</v>
      </c>
      <c r="E57" s="65"/>
    </row>
    <row r="58" spans="1:5" x14ac:dyDescent="0.2">
      <c r="A58" s="13" t="s">
        <v>53</v>
      </c>
      <c r="B58" s="65">
        <f t="shared" si="8"/>
        <v>120288.25510121686</v>
      </c>
      <c r="C58" s="65">
        <f>'Pro Forma Adj'!V59</f>
        <v>101554.06987039014</v>
      </c>
      <c r="D58" s="65">
        <f>'Pro Forma Adj'!W59</f>
        <v>18734.185230826712</v>
      </c>
      <c r="E58" s="65"/>
    </row>
    <row r="59" spans="1:5" x14ac:dyDescent="0.2">
      <c r="A59" s="13" t="s">
        <v>54</v>
      </c>
      <c r="B59" s="65">
        <f t="shared" si="8"/>
        <v>0</v>
      </c>
      <c r="C59" s="65">
        <f>'Pro Forma Adj'!V60</f>
        <v>0</v>
      </c>
      <c r="D59" s="65">
        <f>'Pro Forma Adj'!W60</f>
        <v>0</v>
      </c>
      <c r="E59" s="65"/>
    </row>
    <row r="60" spans="1:5" x14ac:dyDescent="0.2">
      <c r="A60" s="13" t="s">
        <v>55</v>
      </c>
      <c r="B60" s="65">
        <f t="shared" si="8"/>
        <v>0</v>
      </c>
      <c r="C60" s="65">
        <f>'Pro Forma Adj'!V61</f>
        <v>0</v>
      </c>
      <c r="D60" s="65">
        <f>'Pro Forma Adj'!W61</f>
        <v>0</v>
      </c>
      <c r="E60" s="65"/>
    </row>
    <row r="61" spans="1:5" x14ac:dyDescent="0.2">
      <c r="A61" s="13" t="s">
        <v>56</v>
      </c>
      <c r="B61" s="65">
        <f t="shared" si="8"/>
        <v>0</v>
      </c>
      <c r="C61" s="65">
        <f>'Pro Forma Adj'!V62</f>
        <v>0</v>
      </c>
      <c r="D61" s="65">
        <f>'Pro Forma Adj'!W62</f>
        <v>0</v>
      </c>
      <c r="E61" s="65"/>
    </row>
    <row r="62" spans="1:5" x14ac:dyDescent="0.2">
      <c r="A62" s="13" t="s">
        <v>57</v>
      </c>
      <c r="B62" s="65">
        <f t="shared" si="8"/>
        <v>0</v>
      </c>
      <c r="C62" s="65">
        <f>'Pro Forma Adj'!V63</f>
        <v>0</v>
      </c>
      <c r="D62" s="65">
        <f>'Pro Forma Adj'!W63</f>
        <v>0</v>
      </c>
      <c r="E62" s="65"/>
    </row>
    <row r="63" spans="1:5" x14ac:dyDescent="0.2">
      <c r="A63" s="13"/>
      <c r="B63" s="12">
        <f t="shared" si="8"/>
        <v>0</v>
      </c>
      <c r="C63" s="12">
        <f>'Pro Forma Adj'!V64</f>
        <v>0</v>
      </c>
      <c r="D63" s="12">
        <f>'Pro Forma Adj'!W64</f>
        <v>0</v>
      </c>
      <c r="E63" s="12"/>
    </row>
    <row r="64" spans="1:5" x14ac:dyDescent="0.2">
      <c r="A64" s="13" t="s">
        <v>58</v>
      </c>
      <c r="B64" s="232">
        <f t="shared" si="8"/>
        <v>120288.25510121686</v>
      </c>
      <c r="C64" s="232">
        <f t="shared" ref="C64:D64" si="9">SUM(C56:C63)</f>
        <v>101554.06987039014</v>
      </c>
      <c r="D64" s="232">
        <f t="shared" si="9"/>
        <v>18734.185230826712</v>
      </c>
      <c r="E64" s="12"/>
    </row>
    <row r="65" spans="1:5" x14ac:dyDescent="0.2">
      <c r="A65" s="13"/>
      <c r="B65" s="12"/>
      <c r="C65" s="12"/>
      <c r="D65" s="12"/>
      <c r="E65" s="12"/>
    </row>
    <row r="66" spans="1:5" ht="13.5" thickBot="1" x14ac:dyDescent="0.25">
      <c r="A66" s="13" t="s">
        <v>59</v>
      </c>
      <c r="B66" s="242">
        <f>SUM(C66:E66)</f>
        <v>-368954.8899502203</v>
      </c>
      <c r="C66" s="242">
        <f t="shared" ref="C66:D66" si="10">C53+C64</f>
        <v>-311492.34512960946</v>
      </c>
      <c r="D66" s="242">
        <f t="shared" si="10"/>
        <v>-57462.544820610856</v>
      </c>
      <c r="E66" s="13"/>
    </row>
    <row r="67" spans="1:5" ht="13.5" thickTop="1" x14ac:dyDescent="0.2">
      <c r="A67" s="13"/>
      <c r="B67" s="12"/>
      <c r="C67" s="12"/>
      <c r="D67" s="12"/>
      <c r="E67" s="12"/>
    </row>
    <row r="68" spans="1:5" x14ac:dyDescent="0.2">
      <c r="A68" s="13"/>
      <c r="B68" s="12"/>
      <c r="C68" s="12"/>
      <c r="D68" s="12"/>
      <c r="E68" s="12"/>
    </row>
    <row r="69" spans="1:5" s="146" customFormat="1" x14ac:dyDescent="0.2">
      <c r="A69" s="16" t="s">
        <v>93</v>
      </c>
      <c r="B69" s="16">
        <f t="shared" ref="B69:D69" si="11">(((B39+Unadj_Op_revenue)/(B66+Unadj_rate_base))-Weighted_cost_debt-Weighted_cost_pref)/Percent_common-Unadj_ROE</f>
        <v>9.712029366363506E-3</v>
      </c>
      <c r="C69" s="16">
        <f t="shared" si="11"/>
        <v>9.7037737465163337E-3</v>
      </c>
      <c r="D69" s="16">
        <f t="shared" si="11"/>
        <v>-9.8175260134031328E-5</v>
      </c>
      <c r="E69" s="16"/>
    </row>
    <row r="70" spans="1:5" x14ac:dyDescent="0.2">
      <c r="A70" s="13" t="s">
        <v>7</v>
      </c>
      <c r="B70" s="244">
        <f>SUM(C70:E70)</f>
        <v>-7365201.2825295599</v>
      </c>
      <c r="C70" s="244">
        <f t="shared" ref="C70:D70" si="12">-(C39-(C66*Overall_ROR))/gross_up_factor</f>
        <v>-7359392.5072823381</v>
      </c>
      <c r="D70" s="244">
        <f t="shared" si="12"/>
        <v>-5808.7752472219745</v>
      </c>
      <c r="E70" s="244"/>
    </row>
    <row r="71" spans="1:5" x14ac:dyDescent="0.2">
      <c r="A71" s="13"/>
      <c r="B71" s="16"/>
      <c r="C71" s="16"/>
      <c r="D71" s="16"/>
      <c r="E71" s="16"/>
    </row>
    <row r="72" spans="1:5" x14ac:dyDescent="0.2">
      <c r="A72" s="13" t="s">
        <v>61</v>
      </c>
      <c r="B72" s="12"/>
      <c r="C72" s="12"/>
      <c r="D72" s="12"/>
      <c r="E72" s="12"/>
    </row>
    <row r="73" spans="1:5" x14ac:dyDescent="0.2">
      <c r="A73" s="13" t="s">
        <v>62</v>
      </c>
      <c r="B73" s="244">
        <f t="shared" ref="B73:B79" si="13">SUM(C73:E73)</f>
        <v>7011257.8506784029</v>
      </c>
      <c r="C73" s="244">
        <f t="shared" ref="C73:D73" si="14">C15-C28-C29-C30-C31-C36</f>
        <v>7011257.8506784029</v>
      </c>
      <c r="D73" s="244">
        <f t="shared" si="14"/>
        <v>0</v>
      </c>
      <c r="E73" s="244"/>
    </row>
    <row r="74" spans="1:5" x14ac:dyDescent="0.2">
      <c r="A74" s="13" t="s">
        <v>63</v>
      </c>
      <c r="B74" s="12">
        <f t="shared" si="13"/>
        <v>0</v>
      </c>
      <c r="C74" s="12">
        <f>'Pro Forma Adj'!V75</f>
        <v>0</v>
      </c>
      <c r="D74" s="12">
        <f>'Pro Forma Adj'!W75</f>
        <v>0</v>
      </c>
      <c r="E74" s="12"/>
    </row>
    <row r="75" spans="1:5" x14ac:dyDescent="0.2">
      <c r="A75" s="13" t="s">
        <v>64</v>
      </c>
      <c r="B75" s="63">
        <f t="shared" si="13"/>
        <v>0</v>
      </c>
      <c r="C75" s="63">
        <f>'Pro Forma Adj'!V76</f>
        <v>0</v>
      </c>
      <c r="D75" s="63">
        <f>'Pro Forma Adj'!W76</f>
        <v>0</v>
      </c>
      <c r="E75" s="63"/>
    </row>
    <row r="76" spans="1:5" x14ac:dyDescent="0.2">
      <c r="A76" s="13" t="s">
        <v>65</v>
      </c>
      <c r="B76" s="63">
        <f t="shared" si="13"/>
        <v>0</v>
      </c>
      <c r="C76" s="63">
        <f>'Pro Forma Adj'!V77</f>
        <v>0</v>
      </c>
      <c r="D76" s="63">
        <f>'Pro Forma Adj'!W77</f>
        <v>0</v>
      </c>
      <c r="E76" s="63"/>
    </row>
    <row r="77" spans="1:5" x14ac:dyDescent="0.2">
      <c r="A77" s="13" t="s">
        <v>66</v>
      </c>
      <c r="B77" s="63">
        <f t="shared" si="13"/>
        <v>0</v>
      </c>
      <c r="C77" s="63">
        <f>'Pro Forma Adj'!V78</f>
        <v>0</v>
      </c>
      <c r="D77" s="63">
        <f>'Pro Forma Adj'!W78</f>
        <v>0</v>
      </c>
      <c r="E77" s="63"/>
    </row>
    <row r="78" spans="1:5" x14ac:dyDescent="0.2">
      <c r="A78" s="13" t="s">
        <v>67</v>
      </c>
      <c r="B78" s="69">
        <f t="shared" si="13"/>
        <v>826092.83000000054</v>
      </c>
      <c r="C78" s="69">
        <f>'Pro Forma Adj'!V79</f>
        <v>826092.83000000054</v>
      </c>
      <c r="D78" s="69">
        <f>'Pro Forma Adj'!W79</f>
        <v>0</v>
      </c>
      <c r="E78" s="63"/>
    </row>
    <row r="79" spans="1:5" x14ac:dyDescent="0.2">
      <c r="A79" s="13" t="s">
        <v>68</v>
      </c>
      <c r="B79" s="13">
        <f t="shared" si="13"/>
        <v>6185165.0206784029</v>
      </c>
      <c r="C79" s="13">
        <f t="shared" ref="C79:D79" si="15">C73-C75-C76+C77-C78</f>
        <v>6185165.0206784029</v>
      </c>
      <c r="D79" s="13">
        <f t="shared" si="15"/>
        <v>0</v>
      </c>
      <c r="E79" s="13"/>
    </row>
    <row r="80" spans="1:5" x14ac:dyDescent="0.2">
      <c r="A80" s="13"/>
      <c r="B80" s="12"/>
      <c r="C80" s="12"/>
      <c r="D80" s="12"/>
      <c r="E80" s="12"/>
    </row>
    <row r="81" spans="1:5" x14ac:dyDescent="0.2">
      <c r="A81" s="13" t="s">
        <v>69</v>
      </c>
      <c r="B81" s="12">
        <f>SUM(C81:E81)</f>
        <v>0</v>
      </c>
      <c r="C81" s="12">
        <v>0</v>
      </c>
      <c r="D81" s="12">
        <v>0</v>
      </c>
      <c r="E81" s="12"/>
    </row>
    <row r="82" spans="1:5" ht="13.5" thickBot="1" x14ac:dyDescent="0.25">
      <c r="A82" s="13" t="s">
        <v>70</v>
      </c>
      <c r="B82" s="267">
        <f>SUM(C82:E82)</f>
        <v>6185165.0206784029</v>
      </c>
      <c r="C82" s="267">
        <f t="shared" ref="C82:D82" si="16">C79-C81</f>
        <v>6185165.0206784029</v>
      </c>
      <c r="D82" s="267">
        <f t="shared" si="16"/>
        <v>0</v>
      </c>
      <c r="E82" s="12"/>
    </row>
    <row r="83" spans="1:5" x14ac:dyDescent="0.2">
      <c r="A83" s="13"/>
      <c r="B83" s="12"/>
      <c r="C83" s="12"/>
      <c r="D83" s="12"/>
      <c r="E83" s="12"/>
    </row>
    <row r="84" spans="1:5" x14ac:dyDescent="0.2">
      <c r="A84" s="13" t="s">
        <v>81</v>
      </c>
      <c r="B84" s="12">
        <f>SUM(C84:E84)</f>
        <v>1298884.6543424646</v>
      </c>
      <c r="C84" s="12">
        <f t="shared" ref="C84:D84" si="17">C82*0.21</f>
        <v>1298884.6543424646</v>
      </c>
      <c r="D84" s="12">
        <f t="shared" si="17"/>
        <v>0</v>
      </c>
      <c r="E84" s="12"/>
    </row>
    <row r="85" spans="1:5" x14ac:dyDescent="0.2">
      <c r="A85" s="13" t="s">
        <v>129</v>
      </c>
      <c r="B85" s="12">
        <f>SUM(C85:E85)</f>
        <v>0</v>
      </c>
      <c r="C85" s="12"/>
      <c r="D85" s="12"/>
      <c r="E85" s="12"/>
    </row>
    <row r="86" spans="1:5" ht="13.5" thickBot="1" x14ac:dyDescent="0.25">
      <c r="A86" s="13" t="s">
        <v>83</v>
      </c>
      <c r="B86" s="274">
        <f>SUM(C86:E86)</f>
        <v>1298884.6543424646</v>
      </c>
      <c r="C86" s="274">
        <f t="shared" ref="C86:D86" si="18">C84+C85</f>
        <v>1298884.6543424646</v>
      </c>
      <c r="D86" s="274">
        <f t="shared" si="18"/>
        <v>0</v>
      </c>
      <c r="E86" s="12"/>
    </row>
    <row r="87" spans="1:5" ht="13.5" thickTop="1" x14ac:dyDescent="0.2">
      <c r="A87" s="13"/>
      <c r="B87" s="13"/>
      <c r="C87" s="13"/>
      <c r="D87" s="13"/>
      <c r="E87" s="13"/>
    </row>
    <row r="88" spans="1:5" x14ac:dyDescent="0.2">
      <c r="A88" s="13"/>
      <c r="B88" s="14"/>
      <c r="C88" s="14"/>
      <c r="D88" s="14"/>
      <c r="E88" s="13"/>
    </row>
    <row r="89" spans="1:5" x14ac:dyDescent="0.2">
      <c r="A89" s="123"/>
      <c r="B89" s="12"/>
      <c r="C89" s="12"/>
      <c r="D89" s="12"/>
      <c r="E89" s="12"/>
    </row>
    <row r="90" spans="1:5" x14ac:dyDescent="0.2">
      <c r="A90" s="13"/>
      <c r="B90" s="12"/>
      <c r="C90" s="12"/>
      <c r="D90" s="12"/>
      <c r="E90" s="12"/>
    </row>
    <row r="91" spans="1:5" x14ac:dyDescent="0.2">
      <c r="A91" s="13"/>
      <c r="B91" s="146"/>
      <c r="C91" s="146"/>
      <c r="D91" s="146"/>
    </row>
    <row r="92" spans="1:5" x14ac:dyDescent="0.2">
      <c r="A92" s="272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ALLOCATION METHODOLOGY
Other Adjustments - Rate Year 2 (Tab 16)
PRO FORMA&amp;10
&amp;R&amp;12Page 16.0.&amp;P
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AB08D7-DC87-45F3-BE4B-31823BF43E6B}"/>
</file>

<file path=customXml/itemProps2.xml><?xml version="1.0" encoding="utf-8"?>
<ds:datastoreItem xmlns:ds="http://schemas.openxmlformats.org/officeDocument/2006/customXml" ds:itemID="{6671E62A-1061-42EA-8710-1DD9A30FE775}"/>
</file>

<file path=customXml/itemProps3.xml><?xml version="1.0" encoding="utf-8"?>
<ds:datastoreItem xmlns:ds="http://schemas.openxmlformats.org/officeDocument/2006/customXml" ds:itemID="{FF520E3A-6DFB-4D78-8CB7-F0DFD3FAC90D}"/>
</file>

<file path=customXml/itemProps4.xml><?xml version="1.0" encoding="utf-8"?>
<ds:datastoreItem xmlns:ds="http://schemas.openxmlformats.org/officeDocument/2006/customXml" ds:itemID="{67EB4A92-1828-4BA0-A4C0-A674D8EB1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36</vt:i4>
      </vt:variant>
    </vt:vector>
  </HeadingPairs>
  <TitlesOfParts>
    <vt:vector size="47" baseType="lpstr">
      <vt:lpstr>Summary</vt:lpstr>
      <vt:lpstr>Pro Forma Adj</vt:lpstr>
      <vt:lpstr>Interest Calc</vt:lpstr>
      <vt:lpstr>Variables</vt:lpstr>
      <vt:lpstr>Exhibit No. SLC-3 pg 1</vt:lpstr>
      <vt:lpstr>Exhibit No. SLC-3 pg 2 - 3</vt:lpstr>
      <vt:lpstr>Exhibit No. SLC-5 pg 3</vt:lpstr>
      <vt:lpstr>Tab 13</vt:lpstr>
      <vt:lpstr>Tab 14</vt:lpstr>
      <vt:lpstr>Tab 15</vt:lpstr>
      <vt:lpstr>Tab 16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SLC-3 pg 1'!Print_Area</vt:lpstr>
      <vt:lpstr>'Exhibit No. SLC-3 pg 2 - 3'!Print_Area</vt:lpstr>
      <vt:lpstr>'Exhibit No. SLC-5 pg 3'!Print_Area</vt:lpstr>
      <vt:lpstr>'Pro Forma Adj'!Print_Area</vt:lpstr>
      <vt:lpstr>Summary!Print_Area</vt:lpstr>
      <vt:lpstr>'Tab 13'!Print_Area</vt:lpstr>
      <vt:lpstr>'Tab 14'!Print_Area</vt:lpstr>
      <vt:lpstr>'Tab 15'!Print_Area</vt:lpstr>
      <vt:lpstr>'Tab 16'!Print_Area</vt:lpstr>
      <vt:lpstr>Variables!Print_Area</vt:lpstr>
      <vt:lpstr>'Exhibit No. SLC-3 pg 2 - 3'!Print_Titles</vt:lpstr>
      <vt:lpstr>'Pro Forma Adj'!Print_Titles</vt:lpstr>
      <vt:lpstr>'Tab 13'!Print_Titles</vt:lpstr>
      <vt:lpstr>'Tab 14'!Print_Titles</vt:lpstr>
      <vt:lpstr>'Tab 15'!Print_Titles</vt:lpstr>
      <vt:lpstr>'Tab 16'!Print_Titles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 (PacifiCorp)</cp:lastModifiedBy>
  <cp:lastPrinted>2023-03-13T20:36:14Z</cp:lastPrinted>
  <dcterms:created xsi:type="dcterms:W3CDTF">2009-02-17T19:17:29Z</dcterms:created>
  <dcterms:modified xsi:type="dcterms:W3CDTF">2023-04-06T16:50:01Z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