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M:\2024\2024 WA Elec and Gas GRC\Direct Testimony\4) Schultz\"/>
    </mc:Choice>
  </mc:AlternateContent>
  <xr:revisionPtr revIDLastSave="0" documentId="13_ncr:1_{3F6E9CB7-DB9F-4E4F-B2A5-85FBDC0EF99C}" xr6:coauthVersionLast="47" xr6:coauthVersionMax="47" xr10:uidLastSave="{00000000-0000-0000-0000-000000000000}"/>
  <bookViews>
    <workbookView xWindow="28680" yWindow="-120" windowWidth="29040" windowHeight="15840" tabRatio="666" firstSheet="1" activeTab="1" xr2:uid="{C14F9419-61FD-4532-8A61-25E66E66D562}"/>
  </bookViews>
  <sheets>
    <sheet name="Acerno_Cache_XXXXX" sheetId="78" state="veryHidden" r:id="rId1"/>
    <sheet name="PROPOSED RATES-12.2024" sheetId="79" r:id="rId2"/>
    <sheet name="PROPOSED RATES-12.2025" sheetId="82" r:id="rId3"/>
    <sheet name="RR SUMMARY" sheetId="55" r:id="rId4"/>
    <sheet name="CF" sheetId="56" r:id="rId5"/>
    <sheet name="ADJ DETAIL INPUT" sheetId="1" r:id="rId6"/>
    <sheet name="ADJ SUMMARY" sheetId="3" r:id="rId7"/>
    <sheet name="CF WA Gas" sheetId="81" r:id="rId8"/>
    <sheet name="ROO INPUT 1.00" sheetId="5" r:id="rId9"/>
    <sheet name="DEBT CALC 2.14" sheetId="75" r:id="rId10"/>
    <sheet name="Recap Summary" sheetId="69" r:id="rId11"/>
    <sheet name="LEAD SHEETS-DO NOT ENTER" sheetId="76" r:id="rId12"/>
  </sheets>
  <definedNames>
    <definedName name="_Fill" hidden="1">#REF!</definedName>
    <definedName name="_Key1" hidden="1">#REF!</definedName>
    <definedName name="_Order1" hidden="1">255</definedName>
    <definedName name="_Order2" hidden="1">255</definedName>
    <definedName name="_xlnm.Print_Area" localSheetId="5">'ADJ DETAIL INPUT'!$A$2:$BJ$84</definedName>
    <definedName name="_xlnm.Print_Area" localSheetId="6">'ADJ SUMMARY'!$A$1:$G$69</definedName>
    <definedName name="_xlnm.Print_Area" localSheetId="4">CF!$A$1:$F$29</definedName>
    <definedName name="_xlnm.Print_Area" localSheetId="9">'DEBT CALC 2.14'!$A$1:$I$68</definedName>
    <definedName name="_xlnm.Print_Area" localSheetId="11">'LEAD SHEETS-DO NOT ENTER'!$A$2:$BD$82</definedName>
    <definedName name="_xlnm.Print_Area" localSheetId="1">'PROPOSED RATES-12.2024'!$A$1:$L$82</definedName>
    <definedName name="_xlnm.Print_Area" localSheetId="2">'PROPOSED RATES-12.2025'!$A$1:$K$82</definedName>
    <definedName name="_xlnm.Print_Area" localSheetId="10">'Recap Summary'!$A$1:$R$71</definedName>
    <definedName name="_xlnm.Print_Area" localSheetId="8">'ROO INPUT 1.00'!$A$3:$G$82</definedName>
    <definedName name="_xlnm.Print_Area" localSheetId="3">'RR SUMMARY'!$A$1:$H$34,'RR SUMMARY'!$J$1:$P$18</definedName>
    <definedName name="Print_for_CBReport" localSheetId="10">'Recap Summary'!$A$11:$I$61</definedName>
    <definedName name="Print_for_Checking" localSheetId="10">'Recap Summary'!$A$11:$I$61</definedName>
    <definedName name="_xlnm.Print_Titles" localSheetId="5">'ADJ DETAIL INPUT'!$A:$D,'ADJ DETAIL INPUT'!$2:$10</definedName>
    <definedName name="_xlnm.Print_Titles" localSheetId="11">'LEAD SHEETS-DO NOT ENTER'!$A:$D,'LEAD SHEETS-DO NOT ENTER'!$2:$11</definedName>
    <definedName name="WA_Elec" localSheetId="9">'DEBT CALC 2.14'!$A$1:$F$67</definedName>
    <definedName name="wrn.All._.Sheets." hidden="1">{"IncSt",#N/A,FALSE,"IS";"BalSht",#N/A,FALSE,"BS";"IntCash",#N/A,FALSE,"Int. Cash";"Stats",#N/A,FALSE,"Stats"}</definedName>
    <definedName name="Z_5BE913A1_B14F_11D2_B0DC_0000832CDFF0_.wvu.Cols" localSheetId="5" hidden="1">'ADJ DETAIL INPUT'!$V:$AW</definedName>
    <definedName name="Z_5BE913A1_B14F_11D2_B0DC_0000832CDFF0_.wvu.Cols" localSheetId="11" hidden="1">'LEAD SHEETS-DO NOT ENTER'!$AB:$AD</definedName>
    <definedName name="Z_5BE913A1_B14F_11D2_B0DC_0000832CDFF0_.wvu.PrintArea" localSheetId="5" hidden="1">'ADJ DETAIL INPUT'!$E$11:$AW$82</definedName>
    <definedName name="Z_5BE913A1_B14F_11D2_B0DC_0000832CDFF0_.wvu.PrintArea" localSheetId="6" hidden="1">'ADJ SUMMARY'!$A$1:$G$53</definedName>
    <definedName name="Z_5BE913A1_B14F_11D2_B0DC_0000832CDFF0_.wvu.PrintArea" localSheetId="11" hidden="1">'LEAD SHEETS-DO NOT ENTER'!$E$12:$AD$83</definedName>
    <definedName name="Z_5BE913A1_B14F_11D2_B0DC_0000832CDFF0_.wvu.PrintArea" localSheetId="10" hidden="1">'Recap Summary'!$A$11:$I$61</definedName>
    <definedName name="Z_5BE913A1_B14F_11D2_B0DC_0000832CDFF0_.wvu.PrintArea" localSheetId="8" hidden="1">'ROO INPUT 1.00'!$A$3:$G$82</definedName>
    <definedName name="Z_5BE913A1_B14F_11D2_B0DC_0000832CDFF0_.wvu.PrintTitles" localSheetId="5" hidden="1">'ADJ DETAIL INPUT'!$A:$D,'ADJ DETAIL INPUT'!$2:$10</definedName>
    <definedName name="Z_5BE913A1_B14F_11D2_B0DC_0000832CDFF0_.wvu.PrintTitles" localSheetId="11" hidden="1">'LEAD SHEETS-DO NOT ENTER'!$A:$D,'LEAD SHEETS-DO NOT ENTER'!$2:$11</definedName>
    <definedName name="Z_5BE913A1_B14F_11D2_B0DC_0000832CDFF0_.wvu.Rows" localSheetId="6" hidden="1">'ADJ SUMMARY'!$25:$25,'ADJ SUMMARY'!$29:$53,'ADJ SUMMARY'!#REF!</definedName>
    <definedName name="Z_5BE913A1_B14F_11D2_B0DC_0000832CDFF0_.wvu.Rows" localSheetId="10" hidden="1">'Recap Summary'!$31:$31,'Recap Summary'!$35:$61,'Recap Summary'!#REF!</definedName>
    <definedName name="Z_A15D1964_B049_11D2_8670_0000832CEEE8_.wvu.Cols" localSheetId="5" hidden="1">'ADJ DETAIL INPUT'!$V:$AW</definedName>
    <definedName name="Z_A15D1964_B049_11D2_8670_0000832CEEE8_.wvu.Cols" localSheetId="11" hidden="1">'LEAD SHEETS-DO NOT ENTER'!$AB:$AD</definedName>
    <definedName name="Z_A15D1964_B049_11D2_8670_0000832CEEE8_.wvu.PrintArea" localSheetId="5" hidden="1">'ADJ DETAIL INPUT'!$E$11:$AW$82</definedName>
    <definedName name="Z_A15D1964_B049_11D2_8670_0000832CEEE8_.wvu.PrintArea" localSheetId="6" hidden="1">'ADJ SUMMARY'!$A$1:$G$53</definedName>
    <definedName name="Z_A15D1964_B049_11D2_8670_0000832CEEE8_.wvu.PrintArea" localSheetId="11" hidden="1">'LEAD SHEETS-DO NOT ENTER'!$E$12:$AD$83</definedName>
    <definedName name="Z_A15D1964_B049_11D2_8670_0000832CEEE8_.wvu.PrintArea" localSheetId="10" hidden="1">'Recap Summary'!$A$11:$I$61</definedName>
    <definedName name="Z_A15D1964_B049_11D2_8670_0000832CEEE8_.wvu.PrintArea" localSheetId="8" hidden="1">'ROO INPUT 1.00'!$A$3:$G$82</definedName>
    <definedName name="Z_A15D1964_B049_11D2_8670_0000832CEEE8_.wvu.PrintTitles" localSheetId="5" hidden="1">'ADJ DETAIL INPUT'!$A:$D,'ADJ DETAIL INPUT'!$2:$10</definedName>
    <definedName name="Z_A15D1964_B049_11D2_8670_0000832CEEE8_.wvu.PrintTitles" localSheetId="11" hidden="1">'LEAD SHEETS-DO NOT ENTER'!$A:$D,'LEAD SHEETS-DO NOT ENTER'!$2:$11</definedName>
    <definedName name="Z_A15D1964_B049_11D2_8670_0000832CEEE8_.wvu.Rows" localSheetId="6" hidden="1">'ADJ SUMMARY'!$25:$25,'ADJ SUMMARY'!$29:$53,'ADJ SUMMARY'!#REF!</definedName>
    <definedName name="Z_A15D1964_B049_11D2_8670_0000832CEEE8_.wvu.Rows" localSheetId="10" hidden="1">'Recap Summary'!$31:$31,'Recap Summary'!$35:$61,'Recap Summary'!#REF!</definedName>
  </definedNames>
  <calcPr calcId="191029"/>
  <customWorkbookViews>
    <customWorkbookView name="Kathy Mitchell - Personal View" guid="{A15D1964-B049-11D2-8670-0000832CEEE8}" mergeInterval="0" personalView="1" maximized="1" windowWidth="796" windowHeight="436" activeSheetId="1"/>
    <customWorkbookView name="Don Falkner - Personal View" guid="{5BE913A1-B14F-11D2-B0DC-0000832CDFF0}" mergeInterval="0" personalView="1" maximized="1" windowWidth="1020" windowHeight="60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56" l="1"/>
  <c r="A4" i="55"/>
  <c r="AP79" i="76"/>
  <c r="AP78" i="76"/>
  <c r="AP77" i="76"/>
  <c r="AP76" i="76"/>
  <c r="AP74" i="76"/>
  <c r="AP71" i="76"/>
  <c r="AP70" i="76"/>
  <c r="AP69" i="76"/>
  <c r="AP72" i="76" s="1"/>
  <c r="AP65" i="76"/>
  <c r="AP64" i="76"/>
  <c r="AP63" i="76"/>
  <c r="AP66" i="76" s="1"/>
  <c r="AP57" i="76"/>
  <c r="AP56" i="76"/>
  <c r="AP54" i="76"/>
  <c r="AP47" i="76"/>
  <c r="AP46" i="76"/>
  <c r="AP45" i="76"/>
  <c r="AP44" i="76"/>
  <c r="AP41" i="76"/>
  <c r="AP40" i="76"/>
  <c r="AP39" i="76"/>
  <c r="AP36" i="76"/>
  <c r="AP35" i="76"/>
  <c r="AP34" i="76"/>
  <c r="AP37" i="76" s="1"/>
  <c r="AP30" i="76"/>
  <c r="AP29" i="76"/>
  <c r="AP28" i="76"/>
  <c r="AP24" i="76"/>
  <c r="AP23" i="76"/>
  <c r="AP22" i="76"/>
  <c r="AP25" i="76" s="1"/>
  <c r="AP17" i="76"/>
  <c r="AP16" i="76"/>
  <c r="AP15" i="76"/>
  <c r="AP12" i="76"/>
  <c r="AP11" i="76"/>
  <c r="AP10" i="76"/>
  <c r="AP9" i="76"/>
  <c r="AP8" i="76"/>
  <c r="AO79" i="76"/>
  <c r="AO78" i="76"/>
  <c r="AO77" i="76"/>
  <c r="AO76" i="76"/>
  <c r="AO74" i="76"/>
  <c r="AO71" i="76"/>
  <c r="AO70" i="76"/>
  <c r="AO69" i="76"/>
  <c r="AO65" i="76"/>
  <c r="AO64" i="76"/>
  <c r="AO63" i="76"/>
  <c r="AO57" i="76"/>
  <c r="AO56" i="76"/>
  <c r="AO54" i="76"/>
  <c r="AO47" i="76"/>
  <c r="AO46" i="76"/>
  <c r="AO45" i="76"/>
  <c r="AO44" i="76"/>
  <c r="AO41" i="76"/>
  <c r="AO40" i="76"/>
  <c r="AO39" i="76"/>
  <c r="AO36" i="76"/>
  <c r="AO35" i="76"/>
  <c r="AO34" i="76"/>
  <c r="AO30" i="76"/>
  <c r="AO31" i="76" s="1"/>
  <c r="AO29" i="76"/>
  <c r="AO28" i="76"/>
  <c r="AO24" i="76"/>
  <c r="AO23" i="76"/>
  <c r="AO22" i="76"/>
  <c r="AO17" i="76"/>
  <c r="AO16" i="76"/>
  <c r="AO15" i="76"/>
  <c r="AO12" i="76"/>
  <c r="AO11" i="76"/>
  <c r="AO10" i="76"/>
  <c r="AO9" i="76"/>
  <c r="AO8" i="76"/>
  <c r="AN79" i="76"/>
  <c r="AN78" i="76"/>
  <c r="AN77" i="76"/>
  <c r="AN76" i="76"/>
  <c r="AN74" i="76"/>
  <c r="AN71" i="76"/>
  <c r="AN70" i="76"/>
  <c r="AN69" i="76"/>
  <c r="AN72" i="76" s="1"/>
  <c r="AN65" i="76"/>
  <c r="AN64" i="76"/>
  <c r="AN63" i="76"/>
  <c r="AN57" i="76"/>
  <c r="AN56" i="76"/>
  <c r="AN54" i="76"/>
  <c r="AN47" i="76"/>
  <c r="AN46" i="76"/>
  <c r="AN45" i="76"/>
  <c r="AN44" i="76"/>
  <c r="AN41" i="76"/>
  <c r="AN40" i="76"/>
  <c r="AN39" i="76"/>
  <c r="AN36" i="76"/>
  <c r="AN35" i="76"/>
  <c r="AN34" i="76"/>
  <c r="AN30" i="76"/>
  <c r="AN29" i="76"/>
  <c r="AN28" i="76"/>
  <c r="AN24" i="76"/>
  <c r="AN23" i="76"/>
  <c r="AN22" i="76"/>
  <c r="AN17" i="76"/>
  <c r="AN16" i="76"/>
  <c r="AN15" i="76"/>
  <c r="AN12" i="76"/>
  <c r="AN11" i="76"/>
  <c r="AN10" i="76"/>
  <c r="AN9" i="76"/>
  <c r="AN8" i="76"/>
  <c r="AF79" i="76"/>
  <c r="AF78" i="76"/>
  <c r="AF77" i="76"/>
  <c r="AF76" i="76"/>
  <c r="AF74" i="76"/>
  <c r="AF71" i="76"/>
  <c r="AF70" i="76"/>
  <c r="AF69" i="76"/>
  <c r="AF65" i="76"/>
  <c r="AF64" i="76"/>
  <c r="AF63" i="76"/>
  <c r="AF57" i="76"/>
  <c r="AF56" i="76"/>
  <c r="AF54" i="76"/>
  <c r="AF47" i="76"/>
  <c r="AF46" i="76"/>
  <c r="AF45" i="76"/>
  <c r="AF44" i="76"/>
  <c r="AF41" i="76"/>
  <c r="AF40" i="76"/>
  <c r="AF39" i="76"/>
  <c r="AF36" i="76"/>
  <c r="AF35" i="76"/>
  <c r="AF34" i="76"/>
  <c r="AF30" i="76"/>
  <c r="AF29" i="76"/>
  <c r="AF28" i="76"/>
  <c r="AF24" i="76"/>
  <c r="AF23" i="76"/>
  <c r="AF22" i="76"/>
  <c r="AF17" i="76"/>
  <c r="AF16" i="76"/>
  <c r="AF15" i="76"/>
  <c r="AF12" i="76"/>
  <c r="AF11" i="76"/>
  <c r="AF10" i="76"/>
  <c r="AF9" i="76"/>
  <c r="AF8" i="76"/>
  <c r="F60" i="69"/>
  <c r="F34" i="69"/>
  <c r="A4" i="3"/>
  <c r="AP31" i="76" l="1"/>
  <c r="AP18" i="76"/>
  <c r="AO25" i="76"/>
  <c r="AN25" i="76"/>
  <c r="AO66" i="76"/>
  <c r="AN31" i="76"/>
  <c r="AO72" i="76"/>
  <c r="AO73" i="76" s="1"/>
  <c r="AO75" i="76" s="1"/>
  <c r="AO82" i="76" s="1"/>
  <c r="AP48" i="76"/>
  <c r="AP49" i="76" s="1"/>
  <c r="AP51" i="76" s="1"/>
  <c r="AO18" i="76"/>
  <c r="AN18" i="76"/>
  <c r="AO37" i="76"/>
  <c r="AN37" i="76"/>
  <c r="AP73" i="76"/>
  <c r="AP75" i="76" s="1"/>
  <c r="AP82" i="76" s="1"/>
  <c r="AO48" i="76"/>
  <c r="AO49" i="76" s="1"/>
  <c r="AO51" i="76" s="1"/>
  <c r="AF18" i="76"/>
  <c r="AF72" i="76"/>
  <c r="AF73" i="76" s="1"/>
  <c r="AF75" i="76" s="1"/>
  <c r="AF82" i="76" s="1"/>
  <c r="AN48" i="76"/>
  <c r="AN66" i="76"/>
  <c r="AN73" i="76" s="1"/>
  <c r="AN75" i="76" s="1"/>
  <c r="AN82" i="76" s="1"/>
  <c r="AN49" i="76"/>
  <c r="AN51" i="76" s="1"/>
  <c r="AF37" i="76"/>
  <c r="AF31" i="76"/>
  <c r="AF25" i="76"/>
  <c r="AF48" i="76"/>
  <c r="AF66" i="76"/>
  <c r="AF49" i="76" l="1"/>
  <c r="AF51" i="76" s="1"/>
  <c r="O21" i="55" l="1"/>
  <c r="I43" i="69" l="1"/>
  <c r="B43" i="69"/>
  <c r="A43" i="69"/>
  <c r="L43" i="69"/>
  <c r="AS10" i="1" l="1"/>
  <c r="H11" i="69" l="1"/>
  <c r="I11" i="69"/>
  <c r="I12" i="69"/>
  <c r="I13" i="69"/>
  <c r="I14" i="69"/>
  <c r="I18" i="69"/>
  <c r="I19" i="69"/>
  <c r="I20" i="69"/>
  <c r="I21" i="69"/>
  <c r="I22" i="69"/>
  <c r="I23" i="69"/>
  <c r="I24" i="69"/>
  <c r="I25" i="69"/>
  <c r="I26" i="69"/>
  <c r="I27" i="69"/>
  <c r="I28" i="69"/>
  <c r="I29" i="69"/>
  <c r="I30" i="69"/>
  <c r="I31" i="69"/>
  <c r="I32" i="69"/>
  <c r="I33" i="69"/>
  <c r="I36" i="69"/>
  <c r="I37" i="69"/>
  <c r="I38" i="69"/>
  <c r="I39" i="69"/>
  <c r="I40" i="69"/>
  <c r="I41" i="69"/>
  <c r="I42" i="69"/>
  <c r="I44" i="69"/>
  <c r="I45" i="69"/>
  <c r="I46" i="69"/>
  <c r="I47" i="69"/>
  <c r="I48" i="69"/>
  <c r="I49" i="69"/>
  <c r="I50" i="69"/>
  <c r="I51" i="69"/>
  <c r="I52" i="69"/>
  <c r="I53" i="69"/>
  <c r="I54" i="69"/>
  <c r="I55" i="69"/>
  <c r="I56" i="69"/>
  <c r="I57" i="69"/>
  <c r="I58" i="69"/>
  <c r="E37" i="3"/>
  <c r="F38" i="75" s="1"/>
  <c r="G38" i="75" s="1"/>
  <c r="C37" i="3"/>
  <c r="B38" i="75" s="1"/>
  <c r="B37" i="3"/>
  <c r="A37" i="3"/>
  <c r="A38" i="75" s="1"/>
  <c r="AG10" i="1"/>
  <c r="AH10" i="1" s="1"/>
  <c r="AI10" i="1" s="1"/>
  <c r="AG17" i="1"/>
  <c r="AG24" i="1"/>
  <c r="AG30" i="1"/>
  <c r="AG36" i="1"/>
  <c r="AG47" i="1"/>
  <c r="AG65" i="1"/>
  <c r="AG72" i="1" s="1"/>
  <c r="AG74" i="1" s="1"/>
  <c r="AG81" i="1" s="1"/>
  <c r="AG71" i="1"/>
  <c r="AG48" i="1" l="1"/>
  <c r="AG50" i="1" s="1"/>
  <c r="AG53" i="1" l="1"/>
  <c r="BE43" i="1" l="1"/>
  <c r="AM43" i="1"/>
  <c r="AM33" i="1"/>
  <c r="BE39" i="1" l="1"/>
  <c r="BE38" i="1"/>
  <c r="BE33" i="1"/>
  <c r="BE27" i="1"/>
  <c r="BE22" i="1"/>
  <c r="AM39" i="1"/>
  <c r="AM38" i="1"/>
  <c r="AM27" i="1"/>
  <c r="AM22" i="1"/>
  <c r="BF70" i="1"/>
  <c r="BF64" i="1"/>
  <c r="AT70" i="1"/>
  <c r="AT64" i="1"/>
  <c r="AP70" i="1"/>
  <c r="AP64" i="1"/>
  <c r="AN70" i="1"/>
  <c r="AN64" i="1"/>
  <c r="BF44" i="1"/>
  <c r="AT44" i="1"/>
  <c r="AP44" i="1"/>
  <c r="AN44" i="1"/>
  <c r="W70" i="1"/>
  <c r="W64" i="1"/>
  <c r="BG17" i="1" l="1"/>
  <c r="BG71" i="1"/>
  <c r="BF71" i="1"/>
  <c r="BE71" i="1"/>
  <c r="BD71" i="1"/>
  <c r="BG65" i="1"/>
  <c r="BG72" i="1" s="1"/>
  <c r="BG74" i="1" s="1"/>
  <c r="BG81" i="1" s="1"/>
  <c r="BE65" i="1"/>
  <c r="BE72" i="1" s="1"/>
  <c r="BE74" i="1" s="1"/>
  <c r="BE81" i="1" s="1"/>
  <c r="BD65" i="1"/>
  <c r="BD72" i="1" s="1"/>
  <c r="BD74" i="1" s="1"/>
  <c r="BD81" i="1" s="1"/>
  <c r="BF65" i="1"/>
  <c r="BG47" i="1"/>
  <c r="BD47" i="1"/>
  <c r="BF47" i="1"/>
  <c r="BE47" i="1"/>
  <c r="BG36" i="1"/>
  <c r="BF36" i="1"/>
  <c r="BE36" i="1"/>
  <c r="BD36" i="1"/>
  <c r="BG30" i="1"/>
  <c r="BF30" i="1"/>
  <c r="BE30" i="1"/>
  <c r="BD30" i="1"/>
  <c r="BG24" i="1"/>
  <c r="BF24" i="1"/>
  <c r="BD24" i="1"/>
  <c r="BE24" i="1"/>
  <c r="BF17" i="1"/>
  <c r="BE17" i="1"/>
  <c r="BD17" i="1"/>
  <c r="B53" i="69"/>
  <c r="B52" i="69"/>
  <c r="B51" i="69"/>
  <c r="C47" i="3"/>
  <c r="B48" i="75" s="1"/>
  <c r="B47" i="3"/>
  <c r="C46" i="3"/>
  <c r="B47" i="75" s="1"/>
  <c r="B46" i="3"/>
  <c r="C45" i="3"/>
  <c r="B46" i="75" s="1"/>
  <c r="B45" i="3"/>
  <c r="AS71" i="1"/>
  <c r="AS65" i="1"/>
  <c r="AS47" i="1"/>
  <c r="AS36" i="1"/>
  <c r="AS30" i="1"/>
  <c r="AS24" i="1"/>
  <c r="AS17" i="1"/>
  <c r="AT10" i="1"/>
  <c r="AJ17" i="1"/>
  <c r="AK17" i="1"/>
  <c r="AL17" i="1"/>
  <c r="AM17" i="1"/>
  <c r="AN17" i="1"/>
  <c r="AJ24" i="1"/>
  <c r="AK24" i="1"/>
  <c r="AL24" i="1"/>
  <c r="AM24" i="1"/>
  <c r="AN24" i="1"/>
  <c r="AJ30" i="1"/>
  <c r="AK30" i="1"/>
  <c r="AL30" i="1"/>
  <c r="AM30" i="1"/>
  <c r="AN30" i="1"/>
  <c r="AM36" i="1"/>
  <c r="AJ36" i="1"/>
  <c r="AK36" i="1"/>
  <c r="AL36" i="1"/>
  <c r="AN36" i="1"/>
  <c r="AN47" i="1"/>
  <c r="AJ47" i="1"/>
  <c r="AK47" i="1"/>
  <c r="AL47" i="1"/>
  <c r="AM47" i="1"/>
  <c r="AJ65" i="1"/>
  <c r="AJ72" i="1" s="1"/>
  <c r="AJ74" i="1" s="1"/>
  <c r="AJ81" i="1" s="1"/>
  <c r="AK65" i="1"/>
  <c r="AK72" i="1" s="1"/>
  <c r="AK74" i="1" s="1"/>
  <c r="AK81" i="1" s="1"/>
  <c r="AL65" i="1"/>
  <c r="AM65" i="1"/>
  <c r="AN65" i="1"/>
  <c r="AJ71" i="1"/>
  <c r="AK71" i="1"/>
  <c r="AL71" i="1"/>
  <c r="AL72" i="1" s="1"/>
  <c r="AL74" i="1" s="1"/>
  <c r="AL81" i="1" s="1"/>
  <c r="AM71" i="1"/>
  <c r="AN71" i="1"/>
  <c r="AQ71" i="1"/>
  <c r="AQ65" i="1"/>
  <c r="AQ47" i="1"/>
  <c r="AQ36" i="1"/>
  <c r="AQ30" i="1"/>
  <c r="AQ24" i="1"/>
  <c r="AQ17" i="1"/>
  <c r="AP71" i="1"/>
  <c r="AP65" i="1"/>
  <c r="AP47" i="1"/>
  <c r="AP36" i="1"/>
  <c r="AP30" i="1"/>
  <c r="AP24" i="1"/>
  <c r="AP17" i="1"/>
  <c r="AO71" i="1"/>
  <c r="AO65" i="1"/>
  <c r="AO47" i="1"/>
  <c r="AO36" i="1"/>
  <c r="AO30" i="1"/>
  <c r="AO24" i="1"/>
  <c r="AO17" i="1"/>
  <c r="AK48" i="1" l="1"/>
  <c r="AK50" i="1" s="1"/>
  <c r="AK53" i="1" s="1"/>
  <c r="AS48" i="1"/>
  <c r="AS50" i="1" s="1"/>
  <c r="AS53" i="1" s="1"/>
  <c r="BD48" i="1"/>
  <c r="BD50" i="1" s="1"/>
  <c r="BG48" i="1"/>
  <c r="BG50" i="1" s="1"/>
  <c r="BG53" i="1" s="1"/>
  <c r="BE48" i="1"/>
  <c r="BE50" i="1" s="1"/>
  <c r="BE53" i="1" s="1"/>
  <c r="BF72" i="1"/>
  <c r="BF74" i="1" s="1"/>
  <c r="BF81" i="1" s="1"/>
  <c r="AP72" i="1"/>
  <c r="AP74" i="1" s="1"/>
  <c r="AP81" i="1" s="1"/>
  <c r="L52" i="69" s="1"/>
  <c r="AP48" i="1"/>
  <c r="AP50" i="1" s="1"/>
  <c r="AP53" i="1" s="1"/>
  <c r="AO48" i="1"/>
  <c r="AO50" i="1" s="1"/>
  <c r="AO53" i="1" s="1"/>
  <c r="AL48" i="1"/>
  <c r="AL50" i="1" s="1"/>
  <c r="AL53" i="1" s="1"/>
  <c r="BF48" i="1"/>
  <c r="BF50" i="1" s="1"/>
  <c r="BD53" i="1"/>
  <c r="AM48" i="1"/>
  <c r="AM50" i="1" s="1"/>
  <c r="AM53" i="1" s="1"/>
  <c r="AQ72" i="1"/>
  <c r="AQ74" i="1" s="1"/>
  <c r="AQ81" i="1" s="1"/>
  <c r="AQ48" i="1"/>
  <c r="AQ50" i="1" s="1"/>
  <c r="AN72" i="1"/>
  <c r="AN74" i="1" s="1"/>
  <c r="AN81" i="1" s="1"/>
  <c r="AO72" i="1"/>
  <c r="AO74" i="1" s="1"/>
  <c r="AO81" i="1" s="1"/>
  <c r="AM72" i="1"/>
  <c r="AM74" i="1" s="1"/>
  <c r="AM81" i="1" s="1"/>
  <c r="AJ48" i="1"/>
  <c r="AJ50" i="1" s="1"/>
  <c r="AJ53" i="1" s="1"/>
  <c r="AS72" i="1"/>
  <c r="AS74" i="1" s="1"/>
  <c r="AS81" i="1" s="1"/>
  <c r="AN48" i="1"/>
  <c r="AN50" i="1" s="1"/>
  <c r="E46" i="3" l="1"/>
  <c r="F47" i="75" s="1"/>
  <c r="BF53" i="1"/>
  <c r="L53" i="69"/>
  <c r="E47" i="3"/>
  <c r="F48" i="75" s="1"/>
  <c r="AQ53" i="1"/>
  <c r="L51" i="69"/>
  <c r="E45" i="3"/>
  <c r="F46" i="75" s="1"/>
  <c r="AN53" i="1"/>
  <c r="G46" i="75" l="1"/>
  <c r="G47" i="75"/>
  <c r="G48" i="75"/>
  <c r="F320" i="5"/>
  <c r="F321" i="5"/>
  <c r="F322" i="5"/>
  <c r="F323" i="5"/>
  <c r="F324" i="5"/>
  <c r="F325" i="5"/>
  <c r="B78" i="69"/>
  <c r="A67" i="69"/>
  <c r="B60" i="69"/>
  <c r="A35" i="69"/>
  <c r="AI71" i="1" l="1"/>
  <c r="AH71" i="1"/>
  <c r="AF71" i="1"/>
  <c r="AE71" i="1"/>
  <c r="AD71" i="1"/>
  <c r="AI65" i="1"/>
  <c r="AH65" i="1"/>
  <c r="AH72" i="1" s="1"/>
  <c r="AH74" i="1" s="1"/>
  <c r="AH81" i="1" s="1"/>
  <c r="AF65" i="1"/>
  <c r="AF72" i="1" s="1"/>
  <c r="AF74" i="1" s="1"/>
  <c r="AF81" i="1" s="1"/>
  <c r="AE65" i="1"/>
  <c r="AD65" i="1"/>
  <c r="AI47" i="1"/>
  <c r="AH47" i="1"/>
  <c r="AF47" i="1"/>
  <c r="AE47" i="1"/>
  <c r="AD47" i="1"/>
  <c r="AI36" i="1"/>
  <c r="AH36" i="1"/>
  <c r="AF36" i="1"/>
  <c r="AE36" i="1"/>
  <c r="AD36" i="1"/>
  <c r="AI30" i="1"/>
  <c r="AH30" i="1"/>
  <c r="AF30" i="1"/>
  <c r="AE30" i="1"/>
  <c r="AD30" i="1"/>
  <c r="AI24" i="1"/>
  <c r="AH24" i="1"/>
  <c r="AF24" i="1"/>
  <c r="AE24" i="1"/>
  <c r="AD24" i="1"/>
  <c r="AI17" i="1"/>
  <c r="AH17" i="1"/>
  <c r="AF17" i="1"/>
  <c r="AE17" i="1"/>
  <c r="AD17" i="1"/>
  <c r="X17" i="1"/>
  <c r="X24" i="1"/>
  <c r="X30" i="1"/>
  <c r="X36" i="1"/>
  <c r="X47" i="1"/>
  <c r="X65" i="1"/>
  <c r="X71" i="1"/>
  <c r="AE72" i="1" l="1"/>
  <c r="AE74" i="1" s="1"/>
  <c r="AE81" i="1" s="1"/>
  <c r="AD72" i="1"/>
  <c r="AD74" i="1" s="1"/>
  <c r="AD81" i="1" s="1"/>
  <c r="AI72" i="1"/>
  <c r="AI74" i="1" s="1"/>
  <c r="AI81" i="1" s="1"/>
  <c r="AI48" i="1"/>
  <c r="AI50" i="1" s="1"/>
  <c r="AF48" i="1"/>
  <c r="AF50" i="1" s="1"/>
  <c r="AF53" i="1" s="1"/>
  <c r="AD48" i="1"/>
  <c r="AD50" i="1" s="1"/>
  <c r="AE48" i="1"/>
  <c r="AE50" i="1" s="1"/>
  <c r="AE53" i="1" s="1"/>
  <c r="AH48" i="1"/>
  <c r="AH50" i="1" s="1"/>
  <c r="X48" i="1"/>
  <c r="X50" i="1" s="1"/>
  <c r="X53" i="1" s="1"/>
  <c r="X72" i="1"/>
  <c r="X74" i="1" s="1"/>
  <c r="X81" i="1" s="1"/>
  <c r="AH53" i="1" l="1"/>
  <c r="AI53" i="1"/>
  <c r="AD53" i="1"/>
  <c r="B68" i="69" l="1"/>
  <c r="B77" i="69"/>
  <c r="B76" i="69"/>
  <c r="B75" i="69"/>
  <c r="B74" i="69"/>
  <c r="B73" i="69"/>
  <c r="B72" i="69"/>
  <c r="B71" i="69"/>
  <c r="B70" i="69"/>
  <c r="B69" i="69"/>
  <c r="B54" i="69"/>
  <c r="B50" i="69"/>
  <c r="B46" i="69"/>
  <c r="B33" i="69"/>
  <c r="AU8" i="76" l="1"/>
  <c r="AU9" i="76"/>
  <c r="AU10" i="76"/>
  <c r="AU12" i="76"/>
  <c r="AU15" i="76"/>
  <c r="AU16" i="76"/>
  <c r="AU17" i="76"/>
  <c r="AU22" i="76"/>
  <c r="AU23" i="76"/>
  <c r="AU24" i="76"/>
  <c r="AU28" i="76"/>
  <c r="AU29" i="76"/>
  <c r="AU30" i="76"/>
  <c r="AU34" i="76"/>
  <c r="AU35" i="76"/>
  <c r="AU36" i="76"/>
  <c r="AU39" i="76"/>
  <c r="AU40" i="76"/>
  <c r="AU41" i="76"/>
  <c r="AU44" i="76"/>
  <c r="AU45" i="76"/>
  <c r="AU46" i="76"/>
  <c r="AU47" i="76"/>
  <c r="AU56" i="76"/>
  <c r="AU57" i="76"/>
  <c r="AU63" i="76"/>
  <c r="AU64" i="76"/>
  <c r="AU65" i="76"/>
  <c r="AU69" i="76"/>
  <c r="AU70" i="76"/>
  <c r="AU71" i="76"/>
  <c r="AU74" i="76"/>
  <c r="AU76" i="76"/>
  <c r="AU77" i="76"/>
  <c r="AU78" i="76"/>
  <c r="AU79" i="76"/>
  <c r="Z8" i="76"/>
  <c r="AA8" i="76"/>
  <c r="AB8" i="76"/>
  <c r="AC8" i="76"/>
  <c r="AD8" i="76"/>
  <c r="AE8" i="76"/>
  <c r="AG8" i="76"/>
  <c r="AH8" i="76"/>
  <c r="AI8" i="76"/>
  <c r="AJ8" i="76"/>
  <c r="AK8" i="76"/>
  <c r="AL8" i="76"/>
  <c r="AM8" i="76"/>
  <c r="AQ8" i="76"/>
  <c r="AR8" i="76"/>
  <c r="AS8" i="76"/>
  <c r="AT8" i="76"/>
  <c r="AV8" i="76"/>
  <c r="AW8" i="76"/>
  <c r="AX8" i="76"/>
  <c r="AY8" i="76"/>
  <c r="AZ8" i="76"/>
  <c r="BA8" i="76"/>
  <c r="BB8" i="76"/>
  <c r="BC8" i="76"/>
  <c r="BD8" i="76"/>
  <c r="Z9" i="76"/>
  <c r="AA9" i="76"/>
  <c r="AB9" i="76"/>
  <c r="AC9" i="76"/>
  <c r="AD9" i="76"/>
  <c r="AE9" i="76"/>
  <c r="AG9" i="76"/>
  <c r="AH9" i="76"/>
  <c r="AI9" i="76"/>
  <c r="AJ9" i="76"/>
  <c r="AK9" i="76"/>
  <c r="AL9" i="76"/>
  <c r="AM9" i="76"/>
  <c r="AQ9" i="76"/>
  <c r="AR9" i="76"/>
  <c r="AS9" i="76"/>
  <c r="AT9" i="76"/>
  <c r="AV9" i="76"/>
  <c r="AW9" i="76"/>
  <c r="AX9" i="76"/>
  <c r="AY9" i="76"/>
  <c r="AZ9" i="76"/>
  <c r="BA9" i="76"/>
  <c r="BB9" i="76"/>
  <c r="BC9" i="76"/>
  <c r="BD9" i="76"/>
  <c r="Z10" i="76"/>
  <c r="AA10" i="76"/>
  <c r="AB10" i="76"/>
  <c r="AC10" i="76"/>
  <c r="AD10" i="76"/>
  <c r="AE10" i="76"/>
  <c r="AG10" i="76"/>
  <c r="AH10" i="76"/>
  <c r="AI10" i="76"/>
  <c r="AJ10" i="76"/>
  <c r="AK10" i="76"/>
  <c r="AL10" i="76"/>
  <c r="AM10" i="76"/>
  <c r="AQ10" i="76"/>
  <c r="AR10" i="76"/>
  <c r="AS10" i="76"/>
  <c r="AT10" i="76"/>
  <c r="AV10" i="76"/>
  <c r="AW10" i="76"/>
  <c r="AX10" i="76"/>
  <c r="AY10" i="76"/>
  <c r="AZ10" i="76"/>
  <c r="BA10" i="76"/>
  <c r="BB10" i="76"/>
  <c r="BC10" i="76"/>
  <c r="BD10" i="76"/>
  <c r="AR11" i="76"/>
  <c r="Z12" i="76"/>
  <c r="AA12" i="76"/>
  <c r="AB12" i="76"/>
  <c r="AC12" i="76"/>
  <c r="AD12" i="76"/>
  <c r="AE12" i="76"/>
  <c r="AG12" i="76"/>
  <c r="AH12" i="76"/>
  <c r="AI12" i="76"/>
  <c r="AJ12" i="76"/>
  <c r="AK12" i="76"/>
  <c r="AL12" i="76"/>
  <c r="AM12" i="76"/>
  <c r="AQ12" i="76"/>
  <c r="AR12" i="76"/>
  <c r="AS12" i="76"/>
  <c r="AT12" i="76"/>
  <c r="AV12" i="76"/>
  <c r="AW12" i="76"/>
  <c r="AX12" i="76"/>
  <c r="AY12" i="76"/>
  <c r="AZ12" i="76"/>
  <c r="BA12" i="76"/>
  <c r="BB12" i="76"/>
  <c r="BC12" i="76"/>
  <c r="BD12" i="76"/>
  <c r="Z15" i="76"/>
  <c r="AA15" i="76"/>
  <c r="AB15" i="76"/>
  <c r="AC15" i="76"/>
  <c r="AD15" i="76"/>
  <c r="AE15" i="76"/>
  <c r="AG15" i="76"/>
  <c r="AH15" i="76"/>
  <c r="AI15" i="76"/>
  <c r="AJ15" i="76"/>
  <c r="AK15" i="76"/>
  <c r="AL15" i="76"/>
  <c r="AM15" i="76"/>
  <c r="AQ15" i="76"/>
  <c r="AR15" i="76"/>
  <c r="AS15" i="76"/>
  <c r="AT15" i="76"/>
  <c r="AV15" i="76"/>
  <c r="AW15" i="76"/>
  <c r="AX15" i="76"/>
  <c r="AY15" i="76"/>
  <c r="AZ15" i="76"/>
  <c r="BA15" i="76"/>
  <c r="BB15" i="76"/>
  <c r="BC15" i="76"/>
  <c r="BD15" i="76"/>
  <c r="Z16" i="76"/>
  <c r="AA16" i="76"/>
  <c r="AB16" i="76"/>
  <c r="AC16" i="76"/>
  <c r="AD16" i="76"/>
  <c r="AE16" i="76"/>
  <c r="AG16" i="76"/>
  <c r="AH16" i="76"/>
  <c r="AI16" i="76"/>
  <c r="AJ16" i="76"/>
  <c r="AK16" i="76"/>
  <c r="AL16" i="76"/>
  <c r="AM16" i="76"/>
  <c r="AQ16" i="76"/>
  <c r="AR16" i="76"/>
  <c r="AS16" i="76"/>
  <c r="AT16" i="76"/>
  <c r="AV16" i="76"/>
  <c r="AW16" i="76"/>
  <c r="AX16" i="76"/>
  <c r="AY16" i="76"/>
  <c r="AZ16" i="76"/>
  <c r="BA16" i="76"/>
  <c r="BB16" i="76"/>
  <c r="BC16" i="76"/>
  <c r="BD16" i="76"/>
  <c r="Z17" i="76"/>
  <c r="AA17" i="76"/>
  <c r="AB17" i="76"/>
  <c r="AC17" i="76"/>
  <c r="AD17" i="76"/>
  <c r="AE17" i="76"/>
  <c r="AG17" i="76"/>
  <c r="AH17" i="76"/>
  <c r="AI17" i="76"/>
  <c r="AJ17" i="76"/>
  <c r="AK17" i="76"/>
  <c r="AL17" i="76"/>
  <c r="AM17" i="76"/>
  <c r="AQ17" i="76"/>
  <c r="AR17" i="76"/>
  <c r="AS17" i="76"/>
  <c r="AT17" i="76"/>
  <c r="AV17" i="76"/>
  <c r="AV18" i="76" s="1"/>
  <c r="AW17" i="76"/>
  <c r="AX17" i="76"/>
  <c r="AY17" i="76"/>
  <c r="AZ17" i="76"/>
  <c r="BA17" i="76"/>
  <c r="BB17" i="76"/>
  <c r="BC17" i="76"/>
  <c r="Z22" i="76"/>
  <c r="AA22" i="76"/>
  <c r="AB22" i="76"/>
  <c r="AC22" i="76"/>
  <c r="AD22" i="76"/>
  <c r="AE22" i="76"/>
  <c r="AG22" i="76"/>
  <c r="AH22" i="76"/>
  <c r="AI22" i="76"/>
  <c r="AJ22" i="76"/>
  <c r="AK22" i="76"/>
  <c r="AL22" i="76"/>
  <c r="AM22" i="76"/>
  <c r="AQ22" i="76"/>
  <c r="AR22" i="76"/>
  <c r="AS22" i="76"/>
  <c r="AT22" i="76"/>
  <c r="AV22" i="76"/>
  <c r="AW22" i="76"/>
  <c r="AX22" i="76"/>
  <c r="AY22" i="76"/>
  <c r="AZ22" i="76"/>
  <c r="BA22" i="76"/>
  <c r="BB22" i="76"/>
  <c r="BC22" i="76"/>
  <c r="BD22" i="76"/>
  <c r="Z23" i="76"/>
  <c r="AA23" i="76"/>
  <c r="AB23" i="76"/>
  <c r="AC23" i="76"/>
  <c r="AD23" i="76"/>
  <c r="AG23" i="76"/>
  <c r="AH23" i="76"/>
  <c r="AI23" i="76"/>
  <c r="AJ23" i="76"/>
  <c r="AK23" i="76"/>
  <c r="AL23" i="76"/>
  <c r="AQ23" i="76"/>
  <c r="AR23" i="76"/>
  <c r="AS23" i="76"/>
  <c r="AT23" i="76"/>
  <c r="AV23" i="76"/>
  <c r="AW23" i="76"/>
  <c r="AX23" i="76"/>
  <c r="AY23" i="76"/>
  <c r="AZ23" i="76"/>
  <c r="BA23" i="76"/>
  <c r="BC23" i="76"/>
  <c r="BD23" i="76"/>
  <c r="Z24" i="76"/>
  <c r="AA24" i="76"/>
  <c r="AB24" i="76"/>
  <c r="AC24" i="76"/>
  <c r="AD24" i="76"/>
  <c r="AE24" i="76"/>
  <c r="AG24" i="76"/>
  <c r="AH24" i="76"/>
  <c r="AI24" i="76"/>
  <c r="AJ24" i="76"/>
  <c r="AK24" i="76"/>
  <c r="AL24" i="76"/>
  <c r="AM24" i="76"/>
  <c r="AQ24" i="76"/>
  <c r="AR24" i="76"/>
  <c r="AS24" i="76"/>
  <c r="AT24" i="76"/>
  <c r="AV24" i="76"/>
  <c r="AW24" i="76"/>
  <c r="AX24" i="76"/>
  <c r="AY24" i="76"/>
  <c r="AZ24" i="76"/>
  <c r="BA24" i="76"/>
  <c r="BB24" i="76"/>
  <c r="BC24" i="76"/>
  <c r="BD24" i="76"/>
  <c r="Z28" i="76"/>
  <c r="AA28" i="76"/>
  <c r="AB28" i="76"/>
  <c r="AC28" i="76"/>
  <c r="AD28" i="76"/>
  <c r="AE28" i="76"/>
  <c r="AG28" i="76"/>
  <c r="AH28" i="76"/>
  <c r="AI28" i="76"/>
  <c r="AJ28" i="76"/>
  <c r="AK28" i="76"/>
  <c r="AL28" i="76"/>
  <c r="AQ28" i="76"/>
  <c r="AR28" i="76"/>
  <c r="AS28" i="76"/>
  <c r="AT28" i="76"/>
  <c r="AV28" i="76"/>
  <c r="AW28" i="76"/>
  <c r="AX28" i="76"/>
  <c r="AY28" i="76"/>
  <c r="AZ28" i="76"/>
  <c r="BA28" i="76"/>
  <c r="BC28" i="76"/>
  <c r="BD28" i="76"/>
  <c r="Z29" i="76"/>
  <c r="AA29" i="76"/>
  <c r="AB29" i="76"/>
  <c r="AC29" i="76"/>
  <c r="AD29" i="76"/>
  <c r="AE29" i="76"/>
  <c r="AG29" i="76"/>
  <c r="AH29" i="76"/>
  <c r="AI29" i="76"/>
  <c r="AJ29" i="76"/>
  <c r="AK29" i="76"/>
  <c r="AL29" i="76"/>
  <c r="AM29" i="76"/>
  <c r="AQ29" i="76"/>
  <c r="AR29" i="76"/>
  <c r="AS29" i="76"/>
  <c r="AT29" i="76"/>
  <c r="AV29" i="76"/>
  <c r="AW29" i="76"/>
  <c r="AX29" i="76"/>
  <c r="AY29" i="76"/>
  <c r="AZ29" i="76"/>
  <c r="BA29" i="76"/>
  <c r="BB29" i="76"/>
  <c r="BC29" i="76"/>
  <c r="BD29" i="76"/>
  <c r="Z30" i="76"/>
  <c r="AA30" i="76"/>
  <c r="AB30" i="76"/>
  <c r="AC30" i="76"/>
  <c r="AD30" i="76"/>
  <c r="AE30" i="76"/>
  <c r="AG30" i="76"/>
  <c r="AH30" i="76"/>
  <c r="AI30" i="76"/>
  <c r="AJ30" i="76"/>
  <c r="AK30" i="76"/>
  <c r="AL30" i="76"/>
  <c r="AM30" i="76"/>
  <c r="AQ30" i="76"/>
  <c r="AR30" i="76"/>
  <c r="AS30" i="76"/>
  <c r="AT30" i="76"/>
  <c r="AV30" i="76"/>
  <c r="AW30" i="76"/>
  <c r="AX30" i="76"/>
  <c r="AY30" i="76"/>
  <c r="AZ30" i="76"/>
  <c r="BA30" i="76"/>
  <c r="BB30" i="76"/>
  <c r="BC30" i="76"/>
  <c r="BD30" i="76"/>
  <c r="Z34" i="76"/>
  <c r="AA34" i="76"/>
  <c r="AB34" i="76"/>
  <c r="AC34" i="76"/>
  <c r="AD34" i="76"/>
  <c r="AG34" i="76"/>
  <c r="AH34" i="76"/>
  <c r="AI34" i="76"/>
  <c r="AJ34" i="76"/>
  <c r="AK34" i="76"/>
  <c r="AL34" i="76"/>
  <c r="AQ34" i="76"/>
  <c r="AR34" i="76"/>
  <c r="AS34" i="76"/>
  <c r="AT34" i="76"/>
  <c r="AV34" i="76"/>
  <c r="AX34" i="76"/>
  <c r="AY34" i="76"/>
  <c r="AZ34" i="76"/>
  <c r="BA34" i="76"/>
  <c r="BC34" i="76"/>
  <c r="BD34" i="76"/>
  <c r="Z35" i="76"/>
  <c r="AA35" i="76"/>
  <c r="AB35" i="76"/>
  <c r="AC35" i="76"/>
  <c r="AD35" i="76"/>
  <c r="AE35" i="76"/>
  <c r="AG35" i="76"/>
  <c r="AH35" i="76"/>
  <c r="AI35" i="76"/>
  <c r="AJ35" i="76"/>
  <c r="AK35" i="76"/>
  <c r="AL35" i="76"/>
  <c r="AM35" i="76"/>
  <c r="AQ35" i="76"/>
  <c r="AR35" i="76"/>
  <c r="AS35" i="76"/>
  <c r="AT35" i="76"/>
  <c r="AV35" i="76"/>
  <c r="AW35" i="76"/>
  <c r="AX35" i="76"/>
  <c r="AY35" i="76"/>
  <c r="AZ35" i="76"/>
  <c r="BA35" i="76"/>
  <c r="BB35" i="76"/>
  <c r="BC35" i="76"/>
  <c r="BD35" i="76"/>
  <c r="Z36" i="76"/>
  <c r="AA36" i="76"/>
  <c r="AB36" i="76"/>
  <c r="AC36" i="76"/>
  <c r="AD36" i="76"/>
  <c r="AE36" i="76"/>
  <c r="AG36" i="76"/>
  <c r="AH36" i="76"/>
  <c r="AI36" i="76"/>
  <c r="AJ36" i="76"/>
  <c r="AK36" i="76"/>
  <c r="AL36" i="76"/>
  <c r="AM36" i="76"/>
  <c r="AQ36" i="76"/>
  <c r="AR36" i="76"/>
  <c r="AS36" i="76"/>
  <c r="AT36" i="76"/>
  <c r="AV36" i="76"/>
  <c r="AW36" i="76"/>
  <c r="AX36" i="76"/>
  <c r="AY36" i="76"/>
  <c r="AZ36" i="76"/>
  <c r="BA36" i="76"/>
  <c r="BB36" i="76"/>
  <c r="BC36" i="76"/>
  <c r="BD36" i="76"/>
  <c r="Z39" i="76"/>
  <c r="AA39" i="76"/>
  <c r="AB39" i="76"/>
  <c r="AC39" i="76"/>
  <c r="AD39" i="76"/>
  <c r="AG39" i="76"/>
  <c r="AH39" i="76"/>
  <c r="AI39" i="76"/>
  <c r="AJ39" i="76"/>
  <c r="AK39" i="76"/>
  <c r="AL39" i="76"/>
  <c r="AQ39" i="76"/>
  <c r="AR39" i="76"/>
  <c r="AS39" i="76"/>
  <c r="AT39" i="76"/>
  <c r="AV39" i="76"/>
  <c r="AX39" i="76"/>
  <c r="AY39" i="76"/>
  <c r="AZ39" i="76"/>
  <c r="BA39" i="76"/>
  <c r="BC39" i="76"/>
  <c r="BD39" i="76"/>
  <c r="Z40" i="76"/>
  <c r="AA40" i="76"/>
  <c r="AB40" i="76"/>
  <c r="AC40" i="76"/>
  <c r="AD40" i="76"/>
  <c r="AG40" i="76"/>
  <c r="AH40" i="76"/>
  <c r="AI40" i="76"/>
  <c r="AJ40" i="76"/>
  <c r="AK40" i="76"/>
  <c r="AL40" i="76"/>
  <c r="AQ40" i="76"/>
  <c r="AR40" i="76"/>
  <c r="AS40" i="76"/>
  <c r="AT40" i="76"/>
  <c r="AV40" i="76"/>
  <c r="AW40" i="76"/>
  <c r="AX40" i="76"/>
  <c r="AY40" i="76"/>
  <c r="AZ40" i="76"/>
  <c r="BA40" i="76"/>
  <c r="BC40" i="76"/>
  <c r="BD40" i="76"/>
  <c r="Z41" i="76"/>
  <c r="AA41" i="76"/>
  <c r="AB41" i="76"/>
  <c r="AC41" i="76"/>
  <c r="AD41" i="76"/>
  <c r="AE41" i="76"/>
  <c r="AG41" i="76"/>
  <c r="AH41" i="76"/>
  <c r="AI41" i="76"/>
  <c r="AJ41" i="76"/>
  <c r="AK41" i="76"/>
  <c r="AL41" i="76"/>
  <c r="AM41" i="76"/>
  <c r="AQ41" i="76"/>
  <c r="AR41" i="76"/>
  <c r="AS41" i="76"/>
  <c r="AT41" i="76"/>
  <c r="AV41" i="76"/>
  <c r="AW41" i="76"/>
  <c r="AX41" i="76"/>
  <c r="AY41" i="76"/>
  <c r="AZ41" i="76"/>
  <c r="BA41" i="76"/>
  <c r="BB41" i="76"/>
  <c r="BC41" i="76"/>
  <c r="BD41" i="76"/>
  <c r="Z44" i="76"/>
  <c r="AA44" i="76"/>
  <c r="AB44" i="76"/>
  <c r="AC44" i="76"/>
  <c r="AD44" i="76"/>
  <c r="AG44" i="76"/>
  <c r="AH44" i="76"/>
  <c r="AI44" i="76"/>
  <c r="AJ44" i="76"/>
  <c r="AK44" i="76"/>
  <c r="AL44" i="76"/>
  <c r="AQ44" i="76"/>
  <c r="AR44" i="76"/>
  <c r="AS44" i="76"/>
  <c r="AT44" i="76"/>
  <c r="AV44" i="76"/>
  <c r="AX44" i="76"/>
  <c r="AY44" i="76"/>
  <c r="AZ44" i="76"/>
  <c r="BA44" i="76"/>
  <c r="BC44" i="76"/>
  <c r="BD44" i="76"/>
  <c r="Z45" i="76"/>
  <c r="AA45" i="76"/>
  <c r="AB45" i="76"/>
  <c r="AC45" i="76"/>
  <c r="AD45" i="76"/>
  <c r="AE45" i="76"/>
  <c r="AG45" i="76"/>
  <c r="AH45" i="76"/>
  <c r="AI45" i="76"/>
  <c r="AJ45" i="76"/>
  <c r="AK45" i="76"/>
  <c r="AL45" i="76"/>
  <c r="AM45" i="76"/>
  <c r="AT45" i="76"/>
  <c r="AV45" i="76"/>
  <c r="AW45" i="76"/>
  <c r="AX45" i="76"/>
  <c r="AY45" i="76"/>
  <c r="AZ45" i="76"/>
  <c r="BA45" i="76"/>
  <c r="BB45" i="76"/>
  <c r="BD45" i="76"/>
  <c r="Z46" i="76"/>
  <c r="AA46" i="76"/>
  <c r="AB46" i="76"/>
  <c r="AD46" i="76"/>
  <c r="AE46" i="76"/>
  <c r="AG46" i="76"/>
  <c r="AH46" i="76"/>
  <c r="AI46" i="76"/>
  <c r="AJ46" i="76"/>
  <c r="AK46" i="76"/>
  <c r="AL46" i="76"/>
  <c r="AM46" i="76"/>
  <c r="AQ46" i="76"/>
  <c r="AR46" i="76"/>
  <c r="AS46" i="76"/>
  <c r="AT46" i="76"/>
  <c r="AV46" i="76"/>
  <c r="AW46" i="76"/>
  <c r="AX46" i="76"/>
  <c r="AY46" i="76"/>
  <c r="AZ46" i="76"/>
  <c r="BA46" i="76"/>
  <c r="BB46" i="76"/>
  <c r="BC46" i="76"/>
  <c r="BD46" i="76"/>
  <c r="Z47" i="76"/>
  <c r="AA47" i="76"/>
  <c r="AB47" i="76"/>
  <c r="AC47" i="76"/>
  <c r="AD47" i="76"/>
  <c r="AE47" i="76"/>
  <c r="AG47" i="76"/>
  <c r="AH47" i="76"/>
  <c r="AI47" i="76"/>
  <c r="AJ47" i="76"/>
  <c r="AK47" i="76"/>
  <c r="AL47" i="76"/>
  <c r="AM47" i="76"/>
  <c r="AQ47" i="76"/>
  <c r="AR47" i="76"/>
  <c r="AS47" i="76"/>
  <c r="AT47" i="76"/>
  <c r="AV47" i="76"/>
  <c r="AW47" i="76"/>
  <c r="AX47" i="76"/>
  <c r="AY47" i="76"/>
  <c r="AZ47" i="76"/>
  <c r="BA47" i="76"/>
  <c r="BB47" i="76"/>
  <c r="BC47" i="76"/>
  <c r="BD47" i="76"/>
  <c r="Z56" i="76"/>
  <c r="AA56" i="76"/>
  <c r="AB56" i="76"/>
  <c r="AC56" i="76"/>
  <c r="AD56" i="76"/>
  <c r="AE56" i="76"/>
  <c r="AG56" i="76"/>
  <c r="AH56" i="76"/>
  <c r="AI56" i="76"/>
  <c r="AJ56" i="76"/>
  <c r="AK56" i="76"/>
  <c r="AL56" i="76"/>
  <c r="AM56" i="76"/>
  <c r="AQ56" i="76"/>
  <c r="AR56" i="76"/>
  <c r="AS56" i="76"/>
  <c r="AT56" i="76"/>
  <c r="AV56" i="76"/>
  <c r="AW56" i="76"/>
  <c r="AX56" i="76"/>
  <c r="AY56" i="76"/>
  <c r="AZ56" i="76"/>
  <c r="BA56" i="76"/>
  <c r="BB56" i="76"/>
  <c r="BC56" i="76"/>
  <c r="BD56" i="76"/>
  <c r="Z57" i="76"/>
  <c r="AA57" i="76"/>
  <c r="AB57" i="76"/>
  <c r="AC57" i="76"/>
  <c r="AD57" i="76"/>
  <c r="AE57" i="76"/>
  <c r="AG57" i="76"/>
  <c r="AH57" i="76"/>
  <c r="AI57" i="76"/>
  <c r="AJ57" i="76"/>
  <c r="AK57" i="76"/>
  <c r="AL57" i="76"/>
  <c r="AM57" i="76"/>
  <c r="AQ57" i="76"/>
  <c r="AR57" i="76"/>
  <c r="AS57" i="76"/>
  <c r="AT57" i="76"/>
  <c r="AV57" i="76"/>
  <c r="AW57" i="76"/>
  <c r="AX57" i="76"/>
  <c r="AY57" i="76"/>
  <c r="AZ57" i="76"/>
  <c r="BA57" i="76"/>
  <c r="BB57" i="76"/>
  <c r="BC57" i="76"/>
  <c r="BD57" i="76"/>
  <c r="Z63" i="76"/>
  <c r="AA63" i="76"/>
  <c r="AB63" i="76"/>
  <c r="AC63" i="76"/>
  <c r="AD63" i="76"/>
  <c r="AE63" i="76"/>
  <c r="AG63" i="76"/>
  <c r="AH63" i="76"/>
  <c r="AI63" i="76"/>
  <c r="AJ63" i="76"/>
  <c r="AK63" i="76"/>
  <c r="AL63" i="76"/>
  <c r="AM63" i="76"/>
  <c r="AQ63" i="76"/>
  <c r="AR63" i="76"/>
  <c r="AS63" i="76"/>
  <c r="AT63" i="76"/>
  <c r="AV63" i="76"/>
  <c r="AW63" i="76"/>
  <c r="AX63" i="76"/>
  <c r="AY63" i="76"/>
  <c r="AZ63" i="76"/>
  <c r="BA63" i="76"/>
  <c r="BB63" i="76"/>
  <c r="BC63" i="76"/>
  <c r="BD63" i="76"/>
  <c r="Z64" i="76"/>
  <c r="AA64" i="76"/>
  <c r="AB64" i="76"/>
  <c r="AC64" i="76"/>
  <c r="AD64" i="76"/>
  <c r="AE64" i="76"/>
  <c r="AG64" i="76"/>
  <c r="AH64" i="76"/>
  <c r="AI64" i="76"/>
  <c r="AJ64" i="76"/>
  <c r="AK64" i="76"/>
  <c r="AL64" i="76"/>
  <c r="AM64" i="76"/>
  <c r="AQ64" i="76"/>
  <c r="AR64" i="76"/>
  <c r="AS64" i="76"/>
  <c r="AT64" i="76"/>
  <c r="AV64" i="76"/>
  <c r="AW64" i="76"/>
  <c r="AX64" i="76"/>
  <c r="AY64" i="76"/>
  <c r="AZ64" i="76"/>
  <c r="BA64" i="76"/>
  <c r="BB64" i="76"/>
  <c r="BC64" i="76"/>
  <c r="BD64" i="76"/>
  <c r="Z65" i="76"/>
  <c r="AA65" i="76"/>
  <c r="AB65" i="76"/>
  <c r="AC65" i="76"/>
  <c r="AD65" i="76"/>
  <c r="AE65" i="76"/>
  <c r="AG65" i="76"/>
  <c r="AH65" i="76"/>
  <c r="AI65" i="76"/>
  <c r="AJ65" i="76"/>
  <c r="AK65" i="76"/>
  <c r="AL65" i="76"/>
  <c r="AM65" i="76"/>
  <c r="AT65" i="76"/>
  <c r="AV65" i="76"/>
  <c r="AW65" i="76"/>
  <c r="AX65" i="76"/>
  <c r="AY65" i="76"/>
  <c r="AZ65" i="76"/>
  <c r="BA65" i="76"/>
  <c r="BB65" i="76"/>
  <c r="BD65" i="76"/>
  <c r="Z69" i="76"/>
  <c r="AA69" i="76"/>
  <c r="AB69" i="76"/>
  <c r="AC69" i="76"/>
  <c r="AD69" i="76"/>
  <c r="AE69" i="76"/>
  <c r="AG69" i="76"/>
  <c r="AH69" i="76"/>
  <c r="AI69" i="76"/>
  <c r="AJ69" i="76"/>
  <c r="AK69" i="76"/>
  <c r="AL69" i="76"/>
  <c r="AM69" i="76"/>
  <c r="AQ69" i="76"/>
  <c r="AR69" i="76"/>
  <c r="AS69" i="76"/>
  <c r="AT69" i="76"/>
  <c r="AV69" i="76"/>
  <c r="AW69" i="76"/>
  <c r="AX69" i="76"/>
  <c r="AY69" i="76"/>
  <c r="AZ69" i="76"/>
  <c r="BA69" i="76"/>
  <c r="BB69" i="76"/>
  <c r="BC69" i="76"/>
  <c r="BD69" i="76"/>
  <c r="Z70" i="76"/>
  <c r="AA70" i="76"/>
  <c r="AB70" i="76"/>
  <c r="AC70" i="76"/>
  <c r="AD70" i="76"/>
  <c r="AE70" i="76"/>
  <c r="AG70" i="76"/>
  <c r="AH70" i="76"/>
  <c r="AI70" i="76"/>
  <c r="AJ70" i="76"/>
  <c r="AK70" i="76"/>
  <c r="AL70" i="76"/>
  <c r="AM70" i="76"/>
  <c r="AQ70" i="76"/>
  <c r="AR70" i="76"/>
  <c r="AS70" i="76"/>
  <c r="AT70" i="76"/>
  <c r="AV70" i="76"/>
  <c r="AW70" i="76"/>
  <c r="AX70" i="76"/>
  <c r="AY70" i="76"/>
  <c r="AZ70" i="76"/>
  <c r="BA70" i="76"/>
  <c r="BB70" i="76"/>
  <c r="BC70" i="76"/>
  <c r="BD70" i="76"/>
  <c r="Z71" i="76"/>
  <c r="AA71" i="76"/>
  <c r="AB71" i="76"/>
  <c r="AC71" i="76"/>
  <c r="AD71" i="76"/>
  <c r="AE71" i="76"/>
  <c r="AG71" i="76"/>
  <c r="AH71" i="76"/>
  <c r="AI71" i="76"/>
  <c r="AJ71" i="76"/>
  <c r="AK71" i="76"/>
  <c r="AL71" i="76"/>
  <c r="AM71" i="76"/>
  <c r="AT71" i="76"/>
  <c r="AV71" i="76"/>
  <c r="AW71" i="76"/>
  <c r="AX71" i="76"/>
  <c r="AY71" i="76"/>
  <c r="AZ71" i="76"/>
  <c r="BA71" i="76"/>
  <c r="BB71" i="76"/>
  <c r="BD71" i="76"/>
  <c r="Z74" i="76"/>
  <c r="AA74" i="76"/>
  <c r="AB74" i="76"/>
  <c r="AC74" i="76"/>
  <c r="AD74" i="76"/>
  <c r="AE74" i="76"/>
  <c r="AG74" i="76"/>
  <c r="AH74" i="76"/>
  <c r="AI74" i="76"/>
  <c r="AJ74" i="76"/>
  <c r="AK74" i="76"/>
  <c r="AL74" i="76"/>
  <c r="AM74" i="76"/>
  <c r="AQ74" i="76"/>
  <c r="AR74" i="76"/>
  <c r="AS74" i="76"/>
  <c r="AT74" i="76"/>
  <c r="AV74" i="76"/>
  <c r="AW74" i="76"/>
  <c r="AX74" i="76"/>
  <c r="AY74" i="76"/>
  <c r="AZ74" i="76"/>
  <c r="BA74" i="76"/>
  <c r="BB74" i="76"/>
  <c r="BC74" i="76"/>
  <c r="BD74" i="76"/>
  <c r="Z76" i="76"/>
  <c r="AA76" i="76"/>
  <c r="AB76" i="76"/>
  <c r="AC76" i="76"/>
  <c r="AD76" i="76"/>
  <c r="AE76" i="76"/>
  <c r="AG76" i="76"/>
  <c r="AH76" i="76"/>
  <c r="AI76" i="76"/>
  <c r="AJ76" i="76"/>
  <c r="AK76" i="76"/>
  <c r="AL76" i="76"/>
  <c r="AM76" i="76"/>
  <c r="AQ76" i="76"/>
  <c r="AR76" i="76"/>
  <c r="AS76" i="76"/>
  <c r="AT76" i="76"/>
  <c r="AV76" i="76"/>
  <c r="AW76" i="76"/>
  <c r="AX76" i="76"/>
  <c r="AY76" i="76"/>
  <c r="AZ76" i="76"/>
  <c r="BA76" i="76"/>
  <c r="BB76" i="76"/>
  <c r="BC76" i="76"/>
  <c r="BD76" i="76"/>
  <c r="Z77" i="76"/>
  <c r="AA77" i="76"/>
  <c r="AB77" i="76"/>
  <c r="AC77" i="76"/>
  <c r="AD77" i="76"/>
  <c r="AE77" i="76"/>
  <c r="AG77" i="76"/>
  <c r="AH77" i="76"/>
  <c r="AI77" i="76"/>
  <c r="AJ77" i="76"/>
  <c r="AK77" i="76"/>
  <c r="AL77" i="76"/>
  <c r="AM77" i="76"/>
  <c r="AQ77" i="76"/>
  <c r="AR77" i="76"/>
  <c r="AS77" i="76"/>
  <c r="AT77" i="76"/>
  <c r="AV77" i="76"/>
  <c r="AW77" i="76"/>
  <c r="AX77" i="76"/>
  <c r="AY77" i="76"/>
  <c r="AZ77" i="76"/>
  <c r="BA77" i="76"/>
  <c r="BB77" i="76"/>
  <c r="BC77" i="76"/>
  <c r="BD77" i="76"/>
  <c r="Z78" i="76"/>
  <c r="AA78" i="76"/>
  <c r="AB78" i="76"/>
  <c r="AC78" i="76"/>
  <c r="AD78" i="76"/>
  <c r="AE78" i="76"/>
  <c r="AG78" i="76"/>
  <c r="AH78" i="76"/>
  <c r="AI78" i="76"/>
  <c r="AJ78" i="76"/>
  <c r="AK78" i="76"/>
  <c r="AL78" i="76"/>
  <c r="AM78" i="76"/>
  <c r="AQ78" i="76"/>
  <c r="AR78" i="76"/>
  <c r="AS78" i="76"/>
  <c r="AT78" i="76"/>
  <c r="AV78" i="76"/>
  <c r="AW78" i="76"/>
  <c r="AX78" i="76"/>
  <c r="AY78" i="76"/>
  <c r="AZ78" i="76"/>
  <c r="BA78" i="76"/>
  <c r="BB78" i="76"/>
  <c r="BC78" i="76"/>
  <c r="BD78" i="76"/>
  <c r="Z79" i="76"/>
  <c r="AA79" i="76"/>
  <c r="AB79" i="76"/>
  <c r="AC79" i="76"/>
  <c r="AD79" i="76"/>
  <c r="AE79" i="76"/>
  <c r="AG79" i="76"/>
  <c r="AH79" i="76"/>
  <c r="AI79" i="76"/>
  <c r="AJ79" i="76"/>
  <c r="AK79" i="76"/>
  <c r="AL79" i="76"/>
  <c r="AM79" i="76"/>
  <c r="AQ79" i="76"/>
  <c r="AR79" i="76"/>
  <c r="AS79" i="76"/>
  <c r="AT79" i="76"/>
  <c r="AV79" i="76"/>
  <c r="AW79" i="76"/>
  <c r="AX79" i="76"/>
  <c r="AY79" i="76"/>
  <c r="AZ79" i="76"/>
  <c r="BA79" i="76"/>
  <c r="BB79" i="76"/>
  <c r="BC79" i="76"/>
  <c r="BD79" i="76"/>
  <c r="X8" i="76"/>
  <c r="X9" i="76"/>
  <c r="X10" i="76"/>
  <c r="X12" i="76"/>
  <c r="X15" i="76"/>
  <c r="X16" i="76"/>
  <c r="X17" i="76"/>
  <c r="X22" i="76"/>
  <c r="X23" i="76"/>
  <c r="X24" i="76"/>
  <c r="X28" i="76"/>
  <c r="X29" i="76"/>
  <c r="X30" i="76"/>
  <c r="X34" i="76"/>
  <c r="X35" i="76"/>
  <c r="X36" i="76"/>
  <c r="X39" i="76"/>
  <c r="X40" i="76"/>
  <c r="X41" i="76"/>
  <c r="X44" i="76"/>
  <c r="X45" i="76"/>
  <c r="X46" i="76"/>
  <c r="X47" i="76"/>
  <c r="X56" i="76"/>
  <c r="X57" i="76"/>
  <c r="X63" i="76"/>
  <c r="X64" i="76"/>
  <c r="X65" i="76"/>
  <c r="X69" i="76"/>
  <c r="X70" i="76"/>
  <c r="X71" i="76"/>
  <c r="X74" i="76"/>
  <c r="X76" i="76"/>
  <c r="X77" i="76"/>
  <c r="X78" i="76"/>
  <c r="X79" i="76"/>
  <c r="Z72" i="76" l="1"/>
  <c r="AZ18" i="76"/>
  <c r="AS18" i="76"/>
  <c r="AL18" i="76"/>
  <c r="AH18" i="76"/>
  <c r="AU25" i="76"/>
  <c r="AC18" i="76"/>
  <c r="AM72" i="76"/>
  <c r="AI72" i="76"/>
  <c r="AT66" i="76"/>
  <c r="BD72" i="76"/>
  <c r="AY25" i="76"/>
  <c r="AT72" i="76"/>
  <c r="BD31" i="76"/>
  <c r="AS31" i="76"/>
  <c r="AH31" i="76"/>
  <c r="AC31" i="76"/>
  <c r="AU66" i="76"/>
  <c r="BD48" i="76"/>
  <c r="AL31" i="76"/>
  <c r="BA72" i="76"/>
  <c r="AW72" i="76"/>
  <c r="BC18" i="76"/>
  <c r="AY18" i="76"/>
  <c r="Z66" i="76"/>
  <c r="Z73" i="76" s="1"/>
  <c r="Z75" i="76" s="1"/>
  <c r="Z82" i="76" s="1"/>
  <c r="X66" i="76"/>
  <c r="X31" i="76"/>
  <c r="AU31" i="76"/>
  <c r="AZ31" i="76"/>
  <c r="AV31" i="76"/>
  <c r="AZ48" i="76"/>
  <c r="AV48" i="76"/>
  <c r="AY37" i="76"/>
  <c r="AD72" i="76"/>
  <c r="BA66" i="76"/>
  <c r="AM66" i="76"/>
  <c r="AI66" i="76"/>
  <c r="AD66" i="76"/>
  <c r="AW66" i="76"/>
  <c r="AY31" i="76"/>
  <c r="BD37" i="76"/>
  <c r="AZ37" i="76"/>
  <c r="AV37" i="76"/>
  <c r="AS37" i="76"/>
  <c r="AL37" i="76"/>
  <c r="AH37" i="76"/>
  <c r="AC37" i="76"/>
  <c r="BD25" i="76"/>
  <c r="AZ25" i="76"/>
  <c r="AV25" i="76"/>
  <c r="AS25" i="76"/>
  <c r="AL25" i="76"/>
  <c r="AH25" i="76"/>
  <c r="AC25" i="76"/>
  <c r="AJ72" i="76"/>
  <c r="AE72" i="76"/>
  <c r="AA72" i="76"/>
  <c r="BB72" i="76"/>
  <c r="AX72" i="76"/>
  <c r="AZ72" i="76"/>
  <c r="AV72" i="76"/>
  <c r="AJ66" i="76"/>
  <c r="AE66" i="76"/>
  <c r="AA66" i="76"/>
  <c r="BB66" i="76"/>
  <c r="AX66" i="76"/>
  <c r="BD66" i="76"/>
  <c r="BD73" i="76" s="1"/>
  <c r="BD75" i="76" s="1"/>
  <c r="BD82" i="76" s="1"/>
  <c r="AZ66" i="76"/>
  <c r="AZ73" i="76" s="1"/>
  <c r="AZ75" i="76" s="1"/>
  <c r="AZ82" i="76" s="1"/>
  <c r="AV66" i="76"/>
  <c r="AV73" i="76" s="1"/>
  <c r="AV75" i="76" s="1"/>
  <c r="AV82" i="76" s="1"/>
  <c r="AU37" i="76"/>
  <c r="X48" i="76"/>
  <c r="X18" i="76"/>
  <c r="BC37" i="76"/>
  <c r="BC31" i="76"/>
  <c r="BC25" i="76"/>
  <c r="AU72" i="76"/>
  <c r="AU48" i="76"/>
  <c r="AU18" i="76"/>
  <c r="X72" i="76"/>
  <c r="X25" i="76"/>
  <c r="AK72" i="76"/>
  <c r="AG72" i="76"/>
  <c r="AB72" i="76"/>
  <c r="AY72" i="76"/>
  <c r="AK66" i="76"/>
  <c r="AG66" i="76"/>
  <c r="AB66" i="76"/>
  <c r="AY66" i="76"/>
  <c r="AT48" i="76"/>
  <c r="AI48" i="76"/>
  <c r="AD48" i="76"/>
  <c r="Z48" i="76"/>
  <c r="BA48" i="76"/>
  <c r="AT37" i="76"/>
  <c r="AI37" i="76"/>
  <c r="AD37" i="76"/>
  <c r="Z37" i="76"/>
  <c r="BA37" i="76"/>
  <c r="AT31" i="76"/>
  <c r="AI31" i="76"/>
  <c r="AD31" i="76"/>
  <c r="Z31" i="76"/>
  <c r="BA31" i="76"/>
  <c r="AW31" i="76"/>
  <c r="AT25" i="76"/>
  <c r="AI25" i="76"/>
  <c r="AD25" i="76"/>
  <c r="Z25" i="76"/>
  <c r="BA25" i="76"/>
  <c r="AW25" i="76"/>
  <c r="AT18" i="76"/>
  <c r="AM18" i="76"/>
  <c r="AI18" i="76"/>
  <c r="AD18" i="76"/>
  <c r="Z18" i="76"/>
  <c r="BA18" i="76"/>
  <c r="AW18" i="76"/>
  <c r="AL48" i="76"/>
  <c r="AL72" i="76"/>
  <c r="AH72" i="76"/>
  <c r="AC72" i="76"/>
  <c r="AL66" i="76"/>
  <c r="AH66" i="76"/>
  <c r="AC66" i="76"/>
  <c r="AJ48" i="76"/>
  <c r="AA48" i="76"/>
  <c r="AX48" i="76"/>
  <c r="AQ37" i="76"/>
  <c r="AJ37" i="76"/>
  <c r="AA37" i="76"/>
  <c r="AX37" i="76"/>
  <c r="AQ31" i="76"/>
  <c r="AJ31" i="76"/>
  <c r="AE31" i="76"/>
  <c r="AA31" i="76"/>
  <c r="AX31" i="76"/>
  <c r="AQ25" i="76"/>
  <c r="AJ25" i="76"/>
  <c r="AA25" i="76"/>
  <c r="AX25" i="76"/>
  <c r="AQ18" i="76"/>
  <c r="AJ18" i="76"/>
  <c r="AE18" i="76"/>
  <c r="AA18" i="76"/>
  <c r="BB18" i="76"/>
  <c r="AX18" i="76"/>
  <c r="AH48" i="76"/>
  <c r="X37" i="76"/>
  <c r="AK48" i="76"/>
  <c r="AG48" i="76"/>
  <c r="AB48" i="76"/>
  <c r="AY48" i="76"/>
  <c r="AR37" i="76"/>
  <c r="AK37" i="76"/>
  <c r="AG37" i="76"/>
  <c r="AB37" i="76"/>
  <c r="AR31" i="76"/>
  <c r="AK31" i="76"/>
  <c r="AG31" i="76"/>
  <c r="AB31" i="76"/>
  <c r="AR25" i="76"/>
  <c r="AK25" i="76"/>
  <c r="AG25" i="76"/>
  <c r="AB25" i="76"/>
  <c r="AR18" i="76"/>
  <c r="AK18" i="76"/>
  <c r="AG18" i="76"/>
  <c r="AB18" i="76"/>
  <c r="AI73" i="76" l="1"/>
  <c r="AI75" i="76" s="1"/>
  <c r="AI82" i="76" s="1"/>
  <c r="AM73" i="76"/>
  <c r="AM75" i="76" s="1"/>
  <c r="AM82" i="76" s="1"/>
  <c r="AD73" i="76"/>
  <c r="AD75" i="76" s="1"/>
  <c r="AD82" i="76" s="1"/>
  <c r="BA49" i="76"/>
  <c r="BA51" i="76" s="1"/>
  <c r="AV49" i="76"/>
  <c r="AV51" i="76" s="1"/>
  <c r="BB73" i="76"/>
  <c r="BB75" i="76" s="1"/>
  <c r="BB82" i="76" s="1"/>
  <c r="AU73" i="76"/>
  <c r="AU75" i="76" s="1"/>
  <c r="AU82" i="76" s="1"/>
  <c r="AJ49" i="76"/>
  <c r="AJ51" i="76" s="1"/>
  <c r="AK73" i="76"/>
  <c r="AK75" i="76" s="1"/>
  <c r="AK82" i="76" s="1"/>
  <c r="AA73" i="76"/>
  <c r="AA75" i="76" s="1"/>
  <c r="AA82" i="76" s="1"/>
  <c r="AY49" i="76"/>
  <c r="AY51" i="76" s="1"/>
  <c r="AT73" i="76"/>
  <c r="AT75" i="76" s="1"/>
  <c r="AT82" i="76" s="1"/>
  <c r="AH49" i="76"/>
  <c r="AH51" i="76" s="1"/>
  <c r="AL49" i="76"/>
  <c r="AL51" i="76" s="1"/>
  <c r="BA73" i="76"/>
  <c r="BA75" i="76" s="1"/>
  <c r="BA82" i="76" s="1"/>
  <c r="Z49" i="76"/>
  <c r="Z51" i="76" s="1"/>
  <c r="AU49" i="76"/>
  <c r="AU51" i="76" s="1"/>
  <c r="AZ49" i="76"/>
  <c r="AZ51" i="76" s="1"/>
  <c r="AW73" i="76"/>
  <c r="AW75" i="76" s="1"/>
  <c r="AW82" i="76" s="1"/>
  <c r="BD49" i="76"/>
  <c r="X73" i="76"/>
  <c r="X75" i="76" s="1"/>
  <c r="X82" i="76" s="1"/>
  <c r="AC73" i="76"/>
  <c r="AC75" i="76" s="1"/>
  <c r="AC82" i="76" s="1"/>
  <c r="AB73" i="76"/>
  <c r="AB75" i="76" s="1"/>
  <c r="AB82" i="76" s="1"/>
  <c r="X49" i="76"/>
  <c r="X51" i="76" s="1"/>
  <c r="AE73" i="76"/>
  <c r="AE75" i="76" s="1"/>
  <c r="AE82" i="76" s="1"/>
  <c r="AD49" i="76"/>
  <c r="AD51" i="76" s="1"/>
  <c r="AA49" i="76"/>
  <c r="AA51" i="76" s="1"/>
  <c r="AI49" i="76"/>
  <c r="AI51" i="76" s="1"/>
  <c r="AT49" i="76"/>
  <c r="AT51" i="76" s="1"/>
  <c r="AG73" i="76"/>
  <c r="AG75" i="76" s="1"/>
  <c r="AG82" i="76" s="1"/>
  <c r="AX73" i="76"/>
  <c r="AX75" i="76" s="1"/>
  <c r="AX82" i="76" s="1"/>
  <c r="AJ73" i="76"/>
  <c r="AJ75" i="76" s="1"/>
  <c r="AJ82" i="76" s="1"/>
  <c r="AB49" i="76"/>
  <c r="AB51" i="76" s="1"/>
  <c r="AY73" i="76"/>
  <c r="AY75" i="76" s="1"/>
  <c r="AY82" i="76" s="1"/>
  <c r="AG49" i="76"/>
  <c r="AG51" i="76" s="1"/>
  <c r="AX49" i="76"/>
  <c r="AX51" i="76" s="1"/>
  <c r="AL73" i="76"/>
  <c r="AL75" i="76" s="1"/>
  <c r="AL82" i="76" s="1"/>
  <c r="AK49" i="76"/>
  <c r="AK51" i="76" s="1"/>
  <c r="AH73" i="76"/>
  <c r="AH75" i="76" s="1"/>
  <c r="AH82" i="76" s="1"/>
  <c r="N23" i="55"/>
  <c r="M23" i="55"/>
  <c r="O22" i="55"/>
  <c r="O23" i="55" s="1"/>
  <c r="AW44" i="76" l="1"/>
  <c r="AW48" i="76" s="1"/>
  <c r="AW39" i="76"/>
  <c r="AW34" i="76"/>
  <c r="AW37" i="76" s="1"/>
  <c r="AE44" i="76"/>
  <c r="AE48" i="76" s="1"/>
  <c r="AE40" i="76"/>
  <c r="AE39" i="76"/>
  <c r="AE34" i="76"/>
  <c r="AE37" i="76" s="1"/>
  <c r="AE23" i="76"/>
  <c r="AE25" i="76" s="1"/>
  <c r="AW49" i="76" l="1"/>
  <c r="AW51" i="76" s="1"/>
  <c r="AE49" i="76"/>
  <c r="AE51" i="76" s="1"/>
  <c r="BB44" i="76"/>
  <c r="BB48" i="76" s="1"/>
  <c r="BB40" i="76"/>
  <c r="BB39" i="76"/>
  <c r="BB34" i="76"/>
  <c r="BB37" i="76" s="1"/>
  <c r="BB28" i="76"/>
  <c r="BB31" i="76" s="1"/>
  <c r="BB23" i="76"/>
  <c r="BB25" i="76" s="1"/>
  <c r="AM44" i="76"/>
  <c r="AM48" i="76" s="1"/>
  <c r="AM40" i="76"/>
  <c r="AM39" i="76"/>
  <c r="AM34" i="76"/>
  <c r="AM37" i="76" s="1"/>
  <c r="AM28" i="76"/>
  <c r="AM31" i="76" s="1"/>
  <c r="AM23" i="76"/>
  <c r="AM25" i="76" s="1"/>
  <c r="BB49" i="76" l="1"/>
  <c r="BB51" i="76" s="1"/>
  <c r="AM49" i="76"/>
  <c r="AM51" i="76" s="1"/>
  <c r="C27" i="3"/>
  <c r="B30" i="75" s="1"/>
  <c r="B27" i="3"/>
  <c r="L33" i="69"/>
  <c r="E27" i="3" l="1"/>
  <c r="X54" i="76"/>
  <c r="F30" i="75" l="1"/>
  <c r="G30" i="75" s="1"/>
  <c r="BC71" i="76" l="1"/>
  <c r="BC72" i="76" s="1"/>
  <c r="AS71" i="76"/>
  <c r="AS72" i="76" s="1"/>
  <c r="AR71" i="76"/>
  <c r="AR72" i="76" s="1"/>
  <c r="BC65" i="76" l="1"/>
  <c r="BC66" i="76" s="1"/>
  <c r="BC73" i="76" s="1"/>
  <c r="BC75" i="76" s="1"/>
  <c r="BC82" i="76" s="1"/>
  <c r="BC45" i="76"/>
  <c r="BC48" i="76" s="1"/>
  <c r="BC49" i="76" s="1"/>
  <c r="BC51" i="76" s="1"/>
  <c r="AS65" i="76"/>
  <c r="AS66" i="76" s="1"/>
  <c r="AS73" i="76" s="1"/>
  <c r="AS75" i="76" s="1"/>
  <c r="AS82" i="76" s="1"/>
  <c r="AS45" i="76"/>
  <c r="AS48" i="76" s="1"/>
  <c r="AS49" i="76" s="1"/>
  <c r="AS51" i="76" s="1"/>
  <c r="AR65" i="76"/>
  <c r="AR66" i="76" s="1"/>
  <c r="AR73" i="76" s="1"/>
  <c r="AR75" i="76" s="1"/>
  <c r="AR82" i="76" s="1"/>
  <c r="AR45" i="76"/>
  <c r="AR48" i="76" s="1"/>
  <c r="AR49" i="76" s="1"/>
  <c r="AR51" i="76" s="1"/>
  <c r="AQ71" i="76"/>
  <c r="AQ72" i="76" s="1"/>
  <c r="AQ65" i="76"/>
  <c r="AQ66" i="76" s="1"/>
  <c r="AQ45" i="76"/>
  <c r="AQ48" i="76" s="1"/>
  <c r="AQ49" i="76" s="1"/>
  <c r="AQ51" i="76" s="1"/>
  <c r="AQ73" i="76" l="1"/>
  <c r="AQ75" i="76" s="1"/>
  <c r="AQ82" i="76" s="1"/>
  <c r="AY71" i="1"/>
  <c r="AY65" i="1"/>
  <c r="AY47" i="1"/>
  <c r="AY36" i="1"/>
  <c r="AY30" i="1"/>
  <c r="AY24" i="1"/>
  <c r="AY17" i="1"/>
  <c r="AY72" i="1" l="1"/>
  <c r="AY74" i="1" s="1"/>
  <c r="AY81" i="1" s="1"/>
  <c r="I68" i="69" s="1"/>
  <c r="L68" i="69" s="1"/>
  <c r="AY48" i="1"/>
  <c r="AY50" i="1" s="1"/>
  <c r="AY53" i="1" s="1"/>
  <c r="AU54" i="76" s="1"/>
  <c r="I74" i="69" l="1"/>
  <c r="L74" i="69" s="1"/>
  <c r="BA54" i="76"/>
  <c r="BD17" i="76"/>
  <c r="BD18" i="76" s="1"/>
  <c r="BD51" i="76" s="1"/>
  <c r="AC46" i="76" l="1"/>
  <c r="AC48" i="76" s="1"/>
  <c r="AC49" i="76" s="1"/>
  <c r="AC51" i="76" s="1"/>
  <c r="C57" i="3" l="1"/>
  <c r="B57" i="3"/>
  <c r="E57" i="3"/>
  <c r="AV17" i="1"/>
  <c r="AV24" i="1"/>
  <c r="AV30" i="1"/>
  <c r="AV36" i="1"/>
  <c r="AV47" i="1"/>
  <c r="AV65" i="1"/>
  <c r="AV71" i="1"/>
  <c r="AV72" i="1" l="1"/>
  <c r="AV74" i="1" s="1"/>
  <c r="AV81" i="1" s="1"/>
  <c r="AV48" i="1"/>
  <c r="AV50" i="1" s="1"/>
  <c r="AV53" i="1" s="1"/>
  <c r="C58" i="3" l="1"/>
  <c r="C40" i="3"/>
  <c r="B41" i="75" s="1"/>
  <c r="B40" i="3"/>
  <c r="AZ10" i="1" l="1"/>
  <c r="AA10" i="1"/>
  <c r="Z11" i="76" s="1"/>
  <c r="BA10" i="1" l="1"/>
  <c r="A69" i="69"/>
  <c r="AV11" i="76"/>
  <c r="AI54" i="76"/>
  <c r="I72" i="82"/>
  <c r="I66" i="82"/>
  <c r="I31" i="82"/>
  <c r="I25" i="82"/>
  <c r="I73" i="82" l="1"/>
  <c r="I75" i="82" s="1"/>
  <c r="I81" i="82" s="1"/>
  <c r="E40" i="3"/>
  <c r="L46" i="69"/>
  <c r="BB10" i="1"/>
  <c r="A70" i="69"/>
  <c r="AW11" i="76"/>
  <c r="BC36" i="1"/>
  <c r="F41" i="75" l="1"/>
  <c r="G41" i="75" s="1"/>
  <c r="BC10" i="1"/>
  <c r="BD10" i="1" s="1"/>
  <c r="BE10" i="1" s="1"/>
  <c r="BF10" i="1" s="1"/>
  <c r="BG10" i="1" s="1"/>
  <c r="A71" i="69"/>
  <c r="AX11" i="76"/>
  <c r="C64" i="3"/>
  <c r="B64" i="3"/>
  <c r="C63" i="3"/>
  <c r="B63" i="3"/>
  <c r="C62" i="3"/>
  <c r="B62" i="3"/>
  <c r="C61" i="3"/>
  <c r="B61" i="3"/>
  <c r="C60" i="3"/>
  <c r="B60" i="3"/>
  <c r="C59" i="3"/>
  <c r="B59" i="3"/>
  <c r="B58" i="3"/>
  <c r="C66" i="3"/>
  <c r="B66" i="3"/>
  <c r="C65" i="3"/>
  <c r="B65" i="3"/>
  <c r="AZ71" i="1"/>
  <c r="AZ65" i="1"/>
  <c r="AZ47" i="1"/>
  <c r="AZ36" i="1"/>
  <c r="AZ30" i="1"/>
  <c r="AZ24" i="1"/>
  <c r="AZ17" i="1"/>
  <c r="A72" i="69" l="1"/>
  <c r="AY11" i="76"/>
  <c r="AZ72" i="1"/>
  <c r="AZ74" i="1" s="1"/>
  <c r="AZ81" i="1" s="1"/>
  <c r="I69" i="69" s="1"/>
  <c r="L69" i="69" s="1"/>
  <c r="AZ48" i="1"/>
  <c r="AZ50" i="1" s="1"/>
  <c r="AZ53" i="1" s="1"/>
  <c r="AV54" i="76" s="1"/>
  <c r="A73" i="69" l="1"/>
  <c r="AZ11" i="76"/>
  <c r="E58" i="3"/>
  <c r="A74" i="69" l="1"/>
  <c r="BA11" i="76"/>
  <c r="H1048576" i="82"/>
  <c r="J72" i="82"/>
  <c r="J66" i="82"/>
  <c r="J31" i="82"/>
  <c r="J25" i="82"/>
  <c r="A4" i="82"/>
  <c r="A3" i="82"/>
  <c r="A2" i="82"/>
  <c r="A1" i="82"/>
  <c r="A75" i="69" l="1"/>
  <c r="BB11" i="76"/>
  <c r="J73" i="82"/>
  <c r="J75" i="82" s="1"/>
  <c r="J81" i="82" s="1"/>
  <c r="A76" i="69" l="1"/>
  <c r="BC11" i="76"/>
  <c r="A65" i="3"/>
  <c r="C44" i="3"/>
  <c r="B45" i="75" s="1"/>
  <c r="B44" i="3"/>
  <c r="C48" i="3"/>
  <c r="B49" i="75" s="1"/>
  <c r="B48" i="3"/>
  <c r="BH71" i="1"/>
  <c r="BH65" i="1"/>
  <c r="BH47" i="1"/>
  <c r="BH36" i="1"/>
  <c r="BH30" i="1"/>
  <c r="BH24" i="1"/>
  <c r="BH17" i="1"/>
  <c r="BC71" i="1"/>
  <c r="BB71" i="1"/>
  <c r="BA71" i="1"/>
  <c r="BC65" i="1"/>
  <c r="BB65" i="1"/>
  <c r="BA65" i="1"/>
  <c r="BC47" i="1"/>
  <c r="BB47" i="1"/>
  <c r="BA47" i="1"/>
  <c r="BB36" i="1"/>
  <c r="BA36" i="1"/>
  <c r="BC30" i="1"/>
  <c r="BB30" i="1"/>
  <c r="BA30" i="1"/>
  <c r="BC24" i="1"/>
  <c r="BB24" i="1"/>
  <c r="BA24" i="1"/>
  <c r="BC17" i="1"/>
  <c r="BB17" i="1"/>
  <c r="BA17" i="1"/>
  <c r="AS11" i="76"/>
  <c r="AR71" i="1"/>
  <c r="AR65" i="1"/>
  <c r="AR47" i="1"/>
  <c r="AR36" i="1"/>
  <c r="AR30" i="1"/>
  <c r="AR24" i="1"/>
  <c r="AR17" i="1"/>
  <c r="A77" i="69" l="1"/>
  <c r="BD11" i="76"/>
  <c r="BC48" i="1"/>
  <c r="BC50" i="1" s="1"/>
  <c r="BC53" i="1" s="1"/>
  <c r="AY54" i="76" s="1"/>
  <c r="AU10" i="1"/>
  <c r="A66" i="3"/>
  <c r="E63" i="3"/>
  <c r="BC72" i="1"/>
  <c r="BH48" i="1"/>
  <c r="BH50" i="1" s="1"/>
  <c r="BH53" i="1" s="1"/>
  <c r="BD54" i="76" s="1"/>
  <c r="BH72" i="1"/>
  <c r="BA72" i="1"/>
  <c r="BA48" i="1"/>
  <c r="BA50" i="1" s="1"/>
  <c r="BB48" i="1"/>
  <c r="BB50" i="1" s="1"/>
  <c r="BB53" i="1" s="1"/>
  <c r="AX54" i="76" s="1"/>
  <c r="BB72" i="1"/>
  <c r="AR48" i="1"/>
  <c r="AR50" i="1" s="1"/>
  <c r="AR53" i="1" s="1"/>
  <c r="AQ54" i="76" s="1"/>
  <c r="AR72" i="1"/>
  <c r="AR74" i="1" s="1"/>
  <c r="AR81" i="1" s="1"/>
  <c r="BC54" i="76"/>
  <c r="AM54" i="76"/>
  <c r="BH74" i="1" l="1"/>
  <c r="BH81" i="1" s="1"/>
  <c r="BC74" i="1"/>
  <c r="BC81" i="1" s="1"/>
  <c r="BB74" i="1"/>
  <c r="BB81" i="1" s="1"/>
  <c r="BA74" i="1"/>
  <c r="BA81" i="1" s="1"/>
  <c r="E48" i="3"/>
  <c r="F49" i="75" s="1"/>
  <c r="G49" i="75" s="1"/>
  <c r="L54" i="69"/>
  <c r="A57" i="3"/>
  <c r="A68" i="69"/>
  <c r="AU11" i="76"/>
  <c r="E44" i="3"/>
  <c r="L50" i="69"/>
  <c r="AT11" i="76"/>
  <c r="A58" i="3"/>
  <c r="AB10" i="1"/>
  <c r="AA11" i="76" s="1"/>
  <c r="BB54" i="76"/>
  <c r="BA53" i="1"/>
  <c r="AW54" i="76" s="1"/>
  <c r="AZ54" i="76"/>
  <c r="I71" i="69" l="1"/>
  <c r="L71" i="69" s="1"/>
  <c r="E60" i="3"/>
  <c r="I72" i="69"/>
  <c r="L72" i="69" s="1"/>
  <c r="E61" i="3"/>
  <c r="I77" i="69"/>
  <c r="L77" i="69" s="1"/>
  <c r="E66" i="3"/>
  <c r="I76" i="69"/>
  <c r="L76" i="69" s="1"/>
  <c r="E65" i="3"/>
  <c r="I70" i="69"/>
  <c r="L70" i="69" s="1"/>
  <c r="E59" i="3"/>
  <c r="I75" i="69"/>
  <c r="L75" i="69" s="1"/>
  <c r="E64" i="3"/>
  <c r="I73" i="69"/>
  <c r="L73" i="69" s="1"/>
  <c r="E62" i="3"/>
  <c r="F45" i="75"/>
  <c r="G45" i="75" s="1"/>
  <c r="AC10" i="1"/>
  <c r="AD10" i="1" s="1"/>
  <c r="A59" i="3"/>
  <c r="G78" i="5"/>
  <c r="G79" i="5"/>
  <c r="F312" i="5"/>
  <c r="F313" i="5"/>
  <c r="F314" i="5"/>
  <c r="F315" i="5"/>
  <c r="F316" i="5"/>
  <c r="F317" i="5"/>
  <c r="F318" i="5"/>
  <c r="F319" i="5"/>
  <c r="F198" i="5"/>
  <c r="F199" i="5"/>
  <c r="F200" i="5"/>
  <c r="F201" i="5"/>
  <c r="F202" i="5"/>
  <c r="F203" i="5"/>
  <c r="F204" i="5"/>
  <c r="F205" i="5"/>
  <c r="F206" i="5"/>
  <c r="F207" i="5"/>
  <c r="F208" i="5"/>
  <c r="L78" i="69" l="1"/>
  <c r="F76" i="5"/>
  <c r="AE10" i="1"/>
  <c r="AF10" i="1" s="1"/>
  <c r="AJ10" i="1" s="1"/>
  <c r="AK10" i="1" s="1"/>
  <c r="AL10" i="1" s="1"/>
  <c r="AM10" i="1" s="1"/>
  <c r="AN10" i="1" s="1"/>
  <c r="AO10" i="1" s="1"/>
  <c r="AC11" i="76"/>
  <c r="AB11" i="76"/>
  <c r="A60" i="3"/>
  <c r="AP10" i="1" l="1"/>
  <c r="A51" i="69"/>
  <c r="A45" i="3"/>
  <c r="A46" i="75" s="1"/>
  <c r="AD11" i="76"/>
  <c r="A61" i="3"/>
  <c r="E17" i="56"/>
  <c r="S43" i="1" s="1"/>
  <c r="E12" i="56"/>
  <c r="E29" i="81"/>
  <c r="A46" i="3" l="1"/>
  <c r="A47" i="75" s="1"/>
  <c r="AQ10" i="1"/>
  <c r="AR10" i="1" s="1"/>
  <c r="A52" i="69"/>
  <c r="AE11" i="76"/>
  <c r="A62" i="3"/>
  <c r="C40" i="81"/>
  <c r="D40" i="81" s="1"/>
  <c r="E41" i="81" s="1"/>
  <c r="E13" i="81" s="1"/>
  <c r="E19" i="56" s="1"/>
  <c r="E9" i="81"/>
  <c r="E15" i="56" s="1"/>
  <c r="S35" i="1" l="1"/>
  <c r="R35" i="1"/>
  <c r="A53" i="69"/>
  <c r="A47" i="3"/>
  <c r="A48" i="75" s="1"/>
  <c r="AG11" i="76"/>
  <c r="A63" i="3"/>
  <c r="E16" i="81"/>
  <c r="E18" i="81" s="1"/>
  <c r="E20" i="81" s="1"/>
  <c r="E25" i="56" s="1"/>
  <c r="AH11" i="76" l="1"/>
  <c r="A64" i="3"/>
  <c r="E22" i="81"/>
  <c r="A40" i="3" l="1"/>
  <c r="A41" i="75" s="1"/>
  <c r="A46" i="69"/>
  <c r="AI11" i="76"/>
  <c r="H1048576" i="79"/>
  <c r="K72" i="79"/>
  <c r="K66" i="79"/>
  <c r="K31" i="79"/>
  <c r="K25" i="79"/>
  <c r="A4" i="79"/>
  <c r="A3" i="79"/>
  <c r="A2" i="79"/>
  <c r="A1" i="79"/>
  <c r="K73" i="79" l="1"/>
  <c r="K75" i="79" s="1"/>
  <c r="K81" i="79" s="1"/>
  <c r="B39" i="69" l="1"/>
  <c r="B57" i="69"/>
  <c r="B56" i="69"/>
  <c r="B38" i="69"/>
  <c r="B37" i="69"/>
  <c r="C32" i="3" l="1"/>
  <c r="B32" i="3"/>
  <c r="AB71" i="1"/>
  <c r="AB65" i="1"/>
  <c r="AB47" i="1"/>
  <c r="AB36" i="1"/>
  <c r="AB30" i="1"/>
  <c r="AB24" i="1"/>
  <c r="AB17" i="1"/>
  <c r="B33" i="75" l="1"/>
  <c r="AB72" i="1"/>
  <c r="AB74" i="1" s="1"/>
  <c r="AB81" i="1" s="1"/>
  <c r="L38" i="69" s="1"/>
  <c r="AB48" i="1"/>
  <c r="AB50" i="1" s="1"/>
  <c r="AB53" i="1" s="1"/>
  <c r="AA54" i="76" s="1"/>
  <c r="C31" i="3"/>
  <c r="B32" i="75" s="1"/>
  <c r="B31" i="3"/>
  <c r="AA71" i="1"/>
  <c r="AA65" i="1"/>
  <c r="AA47" i="1"/>
  <c r="AA36" i="1"/>
  <c r="AA30" i="1"/>
  <c r="AA24" i="1"/>
  <c r="AA17" i="1"/>
  <c r="E32" i="3" l="1"/>
  <c r="A37" i="69"/>
  <c r="AA72" i="1"/>
  <c r="AA74" i="1" s="1"/>
  <c r="AA81" i="1" s="1"/>
  <c r="A31" i="3"/>
  <c r="A32" i="75" s="1"/>
  <c r="A32" i="3"/>
  <c r="A33" i="75" s="1"/>
  <c r="AA48" i="1"/>
  <c r="AA50" i="1" s="1"/>
  <c r="AA53" i="1" s="1"/>
  <c r="Z54" i="76" s="1"/>
  <c r="F33" i="75" l="1"/>
  <c r="G33" i="75" s="1"/>
  <c r="A38" i="69"/>
  <c r="E31" i="3"/>
  <c r="L37" i="69"/>
  <c r="F32" i="75" l="1"/>
  <c r="G32" i="75" s="1"/>
  <c r="C33" i="3"/>
  <c r="B34" i="75" s="1"/>
  <c r="C51" i="3"/>
  <c r="B52" i="75" s="1"/>
  <c r="C50" i="3"/>
  <c r="B51" i="75" s="1"/>
  <c r="B33" i="3"/>
  <c r="B51" i="3"/>
  <c r="B50" i="3"/>
  <c r="AC71" i="1"/>
  <c r="AC65" i="1"/>
  <c r="AC47" i="1"/>
  <c r="AC36" i="1"/>
  <c r="AC30" i="1"/>
  <c r="AC24" i="1"/>
  <c r="AC17" i="1"/>
  <c r="AU71" i="1"/>
  <c r="AU65" i="1"/>
  <c r="AU47" i="1"/>
  <c r="AU36" i="1"/>
  <c r="AU30" i="1"/>
  <c r="AU24" i="1"/>
  <c r="AU17" i="1"/>
  <c r="AT71" i="1"/>
  <c r="AT65" i="1"/>
  <c r="AT47" i="1"/>
  <c r="AT36" i="1"/>
  <c r="AT30" i="1"/>
  <c r="AT24" i="1"/>
  <c r="AT17" i="1"/>
  <c r="F329" i="5"/>
  <c r="F328" i="5"/>
  <c r="F327" i="5"/>
  <c r="F326" i="5"/>
  <c r="F79" i="5"/>
  <c r="E79" i="5" s="1"/>
  <c r="F311" i="5"/>
  <c r="F310" i="5"/>
  <c r="F309" i="5"/>
  <c r="F306" i="5"/>
  <c r="F305" i="5"/>
  <c r="F304" i="5"/>
  <c r="F74" i="5" s="1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70" i="5" s="1"/>
  <c r="F282" i="5"/>
  <c r="F69" i="5" s="1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64" i="5" s="1"/>
  <c r="I64" i="5" s="1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63" i="5" s="1"/>
  <c r="I63" i="5" s="1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0" i="5"/>
  <c r="F229" i="5"/>
  <c r="F57" i="5" s="1"/>
  <c r="F228" i="5"/>
  <c r="F56" i="5" s="1"/>
  <c r="F227" i="5"/>
  <c r="F54" i="5" s="1"/>
  <c r="F226" i="5"/>
  <c r="F225" i="5"/>
  <c r="F224" i="5"/>
  <c r="F223" i="5"/>
  <c r="F222" i="5"/>
  <c r="F221" i="5"/>
  <c r="F220" i="5"/>
  <c r="F219" i="5"/>
  <c r="F218" i="5"/>
  <c r="F47" i="5" s="1"/>
  <c r="E47" i="5" s="1"/>
  <c r="H47" i="5" s="1"/>
  <c r="F217" i="5"/>
  <c r="F216" i="5"/>
  <c r="F215" i="5"/>
  <c r="F214" i="5"/>
  <c r="F213" i="5"/>
  <c r="F212" i="5"/>
  <c r="F211" i="5"/>
  <c r="F210" i="5"/>
  <c r="F209" i="5"/>
  <c r="F197" i="5"/>
  <c r="F196" i="5"/>
  <c r="F195" i="5"/>
  <c r="F194" i="5"/>
  <c r="F193" i="5"/>
  <c r="F192" i="5"/>
  <c r="F44" i="5" s="1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41" i="5" s="1"/>
  <c r="I41" i="5" s="1"/>
  <c r="F177" i="5"/>
  <c r="F176" i="5"/>
  <c r="F175" i="5"/>
  <c r="F174" i="5"/>
  <c r="F173" i="5"/>
  <c r="F172" i="5"/>
  <c r="F171" i="5"/>
  <c r="F170" i="5"/>
  <c r="F169" i="5"/>
  <c r="F168" i="5"/>
  <c r="F167" i="5"/>
  <c r="F166" i="5"/>
  <c r="F39" i="5" s="1"/>
  <c r="I39" i="5" s="1"/>
  <c r="F165" i="5"/>
  <c r="F164" i="5"/>
  <c r="F163" i="5"/>
  <c r="F162" i="5"/>
  <c r="F161" i="5"/>
  <c r="F160" i="5"/>
  <c r="F159" i="5"/>
  <c r="F158" i="5"/>
  <c r="F157" i="5"/>
  <c r="F156" i="5"/>
  <c r="F155" i="5"/>
  <c r="F36" i="5" s="1"/>
  <c r="F154" i="5"/>
  <c r="F35" i="5" s="1"/>
  <c r="F153" i="5"/>
  <c r="F152" i="5"/>
  <c r="F34" i="5" s="1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30" i="5" s="1"/>
  <c r="F124" i="5"/>
  <c r="F123" i="5"/>
  <c r="F122" i="5"/>
  <c r="F121" i="5"/>
  <c r="F28" i="5" s="1"/>
  <c r="F120" i="5"/>
  <c r="F119" i="5"/>
  <c r="F118" i="5"/>
  <c r="F117" i="5"/>
  <c r="F116" i="5"/>
  <c r="F115" i="5"/>
  <c r="F112" i="5"/>
  <c r="F111" i="5"/>
  <c r="F110" i="5"/>
  <c r="F109" i="5"/>
  <c r="F108" i="5"/>
  <c r="F22" i="5" s="1"/>
  <c r="F107" i="5"/>
  <c r="F106" i="5"/>
  <c r="F105" i="5"/>
  <c r="F104" i="5"/>
  <c r="F17" i="5" s="1"/>
  <c r="F103" i="5"/>
  <c r="F102" i="5"/>
  <c r="F101" i="5"/>
  <c r="F100" i="5"/>
  <c r="F99" i="5"/>
  <c r="F98" i="5"/>
  <c r="F97" i="5"/>
  <c r="F96" i="5"/>
  <c r="F95" i="5"/>
  <c r="F94" i="5"/>
  <c r="F15" i="5" s="1"/>
  <c r="F93" i="5"/>
  <c r="F92" i="5"/>
  <c r="F91" i="5"/>
  <c r="F90" i="5"/>
  <c r="F89" i="5"/>
  <c r="F88" i="5"/>
  <c r="G77" i="5"/>
  <c r="E77" i="5" s="1"/>
  <c r="G76" i="5"/>
  <c r="G74" i="5"/>
  <c r="G71" i="5"/>
  <c r="G70" i="5"/>
  <c r="G69" i="5"/>
  <c r="H68" i="5"/>
  <c r="G65" i="5"/>
  <c r="G64" i="5"/>
  <c r="G63" i="5"/>
  <c r="G57" i="5"/>
  <c r="G56" i="5"/>
  <c r="G54" i="5"/>
  <c r="G46" i="5"/>
  <c r="G45" i="5"/>
  <c r="G44" i="5"/>
  <c r="G41" i="5"/>
  <c r="G40" i="5"/>
  <c r="F40" i="5"/>
  <c r="I40" i="5" s="1"/>
  <c r="G39" i="5"/>
  <c r="G36" i="5"/>
  <c r="G35" i="5"/>
  <c r="G34" i="5"/>
  <c r="G30" i="5"/>
  <c r="G29" i="5"/>
  <c r="G28" i="5"/>
  <c r="G24" i="5"/>
  <c r="G23" i="5"/>
  <c r="G22" i="5"/>
  <c r="H21" i="5"/>
  <c r="G17" i="5"/>
  <c r="G16" i="5"/>
  <c r="G15" i="5"/>
  <c r="F23" i="5" l="1"/>
  <c r="F78" i="5"/>
  <c r="F65" i="5"/>
  <c r="I65" i="5" s="1"/>
  <c r="F46" i="5"/>
  <c r="E46" i="5" s="1"/>
  <c r="E78" i="5"/>
  <c r="F29" i="5"/>
  <c r="E29" i="5" s="1"/>
  <c r="H29" i="5" s="1"/>
  <c r="E57" i="5"/>
  <c r="H57" i="5" s="1"/>
  <c r="F24" i="5"/>
  <c r="E24" i="5" s="1"/>
  <c r="H24" i="5" s="1"/>
  <c r="E76" i="5"/>
  <c r="H76" i="5" s="1"/>
  <c r="E35" i="5"/>
  <c r="H35" i="5" s="1"/>
  <c r="AT72" i="1"/>
  <c r="AT74" i="1" s="1"/>
  <c r="AT81" i="1" s="1"/>
  <c r="E23" i="5"/>
  <c r="H23" i="5" s="1"/>
  <c r="E69" i="5"/>
  <c r="H69" i="5" s="1"/>
  <c r="E70" i="5"/>
  <c r="H70" i="5" s="1"/>
  <c r="E17" i="5"/>
  <c r="H17" i="5" s="1"/>
  <c r="G48" i="5"/>
  <c r="E30" i="5"/>
  <c r="H30" i="5" s="1"/>
  <c r="F45" i="5"/>
  <c r="E45" i="5" s="1"/>
  <c r="H45" i="5" s="1"/>
  <c r="E56" i="5"/>
  <c r="H56" i="5" s="1"/>
  <c r="E74" i="5"/>
  <c r="H74" i="5" s="1"/>
  <c r="F71" i="5"/>
  <c r="E71" i="5" s="1"/>
  <c r="H71" i="5" s="1"/>
  <c r="E39" i="5"/>
  <c r="H39" i="5" s="1"/>
  <c r="E41" i="5"/>
  <c r="H41" i="5" s="1"/>
  <c r="E54" i="5"/>
  <c r="H54" i="5" s="1"/>
  <c r="E64" i="5"/>
  <c r="H64" i="5" s="1"/>
  <c r="AC48" i="1"/>
  <c r="AC50" i="1" s="1"/>
  <c r="AC53" i="1" s="1"/>
  <c r="AB54" i="76" s="1"/>
  <c r="AC72" i="1"/>
  <c r="AC74" i="1" s="1"/>
  <c r="AC81" i="1" s="1"/>
  <c r="G37" i="5"/>
  <c r="E63" i="5"/>
  <c r="H77" i="5"/>
  <c r="G25" i="5"/>
  <c r="E65" i="5"/>
  <c r="H65" i="5" s="1"/>
  <c r="E36" i="5"/>
  <c r="H36" i="5" s="1"/>
  <c r="G66" i="5"/>
  <c r="G31" i="5"/>
  <c r="G18" i="5"/>
  <c r="E34" i="5"/>
  <c r="H34" i="5" s="1"/>
  <c r="E40" i="5"/>
  <c r="H40" i="5" s="1"/>
  <c r="G72" i="5"/>
  <c r="AC54" i="76"/>
  <c r="AU72" i="1"/>
  <c r="AU74" i="1" s="1"/>
  <c r="AU81" i="1" s="1"/>
  <c r="AU48" i="1"/>
  <c r="AU50" i="1" s="1"/>
  <c r="AU53" i="1" s="1"/>
  <c r="AT54" i="76" s="1"/>
  <c r="AT48" i="1"/>
  <c r="AT50" i="1" s="1"/>
  <c r="AT53" i="1" s="1"/>
  <c r="AS54" i="76" s="1"/>
  <c r="E15" i="5"/>
  <c r="F37" i="5"/>
  <c r="I37" i="5" s="1"/>
  <c r="F16" i="5"/>
  <c r="E16" i="5" s="1"/>
  <c r="H16" i="5" s="1"/>
  <c r="E22" i="5"/>
  <c r="E28" i="5"/>
  <c r="E44" i="5"/>
  <c r="F31" i="5" l="1"/>
  <c r="I31" i="5" s="1"/>
  <c r="E50" i="3"/>
  <c r="F51" i="75" s="1"/>
  <c r="L56" i="69"/>
  <c r="E51" i="3"/>
  <c r="F52" i="75" s="1"/>
  <c r="L57" i="69"/>
  <c r="E33" i="3"/>
  <c r="L39" i="69"/>
  <c r="G49" i="5"/>
  <c r="G51" i="5" s="1"/>
  <c r="G59" i="5" s="1"/>
  <c r="E72" i="5"/>
  <c r="F25" i="5"/>
  <c r="F72" i="5"/>
  <c r="E66" i="5"/>
  <c r="F48" i="5"/>
  <c r="I48" i="5" s="1"/>
  <c r="E37" i="5"/>
  <c r="H37" i="5" s="1"/>
  <c r="G73" i="5"/>
  <c r="G75" i="5" s="1"/>
  <c r="G82" i="5" s="1"/>
  <c r="F66" i="5"/>
  <c r="H63" i="5"/>
  <c r="H44" i="5"/>
  <c r="E48" i="5"/>
  <c r="E18" i="5"/>
  <c r="H15" i="5"/>
  <c r="E31" i="5"/>
  <c r="H31" i="5" s="1"/>
  <c r="H28" i="5"/>
  <c r="F18" i="5"/>
  <c r="I18" i="5" s="1"/>
  <c r="H22" i="5"/>
  <c r="E25" i="5"/>
  <c r="G52" i="75" l="1"/>
  <c r="G51" i="75"/>
  <c r="E49" i="5"/>
  <c r="I25" i="5"/>
  <c r="F49" i="5"/>
  <c r="F34" i="75"/>
  <c r="G34" i="75" s="1"/>
  <c r="F51" i="5"/>
  <c r="F59" i="5" s="1"/>
  <c r="E73" i="5"/>
  <c r="H72" i="5"/>
  <c r="F73" i="5"/>
  <c r="F75" i="5" s="1"/>
  <c r="F82" i="5" s="1"/>
  <c r="H66" i="5"/>
  <c r="H48" i="5"/>
  <c r="H25" i="5"/>
  <c r="H18" i="5"/>
  <c r="E75" i="5" l="1"/>
  <c r="E82" i="5" s="1"/>
  <c r="H82" i="5" s="1"/>
  <c r="F84" i="5"/>
  <c r="H49" i="5"/>
  <c r="E51" i="5"/>
  <c r="E59" i="5" s="1"/>
  <c r="H51" i="5" l="1"/>
  <c r="E84" i="5"/>
  <c r="H59" i="5"/>
  <c r="F16" i="69" l="1"/>
  <c r="E16" i="69"/>
  <c r="E34" i="69" s="1"/>
  <c r="M11" i="55" l="1"/>
  <c r="O11" i="55" s="1"/>
  <c r="O13" i="55"/>
  <c r="W17" i="1"/>
  <c r="W24" i="1"/>
  <c r="W30" i="1"/>
  <c r="W36" i="1"/>
  <c r="W47" i="1"/>
  <c r="W65" i="1"/>
  <c r="W71" i="1"/>
  <c r="W72" i="1" l="1"/>
  <c r="W74" i="1" s="1"/>
  <c r="W81" i="1" s="1"/>
  <c r="W48" i="1"/>
  <c r="W50" i="1" s="1"/>
  <c r="W53" i="1" s="1"/>
  <c r="AK54" i="76" l="1"/>
  <c r="W8" i="76" l="1"/>
  <c r="W9" i="76"/>
  <c r="W10" i="76"/>
  <c r="W12" i="76"/>
  <c r="W15" i="76"/>
  <c r="W16" i="76"/>
  <c r="W17" i="76"/>
  <c r="W22" i="76"/>
  <c r="W23" i="76"/>
  <c r="W24" i="76"/>
  <c r="W28" i="76"/>
  <c r="W29" i="76"/>
  <c r="W30" i="76"/>
  <c r="W34" i="76"/>
  <c r="W35" i="76"/>
  <c r="W36" i="76"/>
  <c r="W39" i="76"/>
  <c r="W40" i="76"/>
  <c r="W41" i="76"/>
  <c r="W44" i="76"/>
  <c r="W45" i="76"/>
  <c r="W46" i="76"/>
  <c r="W47" i="76"/>
  <c r="W56" i="76"/>
  <c r="W57" i="76"/>
  <c r="W63" i="76"/>
  <c r="W64" i="76"/>
  <c r="W65" i="76"/>
  <c r="W69" i="76"/>
  <c r="W70" i="76"/>
  <c r="W71" i="76"/>
  <c r="W74" i="76"/>
  <c r="W76" i="76"/>
  <c r="W77" i="76"/>
  <c r="W78" i="76"/>
  <c r="W79" i="76"/>
  <c r="W48" i="76" l="1"/>
  <c r="W18" i="76"/>
  <c r="W31" i="76"/>
  <c r="W37" i="76"/>
  <c r="W25" i="76"/>
  <c r="W66" i="76"/>
  <c r="W72" i="76"/>
  <c r="W73" i="76" l="1"/>
  <c r="W75" i="76" s="1"/>
  <c r="W82" i="76" s="1"/>
  <c r="W49" i="76"/>
  <c r="W51" i="76" s="1"/>
  <c r="E21" i="56" l="1"/>
  <c r="E23" i="56" s="1"/>
  <c r="E27" i="56" l="1"/>
  <c r="M15" i="55"/>
  <c r="F22" i="55" l="1"/>
  <c r="G54" i="3"/>
  <c r="O15" i="55"/>
  <c r="G5" i="3" s="1"/>
  <c r="Q14" i="55"/>
  <c r="AG54" i="1" s="1"/>
  <c r="AF55" i="76" l="1"/>
  <c r="AF59" i="76" s="1"/>
  <c r="AG58" i="1"/>
  <c r="BE54" i="1"/>
  <c r="BE58" i="1" s="1"/>
  <c r="BG54" i="1"/>
  <c r="BG58" i="1" s="1"/>
  <c r="BD54" i="1"/>
  <c r="BD58" i="1" s="1"/>
  <c r="BF54" i="1"/>
  <c r="BF58" i="1" s="1"/>
  <c r="AM54" i="1"/>
  <c r="AM58" i="1" s="1"/>
  <c r="H49" i="69" s="1"/>
  <c r="AL54" i="1"/>
  <c r="AL58" i="1" s="1"/>
  <c r="H48" i="69" s="1"/>
  <c r="AP54" i="1"/>
  <c r="AK54" i="1"/>
  <c r="AK58" i="1" s="1"/>
  <c r="H47" i="69" s="1"/>
  <c r="AS54" i="1"/>
  <c r="AS58" i="1" s="1"/>
  <c r="H55" i="69" s="1"/>
  <c r="AJ54" i="1"/>
  <c r="AJ58" i="1" s="1"/>
  <c r="H46" i="69" s="1"/>
  <c r="AN54" i="1"/>
  <c r="AN58" i="1" s="1"/>
  <c r="H50" i="69" s="1"/>
  <c r="AO54" i="1"/>
  <c r="AQ54" i="1"/>
  <c r="AH54" i="1"/>
  <c r="AH58" i="1" s="1"/>
  <c r="H44" i="69" s="1"/>
  <c r="AF54" i="1"/>
  <c r="AF58" i="1" s="1"/>
  <c r="H42" i="69" s="1"/>
  <c r="AD54" i="1"/>
  <c r="AD58" i="1" s="1"/>
  <c r="H40" i="69" s="1"/>
  <c r="AI54" i="1"/>
  <c r="AI58" i="1" s="1"/>
  <c r="H45" i="69" s="1"/>
  <c r="AE54" i="1"/>
  <c r="AE58" i="1" s="1"/>
  <c r="H41" i="69" s="1"/>
  <c r="X54" i="1"/>
  <c r="X58" i="1" s="1"/>
  <c r="H33" i="69" s="1"/>
  <c r="G22" i="55"/>
  <c r="H22" i="55" s="1"/>
  <c r="AY54" i="1"/>
  <c r="AV54" i="1"/>
  <c r="AV58" i="1" s="1"/>
  <c r="H58" i="69" s="1"/>
  <c r="O10" i="69"/>
  <c r="AZ54" i="1"/>
  <c r="AV55" i="76" s="1"/>
  <c r="AV59" i="76" s="1"/>
  <c r="BB54" i="1"/>
  <c r="AX55" i="76" s="1"/>
  <c r="AX59" i="76" s="1"/>
  <c r="BH54" i="1"/>
  <c r="BD55" i="76" s="1"/>
  <c r="BD59" i="76" s="1"/>
  <c r="BC54" i="1"/>
  <c r="AY55" i="76" s="1"/>
  <c r="AY59" i="76" s="1"/>
  <c r="AZ55" i="76"/>
  <c r="AZ59" i="76" s="1"/>
  <c r="BA54" i="1"/>
  <c r="AW55" i="76" s="1"/>
  <c r="AW59" i="76" s="1"/>
  <c r="BC55" i="76"/>
  <c r="BC59" i="76" s="1"/>
  <c r="AR54" i="1"/>
  <c r="AQ55" i="76" s="1"/>
  <c r="AQ59" i="76" s="1"/>
  <c r="F14" i="55"/>
  <c r="AB54" i="1"/>
  <c r="AA55" i="76" s="1"/>
  <c r="AA59" i="76" s="1"/>
  <c r="AA54" i="1"/>
  <c r="Z55" i="76" s="1"/>
  <c r="Z59" i="76" s="1"/>
  <c r="AT54" i="1"/>
  <c r="AS55" i="76" s="1"/>
  <c r="AS59" i="76" s="1"/>
  <c r="AC54" i="1"/>
  <c r="AB55" i="76" s="1"/>
  <c r="AB59" i="76" s="1"/>
  <c r="AU54" i="1"/>
  <c r="AT55" i="76" s="1"/>
  <c r="AT59" i="76" s="1"/>
  <c r="W54" i="1"/>
  <c r="W58" i="1" s="1"/>
  <c r="H32" i="69" s="1"/>
  <c r="E86" i="1"/>
  <c r="AG88" i="1" s="1"/>
  <c r="C26" i="3"/>
  <c r="B29" i="75" s="1"/>
  <c r="B26" i="3"/>
  <c r="AQ58" i="1" l="1"/>
  <c r="H53" i="69" s="1"/>
  <c r="AP55" i="76"/>
  <c r="AP59" i="76" s="1"/>
  <c r="AO58" i="1"/>
  <c r="H51" i="69" s="1"/>
  <c r="AN55" i="76"/>
  <c r="AN59" i="76" s="1"/>
  <c r="AP58" i="1"/>
  <c r="H52" i="69" s="1"/>
  <c r="AO55" i="76"/>
  <c r="AO59" i="76" s="1"/>
  <c r="H43" i="69"/>
  <c r="K43" i="69" s="1"/>
  <c r="D37" i="3"/>
  <c r="F37" i="3" s="1"/>
  <c r="AK55" i="76"/>
  <c r="AK59" i="76" s="1"/>
  <c r="BB55" i="76"/>
  <c r="BB59" i="76" s="1"/>
  <c r="AM55" i="76"/>
  <c r="AM59" i="76" s="1"/>
  <c r="BD88" i="1"/>
  <c r="BF88" i="1"/>
  <c r="BG88" i="1"/>
  <c r="BE88" i="1"/>
  <c r="AC55" i="76"/>
  <c r="AC59" i="76" s="1"/>
  <c r="AN88" i="1"/>
  <c r="AJ88" i="1"/>
  <c r="AS88" i="1"/>
  <c r="AK88" i="1"/>
  <c r="AP88" i="1"/>
  <c r="K52" i="69"/>
  <c r="D46" i="3"/>
  <c r="F46" i="3" s="1"/>
  <c r="AL88" i="1"/>
  <c r="AQ88" i="1"/>
  <c r="K53" i="69"/>
  <c r="AM88" i="1"/>
  <c r="AO88" i="1"/>
  <c r="K51" i="69"/>
  <c r="D45" i="3"/>
  <c r="F45" i="3" s="1"/>
  <c r="X88" i="1"/>
  <c r="AE88" i="1"/>
  <c r="AD88" i="1"/>
  <c r="AI88" i="1"/>
  <c r="AH88" i="1"/>
  <c r="AF88" i="1"/>
  <c r="AY58" i="1"/>
  <c r="AY88" i="1" s="1"/>
  <c r="AU55" i="76"/>
  <c r="AU59" i="76" s="1"/>
  <c r="AI55" i="76"/>
  <c r="AI59" i="76" s="1"/>
  <c r="H74" i="69"/>
  <c r="K74" i="69" s="1"/>
  <c r="BA55" i="76"/>
  <c r="BA59" i="76" s="1"/>
  <c r="X55" i="76"/>
  <c r="X59" i="76" s="1"/>
  <c r="G14" i="55"/>
  <c r="AV88" i="1"/>
  <c r="AR58" i="1"/>
  <c r="H54" i="69" s="1"/>
  <c r="BA58" i="1"/>
  <c r="AZ58" i="1"/>
  <c r="BC58" i="1"/>
  <c r="BB58" i="1"/>
  <c r="BH58" i="1"/>
  <c r="AA58" i="1"/>
  <c r="H37" i="69" s="1"/>
  <c r="AB58" i="1"/>
  <c r="H38" i="69" s="1"/>
  <c r="AC58" i="1"/>
  <c r="H39" i="69" s="1"/>
  <c r="AU58" i="1"/>
  <c r="H57" i="69" s="1"/>
  <c r="AT58" i="1"/>
  <c r="H56" i="69" s="1"/>
  <c r="B32" i="69"/>
  <c r="B30" i="69"/>
  <c r="D47" i="3" l="1"/>
  <c r="F47" i="3" s="1"/>
  <c r="D63" i="3"/>
  <c r="F63" i="3" s="1"/>
  <c r="D62" i="3"/>
  <c r="F62" i="3" s="1"/>
  <c r="H73" i="69"/>
  <c r="K73" i="69" s="1"/>
  <c r="D61" i="3"/>
  <c r="F61" i="3" s="1"/>
  <c r="H72" i="69"/>
  <c r="K72" i="69" s="1"/>
  <c r="D44" i="3"/>
  <c r="F44" i="3" s="1"/>
  <c r="K50" i="69"/>
  <c r="D27" i="3"/>
  <c r="F27" i="3" s="1"/>
  <c r="K33" i="69"/>
  <c r="D40" i="3"/>
  <c r="F40" i="3" s="1"/>
  <c r="K46" i="69"/>
  <c r="D64" i="3"/>
  <c r="F64" i="3" s="1"/>
  <c r="H75" i="69"/>
  <c r="K75" i="69" s="1"/>
  <c r="D57" i="3"/>
  <c r="F57" i="3" s="1"/>
  <c r="H68" i="69"/>
  <c r="K68" i="69" s="1"/>
  <c r="D60" i="3"/>
  <c r="F60" i="3" s="1"/>
  <c r="H71" i="69"/>
  <c r="K71" i="69" s="1"/>
  <c r="D58" i="3"/>
  <c r="F58" i="3" s="1"/>
  <c r="H69" i="69"/>
  <c r="K69" i="69" s="1"/>
  <c r="D48" i="3"/>
  <c r="F48" i="3" s="1"/>
  <c r="K54" i="69"/>
  <c r="D66" i="3"/>
  <c r="F66" i="3" s="1"/>
  <c r="H77" i="69"/>
  <c r="K77" i="69" s="1"/>
  <c r="D65" i="3"/>
  <c r="F65" i="3" s="1"/>
  <c r="H76" i="69"/>
  <c r="K76" i="69" s="1"/>
  <c r="D59" i="3"/>
  <c r="F59" i="3" s="1"/>
  <c r="H70" i="69"/>
  <c r="K70" i="69" s="1"/>
  <c r="BH88" i="1"/>
  <c r="AR88" i="1"/>
  <c r="BC88" i="1"/>
  <c r="BB88" i="1"/>
  <c r="BA88" i="1"/>
  <c r="AZ88" i="1"/>
  <c r="D50" i="3"/>
  <c r="F50" i="3" s="1"/>
  <c r="K56" i="69"/>
  <c r="D33" i="3"/>
  <c r="F33" i="3" s="1"/>
  <c r="K39" i="69"/>
  <c r="D31" i="3"/>
  <c r="F31" i="3" s="1"/>
  <c r="K37" i="69"/>
  <c r="D51" i="3"/>
  <c r="F51" i="3" s="1"/>
  <c r="K57" i="69"/>
  <c r="D32" i="3"/>
  <c r="F32" i="3" s="1"/>
  <c r="K38" i="69"/>
  <c r="AB88" i="1"/>
  <c r="AA88" i="1"/>
  <c r="AT88" i="1"/>
  <c r="AC88" i="1"/>
  <c r="AU88" i="1"/>
  <c r="W55" i="76"/>
  <c r="W54" i="76"/>
  <c r="K78" i="69" l="1"/>
  <c r="W59" i="76"/>
  <c r="E26" i="3"/>
  <c r="L32" i="69"/>
  <c r="F29" i="75" l="1"/>
  <c r="G29" i="75" s="1"/>
  <c r="AE55" i="76"/>
  <c r="AH55" i="76" l="1"/>
  <c r="AJ55" i="76"/>
  <c r="AE54" i="76"/>
  <c r="AE59" i="76" s="1"/>
  <c r="AJ54" i="76"/>
  <c r="AH54" i="76"/>
  <c r="AJ59" i="76" l="1"/>
  <c r="AH59" i="76"/>
  <c r="U8" i="76"/>
  <c r="U9" i="76"/>
  <c r="U12" i="76"/>
  <c r="U15" i="76"/>
  <c r="U16" i="76"/>
  <c r="U17" i="76"/>
  <c r="U22" i="76"/>
  <c r="U23" i="76"/>
  <c r="U24" i="76"/>
  <c r="U28" i="76"/>
  <c r="U29" i="76"/>
  <c r="U30" i="76"/>
  <c r="U34" i="76"/>
  <c r="U35" i="76"/>
  <c r="U36" i="76"/>
  <c r="U39" i="76"/>
  <c r="U40" i="76"/>
  <c r="U41" i="76"/>
  <c r="U44" i="76"/>
  <c r="U45" i="76"/>
  <c r="U46" i="76"/>
  <c r="U47" i="76"/>
  <c r="U56" i="76"/>
  <c r="U57" i="76"/>
  <c r="U63" i="76"/>
  <c r="U64" i="76"/>
  <c r="U65" i="76"/>
  <c r="U69" i="76"/>
  <c r="U70" i="76"/>
  <c r="U71" i="76"/>
  <c r="U74" i="76"/>
  <c r="U76" i="76"/>
  <c r="U77" i="76"/>
  <c r="U78" i="76"/>
  <c r="U79" i="76"/>
  <c r="C24" i="3"/>
  <c r="B27" i="75" s="1"/>
  <c r="B24" i="3"/>
  <c r="U71" i="1"/>
  <c r="U65" i="1"/>
  <c r="U47" i="1"/>
  <c r="U36" i="1"/>
  <c r="U30" i="1"/>
  <c r="U24" i="1"/>
  <c r="U17" i="1"/>
  <c r="U72" i="1" l="1"/>
  <c r="U74" i="1" s="1"/>
  <c r="U81" i="1" s="1"/>
  <c r="U54" i="1" s="1"/>
  <c r="U48" i="1"/>
  <c r="U50" i="1" s="1"/>
  <c r="U53" i="1" s="1"/>
  <c r="U66" i="76"/>
  <c r="U25" i="76"/>
  <c r="U72" i="76"/>
  <c r="U31" i="76"/>
  <c r="U37" i="76"/>
  <c r="U48" i="76"/>
  <c r="U18" i="76"/>
  <c r="E24" i="3" l="1"/>
  <c r="L30" i="69"/>
  <c r="U54" i="76"/>
  <c r="U73" i="76"/>
  <c r="U75" i="76" s="1"/>
  <c r="U82" i="76" s="1"/>
  <c r="U49" i="76"/>
  <c r="U51" i="76" s="1"/>
  <c r="F27" i="75" l="1"/>
  <c r="G27" i="75" s="1"/>
  <c r="A3" i="76"/>
  <c r="T79" i="76" l="1"/>
  <c r="T78" i="76"/>
  <c r="T77" i="76"/>
  <c r="T76" i="76"/>
  <c r="T74" i="76"/>
  <c r="T71" i="76"/>
  <c r="T70" i="76"/>
  <c r="T69" i="76"/>
  <c r="T65" i="76"/>
  <c r="T64" i="76"/>
  <c r="T63" i="76"/>
  <c r="T57" i="76"/>
  <c r="T56" i="76"/>
  <c r="T47" i="76"/>
  <c r="T46" i="76"/>
  <c r="T45" i="76"/>
  <c r="T44" i="76"/>
  <c r="T41" i="76"/>
  <c r="T40" i="76"/>
  <c r="T39" i="76"/>
  <c r="T36" i="76"/>
  <c r="T35" i="76"/>
  <c r="T34" i="76"/>
  <c r="T30" i="76"/>
  <c r="T29" i="76"/>
  <c r="T28" i="76"/>
  <c r="T24" i="76"/>
  <c r="T23" i="76"/>
  <c r="T22" i="76"/>
  <c r="T17" i="76"/>
  <c r="T16" i="76"/>
  <c r="T15" i="76"/>
  <c r="T12" i="76"/>
  <c r="T10" i="76"/>
  <c r="T9" i="76"/>
  <c r="T8" i="76"/>
  <c r="T25" i="76" l="1"/>
  <c r="T66" i="76"/>
  <c r="T18" i="76"/>
  <c r="T37" i="76"/>
  <c r="T31" i="76"/>
  <c r="T48" i="76"/>
  <c r="T72" i="76"/>
  <c r="B41" i="69"/>
  <c r="C35" i="3"/>
  <c r="B36" i="75" s="1"/>
  <c r="B35" i="3"/>
  <c r="T49" i="76" l="1"/>
  <c r="T51" i="76" s="1"/>
  <c r="T73" i="76"/>
  <c r="T75" i="76" s="1"/>
  <c r="T82" i="76" s="1"/>
  <c r="AD55" i="76"/>
  <c r="AD54" i="76" l="1"/>
  <c r="AD59" i="76" s="1"/>
  <c r="E35" i="3"/>
  <c r="L41" i="69"/>
  <c r="F36" i="75" l="1"/>
  <c r="G36" i="75" s="1"/>
  <c r="R38" i="1"/>
  <c r="R43" i="1"/>
  <c r="B49" i="69" l="1"/>
  <c r="C43" i="3" l="1"/>
  <c r="B44" i="75" s="1"/>
  <c r="B43" i="3"/>
  <c r="AL55" i="76" l="1"/>
  <c r="AL54" i="76" l="1"/>
  <c r="AL59" i="76" s="1"/>
  <c r="L49" i="69"/>
  <c r="E43" i="3"/>
  <c r="F44" i="75" l="1"/>
  <c r="G44" i="75" s="1"/>
  <c r="Q35" i="76" l="1"/>
  <c r="Z43" i="1"/>
  <c r="Z38" i="1"/>
  <c r="Z35" i="1"/>
  <c r="S38" i="1"/>
  <c r="M17" i="1"/>
  <c r="M24" i="1"/>
  <c r="M30" i="1"/>
  <c r="M36" i="1"/>
  <c r="M47" i="1"/>
  <c r="M65" i="1"/>
  <c r="M71" i="1"/>
  <c r="M48" i="1" l="1"/>
  <c r="M50" i="1" s="1"/>
  <c r="M53" i="1" s="1"/>
  <c r="M72" i="1"/>
  <c r="M74" i="1" s="1"/>
  <c r="M81" i="1" s="1"/>
  <c r="M54" i="1" s="1"/>
  <c r="B58" i="69"/>
  <c r="B40" i="69"/>
  <c r="B28" i="69"/>
  <c r="C52" i="3"/>
  <c r="C34" i="3"/>
  <c r="B35" i="75" s="1"/>
  <c r="B52" i="3"/>
  <c r="B34" i="3"/>
  <c r="C30" i="3"/>
  <c r="B31" i="75" s="1"/>
  <c r="B30" i="3"/>
  <c r="C22" i="3"/>
  <c r="B25" i="75" s="1"/>
  <c r="B22" i="3"/>
  <c r="S8" i="76"/>
  <c r="S9" i="76"/>
  <c r="S10" i="76"/>
  <c r="S12" i="76"/>
  <c r="S15" i="76"/>
  <c r="S16" i="76"/>
  <c r="S17" i="76"/>
  <c r="S22" i="76"/>
  <c r="S23" i="76"/>
  <c r="S24" i="76"/>
  <c r="S28" i="76"/>
  <c r="S29" i="76"/>
  <c r="S30" i="76"/>
  <c r="S34" i="76"/>
  <c r="S35" i="76"/>
  <c r="S36" i="76"/>
  <c r="S39" i="76"/>
  <c r="S40" i="76"/>
  <c r="S41" i="76"/>
  <c r="S44" i="76"/>
  <c r="S45" i="76"/>
  <c r="S46" i="76"/>
  <c r="S47" i="76"/>
  <c r="S56" i="76"/>
  <c r="S57" i="76"/>
  <c r="S63" i="76"/>
  <c r="S64" i="76"/>
  <c r="S65" i="76"/>
  <c r="S69" i="76"/>
  <c r="S70" i="76"/>
  <c r="S71" i="76"/>
  <c r="S74" i="76"/>
  <c r="S76" i="76"/>
  <c r="S77" i="76"/>
  <c r="S78" i="76"/>
  <c r="S79" i="76"/>
  <c r="S18" i="76" l="1"/>
  <c r="S48" i="76"/>
  <c r="S37" i="76"/>
  <c r="S66" i="76"/>
  <c r="S72" i="76"/>
  <c r="S25" i="76"/>
  <c r="S31" i="76"/>
  <c r="S71" i="1"/>
  <c r="S65" i="1"/>
  <c r="S47" i="1"/>
  <c r="S36" i="1"/>
  <c r="S30" i="1"/>
  <c r="S24" i="1"/>
  <c r="S17" i="1"/>
  <c r="L40" i="69" l="1"/>
  <c r="E34" i="3"/>
  <c r="S72" i="1"/>
  <c r="S74" i="1" s="1"/>
  <c r="S81" i="1" s="1"/>
  <c r="S54" i="1" s="1"/>
  <c r="S73" i="76"/>
  <c r="S75" i="76" s="1"/>
  <c r="S82" i="76" s="1"/>
  <c r="S49" i="76"/>
  <c r="S51" i="76" s="1"/>
  <c r="S48" i="1"/>
  <c r="S50" i="1" s="1"/>
  <c r="S53" i="1" s="1"/>
  <c r="F35" i="75" l="1"/>
  <c r="G35" i="75" s="1"/>
  <c r="E22" i="3"/>
  <c r="L28" i="69"/>
  <c r="S54" i="76"/>
  <c r="F25" i="75" l="1"/>
  <c r="G25" i="75" s="1"/>
  <c r="B36" i="69"/>
  <c r="Y10" i="76"/>
  <c r="Y8" i="76"/>
  <c r="Y9" i="76"/>
  <c r="Y12" i="76"/>
  <c r="Y15" i="76"/>
  <c r="Y16" i="76"/>
  <c r="Y17" i="76"/>
  <c r="Y22" i="76"/>
  <c r="Y23" i="76"/>
  <c r="Y24" i="76"/>
  <c r="Y28" i="76"/>
  <c r="Y29" i="76"/>
  <c r="Y30" i="76"/>
  <c r="Y34" i="76"/>
  <c r="Y35" i="76"/>
  <c r="Y36" i="76"/>
  <c r="Y39" i="76"/>
  <c r="Y40" i="76"/>
  <c r="Y41" i="76"/>
  <c r="Y44" i="76"/>
  <c r="Y45" i="76"/>
  <c r="Y46" i="76"/>
  <c r="Y47" i="76"/>
  <c r="Y56" i="76"/>
  <c r="Y57" i="76"/>
  <c r="Y63" i="76"/>
  <c r="Y64" i="76"/>
  <c r="Y65" i="76"/>
  <c r="Y69" i="76"/>
  <c r="Y70" i="76"/>
  <c r="Y71" i="76"/>
  <c r="Y74" i="76"/>
  <c r="Y76" i="76"/>
  <c r="Y77" i="76"/>
  <c r="Y78" i="76"/>
  <c r="Y79" i="76"/>
  <c r="Z71" i="1"/>
  <c r="Z65" i="1"/>
  <c r="Z47" i="1"/>
  <c r="Z36" i="1"/>
  <c r="Z30" i="1"/>
  <c r="Z24" i="1"/>
  <c r="Z17" i="1"/>
  <c r="Z72" i="1" l="1"/>
  <c r="Z74" i="1" s="1"/>
  <c r="Z81" i="1" s="1"/>
  <c r="Y25" i="76"/>
  <c r="Y18" i="76"/>
  <c r="Y31" i="76"/>
  <c r="Y72" i="76"/>
  <c r="Y37" i="76"/>
  <c r="Y66" i="76"/>
  <c r="Y48" i="76"/>
  <c r="Z48" i="1"/>
  <c r="Z50" i="1" s="1"/>
  <c r="Z53" i="1" s="1"/>
  <c r="E30" i="3" l="1"/>
  <c r="Z54" i="1"/>
  <c r="Y54" i="76"/>
  <c r="Y73" i="76"/>
  <c r="Y75" i="76" s="1"/>
  <c r="Y82" i="76" s="1"/>
  <c r="Y49" i="76"/>
  <c r="Y51" i="76" s="1"/>
  <c r="B47" i="69"/>
  <c r="C41" i="3"/>
  <c r="B42" i="75" s="1"/>
  <c r="B41" i="3"/>
  <c r="F31" i="75" l="1"/>
  <c r="G31" i="75" s="1"/>
  <c r="G8" i="76"/>
  <c r="H8" i="76"/>
  <c r="I8" i="76"/>
  <c r="J8" i="76"/>
  <c r="K8" i="76"/>
  <c r="L8" i="76"/>
  <c r="M8" i="76"/>
  <c r="N8" i="76"/>
  <c r="O8" i="76"/>
  <c r="P8" i="76"/>
  <c r="Q8" i="76"/>
  <c r="R8" i="76"/>
  <c r="V8" i="76"/>
  <c r="G9" i="76"/>
  <c r="H9" i="76"/>
  <c r="I9" i="76"/>
  <c r="J9" i="76"/>
  <c r="K9" i="76"/>
  <c r="L9" i="76"/>
  <c r="M9" i="76"/>
  <c r="N9" i="76"/>
  <c r="O9" i="76"/>
  <c r="P9" i="76"/>
  <c r="Q9" i="76"/>
  <c r="R9" i="76"/>
  <c r="V9" i="76"/>
  <c r="G10" i="76"/>
  <c r="I10" i="76"/>
  <c r="J10" i="76"/>
  <c r="M10" i="76"/>
  <c r="N10" i="76"/>
  <c r="O10" i="76"/>
  <c r="P10" i="76"/>
  <c r="R10" i="76"/>
  <c r="V10" i="76"/>
  <c r="I11" i="76"/>
  <c r="G12" i="76"/>
  <c r="H12" i="76"/>
  <c r="I12" i="76"/>
  <c r="J12" i="76"/>
  <c r="K12" i="76"/>
  <c r="L12" i="76"/>
  <c r="M12" i="76"/>
  <c r="N12" i="76"/>
  <c r="O12" i="76"/>
  <c r="P12" i="76"/>
  <c r="Q12" i="76"/>
  <c r="R12" i="76"/>
  <c r="V12" i="76"/>
  <c r="G15" i="76"/>
  <c r="H15" i="76"/>
  <c r="I15" i="76"/>
  <c r="J15" i="76"/>
  <c r="K15" i="76"/>
  <c r="L15" i="76"/>
  <c r="M15" i="76"/>
  <c r="N15" i="76"/>
  <c r="O15" i="76"/>
  <c r="P15" i="76"/>
  <c r="Q15" i="76"/>
  <c r="R15" i="76"/>
  <c r="V15" i="76"/>
  <c r="G16" i="76"/>
  <c r="H16" i="76"/>
  <c r="I16" i="76"/>
  <c r="J16" i="76"/>
  <c r="K16" i="76"/>
  <c r="L16" i="76"/>
  <c r="M16" i="76"/>
  <c r="N16" i="76"/>
  <c r="O16" i="76"/>
  <c r="P16" i="76"/>
  <c r="Q16" i="76"/>
  <c r="R16" i="76"/>
  <c r="V16" i="76"/>
  <c r="G17" i="76"/>
  <c r="H17" i="76"/>
  <c r="I17" i="76"/>
  <c r="J17" i="76"/>
  <c r="K17" i="76"/>
  <c r="L17" i="76"/>
  <c r="M17" i="76"/>
  <c r="N17" i="76"/>
  <c r="O17" i="76"/>
  <c r="P17" i="76"/>
  <c r="Q17" i="76"/>
  <c r="R17" i="76"/>
  <c r="V17" i="76"/>
  <c r="G22" i="76"/>
  <c r="H22" i="76"/>
  <c r="I22" i="76"/>
  <c r="J22" i="76"/>
  <c r="K22" i="76"/>
  <c r="L22" i="76"/>
  <c r="M22" i="76"/>
  <c r="N22" i="76"/>
  <c r="O22" i="76"/>
  <c r="P22" i="76"/>
  <c r="Q22" i="76"/>
  <c r="R22" i="76"/>
  <c r="V22" i="76"/>
  <c r="G23" i="76"/>
  <c r="H23" i="76"/>
  <c r="I23" i="76"/>
  <c r="J23" i="76"/>
  <c r="K23" i="76"/>
  <c r="L23" i="76"/>
  <c r="M23" i="76"/>
  <c r="N23" i="76"/>
  <c r="O23" i="76"/>
  <c r="P23" i="76"/>
  <c r="Q23" i="76"/>
  <c r="R23" i="76"/>
  <c r="V23" i="76"/>
  <c r="G24" i="76"/>
  <c r="H24" i="76"/>
  <c r="I24" i="76"/>
  <c r="J24" i="76"/>
  <c r="K24" i="76"/>
  <c r="L24" i="76"/>
  <c r="M24" i="76"/>
  <c r="N24" i="76"/>
  <c r="O24" i="76"/>
  <c r="P24" i="76"/>
  <c r="Q24" i="76"/>
  <c r="R24" i="76"/>
  <c r="V24" i="76"/>
  <c r="G28" i="76"/>
  <c r="H28" i="76"/>
  <c r="I28" i="76"/>
  <c r="J28" i="76"/>
  <c r="K28" i="76"/>
  <c r="L28" i="76"/>
  <c r="M28" i="76"/>
  <c r="N28" i="76"/>
  <c r="O28" i="76"/>
  <c r="P28" i="76"/>
  <c r="Q28" i="76"/>
  <c r="R28" i="76"/>
  <c r="V28" i="76"/>
  <c r="G29" i="76"/>
  <c r="H29" i="76"/>
  <c r="I29" i="76"/>
  <c r="J29" i="76"/>
  <c r="K29" i="76"/>
  <c r="L29" i="76"/>
  <c r="M29" i="76"/>
  <c r="N29" i="76"/>
  <c r="O29" i="76"/>
  <c r="P29" i="76"/>
  <c r="Q29" i="76"/>
  <c r="R29" i="76"/>
  <c r="V29" i="76"/>
  <c r="G30" i="76"/>
  <c r="H30" i="76"/>
  <c r="I30" i="76"/>
  <c r="J30" i="76"/>
  <c r="K30" i="76"/>
  <c r="L30" i="76"/>
  <c r="M30" i="76"/>
  <c r="N30" i="76"/>
  <c r="O30" i="76"/>
  <c r="P30" i="76"/>
  <c r="Q30" i="76"/>
  <c r="R30" i="76"/>
  <c r="V30" i="76"/>
  <c r="G34" i="76"/>
  <c r="H34" i="76"/>
  <c r="I34" i="76"/>
  <c r="J34" i="76"/>
  <c r="K34" i="76"/>
  <c r="L34" i="76"/>
  <c r="M34" i="76"/>
  <c r="N34" i="76"/>
  <c r="O34" i="76"/>
  <c r="P34" i="76"/>
  <c r="Q34" i="76"/>
  <c r="R34" i="76"/>
  <c r="V34" i="76"/>
  <c r="G35" i="76"/>
  <c r="H35" i="76"/>
  <c r="I35" i="76"/>
  <c r="J35" i="76"/>
  <c r="K35" i="76"/>
  <c r="L35" i="76"/>
  <c r="M35" i="76"/>
  <c r="N35" i="76"/>
  <c r="O35" i="76"/>
  <c r="P35" i="76"/>
  <c r="R35" i="76"/>
  <c r="V35" i="76"/>
  <c r="G36" i="76"/>
  <c r="H36" i="76"/>
  <c r="I36" i="76"/>
  <c r="J36" i="76"/>
  <c r="K36" i="76"/>
  <c r="L36" i="76"/>
  <c r="M36" i="76"/>
  <c r="N36" i="76"/>
  <c r="O36" i="76"/>
  <c r="P36" i="76"/>
  <c r="Q36" i="76"/>
  <c r="R36" i="76"/>
  <c r="V36" i="76"/>
  <c r="G39" i="76"/>
  <c r="H39" i="76"/>
  <c r="I39" i="76"/>
  <c r="J39" i="76"/>
  <c r="K39" i="76"/>
  <c r="L39" i="76"/>
  <c r="M39" i="76"/>
  <c r="N39" i="76"/>
  <c r="O39" i="76"/>
  <c r="P39" i="76"/>
  <c r="Q39" i="76"/>
  <c r="R39" i="76"/>
  <c r="V39" i="76"/>
  <c r="G40" i="76"/>
  <c r="H40" i="76"/>
  <c r="I40" i="76"/>
  <c r="J40" i="76"/>
  <c r="K40" i="76"/>
  <c r="L40" i="76"/>
  <c r="M40" i="76"/>
  <c r="N40" i="76"/>
  <c r="O40" i="76"/>
  <c r="P40" i="76"/>
  <c r="Q40" i="76"/>
  <c r="R40" i="76"/>
  <c r="V40" i="76"/>
  <c r="G41" i="76"/>
  <c r="H41" i="76"/>
  <c r="I41" i="76"/>
  <c r="J41" i="76"/>
  <c r="K41" i="76"/>
  <c r="L41" i="76"/>
  <c r="M41" i="76"/>
  <c r="N41" i="76"/>
  <c r="O41" i="76"/>
  <c r="P41" i="76"/>
  <c r="Q41" i="76"/>
  <c r="R41" i="76"/>
  <c r="V41" i="76"/>
  <c r="G44" i="76"/>
  <c r="H44" i="76"/>
  <c r="I44" i="76"/>
  <c r="J44" i="76"/>
  <c r="K44" i="76"/>
  <c r="L44" i="76"/>
  <c r="M44" i="76"/>
  <c r="N44" i="76"/>
  <c r="O44" i="76"/>
  <c r="P44" i="76"/>
  <c r="Q44" i="76"/>
  <c r="R44" i="76"/>
  <c r="V44" i="76"/>
  <c r="G45" i="76"/>
  <c r="H45" i="76"/>
  <c r="I45" i="76"/>
  <c r="J45" i="76"/>
  <c r="K45" i="76"/>
  <c r="L45" i="76"/>
  <c r="M45" i="76"/>
  <c r="N45" i="76"/>
  <c r="O45" i="76"/>
  <c r="P45" i="76"/>
  <c r="Q45" i="76"/>
  <c r="R45" i="76"/>
  <c r="V45" i="76"/>
  <c r="G46" i="76"/>
  <c r="H46" i="76"/>
  <c r="I46" i="76"/>
  <c r="J46" i="76"/>
  <c r="K46" i="76"/>
  <c r="L46" i="76"/>
  <c r="M46" i="76"/>
  <c r="N46" i="76"/>
  <c r="O46" i="76"/>
  <c r="P46" i="76"/>
  <c r="Q46" i="76"/>
  <c r="R46" i="76"/>
  <c r="V46" i="76"/>
  <c r="G47" i="76"/>
  <c r="H47" i="76"/>
  <c r="I47" i="76"/>
  <c r="J47" i="76"/>
  <c r="K47" i="76"/>
  <c r="L47" i="76"/>
  <c r="M47" i="76"/>
  <c r="N47" i="76"/>
  <c r="O47" i="76"/>
  <c r="P47" i="76"/>
  <c r="Q47" i="76"/>
  <c r="R47" i="76"/>
  <c r="V47" i="76"/>
  <c r="N54" i="76"/>
  <c r="G56" i="76"/>
  <c r="H56" i="76"/>
  <c r="I56" i="76"/>
  <c r="J56" i="76"/>
  <c r="K56" i="76"/>
  <c r="L56" i="76"/>
  <c r="M56" i="76"/>
  <c r="N56" i="76"/>
  <c r="O56" i="76"/>
  <c r="P56" i="76"/>
  <c r="Q56" i="76"/>
  <c r="R56" i="76"/>
  <c r="V56" i="76"/>
  <c r="G57" i="76"/>
  <c r="H57" i="76"/>
  <c r="I57" i="76"/>
  <c r="J57" i="76"/>
  <c r="K57" i="76"/>
  <c r="L57" i="76"/>
  <c r="M57" i="76"/>
  <c r="N57" i="76"/>
  <c r="O57" i="76"/>
  <c r="P57" i="76"/>
  <c r="Q57" i="76"/>
  <c r="R57" i="76"/>
  <c r="V57" i="76"/>
  <c r="G63" i="76"/>
  <c r="H63" i="76"/>
  <c r="I63" i="76"/>
  <c r="J63" i="76"/>
  <c r="K63" i="76"/>
  <c r="L63" i="76"/>
  <c r="M63" i="76"/>
  <c r="N63" i="76"/>
  <c r="O63" i="76"/>
  <c r="P63" i="76"/>
  <c r="Q63" i="76"/>
  <c r="R63" i="76"/>
  <c r="V63" i="76"/>
  <c r="G64" i="76"/>
  <c r="H64" i="76"/>
  <c r="I64" i="76"/>
  <c r="J64" i="76"/>
  <c r="K64" i="76"/>
  <c r="L64" i="76"/>
  <c r="M64" i="76"/>
  <c r="N64" i="76"/>
  <c r="O64" i="76"/>
  <c r="P64" i="76"/>
  <c r="Q64" i="76"/>
  <c r="R64" i="76"/>
  <c r="V64" i="76"/>
  <c r="G65" i="76"/>
  <c r="H65" i="76"/>
  <c r="I65" i="76"/>
  <c r="J65" i="76"/>
  <c r="K65" i="76"/>
  <c r="L65" i="76"/>
  <c r="M65" i="76"/>
  <c r="N65" i="76"/>
  <c r="O65" i="76"/>
  <c r="P65" i="76"/>
  <c r="Q65" i="76"/>
  <c r="R65" i="76"/>
  <c r="V65" i="76"/>
  <c r="G69" i="76"/>
  <c r="H69" i="76"/>
  <c r="I69" i="76"/>
  <c r="J69" i="76"/>
  <c r="K69" i="76"/>
  <c r="L69" i="76"/>
  <c r="M69" i="76"/>
  <c r="N69" i="76"/>
  <c r="O69" i="76"/>
  <c r="P69" i="76"/>
  <c r="Q69" i="76"/>
  <c r="R69" i="76"/>
  <c r="V69" i="76"/>
  <c r="G70" i="76"/>
  <c r="H70" i="76"/>
  <c r="I70" i="76"/>
  <c r="J70" i="76"/>
  <c r="K70" i="76"/>
  <c r="L70" i="76"/>
  <c r="M70" i="76"/>
  <c r="N70" i="76"/>
  <c r="O70" i="76"/>
  <c r="P70" i="76"/>
  <c r="Q70" i="76"/>
  <c r="R70" i="76"/>
  <c r="V70" i="76"/>
  <c r="G71" i="76"/>
  <c r="H71" i="76"/>
  <c r="I71" i="76"/>
  <c r="J71" i="76"/>
  <c r="K71" i="76"/>
  <c r="L71" i="76"/>
  <c r="M71" i="76"/>
  <c r="N71" i="76"/>
  <c r="O71" i="76"/>
  <c r="P71" i="76"/>
  <c r="Q71" i="76"/>
  <c r="R71" i="76"/>
  <c r="V71" i="76"/>
  <c r="G74" i="76"/>
  <c r="H74" i="76"/>
  <c r="I74" i="76"/>
  <c r="J74" i="76"/>
  <c r="K74" i="76"/>
  <c r="L74" i="76"/>
  <c r="M74" i="76"/>
  <c r="N74" i="76"/>
  <c r="O74" i="76"/>
  <c r="P74" i="76"/>
  <c r="Q74" i="76"/>
  <c r="R74" i="76"/>
  <c r="V74" i="76"/>
  <c r="G76" i="76"/>
  <c r="H76" i="76"/>
  <c r="I76" i="76"/>
  <c r="J76" i="76"/>
  <c r="K76" i="76"/>
  <c r="L76" i="76"/>
  <c r="M76" i="76"/>
  <c r="N76" i="76"/>
  <c r="O76" i="76"/>
  <c r="P76" i="76"/>
  <c r="Q76" i="76"/>
  <c r="R76" i="76"/>
  <c r="V76" i="76"/>
  <c r="G77" i="76"/>
  <c r="H77" i="76"/>
  <c r="I77" i="76"/>
  <c r="J77" i="76"/>
  <c r="K77" i="76"/>
  <c r="L77" i="76"/>
  <c r="M77" i="76"/>
  <c r="N77" i="76"/>
  <c r="O77" i="76"/>
  <c r="P77" i="76"/>
  <c r="Q77" i="76"/>
  <c r="R77" i="76"/>
  <c r="V77" i="76"/>
  <c r="G78" i="76"/>
  <c r="H78" i="76"/>
  <c r="I78" i="76"/>
  <c r="J78" i="76"/>
  <c r="K78" i="76"/>
  <c r="L78" i="76"/>
  <c r="M78" i="76"/>
  <c r="N78" i="76"/>
  <c r="O78" i="76"/>
  <c r="P78" i="76"/>
  <c r="Q78" i="76"/>
  <c r="R78" i="76"/>
  <c r="V78" i="76"/>
  <c r="G79" i="76"/>
  <c r="H79" i="76"/>
  <c r="I79" i="76"/>
  <c r="J79" i="76"/>
  <c r="K79" i="76"/>
  <c r="L79" i="76"/>
  <c r="M79" i="76"/>
  <c r="N79" i="76"/>
  <c r="O79" i="76"/>
  <c r="P79" i="76"/>
  <c r="Q79" i="76"/>
  <c r="R79" i="76"/>
  <c r="V79" i="76"/>
  <c r="G66" i="76" l="1"/>
  <c r="O18" i="76"/>
  <c r="I18" i="76"/>
  <c r="J72" i="76"/>
  <c r="N66" i="76"/>
  <c r="G18" i="76"/>
  <c r="H18" i="76"/>
  <c r="R72" i="76"/>
  <c r="N72" i="76"/>
  <c r="R66" i="76"/>
  <c r="J66" i="76"/>
  <c r="V72" i="76"/>
  <c r="V66" i="76"/>
  <c r="L18" i="76"/>
  <c r="H48" i="76"/>
  <c r="V48" i="76"/>
  <c r="R48" i="76"/>
  <c r="N48" i="76"/>
  <c r="J48" i="76"/>
  <c r="K72" i="76"/>
  <c r="G72" i="76"/>
  <c r="H25" i="76"/>
  <c r="V31" i="76"/>
  <c r="K18" i="76"/>
  <c r="G31" i="76"/>
  <c r="Q31" i="76"/>
  <c r="I31" i="76"/>
  <c r="H31" i="76"/>
  <c r="K48" i="76"/>
  <c r="G48" i="76"/>
  <c r="M37" i="76"/>
  <c r="I37" i="76"/>
  <c r="H37" i="76"/>
  <c r="I25" i="76"/>
  <c r="L48" i="76"/>
  <c r="I48" i="76"/>
  <c r="O37" i="76"/>
  <c r="G37" i="76"/>
  <c r="Q37" i="76"/>
  <c r="M31" i="76"/>
  <c r="O48" i="76"/>
  <c r="P37" i="76"/>
  <c r="L37" i="76"/>
  <c r="P31" i="76"/>
  <c r="L31" i="76"/>
  <c r="Q25" i="76"/>
  <c r="O25" i="76"/>
  <c r="G25" i="76"/>
  <c r="P48" i="76"/>
  <c r="K31" i="76"/>
  <c r="Q18" i="76"/>
  <c r="M18" i="76"/>
  <c r="Q48" i="76"/>
  <c r="V37" i="76"/>
  <c r="R37" i="76"/>
  <c r="N37" i="76"/>
  <c r="J37" i="76"/>
  <c r="L25" i="76"/>
  <c r="M25" i="76"/>
  <c r="P25" i="76"/>
  <c r="O31" i="76"/>
  <c r="K37" i="76"/>
  <c r="K25" i="76"/>
  <c r="P18" i="76"/>
  <c r="O66" i="76"/>
  <c r="K66" i="76"/>
  <c r="O72" i="76"/>
  <c r="M48" i="76"/>
  <c r="Q72" i="76"/>
  <c r="M72" i="76"/>
  <c r="I72" i="76"/>
  <c r="Q66" i="76"/>
  <c r="M66" i="76"/>
  <c r="I66" i="76"/>
  <c r="P66" i="76"/>
  <c r="L66" i="76"/>
  <c r="H66" i="76"/>
  <c r="V25" i="76"/>
  <c r="R25" i="76"/>
  <c r="N25" i="76"/>
  <c r="J25" i="76"/>
  <c r="V18" i="76"/>
  <c r="R18" i="76"/>
  <c r="N18" i="76"/>
  <c r="J18" i="76"/>
  <c r="P72" i="76"/>
  <c r="L72" i="76"/>
  <c r="H72" i="76"/>
  <c r="R31" i="76"/>
  <c r="N31" i="76"/>
  <c r="J31" i="76"/>
  <c r="J73" i="76" l="1"/>
  <c r="J75" i="76" s="1"/>
  <c r="J82" i="76" s="1"/>
  <c r="V73" i="76"/>
  <c r="V75" i="76" s="1"/>
  <c r="V82" i="76" s="1"/>
  <c r="G73" i="76"/>
  <c r="G75" i="76" s="1"/>
  <c r="G82" i="76" s="1"/>
  <c r="N73" i="76"/>
  <c r="N75" i="76" s="1"/>
  <c r="N82" i="76" s="1"/>
  <c r="R73" i="76"/>
  <c r="R75" i="76" s="1"/>
  <c r="R82" i="76" s="1"/>
  <c r="K73" i="76"/>
  <c r="K75" i="76" s="1"/>
  <c r="K82" i="76" s="1"/>
  <c r="K49" i="76"/>
  <c r="K51" i="76" s="1"/>
  <c r="H49" i="76"/>
  <c r="H51" i="76" s="1"/>
  <c r="Q49" i="76"/>
  <c r="Q51" i="76" s="1"/>
  <c r="V49" i="76"/>
  <c r="V51" i="76" s="1"/>
  <c r="L49" i="76"/>
  <c r="L51" i="76" s="1"/>
  <c r="I49" i="76"/>
  <c r="I51" i="76" s="1"/>
  <c r="M49" i="76"/>
  <c r="M51" i="76" s="1"/>
  <c r="G49" i="76"/>
  <c r="G51" i="76" s="1"/>
  <c r="O49" i="76"/>
  <c r="O51" i="76" s="1"/>
  <c r="P49" i="76"/>
  <c r="P51" i="76" s="1"/>
  <c r="P73" i="76"/>
  <c r="P75" i="76" s="1"/>
  <c r="P82" i="76" s="1"/>
  <c r="O73" i="76"/>
  <c r="O75" i="76" s="1"/>
  <c r="O82" i="76" s="1"/>
  <c r="Q73" i="76"/>
  <c r="Q75" i="76" s="1"/>
  <c r="Q82" i="76" s="1"/>
  <c r="R49" i="76"/>
  <c r="R51" i="76" s="1"/>
  <c r="J49" i="76"/>
  <c r="J51" i="76" s="1"/>
  <c r="I73" i="76"/>
  <c r="I75" i="76" s="1"/>
  <c r="I82" i="76" s="1"/>
  <c r="M73" i="76"/>
  <c r="M75" i="76" s="1"/>
  <c r="M82" i="76" s="1"/>
  <c r="L73" i="76"/>
  <c r="L75" i="76" s="1"/>
  <c r="L82" i="76" s="1"/>
  <c r="H73" i="76"/>
  <c r="H75" i="76" s="1"/>
  <c r="H82" i="76" s="1"/>
  <c r="N49" i="76"/>
  <c r="N51" i="76" s="1"/>
  <c r="L47" i="69" l="1"/>
  <c r="F79" i="76"/>
  <c r="E41" i="3" l="1"/>
  <c r="F42" i="75" l="1"/>
  <c r="G42" i="75" s="1"/>
  <c r="J10" i="1"/>
  <c r="J11" i="76" l="1"/>
  <c r="K10" i="1"/>
  <c r="B19" i="69"/>
  <c r="B20" i="69"/>
  <c r="C13" i="3"/>
  <c r="B16" i="75" s="1"/>
  <c r="B13" i="3"/>
  <c r="K11" i="76" l="1"/>
  <c r="L10" i="1"/>
  <c r="J71" i="1"/>
  <c r="J65" i="1"/>
  <c r="J47" i="1"/>
  <c r="J36" i="1"/>
  <c r="J30" i="1"/>
  <c r="J24" i="1"/>
  <c r="J17" i="1"/>
  <c r="L11" i="76" l="1"/>
  <c r="M10" i="1"/>
  <c r="J72" i="1"/>
  <c r="J74" i="1" s="1"/>
  <c r="J81" i="1" s="1"/>
  <c r="J48" i="1"/>
  <c r="J50" i="1" s="1"/>
  <c r="J53" i="1" s="1"/>
  <c r="M11" i="76" l="1"/>
  <c r="E13" i="3"/>
  <c r="J54" i="1"/>
  <c r="N10" i="1"/>
  <c r="J54" i="76"/>
  <c r="F16" i="75" l="1"/>
  <c r="G16" i="75" s="1"/>
  <c r="N11" i="76"/>
  <c r="O10" i="1"/>
  <c r="O11" i="76" l="1"/>
  <c r="P10" i="1"/>
  <c r="B55" i="69"/>
  <c r="P11" i="76" l="1"/>
  <c r="Q10" i="1"/>
  <c r="Q11" i="76" l="1"/>
  <c r="R10" i="1"/>
  <c r="C49" i="3"/>
  <c r="B50" i="75" s="1"/>
  <c r="B49" i="3"/>
  <c r="S10" i="1" l="1"/>
  <c r="R11" i="76"/>
  <c r="AR54" i="76"/>
  <c r="T10" i="1" l="1"/>
  <c r="AR55" i="76"/>
  <c r="AR59" i="76" s="1"/>
  <c r="L58" i="69"/>
  <c r="E52" i="3"/>
  <c r="A28" i="69"/>
  <c r="A22" i="3"/>
  <c r="A25" i="75" s="1"/>
  <c r="S11" i="76"/>
  <c r="L36" i="69"/>
  <c r="E49" i="3"/>
  <c r="F50" i="75" s="1"/>
  <c r="G50" i="75" l="1"/>
  <c r="U10" i="1"/>
  <c r="T11" i="76"/>
  <c r="F63" i="76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V10" i="1" l="1"/>
  <c r="A30" i="69"/>
  <c r="A24" i="3"/>
  <c r="A27" i="75" s="1"/>
  <c r="U11" i="76"/>
  <c r="F72" i="76"/>
  <c r="F31" i="76"/>
  <c r="F18" i="76"/>
  <c r="F66" i="76"/>
  <c r="F25" i="76"/>
  <c r="F37" i="76"/>
  <c r="F48" i="76"/>
  <c r="V11" i="76" l="1"/>
  <c r="E67" i="75"/>
  <c r="W10" i="1"/>
  <c r="F73" i="76"/>
  <c r="F75" i="76" s="1"/>
  <c r="F49" i="76"/>
  <c r="F51" i="76" s="1"/>
  <c r="A33" i="69" l="1"/>
  <c r="X11" i="76"/>
  <c r="A27" i="3"/>
  <c r="A30" i="75" s="1"/>
  <c r="W11" i="76"/>
  <c r="A32" i="69"/>
  <c r="A26" i="3"/>
  <c r="A29" i="75" s="1"/>
  <c r="T36" i="1"/>
  <c r="T30" i="1"/>
  <c r="T24" i="1"/>
  <c r="T17" i="1"/>
  <c r="P36" i="1" l="1"/>
  <c r="O36" i="1"/>
  <c r="Q36" i="1"/>
  <c r="P30" i="1"/>
  <c r="O30" i="1"/>
  <c r="Q30" i="1"/>
  <c r="P24" i="1"/>
  <c r="O24" i="1"/>
  <c r="Q24" i="1"/>
  <c r="P17" i="1"/>
  <c r="O17" i="1"/>
  <c r="Q17" i="1"/>
  <c r="G61" i="75" l="1"/>
  <c r="E45" i="1" l="1"/>
  <c r="F82" i="76"/>
  <c r="E78" i="1"/>
  <c r="E54" i="1"/>
  <c r="V17" i="1"/>
  <c r="F17" i="1"/>
  <c r="G17" i="1"/>
  <c r="H17" i="1"/>
  <c r="R17" i="1"/>
  <c r="I17" i="1"/>
  <c r="K17" i="1"/>
  <c r="L17" i="1"/>
  <c r="N17" i="1"/>
  <c r="F55" i="79" l="1"/>
  <c r="F79" i="79"/>
  <c r="E46" i="76"/>
  <c r="F46" i="79"/>
  <c r="E76" i="1"/>
  <c r="E77" i="1"/>
  <c r="E79" i="76"/>
  <c r="Y45" i="1"/>
  <c r="E55" i="76"/>
  <c r="H46" i="79" l="1"/>
  <c r="G46" i="79" s="1"/>
  <c r="E77" i="76"/>
  <c r="F77" i="79"/>
  <c r="Y77" i="1"/>
  <c r="F78" i="79"/>
  <c r="E78" i="76"/>
  <c r="A4" i="75"/>
  <c r="B39" i="3"/>
  <c r="B38" i="3"/>
  <c r="B36" i="3"/>
  <c r="B25" i="3"/>
  <c r="B42" i="3"/>
  <c r="B23" i="3"/>
  <c r="B19" i="3"/>
  <c r="B18" i="3"/>
  <c r="B20" i="3"/>
  <c r="B17" i="3"/>
  <c r="B16" i="3"/>
  <c r="B15" i="3"/>
  <c r="B14" i="3"/>
  <c r="B12" i="3"/>
  <c r="B21" i="3"/>
  <c r="B11" i="3"/>
  <c r="B10" i="3"/>
  <c r="B9" i="3"/>
  <c r="B8" i="3"/>
  <c r="I10" i="75"/>
  <c r="H78" i="79" l="1"/>
  <c r="G78" i="79" s="1"/>
  <c r="F24" i="1" l="1"/>
  <c r="G24" i="1"/>
  <c r="H24" i="1"/>
  <c r="R24" i="1"/>
  <c r="I24" i="1"/>
  <c r="K24" i="1"/>
  <c r="L24" i="1"/>
  <c r="N24" i="1"/>
  <c r="V24" i="1"/>
  <c r="A4" i="1" l="1"/>
  <c r="A4" i="76" s="1"/>
  <c r="A5" i="1"/>
  <c r="A5" i="76" s="1"/>
  <c r="A2" i="1"/>
  <c r="F10" i="1"/>
  <c r="A1" i="3" l="1"/>
  <c r="A2" i="76"/>
  <c r="G10" i="1"/>
  <c r="F11" i="76"/>
  <c r="G11" i="76" l="1"/>
  <c r="H10" i="1"/>
  <c r="H11" i="76" l="1"/>
  <c r="A30" i="3"/>
  <c r="A31" i="75" s="1"/>
  <c r="Y11" i="76"/>
  <c r="A36" i="69"/>
  <c r="C42" i="3" l="1"/>
  <c r="B43" i="75" s="1"/>
  <c r="B48" i="69"/>
  <c r="Y76" i="1" l="1"/>
  <c r="H77" i="79" l="1"/>
  <c r="G77" i="79" s="1"/>
  <c r="Y78" i="1"/>
  <c r="H79" i="79" l="1"/>
  <c r="G79" i="79" s="1"/>
  <c r="L48" i="69"/>
  <c r="E42" i="3"/>
  <c r="E62" i="1"/>
  <c r="E68" i="1"/>
  <c r="E69" i="1"/>
  <c r="E73" i="1"/>
  <c r="E75" i="1"/>
  <c r="E14" i="1"/>
  <c r="E21" i="1"/>
  <c r="E22" i="1"/>
  <c r="E27" i="1"/>
  <c r="E29" i="1"/>
  <c r="E33" i="1"/>
  <c r="E34" i="1"/>
  <c r="E35" i="1"/>
  <c r="E38" i="1"/>
  <c r="E39" i="1"/>
  <c r="E40" i="1"/>
  <c r="E43" i="1"/>
  <c r="E46" i="1"/>
  <c r="E53" i="1"/>
  <c r="E55" i="1"/>
  <c r="E56" i="1"/>
  <c r="B45" i="69"/>
  <c r="B44" i="69"/>
  <c r="B42" i="69"/>
  <c r="B31" i="69"/>
  <c r="B29" i="69"/>
  <c r="B25" i="69"/>
  <c r="B24" i="69"/>
  <c r="B26" i="69"/>
  <c r="B23" i="69"/>
  <c r="B22" i="69"/>
  <c r="B21" i="69"/>
  <c r="B18" i="69"/>
  <c r="B27" i="69"/>
  <c r="B14" i="69"/>
  <c r="A14" i="69"/>
  <c r="B13" i="69"/>
  <c r="A13" i="69"/>
  <c r="B12" i="69"/>
  <c r="A12" i="69"/>
  <c r="B11" i="69"/>
  <c r="A11" i="69"/>
  <c r="C23" i="3"/>
  <c r="B26" i="75" s="1"/>
  <c r="C39" i="3"/>
  <c r="B40" i="75" s="1"/>
  <c r="C38" i="3"/>
  <c r="B39" i="75" s="1"/>
  <c r="E70" i="1"/>
  <c r="E63" i="1"/>
  <c r="E64" i="1"/>
  <c r="E44" i="1"/>
  <c r="E28" i="1"/>
  <c r="E23" i="1"/>
  <c r="E15" i="1"/>
  <c r="C36" i="3"/>
  <c r="B37" i="75" s="1"/>
  <c r="A10" i="3"/>
  <c r="A13" i="75" s="1"/>
  <c r="C10" i="3"/>
  <c r="B13" i="75" s="1"/>
  <c r="A11" i="3"/>
  <c r="A14" i="75" s="1"/>
  <c r="C11" i="3"/>
  <c r="B14" i="75" s="1"/>
  <c r="C21" i="3"/>
  <c r="B24" i="75" s="1"/>
  <c r="C12" i="3"/>
  <c r="B15" i="75" s="1"/>
  <c r="C14" i="3"/>
  <c r="B17" i="75" s="1"/>
  <c r="C15" i="3"/>
  <c r="B18" i="75" s="1"/>
  <c r="C16" i="3"/>
  <c r="B19" i="75" s="1"/>
  <c r="C17" i="3"/>
  <c r="B20" i="75" s="1"/>
  <c r="C20" i="3"/>
  <c r="B23" i="75" s="1"/>
  <c r="C18" i="3"/>
  <c r="B21" i="75" s="1"/>
  <c r="C19" i="3"/>
  <c r="B22" i="75" s="1"/>
  <c r="C25" i="3"/>
  <c r="B28" i="75" s="1"/>
  <c r="C8" i="3"/>
  <c r="A9" i="3"/>
  <c r="A12" i="75" s="1"/>
  <c r="C9" i="3"/>
  <c r="B12" i="75" s="1"/>
  <c r="A8" i="3"/>
  <c r="A11" i="75" s="1"/>
  <c r="B11" i="75" l="1"/>
  <c r="F43" i="75"/>
  <c r="G43" i="75" s="1"/>
  <c r="Y62" i="1"/>
  <c r="F54" i="79"/>
  <c r="F70" i="79"/>
  <c r="F57" i="79"/>
  <c r="F44" i="79"/>
  <c r="F36" i="79"/>
  <c r="F28" i="79"/>
  <c r="F63" i="79"/>
  <c r="F34" i="79"/>
  <c r="F71" i="79"/>
  <c r="F47" i="79"/>
  <c r="F56" i="79"/>
  <c r="F41" i="79"/>
  <c r="F74" i="79"/>
  <c r="E45" i="76"/>
  <c r="F45" i="79"/>
  <c r="E16" i="76"/>
  <c r="F16" i="79"/>
  <c r="E65" i="76"/>
  <c r="F65" i="79"/>
  <c r="E35" i="76"/>
  <c r="F35" i="79"/>
  <c r="E23" i="76"/>
  <c r="F23" i="79"/>
  <c r="E24" i="76"/>
  <c r="F24" i="79"/>
  <c r="E64" i="76"/>
  <c r="F64" i="79"/>
  <c r="E40" i="76"/>
  <c r="F40" i="79"/>
  <c r="E22" i="76"/>
  <c r="F22" i="79"/>
  <c r="E76" i="76"/>
  <c r="F76" i="79"/>
  <c r="E29" i="76"/>
  <c r="F29" i="79"/>
  <c r="E39" i="76"/>
  <c r="F39" i="79"/>
  <c r="E30" i="76"/>
  <c r="F30" i="79"/>
  <c r="Y14" i="1"/>
  <c r="F15" i="79"/>
  <c r="E69" i="76"/>
  <c r="F69" i="79"/>
  <c r="E54" i="76"/>
  <c r="E34" i="76"/>
  <c r="N10" i="69"/>
  <c r="E87" i="1"/>
  <c r="AG89" i="1" s="1"/>
  <c r="AG83" i="1" s="1"/>
  <c r="E63" i="76"/>
  <c r="E41" i="76"/>
  <c r="E15" i="76"/>
  <c r="Y70" i="1"/>
  <c r="E71" i="76"/>
  <c r="Y56" i="1"/>
  <c r="E57" i="76"/>
  <c r="E44" i="76"/>
  <c r="Y35" i="1"/>
  <c r="E36" i="76"/>
  <c r="E28" i="76"/>
  <c r="Y73" i="1"/>
  <c r="E74" i="76"/>
  <c r="Y46" i="1"/>
  <c r="E47" i="76"/>
  <c r="Y55" i="1"/>
  <c r="E56" i="76"/>
  <c r="Y69" i="1"/>
  <c r="E70" i="76"/>
  <c r="Y75" i="1"/>
  <c r="Y68" i="1"/>
  <c r="E71" i="1"/>
  <c r="E24" i="1"/>
  <c r="E47" i="1"/>
  <c r="E65" i="1"/>
  <c r="Y43" i="1"/>
  <c r="Y27" i="1"/>
  <c r="E30" i="1"/>
  <c r="Y28" i="1"/>
  <c r="Y38" i="1"/>
  <c r="Y29" i="1"/>
  <c r="Y23" i="1"/>
  <c r="Y63" i="1"/>
  <c r="Y39" i="1"/>
  <c r="Y33" i="1"/>
  <c r="Y21" i="1"/>
  <c r="Y64" i="1"/>
  <c r="Y40" i="1"/>
  <c r="Y34" i="1"/>
  <c r="Y22" i="1"/>
  <c r="Y15" i="1"/>
  <c r="Y44" i="1"/>
  <c r="V47" i="1"/>
  <c r="R71" i="1"/>
  <c r="K47" i="1"/>
  <c r="N47" i="1"/>
  <c r="N30" i="1"/>
  <c r="T47" i="1"/>
  <c r="T48" i="1" s="1"/>
  <c r="G36" i="1"/>
  <c r="L30" i="1"/>
  <c r="G30" i="1"/>
  <c r="L36" i="1"/>
  <c r="I36" i="1"/>
  <c r="F30" i="1"/>
  <c r="R36" i="1"/>
  <c r="K36" i="1"/>
  <c r="L47" i="1"/>
  <c r="Q47" i="1"/>
  <c r="O47" i="1"/>
  <c r="P47" i="1"/>
  <c r="T71" i="1"/>
  <c r="P65" i="1"/>
  <c r="L65" i="1"/>
  <c r="H65" i="1"/>
  <c r="R30" i="1"/>
  <c r="I30" i="1"/>
  <c r="L71" i="1"/>
  <c r="H71" i="1"/>
  <c r="E36" i="1"/>
  <c r="F47" i="1"/>
  <c r="F36" i="1"/>
  <c r="H47" i="1"/>
  <c r="H36" i="1"/>
  <c r="K30" i="1"/>
  <c r="N36" i="1"/>
  <c r="P71" i="1"/>
  <c r="O65" i="1"/>
  <c r="N71" i="1"/>
  <c r="V36" i="1"/>
  <c r="V71" i="1"/>
  <c r="Q71" i="1"/>
  <c r="K71" i="1"/>
  <c r="R65" i="1"/>
  <c r="F65" i="1"/>
  <c r="V30" i="1"/>
  <c r="H30" i="1"/>
  <c r="V65" i="1"/>
  <c r="Q65" i="1"/>
  <c r="F71" i="1"/>
  <c r="R47" i="1"/>
  <c r="T65" i="1"/>
  <c r="O71" i="1"/>
  <c r="N65" i="1"/>
  <c r="K65" i="1"/>
  <c r="I71" i="1"/>
  <c r="G71" i="1"/>
  <c r="G47" i="1"/>
  <c r="I47" i="1"/>
  <c r="I65" i="1"/>
  <c r="G65" i="1"/>
  <c r="E16" i="1"/>
  <c r="N43" i="69" l="1"/>
  <c r="O43" i="69"/>
  <c r="P43" i="69" s="1"/>
  <c r="BE89" i="1"/>
  <c r="BE83" i="1" s="1"/>
  <c r="BG89" i="1"/>
  <c r="BG83" i="1" s="1"/>
  <c r="BF89" i="1"/>
  <c r="BF83" i="1" s="1"/>
  <c r="BD89" i="1"/>
  <c r="BD83" i="1" s="1"/>
  <c r="N53" i="69"/>
  <c r="O52" i="69"/>
  <c r="O53" i="69"/>
  <c r="O51" i="69"/>
  <c r="N51" i="69"/>
  <c r="N52" i="69"/>
  <c r="AL89" i="1"/>
  <c r="AL83" i="1" s="1"/>
  <c r="AK89" i="1"/>
  <c r="AK83" i="1" s="1"/>
  <c r="AQ89" i="1"/>
  <c r="AQ83" i="1" s="1"/>
  <c r="AM89" i="1"/>
  <c r="AM83" i="1" s="1"/>
  <c r="AS89" i="1"/>
  <c r="AS83" i="1" s="1"/>
  <c r="AO89" i="1"/>
  <c r="AO83" i="1" s="1"/>
  <c r="AJ89" i="1"/>
  <c r="AJ83" i="1" s="1"/>
  <c r="AP89" i="1"/>
  <c r="AP83" i="1" s="1"/>
  <c r="AN89" i="1"/>
  <c r="AN83" i="1" s="1"/>
  <c r="X89" i="1"/>
  <c r="X83" i="1" s="1"/>
  <c r="AD89" i="1"/>
  <c r="AD83" i="1" s="1"/>
  <c r="AI89" i="1"/>
  <c r="AI83" i="1" s="1"/>
  <c r="AE89" i="1"/>
  <c r="AE83" i="1" s="1"/>
  <c r="AF89" i="1"/>
  <c r="AH89" i="1"/>
  <c r="AH83" i="1" s="1"/>
  <c r="O68" i="69"/>
  <c r="O73" i="69"/>
  <c r="O77" i="69"/>
  <c r="O75" i="69"/>
  <c r="O71" i="69"/>
  <c r="O74" i="69"/>
  <c r="O72" i="69"/>
  <c r="O76" i="69"/>
  <c r="O69" i="69"/>
  <c r="O70" i="69"/>
  <c r="N74" i="69"/>
  <c r="N77" i="69"/>
  <c r="N76" i="69"/>
  <c r="N68" i="69"/>
  <c r="N73" i="69"/>
  <c r="N71" i="69"/>
  <c r="N69" i="69"/>
  <c r="N75" i="69"/>
  <c r="N70" i="69"/>
  <c r="N72" i="69"/>
  <c r="N46" i="69"/>
  <c r="N50" i="69"/>
  <c r="N54" i="69"/>
  <c r="O50" i="69"/>
  <c r="O46" i="69"/>
  <c r="O54" i="69"/>
  <c r="N33" i="69"/>
  <c r="O33" i="69"/>
  <c r="AY89" i="1"/>
  <c r="AY83" i="1" s="1"/>
  <c r="AV89" i="1"/>
  <c r="AV83" i="1" s="1"/>
  <c r="R48" i="1"/>
  <c r="R50" i="1" s="1"/>
  <c r="AZ89" i="1"/>
  <c r="AZ83" i="1" s="1"/>
  <c r="F66" i="79"/>
  <c r="F37" i="79"/>
  <c r="F48" i="79"/>
  <c r="F17" i="79"/>
  <c r="F18" i="79" s="1"/>
  <c r="H24" i="79"/>
  <c r="G24" i="79" s="1"/>
  <c r="H15" i="79"/>
  <c r="G15" i="79" s="1"/>
  <c r="H16" i="79"/>
  <c r="G16" i="79" s="1"/>
  <c r="H56" i="79"/>
  <c r="G56" i="79" s="1"/>
  <c r="H74" i="79"/>
  <c r="G74" i="79" s="1"/>
  <c r="H36" i="79"/>
  <c r="G36" i="79" s="1"/>
  <c r="H57" i="79"/>
  <c r="G57" i="79" s="1"/>
  <c r="F72" i="79"/>
  <c r="H23" i="79"/>
  <c r="G23" i="79" s="1"/>
  <c r="H69" i="79"/>
  <c r="H35" i="79"/>
  <c r="G35" i="79" s="1"/>
  <c r="H65" i="79"/>
  <c r="G65" i="79" s="1"/>
  <c r="H64" i="79"/>
  <c r="G64" i="79" s="1"/>
  <c r="H30" i="79"/>
  <c r="G30" i="79" s="1"/>
  <c r="H28" i="79"/>
  <c r="G28" i="79" s="1"/>
  <c r="H76" i="79"/>
  <c r="G76" i="79" s="1"/>
  <c r="H63" i="79"/>
  <c r="G63" i="79" s="1"/>
  <c r="H41" i="79"/>
  <c r="G41" i="79" s="1"/>
  <c r="H39" i="79"/>
  <c r="G39" i="79" s="1"/>
  <c r="H45" i="79"/>
  <c r="G45" i="79" s="1"/>
  <c r="H40" i="79"/>
  <c r="G40" i="79" s="1"/>
  <c r="H29" i="79"/>
  <c r="G29" i="79" s="1"/>
  <c r="H44" i="79"/>
  <c r="G44" i="79" s="1"/>
  <c r="H70" i="79"/>
  <c r="G70" i="79" s="1"/>
  <c r="H47" i="79"/>
  <c r="G47" i="79" s="1"/>
  <c r="H71" i="79"/>
  <c r="G71" i="79" s="1"/>
  <c r="BH89" i="1"/>
  <c r="BH83" i="1" s="1"/>
  <c r="BA89" i="1"/>
  <c r="BA83" i="1" s="1"/>
  <c r="BC89" i="1"/>
  <c r="BC83" i="1" s="1"/>
  <c r="BB89" i="1"/>
  <c r="BB83" i="1" s="1"/>
  <c r="AR89" i="1"/>
  <c r="AR83" i="1" s="1"/>
  <c r="E66" i="76"/>
  <c r="AW14" i="1"/>
  <c r="F31" i="79"/>
  <c r="E25" i="76"/>
  <c r="E37" i="76"/>
  <c r="F25" i="79"/>
  <c r="AW33" i="1"/>
  <c r="H34" i="79"/>
  <c r="G34" i="79" s="1"/>
  <c r="AW21" i="1"/>
  <c r="H22" i="79"/>
  <c r="O57" i="69"/>
  <c r="O56" i="69"/>
  <c r="O39" i="69"/>
  <c r="N56" i="69"/>
  <c r="N57" i="69"/>
  <c r="N39" i="69"/>
  <c r="N38" i="69"/>
  <c r="N37" i="69"/>
  <c r="O38" i="69"/>
  <c r="O37" i="69"/>
  <c r="AB89" i="1"/>
  <c r="AB83" i="1" s="1"/>
  <c r="AA89" i="1"/>
  <c r="AA83" i="1" s="1"/>
  <c r="AU89" i="1"/>
  <c r="AU83" i="1" s="1"/>
  <c r="AC89" i="1"/>
  <c r="AC83" i="1" s="1"/>
  <c r="AT89" i="1"/>
  <c r="AT83" i="1" s="1"/>
  <c r="V72" i="1"/>
  <c r="V74" i="1" s="1"/>
  <c r="V81" i="1" s="1"/>
  <c r="I72" i="1"/>
  <c r="Q72" i="1"/>
  <c r="N72" i="1"/>
  <c r="N74" i="1" s="1"/>
  <c r="K72" i="1"/>
  <c r="K74" i="1" s="1"/>
  <c r="R72" i="1"/>
  <c r="R74" i="1" s="1"/>
  <c r="T72" i="1"/>
  <c r="T74" i="1" s="1"/>
  <c r="G72" i="1"/>
  <c r="G74" i="1" s="1"/>
  <c r="G81" i="1" s="1"/>
  <c r="G54" i="1" s="1"/>
  <c r="E72" i="1"/>
  <c r="E74" i="1" s="1"/>
  <c r="E81" i="1" s="1"/>
  <c r="O72" i="1"/>
  <c r="L72" i="1"/>
  <c r="H72" i="1"/>
  <c r="F72" i="1"/>
  <c r="P72" i="1"/>
  <c r="H48" i="1"/>
  <c r="H50" i="1" s="1"/>
  <c r="E72" i="76"/>
  <c r="E31" i="76"/>
  <c r="E48" i="76"/>
  <c r="E17" i="1"/>
  <c r="E17" i="76"/>
  <c r="Q48" i="1"/>
  <c r="Q50" i="1" s="1"/>
  <c r="K48" i="1"/>
  <c r="K50" i="1" s="1"/>
  <c r="K53" i="1" s="1"/>
  <c r="V48" i="1"/>
  <c r="V50" i="1" s="1"/>
  <c r="P48" i="1"/>
  <c r="P50" i="1" s="1"/>
  <c r="P53" i="1" s="1"/>
  <c r="O48" i="1"/>
  <c r="O50" i="1" s="1"/>
  <c r="I48" i="1"/>
  <c r="I50" i="1" s="1"/>
  <c r="F48" i="1"/>
  <c r="F50" i="1" s="1"/>
  <c r="L48" i="1"/>
  <c r="L50" i="1" s="1"/>
  <c r="N48" i="1"/>
  <c r="N50" i="1" s="1"/>
  <c r="G48" i="1"/>
  <c r="Y47" i="1"/>
  <c r="Y36" i="1"/>
  <c r="E48" i="1"/>
  <c r="Y24" i="1"/>
  <c r="Y16" i="1"/>
  <c r="T50" i="1"/>
  <c r="O78" i="69" l="1"/>
  <c r="N78" i="69"/>
  <c r="P52" i="69"/>
  <c r="P68" i="69"/>
  <c r="P72" i="69"/>
  <c r="P77" i="69"/>
  <c r="P51" i="69"/>
  <c r="P53" i="69"/>
  <c r="P71" i="69"/>
  <c r="P70" i="69"/>
  <c r="P73" i="69"/>
  <c r="AF83" i="1"/>
  <c r="P74" i="69"/>
  <c r="V54" i="1"/>
  <c r="V55" i="76" s="1"/>
  <c r="P75" i="69"/>
  <c r="P69" i="69"/>
  <c r="P76" i="69"/>
  <c r="P50" i="69"/>
  <c r="P46" i="69"/>
  <c r="P54" i="69"/>
  <c r="P33" i="69"/>
  <c r="BI14" i="1"/>
  <c r="H15" i="82" s="1"/>
  <c r="BI21" i="1"/>
  <c r="BJ21" i="1" s="1"/>
  <c r="P57" i="69"/>
  <c r="BI33" i="1"/>
  <c r="BJ33" i="1" s="1"/>
  <c r="R53" i="1"/>
  <c r="R54" i="76" s="1"/>
  <c r="F73" i="79"/>
  <c r="F75" i="79" s="1"/>
  <c r="F81" i="79" s="1"/>
  <c r="H48" i="79"/>
  <c r="H72" i="79"/>
  <c r="G69" i="79"/>
  <c r="G72" i="79" s="1"/>
  <c r="H17" i="79"/>
  <c r="G17" i="79" s="1"/>
  <c r="G18" i="79" s="1"/>
  <c r="H66" i="79"/>
  <c r="J34" i="79"/>
  <c r="H31" i="79"/>
  <c r="J15" i="79"/>
  <c r="E73" i="76"/>
  <c r="E75" i="76" s="1"/>
  <c r="E82" i="76" s="1"/>
  <c r="G66" i="79"/>
  <c r="F49" i="79"/>
  <c r="F51" i="79" s="1"/>
  <c r="F59" i="79" s="1"/>
  <c r="H37" i="79"/>
  <c r="G22" i="79"/>
  <c r="H25" i="79"/>
  <c r="J22" i="79"/>
  <c r="F22" i="82" s="1"/>
  <c r="G31" i="79"/>
  <c r="G37" i="79"/>
  <c r="G48" i="79"/>
  <c r="P56" i="69"/>
  <c r="P39" i="69"/>
  <c r="P37" i="69"/>
  <c r="P38" i="69"/>
  <c r="F53" i="1"/>
  <c r="O53" i="1"/>
  <c r="O54" i="76" s="1"/>
  <c r="Q53" i="1"/>
  <c r="Q54" i="76" s="1"/>
  <c r="AG54" i="76"/>
  <c r="I53" i="1"/>
  <c r="I54" i="76" s="1"/>
  <c r="H53" i="1"/>
  <c r="H54" i="76" s="1"/>
  <c r="T53" i="1"/>
  <c r="T54" i="76" s="1"/>
  <c r="L53" i="1"/>
  <c r="L54" i="76" s="1"/>
  <c r="E25" i="3"/>
  <c r="E10" i="3"/>
  <c r="L13" i="69"/>
  <c r="Y17" i="1"/>
  <c r="E49" i="76"/>
  <c r="E18" i="76"/>
  <c r="T81" i="1"/>
  <c r="R81" i="1"/>
  <c r="R54" i="1" s="1"/>
  <c r="N81" i="1"/>
  <c r="K81" i="1"/>
  <c r="K54" i="1" s="1"/>
  <c r="I74" i="1"/>
  <c r="L74" i="1"/>
  <c r="O74" i="1"/>
  <c r="F74" i="1"/>
  <c r="Q74" i="1"/>
  <c r="P54" i="76"/>
  <c r="P74" i="1"/>
  <c r="P81" i="1" s="1"/>
  <c r="P54" i="1" s="1"/>
  <c r="H74" i="1"/>
  <c r="H81" i="1" s="1"/>
  <c r="K54" i="76"/>
  <c r="M54" i="76"/>
  <c r="L55" i="69"/>
  <c r="Y71" i="1"/>
  <c r="Y30" i="1"/>
  <c r="Y48" i="1" s="1"/>
  <c r="L31" i="69"/>
  <c r="Y65" i="1"/>
  <c r="G50" i="1"/>
  <c r="G53" i="1" s="1"/>
  <c r="E8" i="3"/>
  <c r="E50" i="1"/>
  <c r="P78" i="69" l="1"/>
  <c r="L23" i="69"/>
  <c r="N54" i="1"/>
  <c r="N55" i="76" s="1"/>
  <c r="N59" i="76" s="1"/>
  <c r="O79" i="69"/>
  <c r="O81" i="69" s="1"/>
  <c r="O83" i="69" s="1"/>
  <c r="F13" i="75"/>
  <c r="G13" i="75" s="1"/>
  <c r="R58" i="1"/>
  <c r="H27" i="69" s="1"/>
  <c r="F28" i="75"/>
  <c r="G28" i="75" s="1"/>
  <c r="E11" i="75"/>
  <c r="E53" i="75" s="1"/>
  <c r="BJ14" i="1"/>
  <c r="H22" i="82"/>
  <c r="G22" i="82" s="1"/>
  <c r="F54" i="76"/>
  <c r="H34" i="82"/>
  <c r="K34" i="82" s="1"/>
  <c r="H73" i="79"/>
  <c r="H75" i="79" s="1"/>
  <c r="H81" i="79" s="1"/>
  <c r="I34" i="79"/>
  <c r="F34" i="82"/>
  <c r="F82" i="79"/>
  <c r="I15" i="79"/>
  <c r="F15" i="82"/>
  <c r="H18" i="79"/>
  <c r="L34" i="79"/>
  <c r="G73" i="79"/>
  <c r="G75" i="79" s="1"/>
  <c r="G81" i="79" s="1"/>
  <c r="H49" i="79"/>
  <c r="I22" i="79"/>
  <c r="L22" i="79"/>
  <c r="G25" i="79"/>
  <c r="G49" i="79" s="1"/>
  <c r="G51" i="79" s="1"/>
  <c r="E23" i="3"/>
  <c r="T54" i="1"/>
  <c r="E11" i="3"/>
  <c r="H54" i="1"/>
  <c r="L25" i="69"/>
  <c r="E17" i="3"/>
  <c r="E21" i="3"/>
  <c r="Y72" i="1"/>
  <c r="Y74" i="1" s="1"/>
  <c r="Y81" i="1" s="1"/>
  <c r="L20" i="69"/>
  <c r="E14" i="3"/>
  <c r="L27" i="69"/>
  <c r="L22" i="69"/>
  <c r="E19" i="3"/>
  <c r="E51" i="76"/>
  <c r="E59" i="76" s="1"/>
  <c r="L29" i="69"/>
  <c r="E16" i="3"/>
  <c r="G54" i="76"/>
  <c r="O81" i="1"/>
  <c r="AG55" i="76"/>
  <c r="AG59" i="76" s="1"/>
  <c r="I81" i="1"/>
  <c r="I54" i="1" s="1"/>
  <c r="L81" i="1"/>
  <c r="L54" i="1" s="1"/>
  <c r="Q81" i="1"/>
  <c r="Q54" i="1" s="1"/>
  <c r="F81" i="1"/>
  <c r="E39" i="3"/>
  <c r="L45" i="69"/>
  <c r="Y50" i="1"/>
  <c r="E58" i="1"/>
  <c r="E82" i="1" s="1"/>
  <c r="L19" i="69"/>
  <c r="L11" i="69"/>
  <c r="K22" i="82" l="1"/>
  <c r="G11" i="75"/>
  <c r="F17" i="75"/>
  <c r="G17" i="75" s="1"/>
  <c r="F20" i="75"/>
  <c r="G20" i="75" s="1"/>
  <c r="F40" i="75"/>
  <c r="G40" i="75" s="1"/>
  <c r="F19" i="75"/>
  <c r="G19" i="75" s="1"/>
  <c r="F22" i="75"/>
  <c r="G22" i="75" s="1"/>
  <c r="F26" i="75"/>
  <c r="G26" i="75" s="1"/>
  <c r="F24" i="75"/>
  <c r="G24" i="75" s="1"/>
  <c r="F14" i="75"/>
  <c r="G14" i="75" s="1"/>
  <c r="G34" i="82"/>
  <c r="H51" i="79"/>
  <c r="G15" i="82"/>
  <c r="F54" i="1"/>
  <c r="L14" i="69"/>
  <c r="E18" i="3"/>
  <c r="O54" i="1"/>
  <c r="L24" i="69"/>
  <c r="L18" i="69"/>
  <c r="E20" i="3"/>
  <c r="E36" i="3"/>
  <c r="L21" i="69"/>
  <c r="E12" i="3"/>
  <c r="L26" i="69"/>
  <c r="N58" i="1"/>
  <c r="H23" i="69" s="1"/>
  <c r="E15" i="3"/>
  <c r="E38" i="3"/>
  <c r="F39" i="75" s="1"/>
  <c r="G39" i="75" s="1"/>
  <c r="L44" i="69"/>
  <c r="L42" i="69"/>
  <c r="I16" i="69"/>
  <c r="I34" i="69" s="1"/>
  <c r="I60" i="69" s="1"/>
  <c r="E9" i="3"/>
  <c r="D8" i="3"/>
  <c r="F15" i="75" l="1"/>
  <c r="G15" i="75" s="1"/>
  <c r="F21" i="75"/>
  <c r="G21" i="75" s="1"/>
  <c r="F18" i="75"/>
  <c r="G18" i="75" s="1"/>
  <c r="G8" i="3"/>
  <c r="F8" i="3"/>
  <c r="F37" i="75"/>
  <c r="G37" i="75" s="1"/>
  <c r="F23" i="75"/>
  <c r="G23" i="75" s="1"/>
  <c r="I78" i="69"/>
  <c r="F12" i="75"/>
  <c r="G12" i="75" s="1"/>
  <c r="E28" i="3"/>
  <c r="E53" i="3" s="1"/>
  <c r="E68" i="3" s="1"/>
  <c r="D17" i="3"/>
  <c r="F17" i="3" s="1"/>
  <c r="K23" i="69"/>
  <c r="N23" i="69" s="1"/>
  <c r="L12" i="69"/>
  <c r="L16" i="69" s="1"/>
  <c r="L34" i="69" s="1"/>
  <c r="L60" i="69" s="1"/>
  <c r="F78" i="69"/>
  <c r="K11" i="69"/>
  <c r="F53" i="75" l="1"/>
  <c r="G53" i="75"/>
  <c r="J53" i="75" s="1"/>
  <c r="E60" i="69"/>
  <c r="E78" i="69" s="1"/>
  <c r="N11" i="69"/>
  <c r="AW15" i="1" l="1"/>
  <c r="AW64" i="1"/>
  <c r="AW34" i="1"/>
  <c r="AW22" i="1"/>
  <c r="AW45" i="1"/>
  <c r="AW70" i="1"/>
  <c r="AW35" i="1"/>
  <c r="AW78" i="1"/>
  <c r="AW46" i="1"/>
  <c r="AW40" i="1"/>
  <c r="AW38" i="1"/>
  <c r="AW75" i="1"/>
  <c r="AW27" i="1"/>
  <c r="AW56" i="1"/>
  <c r="AW28" i="1"/>
  <c r="AW44" i="1"/>
  <c r="AW16" i="1"/>
  <c r="AW23" i="1"/>
  <c r="AW55" i="1"/>
  <c r="AW39" i="1"/>
  <c r="AW68" i="1"/>
  <c r="BI68" i="1" s="1"/>
  <c r="AW69" i="1"/>
  <c r="AW73" i="1"/>
  <c r="AW29" i="1"/>
  <c r="AW63" i="1"/>
  <c r="AW43" i="1"/>
  <c r="AW76" i="1"/>
  <c r="AW77" i="1"/>
  <c r="AW62" i="1"/>
  <c r="BI62" i="1" s="1"/>
  <c r="BI29" i="1" l="1"/>
  <c r="BI75" i="1"/>
  <c r="H76" i="82" s="1"/>
  <c r="BI76" i="1"/>
  <c r="BJ76" i="1" s="1"/>
  <c r="BI23" i="1"/>
  <c r="BI56" i="1"/>
  <c r="H57" i="82" s="1"/>
  <c r="BI40" i="1"/>
  <c r="BJ40" i="1" s="1"/>
  <c r="BI78" i="1"/>
  <c r="BJ78" i="1" s="1"/>
  <c r="BI16" i="1"/>
  <c r="H17" i="82" s="1"/>
  <c r="BI46" i="1"/>
  <c r="H47" i="82" s="1"/>
  <c r="BI45" i="1"/>
  <c r="BJ45" i="1" s="1"/>
  <c r="BI15" i="1"/>
  <c r="BJ15" i="1" s="1"/>
  <c r="BI77" i="1"/>
  <c r="BJ77" i="1" s="1"/>
  <c r="BI43" i="1"/>
  <c r="H44" i="82" s="1"/>
  <c r="BI55" i="1"/>
  <c r="H56" i="82" s="1"/>
  <c r="BI39" i="1"/>
  <c r="BJ39" i="1" s="1"/>
  <c r="BI27" i="1"/>
  <c r="BJ27" i="1" s="1"/>
  <c r="BI22" i="1"/>
  <c r="H23" i="82" s="1"/>
  <c r="BI73" i="1"/>
  <c r="H74" i="82" s="1"/>
  <c r="BI70" i="1"/>
  <c r="BJ70" i="1" s="1"/>
  <c r="BI69" i="1"/>
  <c r="BJ69" i="1" s="1"/>
  <c r="BJ68" i="1"/>
  <c r="BI64" i="1"/>
  <c r="BJ64" i="1" s="1"/>
  <c r="BI63" i="1"/>
  <c r="BJ63" i="1" s="1"/>
  <c r="BI44" i="1"/>
  <c r="H45" i="82" s="1"/>
  <c r="BI34" i="1"/>
  <c r="BJ34" i="1" s="1"/>
  <c r="BJ62" i="1"/>
  <c r="BI28" i="1"/>
  <c r="H30" i="82"/>
  <c r="BJ29" i="1"/>
  <c r="H24" i="82"/>
  <c r="BJ23" i="1"/>
  <c r="H41" i="82"/>
  <c r="BJ16" i="1"/>
  <c r="BI38" i="1"/>
  <c r="H39" i="82" s="1"/>
  <c r="BI35" i="1"/>
  <c r="H36" i="82" s="1"/>
  <c r="J77" i="79"/>
  <c r="F77" i="82" s="1"/>
  <c r="J76" i="79"/>
  <c r="F76" i="82" s="1"/>
  <c r="J57" i="79"/>
  <c r="F57" i="82" s="1"/>
  <c r="J41" i="79"/>
  <c r="F41" i="82" s="1"/>
  <c r="J28" i="79"/>
  <c r="F28" i="82" s="1"/>
  <c r="J47" i="79"/>
  <c r="F47" i="82" s="1"/>
  <c r="J69" i="79"/>
  <c r="F69" i="82" s="1"/>
  <c r="J63" i="79"/>
  <c r="F63" i="82" s="1"/>
  <c r="J45" i="79"/>
  <c r="F45" i="82" s="1"/>
  <c r="J29" i="79"/>
  <c r="F29" i="82" s="1"/>
  <c r="J46" i="79"/>
  <c r="F46" i="82" s="1"/>
  <c r="J40" i="79"/>
  <c r="F40" i="82" s="1"/>
  <c r="J24" i="79"/>
  <c r="F24" i="82" s="1"/>
  <c r="J23" i="79"/>
  <c r="F23" i="82" s="1"/>
  <c r="J17" i="79"/>
  <c r="F17" i="82" s="1"/>
  <c r="J35" i="79"/>
  <c r="F35" i="82" s="1"/>
  <c r="J56" i="79"/>
  <c r="F56" i="82" s="1"/>
  <c r="J30" i="79"/>
  <c r="F30" i="82" s="1"/>
  <c r="J16" i="79"/>
  <c r="J71" i="79"/>
  <c r="F71" i="82" s="1"/>
  <c r="J70" i="79"/>
  <c r="F70" i="82" s="1"/>
  <c r="J65" i="79"/>
  <c r="F65" i="82" s="1"/>
  <c r="J64" i="79"/>
  <c r="F64" i="82" s="1"/>
  <c r="J79" i="79"/>
  <c r="F79" i="82" s="1"/>
  <c r="J78" i="79"/>
  <c r="F78" i="82" s="1"/>
  <c r="J74" i="79"/>
  <c r="F74" i="82" s="1"/>
  <c r="J36" i="79"/>
  <c r="F36" i="82" s="1"/>
  <c r="J44" i="79"/>
  <c r="F44" i="82" s="1"/>
  <c r="J39" i="79"/>
  <c r="F39" i="82" s="1"/>
  <c r="AW36" i="1"/>
  <c r="AW47" i="1"/>
  <c r="AW71" i="1"/>
  <c r="AW24" i="1"/>
  <c r="AW65" i="1"/>
  <c r="AW30" i="1"/>
  <c r="AW17" i="1"/>
  <c r="H46" i="82" l="1"/>
  <c r="K46" i="82" s="1"/>
  <c r="BI30" i="1"/>
  <c r="BJ73" i="1"/>
  <c r="H78" i="82"/>
  <c r="K78" i="82" s="1"/>
  <c r="BI17" i="1"/>
  <c r="H79" i="82"/>
  <c r="K79" i="82" s="1"/>
  <c r="BJ46" i="1"/>
  <c r="H16" i="82"/>
  <c r="H18" i="82" s="1"/>
  <c r="F16" i="82"/>
  <c r="F18" i="82" s="1"/>
  <c r="F26" i="55"/>
  <c r="H28" i="82"/>
  <c r="K28" i="82" s="1"/>
  <c r="H77" i="82"/>
  <c r="G77" i="82" s="1"/>
  <c r="BJ56" i="1"/>
  <c r="BJ44" i="1"/>
  <c r="BJ75" i="1"/>
  <c r="H40" i="82"/>
  <c r="G40" i="82" s="1"/>
  <c r="H65" i="82"/>
  <c r="G65" i="82" s="1"/>
  <c r="H64" i="82"/>
  <c r="K64" i="82" s="1"/>
  <c r="BJ55" i="1"/>
  <c r="H70" i="82"/>
  <c r="K70" i="82" s="1"/>
  <c r="BI24" i="1"/>
  <c r="BJ22" i="1"/>
  <c r="BJ24" i="1" s="1"/>
  <c r="H69" i="82"/>
  <c r="K69" i="82" s="1"/>
  <c r="BI71" i="1"/>
  <c r="H71" i="82"/>
  <c r="G71" i="82" s="1"/>
  <c r="BI65" i="1"/>
  <c r="H35" i="82"/>
  <c r="G35" i="82" s="1"/>
  <c r="BJ28" i="1"/>
  <c r="BJ30" i="1" s="1"/>
  <c r="H29" i="82"/>
  <c r="H63" i="82"/>
  <c r="K63" i="82" s="1"/>
  <c r="F31" i="82"/>
  <c r="F66" i="82"/>
  <c r="BJ17" i="1"/>
  <c r="BJ65" i="1"/>
  <c r="G46" i="82"/>
  <c r="K41" i="82"/>
  <c r="G41" i="82"/>
  <c r="G44" i="82"/>
  <c r="H48" i="82"/>
  <c r="K30" i="82"/>
  <c r="G30" i="82"/>
  <c r="F37" i="82"/>
  <c r="F72" i="82"/>
  <c r="K47" i="82"/>
  <c r="G47" i="82"/>
  <c r="BJ71" i="1"/>
  <c r="G78" i="82"/>
  <c r="K57" i="82"/>
  <c r="G57" i="82"/>
  <c r="K76" i="82"/>
  <c r="G76" i="82"/>
  <c r="K24" i="82"/>
  <c r="G24" i="82"/>
  <c r="K23" i="82"/>
  <c r="H25" i="82"/>
  <c r="G23" i="82"/>
  <c r="F48" i="82"/>
  <c r="K74" i="82"/>
  <c r="G74" i="82"/>
  <c r="F25" i="82"/>
  <c r="G39" i="82"/>
  <c r="K17" i="82"/>
  <c r="G17" i="82"/>
  <c r="K45" i="82"/>
  <c r="G45" i="82"/>
  <c r="K56" i="82"/>
  <c r="G56" i="82"/>
  <c r="G36" i="82"/>
  <c r="BJ35" i="1"/>
  <c r="BI36" i="1"/>
  <c r="BJ43" i="1"/>
  <c r="BJ38" i="1"/>
  <c r="L41" i="79"/>
  <c r="I41" i="79"/>
  <c r="L76" i="79"/>
  <c r="I76" i="79"/>
  <c r="I47" i="79"/>
  <c r="L47" i="79"/>
  <c r="I28" i="79"/>
  <c r="L28" i="79"/>
  <c r="I57" i="79"/>
  <c r="L57" i="79"/>
  <c r="L77" i="79"/>
  <c r="I77" i="79"/>
  <c r="I69" i="79"/>
  <c r="L69" i="79"/>
  <c r="L63" i="79"/>
  <c r="I63" i="79"/>
  <c r="L45" i="79"/>
  <c r="I45" i="79"/>
  <c r="I29" i="79"/>
  <c r="L29" i="79"/>
  <c r="I46" i="79"/>
  <c r="L46" i="79"/>
  <c r="I40" i="79"/>
  <c r="L40" i="79"/>
  <c r="I24" i="79"/>
  <c r="L24" i="79"/>
  <c r="L23" i="79"/>
  <c r="I23" i="79"/>
  <c r="J25" i="79"/>
  <c r="L17" i="79"/>
  <c r="I17" i="79"/>
  <c r="I35" i="79"/>
  <c r="L35" i="79"/>
  <c r="I56" i="79"/>
  <c r="L56" i="79"/>
  <c r="J31" i="79"/>
  <c r="L30" i="79"/>
  <c r="I30" i="79"/>
  <c r="L16" i="79"/>
  <c r="I16" i="79"/>
  <c r="J18" i="79"/>
  <c r="I71" i="79"/>
  <c r="L71" i="79"/>
  <c r="I70" i="79"/>
  <c r="L70" i="79"/>
  <c r="J72" i="79"/>
  <c r="L65" i="79"/>
  <c r="I65" i="79"/>
  <c r="L64" i="79"/>
  <c r="J66" i="79"/>
  <c r="I64" i="79"/>
  <c r="L79" i="79"/>
  <c r="I79" i="79"/>
  <c r="I78" i="79"/>
  <c r="L78" i="79"/>
  <c r="I74" i="79"/>
  <c r="L74" i="79"/>
  <c r="I36" i="79"/>
  <c r="J37" i="79"/>
  <c r="I44" i="79"/>
  <c r="J48" i="79"/>
  <c r="I39" i="79"/>
  <c r="AW72" i="1"/>
  <c r="AW74" i="1" s="1"/>
  <c r="AW81" i="1" s="1"/>
  <c r="F12" i="55" s="1"/>
  <c r="F16" i="55" s="1"/>
  <c r="AW48" i="1"/>
  <c r="AW50" i="1" s="1"/>
  <c r="G79" i="82" l="1"/>
  <c r="K71" i="82"/>
  <c r="K65" i="82"/>
  <c r="G28" i="82"/>
  <c r="K16" i="82"/>
  <c r="K77" i="82"/>
  <c r="G16" i="82"/>
  <c r="G18" i="82" s="1"/>
  <c r="H37" i="82"/>
  <c r="G64" i="82"/>
  <c r="K40" i="82"/>
  <c r="K35" i="82"/>
  <c r="H31" i="82"/>
  <c r="G70" i="82"/>
  <c r="H72" i="82"/>
  <c r="G69" i="82"/>
  <c r="G63" i="82"/>
  <c r="BI72" i="1"/>
  <c r="BI74" i="1" s="1"/>
  <c r="BI81" i="1" s="1"/>
  <c r="G12" i="55" s="1"/>
  <c r="G16" i="55" s="1"/>
  <c r="K29" i="82"/>
  <c r="K31" i="82" s="1"/>
  <c r="H66" i="82"/>
  <c r="BJ72" i="1"/>
  <c r="BJ74" i="1" s="1"/>
  <c r="BJ81" i="1" s="1"/>
  <c r="G29" i="82"/>
  <c r="K72" i="82"/>
  <c r="K66" i="82"/>
  <c r="K25" i="82"/>
  <c r="F49" i="82"/>
  <c r="F51" i="82" s="1"/>
  <c r="G37" i="82"/>
  <c r="F73" i="82"/>
  <c r="F75" i="82" s="1"/>
  <c r="F81" i="82" s="1"/>
  <c r="G48" i="82"/>
  <c r="G25" i="82"/>
  <c r="BJ47" i="1"/>
  <c r="BJ36" i="1"/>
  <c r="L31" i="79"/>
  <c r="L25" i="79"/>
  <c r="J73" i="79"/>
  <c r="J75" i="79" s="1"/>
  <c r="J81" i="79" s="1"/>
  <c r="I25" i="79"/>
  <c r="J49" i="79"/>
  <c r="J51" i="79" s="1"/>
  <c r="I31" i="79"/>
  <c r="I18" i="79"/>
  <c r="L72" i="79"/>
  <c r="I72" i="79"/>
  <c r="L66" i="79"/>
  <c r="I66" i="79"/>
  <c r="I37" i="79"/>
  <c r="I48" i="79"/>
  <c r="G31" i="82" l="1"/>
  <c r="G49" i="82" s="1"/>
  <c r="G51" i="82" s="1"/>
  <c r="H49" i="82"/>
  <c r="H51" i="82" s="1"/>
  <c r="G66" i="82"/>
  <c r="H73" i="82"/>
  <c r="H75" i="82" s="1"/>
  <c r="H81" i="82" s="1"/>
  <c r="G72" i="82"/>
  <c r="K73" i="82"/>
  <c r="K75" i="82" s="1"/>
  <c r="K81" i="82" s="1"/>
  <c r="BJ48" i="1"/>
  <c r="BJ50" i="1" s="1"/>
  <c r="I49" i="79"/>
  <c r="L73" i="79"/>
  <c r="L75" i="79" s="1"/>
  <c r="L81" i="79" s="1"/>
  <c r="I73" i="79"/>
  <c r="G73" i="82" l="1"/>
  <c r="G75" i="82" s="1"/>
  <c r="G81" i="82" s="1"/>
  <c r="I51" i="79"/>
  <c r="I75" i="79"/>
  <c r="I81" i="79" l="1"/>
  <c r="A18" i="69" l="1"/>
  <c r="A12" i="3"/>
  <c r="A15" i="75" s="1"/>
  <c r="A13" i="3" l="1"/>
  <c r="A16" i="75" s="1"/>
  <c r="A19" i="69"/>
  <c r="A20" i="69" l="1"/>
  <c r="A14" i="3"/>
  <c r="A17" i="75" s="1"/>
  <c r="A21" i="69" l="1"/>
  <c r="A15" i="3"/>
  <c r="A18" i="75" s="1"/>
  <c r="A22" i="69" l="1"/>
  <c r="A16" i="3"/>
  <c r="A19" i="75" s="1"/>
  <c r="A23" i="69" l="1"/>
  <c r="A17" i="3"/>
  <c r="A20" i="75" s="1"/>
  <c r="A24" i="69" l="1"/>
  <c r="A18" i="3"/>
  <c r="A21" i="75" s="1"/>
  <c r="A25" i="69" l="1"/>
  <c r="A19" i="3"/>
  <c r="A22" i="75" s="1"/>
  <c r="A26" i="69" l="1"/>
  <c r="A20" i="3"/>
  <c r="A23" i="75" s="1"/>
  <c r="A21" i="3" l="1"/>
  <c r="A24" i="75" s="1"/>
  <c r="A27" i="69"/>
  <c r="A23" i="3" l="1"/>
  <c r="A26" i="75" s="1"/>
  <c r="A29" i="69"/>
  <c r="A31" i="69" l="1"/>
  <c r="E8" i="75"/>
  <c r="A25" i="3"/>
  <c r="A28" i="75" s="1"/>
  <c r="E57" i="75" l="1"/>
  <c r="R55" i="76"/>
  <c r="R59" i="76" s="1"/>
  <c r="E88" i="1"/>
  <c r="E89" i="1" s="1"/>
  <c r="E83" i="1" s="1"/>
  <c r="G55" i="76"/>
  <c r="G59" i="76" s="1"/>
  <c r="O58" i="1"/>
  <c r="H24" i="69" s="1"/>
  <c r="I55" i="76"/>
  <c r="I59" i="76" s="1"/>
  <c r="Q58" i="1"/>
  <c r="H26" i="69" s="1"/>
  <c r="L55" i="76"/>
  <c r="L59" i="76" s="1"/>
  <c r="J55" i="76"/>
  <c r="J59" i="76" s="1"/>
  <c r="K58" i="1"/>
  <c r="H20" i="69" s="1"/>
  <c r="M55" i="76"/>
  <c r="M59" i="76" s="1"/>
  <c r="H55" i="76"/>
  <c r="H59" i="76" s="1"/>
  <c r="S55" i="76"/>
  <c r="S59" i="76" s="1"/>
  <c r="Z58" i="1"/>
  <c r="H36" i="69" s="1"/>
  <c r="T55" i="76"/>
  <c r="T59" i="76" s="1"/>
  <c r="F58" i="1"/>
  <c r="H12" i="69" s="1"/>
  <c r="I38" i="75" l="1"/>
  <c r="I39" i="75"/>
  <c r="I48" i="75"/>
  <c r="I47" i="75"/>
  <c r="I46" i="75"/>
  <c r="I52" i="75"/>
  <c r="I51" i="75"/>
  <c r="I50" i="75"/>
  <c r="I49" i="75"/>
  <c r="I32" i="75"/>
  <c r="I36" i="75"/>
  <c r="I41" i="75"/>
  <c r="I40" i="75"/>
  <c r="I43" i="75"/>
  <c r="I42" i="75"/>
  <c r="I44" i="75"/>
  <c r="I33" i="75"/>
  <c r="I35" i="75"/>
  <c r="I30" i="75"/>
  <c r="I37" i="75"/>
  <c r="I34" i="75"/>
  <c r="I45" i="75"/>
  <c r="I13" i="75"/>
  <c r="I17" i="75"/>
  <c r="I21" i="75"/>
  <c r="I25" i="75"/>
  <c r="I29" i="75"/>
  <c r="I14" i="75"/>
  <c r="I18" i="75"/>
  <c r="I22" i="75"/>
  <c r="I26" i="75"/>
  <c r="I31" i="75"/>
  <c r="I15" i="75"/>
  <c r="I19" i="75"/>
  <c r="I23" i="75"/>
  <c r="I27" i="75"/>
  <c r="I16" i="75"/>
  <c r="I20" i="75"/>
  <c r="I24" i="75"/>
  <c r="I28" i="75"/>
  <c r="I12" i="75"/>
  <c r="D26" i="3"/>
  <c r="F26" i="3" s="1"/>
  <c r="K32" i="69"/>
  <c r="N32" i="69" s="1"/>
  <c r="O30" i="69"/>
  <c r="O32" i="69"/>
  <c r="W88" i="1"/>
  <c r="E59" i="75"/>
  <c r="U55" i="76"/>
  <c r="U59" i="76" s="1"/>
  <c r="U58" i="1"/>
  <c r="K49" i="69"/>
  <c r="N49" i="69" s="1"/>
  <c r="O41" i="69"/>
  <c r="D21" i="3"/>
  <c r="F21" i="3" s="1"/>
  <c r="N88" i="1"/>
  <c r="G58" i="1"/>
  <c r="O22" i="69"/>
  <c r="O23" i="69"/>
  <c r="P23" i="69" s="1"/>
  <c r="O44" i="69"/>
  <c r="O26" i="69"/>
  <c r="O45" i="69"/>
  <c r="O40" i="69"/>
  <c r="O25" i="69"/>
  <c r="O29" i="69"/>
  <c r="O36" i="69"/>
  <c r="O48" i="69"/>
  <c r="O28" i="69"/>
  <c r="O24" i="69"/>
  <c r="Q55" i="76"/>
  <c r="Q59" i="76" s="1"/>
  <c r="O58" i="69"/>
  <c r="I58" i="1"/>
  <c r="F57" i="75"/>
  <c r="F59" i="75" s="1"/>
  <c r="I11" i="75"/>
  <c r="L58" i="1"/>
  <c r="F55" i="76"/>
  <c r="F59" i="76" s="1"/>
  <c r="O55" i="76"/>
  <c r="O59" i="76" s="1"/>
  <c r="O14" i="69"/>
  <c r="O13" i="69"/>
  <c r="O20" i="69"/>
  <c r="O18" i="69"/>
  <c r="O47" i="69"/>
  <c r="O19" i="69"/>
  <c r="O12" i="69"/>
  <c r="M58" i="1"/>
  <c r="O55" i="69"/>
  <c r="O31" i="69"/>
  <c r="O42" i="69"/>
  <c r="O49" i="69"/>
  <c r="O11" i="69"/>
  <c r="O21" i="69"/>
  <c r="O27" i="69"/>
  <c r="J58" i="1"/>
  <c r="D34" i="3"/>
  <c r="F34" i="3" s="1"/>
  <c r="T58" i="1"/>
  <c r="S58" i="1"/>
  <c r="K55" i="76"/>
  <c r="K59" i="76" s="1"/>
  <c r="H58" i="1"/>
  <c r="Y54" i="1"/>
  <c r="D38" i="3"/>
  <c r="F38" i="3" s="1"/>
  <c r="P55" i="76"/>
  <c r="P59" i="76" s="1"/>
  <c r="P58" i="1"/>
  <c r="Y55" i="76"/>
  <c r="Y59" i="76" s="1"/>
  <c r="D9" i="3"/>
  <c r="F9" i="3" s="1"/>
  <c r="F88" i="1"/>
  <c r="D14" i="3"/>
  <c r="F14" i="3" s="1"/>
  <c r="K20" i="69"/>
  <c r="N20" i="69" s="1"/>
  <c r="K88" i="1"/>
  <c r="D36" i="3"/>
  <c r="F36" i="3" s="1"/>
  <c r="K42" i="69"/>
  <c r="N42" i="69" s="1"/>
  <c r="K45" i="69"/>
  <c r="N45" i="69" s="1"/>
  <c r="D39" i="3"/>
  <c r="F39" i="3" s="1"/>
  <c r="D18" i="3"/>
  <c r="F18" i="3" s="1"/>
  <c r="K24" i="69"/>
  <c r="N24" i="69" s="1"/>
  <c r="O88" i="1"/>
  <c r="D30" i="3"/>
  <c r="F30" i="3" s="1"/>
  <c r="K36" i="69"/>
  <c r="N36" i="69" s="1"/>
  <c r="Z88" i="1"/>
  <c r="D20" i="3"/>
  <c r="F20" i="3" s="1"/>
  <c r="K26" i="69"/>
  <c r="N26" i="69" s="1"/>
  <c r="Q88" i="1"/>
  <c r="D15" i="3" l="1"/>
  <c r="F15" i="3" s="1"/>
  <c r="H21" i="69"/>
  <c r="D11" i="3"/>
  <c r="F11" i="3" s="1"/>
  <c r="H14" i="69"/>
  <c r="H13" i="69"/>
  <c r="K13" i="69" s="1"/>
  <c r="N13" i="69" s="1"/>
  <c r="P13" i="69" s="1"/>
  <c r="H18" i="69"/>
  <c r="K18" i="69" s="1"/>
  <c r="N18" i="69" s="1"/>
  <c r="P18" i="69" s="1"/>
  <c r="H25" i="69"/>
  <c r="K25" i="69" s="1"/>
  <c r="N25" i="69" s="1"/>
  <c r="P25" i="69" s="1"/>
  <c r="D13" i="3"/>
  <c r="F13" i="3" s="1"/>
  <c r="H19" i="69"/>
  <c r="D16" i="3"/>
  <c r="F16" i="3" s="1"/>
  <c r="H22" i="69"/>
  <c r="U88" i="1"/>
  <c r="H30" i="69"/>
  <c r="D22" i="3"/>
  <c r="F22" i="3" s="1"/>
  <c r="H28" i="69"/>
  <c r="K28" i="69" s="1"/>
  <c r="N28" i="69" s="1"/>
  <c r="P28" i="69" s="1"/>
  <c r="D23" i="3"/>
  <c r="F23" i="3" s="1"/>
  <c r="H29" i="69"/>
  <c r="D52" i="3"/>
  <c r="AW54" i="1"/>
  <c r="H55" i="79"/>
  <c r="G55" i="79" s="1"/>
  <c r="E63" i="75"/>
  <c r="G59" i="75"/>
  <c r="P11" i="69"/>
  <c r="O16" i="69"/>
  <c r="O34" i="69" s="1"/>
  <c r="O60" i="69" s="1"/>
  <c r="K55" i="69"/>
  <c r="N55" i="69" s="1"/>
  <c r="P55" i="69" s="1"/>
  <c r="D49" i="3"/>
  <c r="F49" i="3" s="1"/>
  <c r="P32" i="69"/>
  <c r="Q89" i="1"/>
  <c r="Q83" i="1" s="1"/>
  <c r="Z89" i="1"/>
  <c r="Z83" i="1" s="1"/>
  <c r="K89" i="1"/>
  <c r="K83" i="1" s="1"/>
  <c r="U89" i="1"/>
  <c r="U83" i="1" s="1"/>
  <c r="N89" i="1"/>
  <c r="N83" i="1" s="1"/>
  <c r="O89" i="1"/>
  <c r="O83" i="1" s="1"/>
  <c r="F89" i="1"/>
  <c r="F83" i="1" s="1"/>
  <c r="W89" i="1"/>
  <c r="W83" i="1" s="1"/>
  <c r="D24" i="3"/>
  <c r="F24" i="3" s="1"/>
  <c r="K30" i="69"/>
  <c r="N30" i="69" s="1"/>
  <c r="P30" i="69" s="1"/>
  <c r="D42" i="3"/>
  <c r="F42" i="3" s="1"/>
  <c r="K48" i="69"/>
  <c r="N48" i="69" s="1"/>
  <c r="P48" i="69" s="1"/>
  <c r="D43" i="3"/>
  <c r="F43" i="3" s="1"/>
  <c r="K41" i="69"/>
  <c r="N41" i="69" s="1"/>
  <c r="P41" i="69" s="1"/>
  <c r="D35" i="3"/>
  <c r="F35" i="3" s="1"/>
  <c r="R88" i="1"/>
  <c r="K27" i="69"/>
  <c r="N27" i="69" s="1"/>
  <c r="P27" i="69" s="1"/>
  <c r="M88" i="1"/>
  <c r="J88" i="1"/>
  <c r="D10" i="3"/>
  <c r="F10" i="3" s="1"/>
  <c r="G88" i="1"/>
  <c r="K58" i="69"/>
  <c r="D41" i="3"/>
  <c r="F41" i="3" s="1"/>
  <c r="P26" i="69"/>
  <c r="P45" i="69"/>
  <c r="K47" i="69"/>
  <c r="N47" i="69" s="1"/>
  <c r="P47" i="69" s="1"/>
  <c r="P36" i="69"/>
  <c r="P24" i="69"/>
  <c r="I88" i="1"/>
  <c r="S88" i="1"/>
  <c r="P49" i="69"/>
  <c r="D12" i="3"/>
  <c r="F12" i="3" s="1"/>
  <c r="L88" i="1"/>
  <c r="K21" i="69"/>
  <c r="N21" i="69" s="1"/>
  <c r="P21" i="69" s="1"/>
  <c r="K19" i="69"/>
  <c r="N19" i="69" s="1"/>
  <c r="P19" i="69" s="1"/>
  <c r="K40" i="69"/>
  <c r="N40" i="69" s="1"/>
  <c r="P40" i="69" s="1"/>
  <c r="P42" i="69"/>
  <c r="K22" i="69"/>
  <c r="N22" i="69" s="1"/>
  <c r="P22" i="69" s="1"/>
  <c r="P20" i="69"/>
  <c r="T88" i="1"/>
  <c r="K29" i="69"/>
  <c r="N29" i="69" s="1"/>
  <c r="P29" i="69" s="1"/>
  <c r="P88" i="1"/>
  <c r="K44" i="69"/>
  <c r="N44" i="69" s="1"/>
  <c r="P44" i="69" s="1"/>
  <c r="H88" i="1"/>
  <c r="K14" i="69"/>
  <c r="N14" i="69" s="1"/>
  <c r="P14" i="69" s="1"/>
  <c r="D19" i="3"/>
  <c r="F19" i="3" s="1"/>
  <c r="K12" i="69"/>
  <c r="N58" i="69" l="1"/>
  <c r="BI54" i="1"/>
  <c r="H55" i="82" s="1"/>
  <c r="K55" i="82" s="1"/>
  <c r="E66" i="75"/>
  <c r="J55" i="79"/>
  <c r="F55" i="82" s="1"/>
  <c r="K16" i="69"/>
  <c r="H16" i="69"/>
  <c r="J89" i="1"/>
  <c r="J83" i="1" s="1"/>
  <c r="T89" i="1"/>
  <c r="T83" i="1" s="1"/>
  <c r="I89" i="1"/>
  <c r="I83" i="1" s="1"/>
  <c r="R89" i="1"/>
  <c r="R83" i="1" s="1"/>
  <c r="P89" i="1"/>
  <c r="P83" i="1" s="1"/>
  <c r="L89" i="1"/>
  <c r="L83" i="1" s="1"/>
  <c r="S89" i="1"/>
  <c r="S83" i="1" s="1"/>
  <c r="M89" i="1"/>
  <c r="M83" i="1" s="1"/>
  <c r="H89" i="1"/>
  <c r="H83" i="1" s="1"/>
  <c r="G89" i="1"/>
  <c r="G83" i="1" s="1"/>
  <c r="F63" i="75"/>
  <c r="F66" i="75" s="1"/>
  <c r="N12" i="69"/>
  <c r="N16" i="69" s="1"/>
  <c r="P58" i="69" l="1"/>
  <c r="G55" i="82"/>
  <c r="BJ54" i="1"/>
  <c r="G66" i="75"/>
  <c r="V53" i="1"/>
  <c r="Y53" i="1" s="1"/>
  <c r="I55" i="79"/>
  <c r="L55" i="79"/>
  <c r="G63" i="75"/>
  <c r="P12" i="69"/>
  <c r="AW53" i="1" l="1"/>
  <c r="BI53" i="1" s="1"/>
  <c r="BJ53" i="1" s="1"/>
  <c r="BJ58" i="1" s="1"/>
  <c r="BJ88" i="1" s="1"/>
  <c r="BJ89" i="1" s="1"/>
  <c r="BJ83" i="1" s="1"/>
  <c r="V58" i="1"/>
  <c r="V54" i="76"/>
  <c r="V59" i="76" s="1"/>
  <c r="H54" i="79"/>
  <c r="I59" i="75"/>
  <c r="I66" i="75" s="1"/>
  <c r="J67" i="75" s="1"/>
  <c r="I53" i="75"/>
  <c r="Y58" i="1"/>
  <c r="Y88" i="1" s="1"/>
  <c r="V88" i="1" l="1"/>
  <c r="H31" i="69"/>
  <c r="H34" i="69" s="1"/>
  <c r="H60" i="69" s="1"/>
  <c r="H54" i="82"/>
  <c r="H59" i="82" s="1"/>
  <c r="H82" i="82" s="1"/>
  <c r="D25" i="3"/>
  <c r="F25" i="3" s="1"/>
  <c r="F28" i="3" s="1"/>
  <c r="G54" i="79"/>
  <c r="G59" i="79" s="1"/>
  <c r="H59" i="79"/>
  <c r="H82" i="79" s="1"/>
  <c r="J54" i="79"/>
  <c r="F54" i="82" s="1"/>
  <c r="Y89" i="1"/>
  <c r="Y83" i="1" s="1"/>
  <c r="V89" i="1"/>
  <c r="V83" i="1" s="1"/>
  <c r="AW58" i="1"/>
  <c r="F53" i="3" l="1"/>
  <c r="F68" i="3" s="1"/>
  <c r="F69" i="3" s="1"/>
  <c r="K31" i="69"/>
  <c r="D28" i="3"/>
  <c r="G28" i="3" s="1"/>
  <c r="F59" i="82"/>
  <c r="F82" i="82" s="1"/>
  <c r="G54" i="82"/>
  <c r="G59" i="82" s="1"/>
  <c r="F18" i="55"/>
  <c r="AW88" i="1"/>
  <c r="AW89" i="1" s="1"/>
  <c r="AW83" i="1" s="1"/>
  <c r="I54" i="79"/>
  <c r="J59" i="79"/>
  <c r="J82" i="79" s="1"/>
  <c r="N31" i="69" l="1"/>
  <c r="N34" i="69" s="1"/>
  <c r="N60" i="69" s="1"/>
  <c r="O61" i="69" s="1"/>
  <c r="O63" i="69" s="1"/>
  <c r="K34" i="69"/>
  <c r="K60" i="69" s="1"/>
  <c r="D53" i="3"/>
  <c r="I59" i="79"/>
  <c r="H78" i="69"/>
  <c r="P31" i="69"/>
  <c r="D68" i="3" l="1"/>
  <c r="G68" i="3" s="1"/>
  <c r="G53" i="3"/>
  <c r="F20" i="55"/>
  <c r="F24" i="55" s="1"/>
  <c r="H30" i="55" l="1"/>
  <c r="H26" i="55"/>
  <c r="BI47" i="1"/>
  <c r="O66" i="69"/>
  <c r="I12" i="56"/>
  <c r="I15" i="82" s="1"/>
  <c r="F28" i="55"/>
  <c r="O65" i="69"/>
  <c r="F32" i="55"/>
  <c r="I18" i="82" l="1"/>
  <c r="BI48" i="1"/>
  <c r="BI50" i="1" s="1"/>
  <c r="BI58" i="1" s="1"/>
  <c r="I17" i="56"/>
  <c r="I44" i="82" s="1"/>
  <c r="K15" i="79"/>
  <c r="I15" i="56"/>
  <c r="I39" i="82" s="1"/>
  <c r="P66" i="69"/>
  <c r="I19" i="56"/>
  <c r="I36" i="82" s="1"/>
  <c r="I48" i="82" l="1"/>
  <c r="I37" i="82"/>
  <c r="BI88" i="1"/>
  <c r="BI89" i="1" s="1"/>
  <c r="BI83" i="1" s="1"/>
  <c r="G18" i="55"/>
  <c r="G20" i="55" s="1"/>
  <c r="G24" i="55" s="1"/>
  <c r="K39" i="79"/>
  <c r="L39" i="79" s="1"/>
  <c r="K36" i="79"/>
  <c r="K18" i="79"/>
  <c r="L15" i="79"/>
  <c r="L18" i="79" s="1"/>
  <c r="K44" i="79"/>
  <c r="I21" i="56"/>
  <c r="I23" i="56" s="1"/>
  <c r="I25" i="56" s="1"/>
  <c r="I54" i="82" s="1"/>
  <c r="I49" i="82" l="1"/>
  <c r="H20" i="55"/>
  <c r="H24" i="55" s="1"/>
  <c r="K48" i="79"/>
  <c r="L44" i="79"/>
  <c r="L48" i="79" s="1"/>
  <c r="K37" i="79"/>
  <c r="L36" i="79"/>
  <c r="L37" i="79" s="1"/>
  <c r="I27" i="56"/>
  <c r="I29" i="56" s="1"/>
  <c r="I30" i="56" s="1"/>
  <c r="K54" i="79"/>
  <c r="L54" i="79" s="1"/>
  <c r="O84" i="69" l="1"/>
  <c r="P84" i="69" s="1"/>
  <c r="J12" i="56"/>
  <c r="J15" i="82" s="1"/>
  <c r="I51" i="82"/>
  <c r="I59" i="82" s="1"/>
  <c r="H28" i="55"/>
  <c r="H32" i="55"/>
  <c r="L49" i="79"/>
  <c r="L51" i="79" s="1"/>
  <c r="L59" i="79" s="1"/>
  <c r="L82" i="79" s="1"/>
  <c r="K49" i="79"/>
  <c r="K51" i="79" s="1"/>
  <c r="K59" i="79" s="1"/>
  <c r="J15" i="56" l="1"/>
  <c r="J39" i="82" s="1"/>
  <c r="K39" i="82" s="1"/>
  <c r="J19" i="56"/>
  <c r="J36" i="82" s="1"/>
  <c r="K36" i="82" s="1"/>
  <c r="K37" i="82" s="1"/>
  <c r="J17" i="56"/>
  <c r="J44" i="82" s="1"/>
  <c r="K44" i="82" s="1"/>
  <c r="K48" i="82" s="1"/>
  <c r="K15" i="82"/>
  <c r="K18" i="82" s="1"/>
  <c r="J18" i="82"/>
  <c r="A36" i="3"/>
  <c r="A37" i="75" s="1"/>
  <c r="A42" i="69"/>
  <c r="J37" i="82" l="1"/>
  <c r="J48" i="82"/>
  <c r="J21" i="56"/>
  <c r="J23" i="56" s="1"/>
  <c r="J25" i="56" s="1"/>
  <c r="J54" i="82" s="1"/>
  <c r="K54" i="82" s="1"/>
  <c r="K49" i="82"/>
  <c r="K51" i="82" s="1"/>
  <c r="A38" i="3"/>
  <c r="A39" i="75" s="1"/>
  <c r="A44" i="69"/>
  <c r="AJ11" i="76"/>
  <c r="J49" i="82" l="1"/>
  <c r="J51" i="82" s="1"/>
  <c r="J59" i="82" s="1"/>
  <c r="K59" i="82"/>
  <c r="K82" i="82" s="1"/>
  <c r="J27" i="56"/>
  <c r="J29" i="56" s="1"/>
  <c r="J30" i="56" s="1"/>
  <c r="A39" i="3"/>
  <c r="A40" i="75" s="1"/>
  <c r="A45" i="69"/>
  <c r="AK11" i="76" l="1"/>
  <c r="A48" i="69" l="1"/>
  <c r="A42" i="3"/>
  <c r="A43" i="75" s="1"/>
  <c r="AL11" i="76" l="1"/>
  <c r="A49" i="69"/>
  <c r="A43" i="3"/>
  <c r="A44" i="75" s="1"/>
  <c r="A47" i="69"/>
  <c r="A41" i="3"/>
  <c r="A42" i="75" s="1"/>
  <c r="A44" i="3"/>
  <c r="A45" i="75" s="1"/>
  <c r="A50" i="69" l="1"/>
  <c r="AM11" i="76"/>
  <c r="A34" i="3"/>
  <c r="A35" i="75" s="1"/>
  <c r="A40" i="69"/>
  <c r="A54" i="69" l="1"/>
  <c r="AQ11" i="76"/>
  <c r="A48" i="3"/>
  <c r="A49" i="75" s="1"/>
  <c r="A49" i="3"/>
  <c r="A50" i="75" s="1"/>
  <c r="A55" i="69"/>
  <c r="A56" i="69" l="1"/>
  <c r="A50" i="3"/>
  <c r="A51" i="75" s="1"/>
  <c r="A57" i="69" l="1"/>
  <c r="A51" i="3"/>
  <c r="A52" i="75" s="1"/>
  <c r="A39" i="69" l="1"/>
  <c r="A33" i="3"/>
  <c r="A34" i="75" s="1"/>
  <c r="A41" i="69" l="1"/>
  <c r="A35" i="3"/>
  <c r="A36" i="75" s="1"/>
  <c r="A58" i="69" l="1"/>
  <c r="A5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Schultz, Kaylene</author>
  </authors>
  <commentList>
    <comment ref="F30" authorId="0" shapeId="0" xr:uid="{92CC692B-0405-498B-952C-2FD2129304BE}">
      <text>
        <r>
          <rPr>
            <sz val="9"/>
            <color indexed="81"/>
            <rFont val="Tahoma"/>
            <family val="2"/>
          </rPr>
          <t xml:space="preserve">Per J. Miller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Schultz, Kaylene</author>
    <author>Avista Corp Employee</author>
  </authors>
  <commentList>
    <comment ref="F23" authorId="0" shapeId="0" xr:uid="{256871CD-1B35-49F0-9A30-AE7381DE6058}">
      <text>
        <r>
          <rPr>
            <sz val="9"/>
            <color indexed="81"/>
            <rFont val="Tahoma"/>
            <family val="2"/>
          </rPr>
          <t>-$1 for rounding</t>
        </r>
      </text>
    </comment>
    <comment ref="F63" authorId="0" shapeId="0" xr:uid="{10B97A18-73BD-4903-8642-985AE90D739B}">
      <text>
        <r>
          <rPr>
            <sz val="9"/>
            <color indexed="81"/>
            <rFont val="Tahoma"/>
            <family val="2"/>
          </rPr>
          <t>Adjusted -$0.3 for rounding</t>
        </r>
      </text>
    </comment>
    <comment ref="F64" authorId="0" shapeId="0" xr:uid="{62249158-4407-46D1-B9E9-85D6F537CC56}">
      <text>
        <r>
          <rPr>
            <sz val="9"/>
            <color indexed="81"/>
            <rFont val="Tahoma"/>
            <family val="2"/>
          </rPr>
          <t>Adjusted -$0.3 for rounding</t>
        </r>
      </text>
    </comment>
    <comment ref="B101" authorId="1" shapeId="0" xr:uid="{00000000-0006-0000-0700-000001000000}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<sst xmlns="http://schemas.openxmlformats.org/spreadsheetml/2006/main" count="1136" uniqueCount="648">
  <si>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</si>
  <si>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</si>
  <si>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</si>
  <si>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</si>
  <si>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</si>
  <si>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</si>
  <si>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</si>
  <si>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</si>
  <si>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</si>
  <si>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</si>
  <si>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</si>
  <si>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</si>
  <si>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>Debt</t>
  </si>
  <si>
    <t>Charges to</t>
  </si>
  <si>
    <t>Pro Forma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</si>
  <si>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</si>
  <si>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</si>
  <si>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</si>
  <si>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</si>
  <si>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</si>
  <si>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</si>
  <si>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</si>
  <si>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</si>
  <si>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</si>
  <si>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Total</t>
  </si>
  <si>
    <t>a</t>
  </si>
  <si>
    <t>b</t>
  </si>
  <si>
    <t>c</t>
  </si>
  <si>
    <t>d</t>
  </si>
  <si>
    <t>e</t>
  </si>
  <si>
    <t>f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</si>
  <si>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</si>
  <si>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</si>
  <si>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</si>
  <si>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</si>
  <si>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</si>
  <si>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</si>
  <si>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</si>
  <si>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</si>
  <si>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</si>
  <si>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</si>
  <si>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</si>
  <si>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</si>
  <si>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</si>
  <si>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</si>
  <si>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</si>
  <si>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</si>
  <si>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</si>
  <si>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</si>
  <si>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</si>
  <si>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</si>
  <si>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</si>
  <si>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</si>
  <si>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</si>
  <si>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</si>
  <si>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</si>
  <si>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</si>
  <si>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</si>
  <si>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</si>
  <si>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</si>
  <si>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</si>
  <si>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</si>
  <si>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</si>
  <si>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</si>
  <si>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DEFERRED FIT</t>
  </si>
  <si>
    <t>GAS INVENTORY</t>
  </si>
  <si>
    <t>GAIN ON SALE OF BUILDING</t>
  </si>
  <si>
    <t>TOTAL RATE BASE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</si>
  <si>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</si>
  <si>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</si>
  <si>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</si>
  <si>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</si>
  <si>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</si>
  <si>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</si>
  <si>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</si>
  <si>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</si>
  <si>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</si>
  <si>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</si>
  <si>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</si>
  <si>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</si>
  <si>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</si>
  <si>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</si>
  <si>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</si>
  <si>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</si>
  <si>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</si>
  <si>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</si>
  <si>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</si>
  <si>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</si>
  <si>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</si>
  <si>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</si>
  <si>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</si>
  <si>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</si>
  <si>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</si>
  <si>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</si>
  <si>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</si>
  <si>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</si>
  <si>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</si>
  <si>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</si>
  <si>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</si>
  <si>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</si>
  <si>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</si>
  <si>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</si>
  <si>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</si>
  <si>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</si>
  <si>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</si>
  <si>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</si>
  <si>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</si>
  <si>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</si>
  <si>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</si>
  <si>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</si>
  <si>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</si>
  <si>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</si>
  <si>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</si>
  <si>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</si>
  <si>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</si>
  <si>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</si>
  <si>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</si>
  <si>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</si>
  <si>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</si>
  <si>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</si>
  <si>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</si>
  <si>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Weighted Average Cost of Debt</t>
  </si>
  <si>
    <t>Restate Debt Interest</t>
  </si>
  <si>
    <t>Labor</t>
  </si>
  <si>
    <t>Exec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</si>
  <si>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</si>
  <si>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</si>
  <si>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</si>
  <si>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</si>
  <si>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</si>
  <si>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</si>
  <si>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</si>
  <si>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</si>
  <si>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</si>
  <si>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</si>
  <si>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</si>
  <si>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</si>
  <si>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</si>
  <si>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Actual Per</t>
  </si>
  <si>
    <t>Proposed</t>
  </si>
  <si>
    <t>Revenues &amp;</t>
  </si>
  <si>
    <t>Related Exp</t>
  </si>
  <si>
    <t>(000's OF DOLLARS)</t>
  </si>
  <si>
    <t xml:space="preserve">Pro Forma Rate Base 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</si>
  <si>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</si>
  <si>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</si>
  <si>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</si>
  <si>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</si>
  <si>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</si>
  <si>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</si>
  <si>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</si>
  <si>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</si>
  <si>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>REVENUE CONVERSION FACTOR</t>
  </si>
  <si>
    <t>NOI Requirement</t>
  </si>
  <si>
    <t>Benefits</t>
  </si>
  <si>
    <t>Restating</t>
  </si>
  <si>
    <t>IMPACT ON</t>
  </si>
  <si>
    <t>DIFFERENCE</t>
  </si>
  <si>
    <t>REVENUE REQUIREMENT</t>
  </si>
  <si>
    <t>NOI</t>
  </si>
  <si>
    <t>Item</t>
  </si>
  <si>
    <t>Total Revenue Requirement Difference</t>
  </si>
  <si>
    <t>Comparison of Revenue Requirement Revised Adjustments</t>
  </si>
  <si>
    <t xml:space="preserve">Adjusted Revenue Requirement </t>
  </si>
  <si>
    <t>NET PLANT</t>
  </si>
  <si>
    <t xml:space="preserve">WORKING CAPITAL </t>
  </si>
  <si>
    <t>WORKING CAPITAL</t>
  </si>
  <si>
    <t>flow through</t>
  </si>
  <si>
    <t>Done</t>
  </si>
  <si>
    <t>Not Done</t>
  </si>
  <si>
    <t>Debt Interest</t>
  </si>
  <si>
    <t>Adjsutment Number</t>
  </si>
  <si>
    <t>Workpaper Reference</t>
  </si>
  <si>
    <t>G-ROO</t>
  </si>
  <si>
    <t>G-DFIT</t>
  </si>
  <si>
    <t>G-DDC</t>
  </si>
  <si>
    <t>G-EBO</t>
  </si>
  <si>
    <t>G-UE</t>
  </si>
  <si>
    <t>G-RE</t>
  </si>
  <si>
    <t>G-ID</t>
  </si>
  <si>
    <t>G-FIT</t>
  </si>
  <si>
    <t>G-NGL</t>
  </si>
  <si>
    <t>G-OSC</t>
  </si>
  <si>
    <t>G-MR</t>
  </si>
  <si>
    <t>G-RI</t>
  </si>
  <si>
    <t>G-PLN</t>
  </si>
  <si>
    <t>G-PLE</t>
  </si>
  <si>
    <t>G-PEB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</si>
  <si>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</si>
  <si>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</si>
  <si>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</si>
  <si>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</si>
  <si>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</si>
  <si>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</si>
  <si>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>Reconciliation</t>
  </si>
  <si>
    <t>FIT Expense</t>
  </si>
  <si>
    <t>Line No. 27</t>
  </si>
  <si>
    <t>ROO</t>
  </si>
  <si>
    <t>TOTAL</t>
  </si>
  <si>
    <t>WP Ref</t>
  </si>
  <si>
    <t>Washington - GAS</t>
  </si>
  <si>
    <t>Interest Per Results (G-FIT-12A)</t>
  </si>
  <si>
    <t>Credits</t>
  </si>
  <si>
    <t xml:space="preserve">Production Expenses 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</si>
  <si>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</si>
  <si>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</si>
  <si>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</si>
  <si>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</si>
  <si>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</si>
  <si>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</si>
  <si>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</si>
  <si>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</si>
  <si>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</si>
  <si>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</si>
  <si>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</si>
  <si>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</si>
  <si>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</si>
  <si>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</si>
  <si>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</si>
  <si>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</si>
  <si>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</si>
  <si>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</si>
  <si>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</si>
  <si>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</si>
  <si>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</si>
  <si>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</si>
  <si>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</si>
  <si>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</si>
  <si>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</si>
  <si>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</si>
  <si>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</si>
  <si>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</si>
  <si>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</si>
  <si>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</si>
  <si>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</si>
  <si>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</si>
  <si>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</si>
  <si>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</si>
  <si>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</si>
  <si>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</si>
  <si>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</si>
  <si>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</si>
  <si>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</si>
  <si>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</si>
  <si>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</si>
  <si>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</si>
  <si>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</si>
  <si>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</si>
  <si>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</si>
  <si>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</si>
  <si>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</si>
  <si>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</si>
  <si>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</si>
  <si>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</si>
  <si>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</si>
  <si>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</si>
  <si>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</si>
  <si>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</si>
  <si>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</si>
  <si>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</si>
  <si>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</si>
  <si>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</si>
  <si>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</si>
  <si>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</si>
  <si>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</si>
  <si>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</si>
  <si>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</si>
  <si>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</si>
  <si>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</si>
  <si>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</si>
  <si>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</si>
  <si>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</si>
  <si>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</si>
  <si>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</si>
  <si>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</si>
  <si>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</si>
  <si>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</si>
  <si>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</si>
  <si>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</si>
  <si>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</si>
  <si>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</si>
  <si>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</si>
  <si>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</si>
  <si>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</si>
  <si>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</si>
  <si>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</si>
  <si>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</si>
  <si>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</si>
  <si>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</si>
  <si>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</si>
  <si>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</si>
  <si>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</si>
  <si>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</si>
  <si>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</si>
  <si>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</si>
  <si>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</si>
  <si>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</si>
  <si>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</si>
  <si>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</si>
  <si>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</si>
  <si>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</si>
  <si>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</si>
  <si>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</si>
  <si>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</si>
  <si>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</si>
  <si>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</si>
  <si>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</si>
  <si>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</si>
  <si>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</si>
  <si>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</si>
  <si>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</si>
  <si>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</si>
  <si>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</si>
  <si>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</si>
  <si>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</si>
  <si>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</si>
  <si>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</si>
  <si>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</si>
  <si>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</si>
  <si>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</si>
  <si>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</si>
  <si>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</si>
  <si>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</si>
  <si>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</si>
  <si>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</si>
  <si>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</si>
  <si>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</si>
  <si>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</si>
  <si>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</si>
  <si>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</si>
  <si>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</si>
  <si>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</si>
  <si>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</si>
  <si>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</si>
  <si>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</si>
  <si>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</si>
  <si>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</si>
  <si>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</si>
  <si>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</si>
  <si>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</si>
  <si>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</si>
  <si>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</si>
  <si>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</si>
  <si>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</si>
  <si>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</si>
  <si>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</si>
  <si>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</si>
  <si>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</si>
  <si>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</si>
  <si>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</si>
  <si>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</si>
  <si>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</si>
  <si>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</si>
  <si>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</si>
  <si>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</si>
  <si>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</si>
  <si>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</si>
  <si>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</si>
  <si>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</si>
  <si>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</si>
  <si>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</si>
  <si>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</si>
  <si>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</si>
  <si>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</si>
  <si>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</si>
  <si>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</si>
  <si>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</si>
  <si>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</si>
  <si>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</si>
  <si>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</si>
  <si>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</si>
  <si>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</si>
  <si>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</si>
  <si>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</si>
  <si>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</si>
  <si>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ACCUMULATED DEPREC/AMORT</t>
  </si>
  <si>
    <t>Total Accum. Depreciation/Amort.</t>
  </si>
  <si>
    <t>OTHER</t>
  </si>
  <si>
    <t>Reviewed</t>
  </si>
  <si>
    <t>(Pro Forma Restate Debt)</t>
  </si>
  <si>
    <t>All other</t>
  </si>
  <si>
    <t>Summary</t>
  </si>
  <si>
    <t>Pro Forma Rate of Return</t>
  </si>
  <si>
    <t>G-RET</t>
  </si>
  <si>
    <t>R-Ttl</t>
  </si>
  <si>
    <t>PF-STtl</t>
  </si>
  <si>
    <t xml:space="preserve">FIT / </t>
  </si>
  <si>
    <t xml:space="preserve">DFIT </t>
  </si>
  <si>
    <t>Revenue requirement</t>
  </si>
  <si>
    <t>G-RPT</t>
  </si>
  <si>
    <t>G-PPT</t>
  </si>
  <si>
    <t>Working</t>
  </si>
  <si>
    <t>G-WC</t>
  </si>
  <si>
    <t>ADFIT - Common Plant (283750 from C-DTX)</t>
  </si>
  <si>
    <t xml:space="preserve">Pro Forma </t>
  </si>
  <si>
    <t>Restated</t>
  </si>
  <si>
    <t>(1)</t>
  </si>
  <si>
    <t xml:space="preserve">Normalization </t>
  </si>
  <si>
    <t>* Line 8 "Total General Business Revenues" includes special contract transportation revenues.</t>
  </si>
  <si>
    <t>Adjusted</t>
  </si>
  <si>
    <t>WASHINGTON NATURAL GAS</t>
  </si>
  <si>
    <t>PROPOSED COST OF CAPITAL</t>
  </si>
  <si>
    <t xml:space="preserve"> Revenue</t>
  </si>
  <si>
    <t xml:space="preserve">Weather </t>
  </si>
  <si>
    <t>Normalization /</t>
  </si>
  <si>
    <t>Eliminate</t>
  </si>
  <si>
    <t>Adder</t>
  </si>
  <si>
    <t>Schedules</t>
  </si>
  <si>
    <t>G-EAS</t>
  </si>
  <si>
    <t>RATE OF RETURN</t>
  </si>
  <si>
    <t>G-PREV</t>
  </si>
  <si>
    <t>Amortization</t>
  </si>
  <si>
    <t>Provision for Rate Refund</t>
  </si>
  <si>
    <t xml:space="preserve">RATE OF RETURN </t>
  </si>
  <si>
    <t>RESTATEMENT ADJUSTMENTS</t>
  </si>
  <si>
    <t>Restating Adjustments</t>
  </si>
  <si>
    <t>G-WNGC</t>
  </si>
  <si>
    <t>Total Base Distribution Revenues*</t>
  </si>
  <si>
    <t>Total Present Billed Revenue</t>
  </si>
  <si>
    <t>Percentage Billed Revenue Increase</t>
  </si>
  <si>
    <t>Percentage Base Distribution Revenue Increase</t>
  </si>
  <si>
    <t>Joel</t>
  </si>
  <si>
    <t>WA Excess Nat Gas Line Extension</t>
  </si>
  <si>
    <t>Incentives</t>
  </si>
  <si>
    <t>Deferred</t>
  </si>
  <si>
    <t xml:space="preserve">Debits and </t>
  </si>
  <si>
    <t>Gains</t>
  </si>
  <si>
    <t xml:space="preserve"> &amp; Losses</t>
  </si>
  <si>
    <t>&amp;</t>
  </si>
  <si>
    <t>Misc. Restating</t>
  </si>
  <si>
    <t>Non-Util / Non-</t>
  </si>
  <si>
    <t>IS/IT</t>
  </si>
  <si>
    <t>Employee</t>
  </si>
  <si>
    <t>ACTUAL</t>
  </si>
  <si>
    <t>Natural Gas</t>
  </si>
  <si>
    <t>RESULTS</t>
  </si>
  <si>
    <t xml:space="preserve">  Federal Income Tax @ 21%</t>
  </si>
  <si>
    <t>Requested</t>
  </si>
  <si>
    <t>(000's of</t>
  </si>
  <si>
    <t>Dollars)</t>
  </si>
  <si>
    <t>CALCULATION OF REQUESTED GENERAL REVENUE REQUIREMENT</t>
  </si>
  <si>
    <t>Common</t>
  </si>
  <si>
    <t>Proposed Capital Structure</t>
  </si>
  <si>
    <t>AMI</t>
  </si>
  <si>
    <t>Non-Utility</t>
  </si>
  <si>
    <t>Recurring Expense</t>
  </si>
  <si>
    <t xml:space="preserve">Insurance </t>
  </si>
  <si>
    <t>G-PIT</t>
  </si>
  <si>
    <t>G-PINS</t>
  </si>
  <si>
    <t>WA weighted cost of debt</t>
  </si>
  <si>
    <t>Tax Reform Amortization</t>
  </si>
  <si>
    <t>Amortization WA Excess Natural Gas Line Extension</t>
  </si>
  <si>
    <t>Regulatory Debit - AFUDC Amortization</t>
  </si>
  <si>
    <t>AFUDC Equity DFIT Deferral</t>
  </si>
  <si>
    <t>Existing Meters/ERTs Excess Depreciation Deferral</t>
  </si>
  <si>
    <t>407436</t>
  </si>
  <si>
    <t>Provision for Rate Refund-Tax Reform</t>
  </si>
  <si>
    <t>ADFIT - Common Plant (282919 from C-DTX)</t>
  </si>
  <si>
    <t>Regulatory Asset - AFUDC</t>
  </si>
  <si>
    <t xml:space="preserve">Accumulated Amortization - AFUDC </t>
  </si>
  <si>
    <t>Rate Base-Regulatory Liability-Nonplant Excess</t>
  </si>
  <si>
    <t>ADFIT - WA Excess Nat Gas Line Extension</t>
  </si>
  <si>
    <t>Liz</t>
  </si>
  <si>
    <t>Natural Gas Depreciation Study Deferral</t>
  </si>
  <si>
    <t>Regulatory Deferral - AMI</t>
  </si>
  <si>
    <t>AMI Existing Meters/ERTs Deferral A/D</t>
  </si>
  <si>
    <t>G-PAMI</t>
  </si>
  <si>
    <t>Def. Debits, Credits &amp;</t>
  </si>
  <si>
    <t>Regulatory Amorts</t>
  </si>
  <si>
    <t>G-PRA</t>
  </si>
  <si>
    <t xml:space="preserve">Revenue Requirement </t>
  </si>
  <si>
    <t>Other</t>
  </si>
  <si>
    <t xml:space="preserve">Restate </t>
  </si>
  <si>
    <t>Results</t>
  </si>
  <si>
    <t>Total (1)</t>
  </si>
  <si>
    <t>Total (2)</t>
  </si>
  <si>
    <t>CALCULATION OF CONVERSION FACTOR: WASHINGTON GAS</t>
  </si>
  <si>
    <t xml:space="preserve">  Uncollectibles  (1)</t>
  </si>
  <si>
    <t xml:space="preserve">  Commission Fees (2)</t>
  </si>
  <si>
    <t xml:space="preserve">  Washington Excise Tax  (3)</t>
  </si>
  <si>
    <t xml:space="preserve">  Federal Income Tax @</t>
  </si>
  <si>
    <t>Shared Inputs</t>
  </si>
  <si>
    <t>NOTES:</t>
  </si>
  <si>
    <t>(1)  Calculation of Effective Uncollectible Rate:</t>
  </si>
  <si>
    <t xml:space="preserve">       Net Write-Offs *</t>
  </si>
  <si>
    <t>C-UE-1</t>
  </si>
  <si>
    <t xml:space="preserve">         Divided by:</t>
  </si>
  <si>
    <t xml:space="preserve">       Sales to Ultimate Customers + Transport **</t>
  </si>
  <si>
    <t xml:space="preserve">       EFFECTIVE RATE</t>
  </si>
  <si>
    <t xml:space="preserve">     *  From Uncollectible Adjustment Workpapers.</t>
  </si>
  <si>
    <t xml:space="preserve">     ** From Results of Operations Report G-OPS-12A.</t>
  </si>
  <si>
    <t>(3)  Calculation of Effective Washington Excise Tax :</t>
  </si>
  <si>
    <t xml:space="preserve">     Nominal Rate *</t>
  </si>
  <si>
    <t xml:space="preserve">       Multiplied by</t>
  </si>
  <si>
    <t xml:space="preserve">       Uncollectibles Factor:</t>
  </si>
  <si>
    <t xml:space="preserve">         Revenue</t>
  </si>
  <si>
    <t xml:space="preserve">         Less: Effective Uncoll Rate</t>
  </si>
  <si>
    <t xml:space="preserve">     EFFECTIVE RATE</t>
  </si>
  <si>
    <t xml:space="preserve">     *  From Combined Excise Tax Return.</t>
  </si>
  <si>
    <t>Marcus</t>
  </si>
  <si>
    <t>Tia</t>
  </si>
  <si>
    <t>Regulatory Debit - FISERVE Amortization</t>
  </si>
  <si>
    <t>407347</t>
  </si>
  <si>
    <t>COVID-19 Deferred Costs</t>
  </si>
  <si>
    <t>407407</t>
  </si>
  <si>
    <t>Reg. Credits-Amortization Depreciation Benefit</t>
  </si>
  <si>
    <t>407419</t>
  </si>
  <si>
    <t>Amortization AFUDC Equity Tax Credit</t>
  </si>
  <si>
    <t>407447</t>
  </si>
  <si>
    <t>Regulatory Deferral - COVID-19</t>
  </si>
  <si>
    <t>407493</t>
  </si>
  <si>
    <t>Taxes Other Than FIT--A&amp;G</t>
  </si>
  <si>
    <t>Gas Inventory--Clay Basin</t>
  </si>
  <si>
    <t>Regulatory Liability-Customer Tax Credit</t>
  </si>
  <si>
    <t>ADFIT-Customer Tax Credit</t>
  </si>
  <si>
    <t>Misc</t>
  </si>
  <si>
    <t>O&amp;M Exp</t>
  </si>
  <si>
    <t>RY1</t>
  </si>
  <si>
    <t>FINAL</t>
  </si>
  <si>
    <t>RY2</t>
  </si>
  <si>
    <t>PF-SubTtl</t>
  </si>
  <si>
    <t>INCREMENTAL</t>
  </si>
  <si>
    <t>F-Ttl</t>
  </si>
  <si>
    <t xml:space="preserve">Tia  </t>
  </si>
  <si>
    <t>Per ROO</t>
  </si>
  <si>
    <t>Rate Year 1</t>
  </si>
  <si>
    <t>Rate Year 2</t>
  </si>
  <si>
    <t>Incremental Rate Year 2</t>
  </si>
  <si>
    <t>Rev and</t>
  </si>
  <si>
    <t>g</t>
  </si>
  <si>
    <t>G-PMisc</t>
  </si>
  <si>
    <t xml:space="preserve">LIRAP </t>
  </si>
  <si>
    <t>G-LIRAP</t>
  </si>
  <si>
    <t>Revenue Conversion Factor</t>
  </si>
  <si>
    <t>Revenue Requirement</t>
  </si>
  <si>
    <t>RY 1</t>
  </si>
  <si>
    <t>RY 2</t>
  </si>
  <si>
    <t>Total WA</t>
  </si>
  <si>
    <t>WA Electric</t>
  </si>
  <si>
    <t>WA Natural Gas</t>
  </si>
  <si>
    <t>Totals</t>
  </si>
  <si>
    <t>As Filed</t>
  </si>
  <si>
    <t xml:space="preserve">Impact of ROE reduced to </t>
  </si>
  <si>
    <t>Impact of ROE reduced to x%</t>
  </si>
  <si>
    <t>Filed Revenue Requirement</t>
  </si>
  <si>
    <t>h</t>
  </si>
  <si>
    <t>December 2024 RY1</t>
  </si>
  <si>
    <t>WITH 12.2024 PROPOSED RATES</t>
  </si>
  <si>
    <t>Pro Forma 12.2024</t>
  </si>
  <si>
    <t>12.2024</t>
  </si>
  <si>
    <t>December 2025 RY2</t>
  </si>
  <si>
    <t>12.2025</t>
  </si>
  <si>
    <t>12.2024 Proposed</t>
  </si>
  <si>
    <t>12.2025 Proposed</t>
  </si>
  <si>
    <t>12.2025 Pro Forma</t>
  </si>
  <si>
    <t>WITH 12.2025 PROPOSED RATES</t>
  </si>
  <si>
    <t>(RSGM)</t>
  </si>
  <si>
    <t>G-EDIT</t>
  </si>
  <si>
    <t>Non-Exec</t>
  </si>
  <si>
    <t>2024-2025</t>
  </si>
  <si>
    <t>G-Offsets25</t>
  </si>
  <si>
    <t>G-PAMI26</t>
  </si>
  <si>
    <t>G-PLN26</t>
  </si>
  <si>
    <t>G-PEB26</t>
  </si>
  <si>
    <t>G-PPT26</t>
  </si>
  <si>
    <t>G-PMisc26</t>
  </si>
  <si>
    <t>G-Offsets26</t>
  </si>
  <si>
    <t>Results of</t>
  </si>
  <si>
    <t>Operations</t>
  </si>
  <si>
    <t>EDIT</t>
  </si>
  <si>
    <t>Capital Adds O&amp;M</t>
  </si>
  <si>
    <t>&amp; Revenue Offsets</t>
  </si>
  <si>
    <t>CF WA Gas</t>
  </si>
  <si>
    <t>Kaylene</t>
  </si>
  <si>
    <t xml:space="preserve">Tia </t>
  </si>
  <si>
    <t>Pro Forma Adjustments - 07.2023 - 12.2025</t>
  </si>
  <si>
    <t xml:space="preserve">     Pro Forma Study Ending 12.2025</t>
  </si>
  <si>
    <t>Pro Forma Adjustments - 12.2025 - 12.2026</t>
  </si>
  <si>
    <t xml:space="preserve">     Pro Forma Study Ending 12.2026</t>
  </si>
  <si>
    <t>Incremental 12.2026</t>
  </si>
  <si>
    <t>TWELVE MONTHS ENDED JUNE 30, 2023</t>
  </si>
  <si>
    <t>483XXX</t>
  </si>
  <si>
    <t>4893XX</t>
  </si>
  <si>
    <t>495XXX</t>
  </si>
  <si>
    <t>CCA Emission Expense</t>
  </si>
  <si>
    <t>Regulatory Credits-CCA</t>
  </si>
  <si>
    <t>Regulatory Debit - AMI Amortization</t>
  </si>
  <si>
    <t>Regulatory Debit - Existing Meters Deferral Amortization</t>
  </si>
  <si>
    <t>407381</t>
  </si>
  <si>
    <t>Voluntary RNG Revenue Offset</t>
  </si>
  <si>
    <t>407443</t>
  </si>
  <si>
    <t>Regulatory Deferral - Reg. Fees</t>
  </si>
  <si>
    <t>407452</t>
  </si>
  <si>
    <t>Regulatory Deferral - Intervenor Funding</t>
  </si>
  <si>
    <t>407454</t>
  </si>
  <si>
    <t>Regulatory Deferral - Pension Settlement Deferral</t>
  </si>
  <si>
    <t>407459</t>
  </si>
  <si>
    <t>Insurance Balancing</t>
  </si>
  <si>
    <t>Amortization Remand Residual</t>
  </si>
  <si>
    <t>381XXX</t>
  </si>
  <si>
    <t>395XXX</t>
  </si>
  <si>
    <t>Regulatory Asset-Deferred Pre-AMI Meters/ERTs</t>
  </si>
  <si>
    <t>Regulatory Asset-Deferred AMI Costs</t>
  </si>
  <si>
    <t>ADFIT-Deferred AMI Costs</t>
  </si>
  <si>
    <t>Capital Additions</t>
  </si>
  <si>
    <t>New Regulatory</t>
  </si>
  <si>
    <t>Amortizations</t>
  </si>
  <si>
    <t>G-DEP</t>
  </si>
  <si>
    <t>G-NRA</t>
  </si>
  <si>
    <t>Provisional</t>
  </si>
  <si>
    <t>to 12.31.2025 AMA</t>
  </si>
  <si>
    <t>G-CAP25A</t>
  </si>
  <si>
    <t>CCA</t>
  </si>
  <si>
    <t>G-CCA</t>
  </si>
  <si>
    <t>Capital Adds</t>
  </si>
  <si>
    <t>to 12.31.2026 AMA</t>
  </si>
  <si>
    <t>G-CAP26A</t>
  </si>
  <si>
    <t>06.2023 EOP</t>
  </si>
  <si>
    <t>Tia/Annette</t>
  </si>
  <si>
    <t>Kaylene/Liz</t>
  </si>
  <si>
    <t>(2) WUTC fees rate per Regulatory Fee Calculation Schedule 1, Annual Report Year 2022 (Docket No. A 220963, Order 01)</t>
  </si>
  <si>
    <t>Marcus/Liz</t>
  </si>
  <si>
    <t>G-ETRM</t>
  </si>
  <si>
    <t>Nucleus/ETRM</t>
  </si>
  <si>
    <t>G-ETRM26</t>
  </si>
  <si>
    <t>G-RDI</t>
  </si>
  <si>
    <t>Lindsey/Joe</t>
  </si>
  <si>
    <t>Marcus/Kaylene</t>
  </si>
  <si>
    <t>G-RCAP</t>
  </si>
  <si>
    <t>to 12.31.2023 EOP</t>
  </si>
  <si>
    <t>G-CAP23E</t>
  </si>
  <si>
    <t>to 12.31.2024 EOP</t>
  </si>
  <si>
    <t>G-CAP24E</t>
  </si>
  <si>
    <t>Kaylene/Marcus</t>
  </si>
  <si>
    <t>Lindsey/Marcus/Liz</t>
  </si>
  <si>
    <t>error?</t>
  </si>
  <si>
    <t>BOD Fees</t>
  </si>
  <si>
    <t>G-PBOD</t>
  </si>
  <si>
    <t>G-PI</t>
  </si>
  <si>
    <t>12.2025-I</t>
  </si>
  <si>
    <t>.08% Flotation Costs included in ROE, Impact on Revenue Requirement</t>
  </si>
  <si>
    <t>Expected Effective Date December 21, 2024</t>
  </si>
  <si>
    <t>Effective 12.21.2024</t>
  </si>
  <si>
    <t>Effective 12.21.2025</t>
  </si>
  <si>
    <t>Expected Effective Date December 21, 2025</t>
  </si>
  <si>
    <t>Rate Year 2 (December 2025 - December 2026)</t>
  </si>
  <si>
    <t>Rate Year 1 (December 2024 - December 2025)</t>
  </si>
  <si>
    <t>WITH PRESENT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</si>
</sst>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_(&quot;$&quot;#,###_);_(&quot;$&quot;\ \(#,###\);_(* _);_(@_)"/>
    <numFmt numFmtId="169" formatCode="0.000000"/>
    <numFmt numFmtId="170" formatCode="0.000%"/>
    <numFmt numFmtId="171" formatCode="_(* #,##0_);_(* \(#,##0\);_(* &quot;-&quot;??_);_(@_)"/>
    <numFmt numFmtId="172" formatCode="_(&quot;$&quot;* #,##0_);_(&quot;$&quot;* \(#,##0\);_(&quot;$&quot;* &quot;-&quot;??_);_(@_)"/>
    <numFmt numFmtId="173" formatCode="0000.00"/>
    <numFmt numFmtId="174" formatCode="0000"/>
    <numFmt numFmtId="175" formatCode="_(* #,##0.00000_);_(* \(#,##0.00000\);_(* &quot;-&quot;_);_(@_)"/>
    <numFmt numFmtId="176" formatCode="_(* #,##0.000000_);_(* \(#,##0.000000\);_(* &quot;-&quot;_);_(@_)"/>
    <numFmt numFmtId="177" formatCode="_(* #,##0.000000_);_(* \(#,##0.000000\);_(* &quot;-&quot;??_);_(@_)"/>
    <numFmt numFmtId="178" formatCode="0.00000"/>
    <numFmt numFmtId="179" formatCode="0.0000%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8"/>
      <color indexed="81"/>
      <name val="Tahoma"/>
      <family val="2"/>
    </font>
    <font>
      <sz val="10"/>
      <color indexed="4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0"/>
      <color indexed="5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2"/>
      <name val="Tms Rmn"/>
    </font>
    <font>
      <sz val="10"/>
      <color rgb="FF002060"/>
      <name val="Times New Roman"/>
      <family val="1"/>
    </font>
    <font>
      <sz val="10"/>
      <color rgb="FFFF0000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0"/>
      <color rgb="FF0000FF"/>
      <name val="Times New Roman"/>
      <family val="1"/>
    </font>
    <font>
      <i/>
      <sz val="12"/>
      <name val="Times New Roman"/>
      <family val="1"/>
    </font>
    <font>
      <b/>
      <sz val="10"/>
      <color rgb="FFFF0000"/>
      <name val="Times New Roman"/>
      <family val="1"/>
    </font>
    <font>
      <sz val="9"/>
      <name val="Arial"/>
      <family val="2"/>
    </font>
    <font>
      <sz val="10"/>
      <color theme="1"/>
      <name val="Arial"/>
      <family val="2"/>
    </font>
    <font>
      <sz val="10"/>
      <color rgb="FF7030A0"/>
      <name val="Times New Roman"/>
      <family val="1"/>
    </font>
    <font>
      <b/>
      <sz val="7"/>
      <color rgb="FFFF0000"/>
      <name val="Times New Roman"/>
      <family val="1"/>
    </font>
    <font>
      <sz val="10"/>
      <name val="Tms Rmn"/>
    </font>
    <font>
      <sz val="10"/>
      <name val="Courier"/>
      <family val="3"/>
    </font>
    <font>
      <sz val="9"/>
      <name val="Courier"/>
    </font>
    <font>
      <sz val="9"/>
      <name val="Courier"/>
      <family val="3"/>
    </font>
    <font>
      <sz val="11"/>
      <color theme="1"/>
      <name val="Times New Roman"/>
      <family val="2"/>
    </font>
    <font>
      <sz val="10"/>
      <color theme="1"/>
      <name val="Tahoma"/>
      <family val="2"/>
    </font>
    <font>
      <sz val="12"/>
      <color theme="1"/>
      <name val="Times New Roman"/>
      <family val="2"/>
    </font>
    <font>
      <sz val="8"/>
      <name val="LinePrinter"/>
    </font>
    <font>
      <sz val="10"/>
      <color rgb="FF000000"/>
      <name val="Times New Roman"/>
      <family val="1"/>
    </font>
    <font>
      <sz val="10"/>
      <name val="Courier"/>
    </font>
    <font>
      <sz val="9"/>
      <color indexed="10"/>
      <name val="Times New Roman"/>
      <family val="1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0"/>
      <color rgb="FF0000FF"/>
      <name val="Times New Roman"/>
      <family val="1"/>
    </font>
    <font>
      <i/>
      <sz val="10"/>
      <color rgb="FFFF0000"/>
      <name val="Times New Roman"/>
      <family val="1"/>
    </font>
    <font>
      <b/>
      <sz val="12"/>
      <color indexed="48"/>
      <name val="Times New Roman"/>
      <family val="1"/>
    </font>
    <font>
      <sz val="12"/>
      <color indexed="48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0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20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6" fillId="0" borderId="0"/>
    <xf numFmtId="44" fontId="6" fillId="0" borderId="0" applyFont="0" applyFill="0" applyBorder="0" applyAlignment="0" applyProtection="0"/>
    <xf numFmtId="0" fontId="38" fillId="3" borderId="0"/>
    <xf numFmtId="0" fontId="2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36" fillId="0" borderId="0"/>
    <xf numFmtId="43" fontId="42" fillId="0" borderId="0" applyFont="0" applyFill="0" applyBorder="0" applyAlignment="0" applyProtection="0"/>
    <xf numFmtId="0" fontId="3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5" fillId="0" borderId="0"/>
    <xf numFmtId="43" fontId="6" fillId="0" borderId="0" applyFont="0" applyFill="0" applyBorder="0" applyAlignment="0" applyProtection="0"/>
    <xf numFmtId="8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5" fillId="0" borderId="0"/>
    <xf numFmtId="9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2" fillId="0" borderId="0"/>
    <xf numFmtId="44" fontId="55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" fillId="0" borderId="0"/>
    <xf numFmtId="39" fontId="56" fillId="0" borderId="0"/>
    <xf numFmtId="0" fontId="57" fillId="0" borderId="0"/>
    <xf numFmtId="9" fontId="58" fillId="0" borderId="0" applyFont="0" applyFill="0" applyBorder="0" applyAlignment="0" applyProtection="0"/>
    <xf numFmtId="0" fontId="55" fillId="0" borderId="0"/>
    <xf numFmtId="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4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9" fillId="0" borderId="0"/>
    <xf numFmtId="4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60" fillId="0" borderId="0"/>
    <xf numFmtId="9" fontId="59" fillId="0" borderId="0" applyFont="0" applyFill="0" applyBorder="0" applyAlignment="0" applyProtection="0"/>
    <xf numFmtId="44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/>
    <xf numFmtId="0" fontId="6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60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1" fillId="0" borderId="0"/>
    <xf numFmtId="43" fontId="61" fillId="0" borderId="0" applyFont="0" applyFill="0" applyBorder="0" applyAlignment="0" applyProtection="0"/>
    <xf numFmtId="0" fontId="62" fillId="0" borderId="0"/>
    <xf numFmtId="0" fontId="5" fillId="0" borderId="0"/>
    <xf numFmtId="44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5" fillId="0" borderId="0"/>
    <xf numFmtId="0" fontId="7" fillId="0" borderId="0"/>
    <xf numFmtId="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2" fillId="0" borderId="0"/>
    <xf numFmtId="43" fontId="42" fillId="0" borderId="0" applyFont="0" applyFill="0" applyBorder="0" applyAlignment="0" applyProtection="0"/>
    <xf numFmtId="0" fontId="6" fillId="0" borderId="0"/>
    <xf numFmtId="0" fontId="59" fillId="0" borderId="0"/>
    <xf numFmtId="4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60" fillId="0" borderId="0"/>
    <xf numFmtId="0" fontId="64" fillId="0" borderId="0"/>
    <xf numFmtId="0" fontId="56" fillId="0" borderId="0"/>
    <xf numFmtId="8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0" fontId="5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62" fillId="0" borderId="0"/>
    <xf numFmtId="0" fontId="2" fillId="0" borderId="0"/>
    <xf numFmtId="44" fontId="2" fillId="0" borderId="0" applyFont="0" applyFill="0" applyBorder="0" applyAlignment="0" applyProtection="0"/>
    <xf numFmtId="44" fontId="55" fillId="0" borderId="0" applyFont="0" applyFill="0" applyBorder="0" applyAlignment="0" applyProtection="0"/>
    <xf numFmtId="39" fontId="56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42" fillId="0" borderId="0" applyFont="0" applyFill="0" applyBorder="0" applyAlignment="0" applyProtection="0"/>
    <xf numFmtId="0" fontId="57" fillId="0" borderId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61" fillId="0" borderId="0"/>
    <xf numFmtId="43" fontId="61" fillId="0" borderId="0" applyFont="0" applyFill="0" applyBorder="0" applyAlignment="0" applyProtection="0"/>
    <xf numFmtId="0" fontId="55" fillId="0" borderId="0"/>
    <xf numFmtId="0" fontId="55" fillId="0" borderId="0"/>
    <xf numFmtId="44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7">
    <xf numFmtId="0" fontId="0" fillId="0" borderId="0" xfId="0"/>
    <xf numFmtId="0" fontId="8" fillId="0" borderId="0" xfId="6" applyFont="1"/>
    <xf numFmtId="5" fontId="8" fillId="0" borderId="0" xfId="6" applyNumberFormat="1" applyFont="1"/>
    <xf numFmtId="37" fontId="8" fillId="0" borderId="0" xfId="6" applyNumberFormat="1" applyFont="1"/>
    <xf numFmtId="0" fontId="8" fillId="0" borderId="0" xfId="6" applyNumberFormat="1" applyFont="1" applyBorder="1" applyAlignment="1">
      <alignment horizontal="center"/>
    </xf>
    <xf numFmtId="37" fontId="8" fillId="0" borderId="0" xfId="6" applyNumberFormat="1" applyFont="1" applyBorder="1"/>
    <xf numFmtId="10" fontId="8" fillId="0" borderId="0" xfId="7" applyNumberFormat="1" applyFont="1"/>
    <xf numFmtId="0" fontId="9" fillId="0" borderId="0" xfId="0" applyFont="1"/>
    <xf numFmtId="0" fontId="12" fillId="0" borderId="0" xfId="0" applyFont="1" applyAlignment="1">
      <alignment horizontal="center"/>
    </xf>
    <xf numFmtId="37" fontId="8" fillId="0" borderId="0" xfId="0" applyNumberFormat="1" applyFont="1"/>
    <xf numFmtId="5" fontId="16" fillId="0" borderId="12" xfId="0" applyNumberFormat="1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5" fontId="8" fillId="0" borderId="0" xfId="0" applyNumberFormat="1" applyFont="1"/>
    <xf numFmtId="0" fontId="13" fillId="0" borderId="0" xfId="0" applyFont="1" applyBorder="1"/>
    <xf numFmtId="37" fontId="13" fillId="0" borderId="0" xfId="0" applyNumberFormat="1" applyFont="1" applyBorder="1"/>
    <xf numFmtId="6" fontId="13" fillId="0" borderId="0" xfId="2" applyNumberFormat="1" applyFont="1" applyBorder="1"/>
    <xf numFmtId="0" fontId="17" fillId="0" borderId="0" xfId="0" applyFont="1"/>
    <xf numFmtId="37" fontId="13" fillId="0" borderId="3" xfId="0" applyNumberFormat="1" applyFont="1" applyBorder="1"/>
    <xf numFmtId="3" fontId="13" fillId="0" borderId="0" xfId="0" applyNumberFormat="1" applyFont="1"/>
    <xf numFmtId="5" fontId="13" fillId="0" borderId="0" xfId="0" applyNumberFormat="1" applyFont="1"/>
    <xf numFmtId="0" fontId="13" fillId="0" borderId="0" xfId="0" applyFont="1" applyFill="1" applyAlignment="1">
      <alignment horizontal="center"/>
    </xf>
    <xf numFmtId="5" fontId="13" fillId="0" borderId="16" xfId="0" applyNumberFormat="1" applyFont="1" applyBorder="1"/>
    <xf numFmtId="0" fontId="18" fillId="0" borderId="0" xfId="0" applyFont="1"/>
    <xf numFmtId="3" fontId="8" fillId="0" borderId="0" xfId="6" applyNumberFormat="1" applyFont="1"/>
    <xf numFmtId="168" fontId="8" fillId="0" borderId="0" xfId="6" applyNumberFormat="1" applyFont="1"/>
    <xf numFmtId="170" fontId="8" fillId="0" borderId="0" xfId="7" applyNumberFormat="1" applyFont="1" applyBorder="1"/>
    <xf numFmtId="0" fontId="8" fillId="0" borderId="0" xfId="5" applyFont="1"/>
    <xf numFmtId="0" fontId="8" fillId="0" borderId="0" xfId="5" applyNumberFormat="1" applyFont="1" applyAlignment="1">
      <alignment horizontal="center"/>
    </xf>
    <xf numFmtId="0" fontId="10" fillId="0" borderId="0" xfId="5" applyNumberFormat="1" applyFont="1" applyAlignment="1">
      <alignment horizontal="center"/>
    </xf>
    <xf numFmtId="0" fontId="10" fillId="0" borderId="0" xfId="5" applyFont="1" applyAlignment="1">
      <alignment horizontal="center"/>
    </xf>
    <xf numFmtId="0" fontId="10" fillId="0" borderId="1" xfId="5" applyNumberFormat="1" applyFont="1" applyBorder="1" applyAlignment="1">
      <alignment horizontal="center"/>
    </xf>
    <xf numFmtId="0" fontId="10" fillId="0" borderId="2" xfId="5" applyNumberFormat="1" applyFont="1" applyBorder="1" applyAlignment="1">
      <alignment horizontal="center"/>
    </xf>
    <xf numFmtId="0" fontId="10" fillId="0" borderId="2" xfId="5" applyFont="1" applyBorder="1" applyAlignment="1">
      <alignment horizontal="center"/>
    </xf>
    <xf numFmtId="0" fontId="10" fillId="0" borderId="3" xfId="5" applyFont="1" applyBorder="1" applyAlignment="1">
      <alignment horizontal="center"/>
    </xf>
    <xf numFmtId="0" fontId="10" fillId="0" borderId="4" xfId="5" applyFont="1" applyBorder="1" applyAlignment="1">
      <alignment horizontal="center"/>
    </xf>
    <xf numFmtId="0" fontId="10" fillId="0" borderId="5" xfId="5" applyNumberFormat="1" applyFont="1" applyBorder="1" applyAlignment="1">
      <alignment horizontal="center"/>
    </xf>
    <xf numFmtId="0" fontId="10" fillId="0" borderId="6" xfId="5" applyNumberFormat="1" applyFont="1" applyBorder="1" applyAlignment="1">
      <alignment horizontal="center"/>
    </xf>
    <xf numFmtId="0" fontId="10" fillId="0" borderId="6" xfId="5" applyFont="1" applyBorder="1" applyAlignment="1">
      <alignment horizontal="center"/>
    </xf>
    <xf numFmtId="0" fontId="10" fillId="0" borderId="0" xfId="5" applyFont="1" applyBorder="1" applyAlignment="1">
      <alignment horizontal="center"/>
    </xf>
    <xf numFmtId="0" fontId="10" fillId="0" borderId="7" xfId="5" applyFont="1" applyBorder="1" applyAlignment="1">
      <alignment horizontal="center"/>
    </xf>
    <xf numFmtId="0" fontId="10" fillId="0" borderId="8" xfId="5" applyNumberFormat="1" applyFont="1" applyBorder="1" applyAlignment="1">
      <alignment horizontal="center"/>
    </xf>
    <xf numFmtId="0" fontId="10" fillId="0" borderId="9" xfId="5" applyNumberFormat="1" applyFont="1" applyBorder="1" applyAlignment="1">
      <alignment horizontal="center"/>
    </xf>
    <xf numFmtId="0" fontId="10" fillId="0" borderId="9" xfId="5" applyFont="1" applyBorder="1" applyAlignment="1">
      <alignment horizontal="center"/>
    </xf>
    <xf numFmtId="0" fontId="10" fillId="0" borderId="10" xfId="5" applyFont="1" applyBorder="1" applyAlignment="1">
      <alignment horizontal="center"/>
    </xf>
    <xf numFmtId="0" fontId="10" fillId="0" borderId="11" xfId="5" applyFont="1" applyBorder="1" applyAlignment="1">
      <alignment horizontal="center"/>
    </xf>
    <xf numFmtId="0" fontId="11" fillId="0" borderId="0" xfId="5" applyNumberFormat="1" applyFont="1" applyAlignment="1">
      <alignment horizontal="center"/>
    </xf>
    <xf numFmtId="0" fontId="11" fillId="0" borderId="0" xfId="5" applyFont="1" applyAlignment="1">
      <alignment horizontal="center"/>
    </xf>
    <xf numFmtId="10" fontId="8" fillId="0" borderId="0" xfId="6" applyNumberFormat="1" applyFont="1"/>
    <xf numFmtId="37" fontId="8" fillId="0" borderId="0" xfId="5" applyNumberFormat="1" applyFont="1" applyBorder="1" applyAlignment="1">
      <alignment horizontal="center"/>
    </xf>
    <xf numFmtId="0" fontId="8" fillId="0" borderId="0" xfId="5" applyFont="1" applyBorder="1"/>
    <xf numFmtId="37" fontId="8" fillId="0" borderId="12" xfId="6" applyNumberFormat="1" applyFont="1" applyBorder="1"/>
    <xf numFmtId="171" fontId="8" fillId="0" borderId="0" xfId="1" applyNumberFormat="1" applyFont="1"/>
    <xf numFmtId="171" fontId="13" fillId="0" borderId="0" xfId="1" applyNumberFormat="1" applyFont="1"/>
    <xf numFmtId="0" fontId="17" fillId="0" borderId="0" xfId="0" applyFont="1" applyFill="1"/>
    <xf numFmtId="0" fontId="13" fillId="0" borderId="0" xfId="0" applyFont="1" applyFill="1" applyBorder="1"/>
    <xf numFmtId="0" fontId="13" fillId="0" borderId="0" xfId="0" applyFont="1" applyFill="1"/>
    <xf numFmtId="0" fontId="18" fillId="0" borderId="0" xfId="0" applyFont="1" applyFill="1"/>
    <xf numFmtId="0" fontId="18" fillId="0" borderId="0" xfId="0" applyFont="1" applyFill="1" applyBorder="1"/>
    <xf numFmtId="3" fontId="24" fillId="0" borderId="0" xfId="0" applyNumberFormat="1" applyFont="1" applyFill="1"/>
    <xf numFmtId="3" fontId="8" fillId="0" borderId="0" xfId="0" applyNumberFormat="1" applyFont="1" applyFill="1"/>
    <xf numFmtId="0" fontId="13" fillId="0" borderId="15" xfId="0" applyFont="1" applyBorder="1"/>
    <xf numFmtId="10" fontId="13" fillId="0" borderId="15" xfId="0" applyNumberFormat="1" applyFont="1" applyBorder="1"/>
    <xf numFmtId="0" fontId="25" fillId="0" borderId="0" xfId="0" applyFont="1"/>
    <xf numFmtId="5" fontId="20" fillId="0" borderId="0" xfId="0" applyNumberFormat="1" applyFont="1"/>
    <xf numFmtId="0" fontId="13" fillId="0" borderId="0" xfId="0" applyFont="1" applyAlignment="1">
      <alignment horizontal="right"/>
    </xf>
    <xf numFmtId="5" fontId="13" fillId="0" borderId="12" xfId="0" applyNumberFormat="1" applyFont="1" applyBorder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6" fillId="0" borderId="0" xfId="0" applyFont="1" applyFill="1"/>
    <xf numFmtId="0" fontId="27" fillId="0" borderId="0" xfId="0" applyFont="1" applyFill="1" applyBorder="1" applyAlignment="1">
      <alignment horizontal="center"/>
    </xf>
    <xf numFmtId="5" fontId="26" fillId="0" borderId="0" xfId="0" applyNumberFormat="1" applyFont="1" applyFill="1" applyBorder="1"/>
    <xf numFmtId="0" fontId="27" fillId="0" borderId="0" xfId="0" applyFont="1" applyFill="1" applyBorder="1"/>
    <xf numFmtId="0" fontId="28" fillId="0" borderId="0" xfId="0" applyFont="1" applyAlignment="1">
      <alignment horizontal="center"/>
    </xf>
    <xf numFmtId="3" fontId="8" fillId="0" borderId="0" xfId="0" applyNumberFormat="1" applyFont="1"/>
    <xf numFmtId="0" fontId="8" fillId="0" borderId="0" xfId="6" applyNumberFormat="1" applyFont="1" applyAlignment="1">
      <alignment horizontal="center"/>
    </xf>
    <xf numFmtId="37" fontId="13" fillId="0" borderId="0" xfId="0" applyNumberFormat="1" applyFont="1"/>
    <xf numFmtId="0" fontId="8" fillId="0" borderId="0" xfId="0" applyFont="1" applyFill="1" applyAlignment="1">
      <alignment horizontal="center"/>
    </xf>
    <xf numFmtId="5" fontId="8" fillId="0" borderId="16" xfId="0" applyNumberFormat="1" applyFont="1" applyBorder="1"/>
    <xf numFmtId="5" fontId="13" fillId="0" borderId="0" xfId="0" applyNumberFormat="1" applyFont="1" applyFill="1" applyBorder="1"/>
    <xf numFmtId="5" fontId="14" fillId="0" borderId="0" xfId="0" applyNumberFormat="1" applyFont="1" applyFill="1" applyBorder="1"/>
    <xf numFmtId="10" fontId="13" fillId="0" borderId="0" xfId="0" applyNumberFormat="1" applyFont="1" applyFill="1" applyBorder="1"/>
    <xf numFmtId="171" fontId="13" fillId="0" borderId="0" xfId="1" applyNumberFormat="1" applyFont="1" applyFill="1" applyBorder="1"/>
    <xf numFmtId="171" fontId="13" fillId="0" borderId="0" xfId="0" applyNumberFormat="1" applyFont="1" applyFill="1" applyBorder="1"/>
    <xf numFmtId="3" fontId="31" fillId="0" borderId="0" xfId="0" applyNumberFormat="1" applyFont="1"/>
    <xf numFmtId="3" fontId="32" fillId="0" borderId="0" xfId="6" applyNumberFormat="1" applyFont="1" applyFill="1"/>
    <xf numFmtId="3" fontId="32" fillId="0" borderId="0" xfId="5" applyNumberFormat="1" applyFont="1" applyFill="1"/>
    <xf numFmtId="0" fontId="32" fillId="0" borderId="0" xfId="6" applyNumberFormat="1" applyFont="1" applyAlignment="1">
      <alignment horizontal="left"/>
    </xf>
    <xf numFmtId="0" fontId="32" fillId="0" borderId="0" xfId="6" applyFont="1"/>
    <xf numFmtId="3" fontId="34" fillId="0" borderId="0" xfId="6" applyNumberFormat="1" applyFont="1" applyFill="1"/>
    <xf numFmtId="3" fontId="32" fillId="0" borderId="0" xfId="6" applyNumberFormat="1" applyFont="1"/>
    <xf numFmtId="3" fontId="33" fillId="0" borderId="0" xfId="6" applyNumberFormat="1" applyFont="1"/>
    <xf numFmtId="3" fontId="35" fillId="0" borderId="0" xfId="6" applyNumberFormat="1" applyFont="1"/>
    <xf numFmtId="3" fontId="33" fillId="0" borderId="0" xfId="6" applyNumberFormat="1" applyFont="1" applyAlignment="1"/>
    <xf numFmtId="0" fontId="33" fillId="0" borderId="0" xfId="6" applyNumberFormat="1" applyFont="1" applyAlignment="1">
      <alignment horizontal="center"/>
    </xf>
    <xf numFmtId="0" fontId="33" fillId="0" borderId="0" xfId="6" applyFont="1" applyAlignment="1">
      <alignment horizontal="center"/>
    </xf>
    <xf numFmtId="3" fontId="33" fillId="0" borderId="0" xfId="6" applyNumberFormat="1" applyFont="1" applyAlignment="1">
      <alignment horizontal="center"/>
    </xf>
    <xf numFmtId="0" fontId="33" fillId="0" borderId="1" xfId="6" applyNumberFormat="1" applyFont="1" applyBorder="1" applyAlignment="1">
      <alignment horizontal="center"/>
    </xf>
    <xf numFmtId="0" fontId="33" fillId="0" borderId="2" xfId="6" applyFont="1" applyBorder="1" applyAlignment="1">
      <alignment horizontal="center"/>
    </xf>
    <xf numFmtId="0" fontId="33" fillId="0" borderId="3" xfId="6" applyFont="1" applyBorder="1" applyAlignment="1">
      <alignment horizontal="center"/>
    </xf>
    <xf numFmtId="0" fontId="32" fillId="0" borderId="4" xfId="6" applyFont="1" applyBorder="1"/>
    <xf numFmtId="3" fontId="33" fillId="0" borderId="1" xfId="6" applyNumberFormat="1" applyFont="1" applyBorder="1" applyAlignment="1">
      <alignment horizontal="center"/>
    </xf>
    <xf numFmtId="0" fontId="33" fillId="0" borderId="5" xfId="6" applyNumberFormat="1" applyFont="1" applyBorder="1" applyAlignment="1">
      <alignment horizontal="center"/>
    </xf>
    <xf numFmtId="0" fontId="33" fillId="0" borderId="6" xfId="6" applyFont="1" applyBorder="1" applyAlignment="1">
      <alignment horizontal="center"/>
    </xf>
    <xf numFmtId="0" fontId="33" fillId="0" borderId="0" xfId="6" applyFont="1" applyBorder="1" applyAlignment="1">
      <alignment horizontal="center"/>
    </xf>
    <xf numFmtId="0" fontId="32" fillId="0" borderId="7" xfId="6" applyFont="1" applyBorder="1"/>
    <xf numFmtId="3" fontId="33" fillId="0" borderId="5" xfId="6" applyNumberFormat="1" applyFont="1" applyBorder="1" applyAlignment="1">
      <alignment horizontal="center"/>
    </xf>
    <xf numFmtId="0" fontId="33" fillId="0" borderId="8" xfId="6" applyNumberFormat="1" applyFont="1" applyBorder="1" applyAlignment="1">
      <alignment horizontal="center"/>
    </xf>
    <xf numFmtId="0" fontId="33" fillId="0" borderId="9" xfId="6" applyFont="1" applyBorder="1" applyAlignment="1">
      <alignment horizontal="center"/>
    </xf>
    <xf numFmtId="0" fontId="33" fillId="0" borderId="10" xfId="6" applyFont="1" applyBorder="1" applyAlignment="1">
      <alignment horizontal="center"/>
    </xf>
    <xf numFmtId="0" fontId="33" fillId="0" borderId="11" xfId="6" applyFont="1" applyBorder="1" applyAlignment="1">
      <alignment horizontal="center"/>
    </xf>
    <xf numFmtId="3" fontId="33" fillId="0" borderId="8" xfId="6" applyNumberFormat="1" applyFont="1" applyBorder="1" applyAlignment="1">
      <alignment horizontal="center"/>
    </xf>
    <xf numFmtId="0" fontId="32" fillId="0" borderId="0" xfId="6" applyNumberFormat="1" applyFont="1" applyAlignment="1">
      <alignment horizontal="center"/>
    </xf>
    <xf numFmtId="5" fontId="32" fillId="0" borderId="0" xfId="6" applyNumberFormat="1" applyFont="1"/>
    <xf numFmtId="37" fontId="32" fillId="0" borderId="0" xfId="6" applyNumberFormat="1" applyFont="1"/>
    <xf numFmtId="0" fontId="32" fillId="0" borderId="0" xfId="6" applyNumberFormat="1" applyFont="1" applyBorder="1" applyAlignment="1">
      <alignment horizontal="center"/>
    </xf>
    <xf numFmtId="37" fontId="32" fillId="0" borderId="0" xfId="6" applyNumberFormat="1" applyFont="1" applyBorder="1"/>
    <xf numFmtId="0" fontId="32" fillId="0" borderId="0" xfId="6" applyFont="1" applyBorder="1"/>
    <xf numFmtId="0" fontId="32" fillId="0" borderId="0" xfId="6" applyNumberFormat="1" applyFont="1" applyFill="1" applyAlignment="1">
      <alignment horizontal="left"/>
    </xf>
    <xf numFmtId="0" fontId="32" fillId="0" borderId="0" xfId="6" applyFont="1" applyFill="1"/>
    <xf numFmtId="0" fontId="32" fillId="0" borderId="0" xfId="5" applyFont="1" applyFill="1"/>
    <xf numFmtId="10" fontId="32" fillId="0" borderId="0" xfId="7" applyNumberFormat="1" applyFont="1" applyFill="1"/>
    <xf numFmtId="0" fontId="32" fillId="0" borderId="0" xfId="6" applyNumberFormat="1" applyFont="1" applyFill="1" applyAlignment="1">
      <alignment horizontal="center"/>
    </xf>
    <xf numFmtId="0" fontId="32" fillId="0" borderId="0" xfId="5" applyFont="1" applyFill="1" applyAlignment="1">
      <alignment horizontal="right"/>
    </xf>
    <xf numFmtId="10" fontId="26" fillId="0" borderId="0" xfId="7" applyNumberFormat="1" applyFont="1" applyFill="1" applyBorder="1"/>
    <xf numFmtId="0" fontId="26" fillId="0" borderId="0" xfId="0" applyFont="1" applyFill="1" applyBorder="1"/>
    <xf numFmtId="37" fontId="26" fillId="0" borderId="0" xfId="3" applyNumberFormat="1" applyFont="1" applyFill="1" applyBorder="1"/>
    <xf numFmtId="0" fontId="32" fillId="0" borderId="0" xfId="6" applyFont="1" applyAlignment="1">
      <alignment horizontal="left"/>
    </xf>
    <xf numFmtId="4" fontId="33" fillId="0" borderId="0" xfId="6" applyNumberFormat="1" applyFont="1" applyAlignment="1">
      <alignment horizontal="center"/>
    </xf>
    <xf numFmtId="4" fontId="13" fillId="0" borderId="0" xfId="0" applyNumberFormat="1" applyFont="1" applyFill="1" applyAlignment="1">
      <alignment horizontal="center"/>
    </xf>
    <xf numFmtId="41" fontId="32" fillId="0" borderId="0" xfId="6" applyNumberFormat="1" applyFont="1"/>
    <xf numFmtId="41" fontId="32" fillId="0" borderId="10" xfId="6" applyNumberFormat="1" applyFont="1" applyBorder="1"/>
    <xf numFmtId="41" fontId="32" fillId="0" borderId="0" xfId="6" applyNumberFormat="1" applyFont="1" applyFill="1"/>
    <xf numFmtId="41" fontId="32" fillId="0" borderId="15" xfId="6" applyNumberFormat="1" applyFont="1" applyBorder="1"/>
    <xf numFmtId="41" fontId="32" fillId="0" borderId="0" xfId="6" applyNumberFormat="1" applyFont="1" applyBorder="1"/>
    <xf numFmtId="41" fontId="32" fillId="0" borderId="0" xfId="5" applyNumberFormat="1" applyFont="1" applyFill="1"/>
    <xf numFmtId="41" fontId="37" fillId="0" borderId="0" xfId="5" applyNumberFormat="1" applyFont="1" applyFill="1"/>
    <xf numFmtId="3" fontId="13" fillId="0" borderId="0" xfId="13" applyNumberFormat="1" applyFont="1"/>
    <xf numFmtId="4" fontId="13" fillId="0" borderId="0" xfId="13" applyNumberFormat="1" applyFont="1" applyBorder="1" applyAlignment="1">
      <alignment horizontal="centerContinuous"/>
    </xf>
    <xf numFmtId="3" fontId="13" fillId="0" borderId="0" xfId="13" applyNumberFormat="1" applyFont="1" applyBorder="1" applyAlignment="1">
      <alignment horizontal="left"/>
    </xf>
    <xf numFmtId="3" fontId="13" fillId="0" borderId="0" xfId="13" applyNumberFormat="1" applyFont="1" applyBorder="1" applyAlignment="1">
      <alignment horizontal="centerContinuous"/>
    </xf>
    <xf numFmtId="0" fontId="13" fillId="0" borderId="0" xfId="13" applyFont="1" applyBorder="1" applyAlignment="1">
      <alignment horizontal="centerContinuous"/>
    </xf>
    <xf numFmtId="3" fontId="13" fillId="0" borderId="0" xfId="13" applyNumberFormat="1" applyFont="1" applyAlignment="1">
      <alignment horizontal="center"/>
    </xf>
    <xf numFmtId="4" fontId="13" fillId="0" borderId="0" xfId="13" applyNumberFormat="1" applyFont="1" applyAlignment="1">
      <alignment horizontal="center"/>
    </xf>
    <xf numFmtId="3" fontId="13" fillId="0" borderId="0" xfId="13" applyNumberFormat="1" applyFont="1" applyAlignment="1">
      <alignment horizontal="left"/>
    </xf>
    <xf numFmtId="0" fontId="13" fillId="0" borderId="0" xfId="13" applyFont="1"/>
    <xf numFmtId="0" fontId="13" fillId="0" borderId="0" xfId="13" applyFont="1" applyAlignment="1">
      <alignment horizontal="center"/>
    </xf>
    <xf numFmtId="3" fontId="13" fillId="0" borderId="10" xfId="13" applyNumberFormat="1" applyFont="1" applyBorder="1" applyAlignment="1">
      <alignment horizontal="left"/>
    </xf>
    <xf numFmtId="0" fontId="13" fillId="0" borderId="10" xfId="13" applyFont="1" applyBorder="1" applyAlignment="1">
      <alignment horizontal="center"/>
    </xf>
    <xf numFmtId="3" fontId="13" fillId="0" borderId="10" xfId="13" applyNumberFormat="1" applyFont="1" applyBorder="1" applyAlignment="1">
      <alignment horizontal="center"/>
    </xf>
    <xf numFmtId="41" fontId="13" fillId="0" borderId="0" xfId="13" applyNumberFormat="1" applyFont="1" applyAlignment="1">
      <alignment horizontal="right"/>
    </xf>
    <xf numFmtId="4" fontId="13" fillId="0" borderId="0" xfId="13" applyNumberFormat="1" applyFont="1" applyAlignment="1">
      <alignment horizontal="left"/>
    </xf>
    <xf numFmtId="0" fontId="13" fillId="0" borderId="0" xfId="13" applyFont="1" applyBorder="1"/>
    <xf numFmtId="0" fontId="13" fillId="0" borderId="0" xfId="0" applyFont="1" applyAlignment="1">
      <alignment horizontal="left"/>
    </xf>
    <xf numFmtId="4" fontId="13" fillId="0" borderId="0" xfId="0" applyNumberFormat="1" applyFont="1" applyFill="1" applyAlignment="1">
      <alignment horizontal="left"/>
    </xf>
    <xf numFmtId="4" fontId="13" fillId="0" borderId="0" xfId="0" applyNumberFormat="1" applyFont="1" applyAlignment="1">
      <alignment horizontal="left"/>
    </xf>
    <xf numFmtId="41" fontId="13" fillId="0" borderId="0" xfId="13" applyNumberFormat="1" applyFont="1"/>
    <xf numFmtId="41" fontId="13" fillId="0" borderId="0" xfId="1" applyNumberFormat="1" applyFont="1"/>
    <xf numFmtId="41" fontId="13" fillId="0" borderId="0" xfId="1" applyNumberFormat="1" applyFont="1" applyAlignment="1">
      <alignment horizontal="right"/>
    </xf>
    <xf numFmtId="41" fontId="20" fillId="0" borderId="0" xfId="1" applyNumberFormat="1" applyFont="1"/>
    <xf numFmtId="41" fontId="13" fillId="0" borderId="10" xfId="1" applyNumberFormat="1" applyFont="1" applyBorder="1"/>
    <xf numFmtId="41" fontId="19" fillId="0" borderId="10" xfId="1" applyNumberFormat="1" applyFont="1" applyFill="1" applyBorder="1"/>
    <xf numFmtId="41" fontId="13" fillId="0" borderId="12" xfId="1" applyNumberFormat="1" applyFont="1" applyBorder="1"/>
    <xf numFmtId="9" fontId="13" fillId="0" borderId="10" xfId="7" applyFont="1" applyBorder="1"/>
    <xf numFmtId="9" fontId="13" fillId="0" borderId="0" xfId="7" applyFont="1"/>
    <xf numFmtId="10" fontId="13" fillId="0" borderId="10" xfId="7" applyNumberFormat="1" applyFont="1" applyBorder="1"/>
    <xf numFmtId="10" fontId="32" fillId="0" borderId="0" xfId="7" applyNumberFormat="1" applyFont="1"/>
    <xf numFmtId="42" fontId="32" fillId="0" borderId="0" xfId="6" applyNumberFormat="1" applyFont="1"/>
    <xf numFmtId="41" fontId="8" fillId="0" borderId="0" xfId="6" applyNumberFormat="1" applyFont="1"/>
    <xf numFmtId="41" fontId="8" fillId="0" borderId="0" xfId="1" applyNumberFormat="1" applyFont="1"/>
    <xf numFmtId="41" fontId="8" fillId="0" borderId="10" xfId="6" applyNumberFormat="1" applyFont="1" applyBorder="1"/>
    <xf numFmtId="41" fontId="8" fillId="0" borderId="10" xfId="6" applyNumberFormat="1" applyFont="1" applyFill="1" applyBorder="1"/>
    <xf numFmtId="41" fontId="8" fillId="0" borderId="0" xfId="1" applyNumberFormat="1" applyFont="1" applyBorder="1"/>
    <xf numFmtId="41" fontId="8" fillId="0" borderId="15" xfId="6" applyNumberFormat="1" applyFont="1" applyBorder="1"/>
    <xf numFmtId="41" fontId="8" fillId="0" borderId="0" xfId="0" applyNumberFormat="1" applyFont="1"/>
    <xf numFmtId="41" fontId="8" fillId="0" borderId="12" xfId="6" applyNumberFormat="1" applyFont="1" applyBorder="1"/>
    <xf numFmtId="41" fontId="8" fillId="0" borderId="0" xfId="6" applyNumberFormat="1" applyFont="1" applyBorder="1"/>
    <xf numFmtId="17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4" fontId="0" fillId="0" borderId="0" xfId="0" applyNumberFormat="1" applyAlignment="1">
      <alignment horizontal="left"/>
    </xf>
    <xf numFmtId="174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3" fontId="0" fillId="0" borderId="0" xfId="0" quotePrefix="1" applyNumberFormat="1" applyAlignment="1">
      <alignment horizontal="left"/>
    </xf>
    <xf numFmtId="173" fontId="39" fillId="0" borderId="0" xfId="0" applyNumberFormat="1" applyFont="1"/>
    <xf numFmtId="3" fontId="39" fillId="0" borderId="0" xfId="0" applyNumberFormat="1" applyFont="1"/>
    <xf numFmtId="49" fontId="39" fillId="0" borderId="0" xfId="0" applyNumberFormat="1" applyFont="1" applyFill="1" applyAlignment="1">
      <alignment horizontal="center"/>
    </xf>
    <xf numFmtId="3" fontId="39" fillId="0" borderId="0" xfId="0" applyNumberFormat="1" applyFont="1" applyFill="1"/>
    <xf numFmtId="173" fontId="39" fillId="0" borderId="0" xfId="0" applyNumberFormat="1" applyFont="1" applyAlignment="1">
      <alignment horizontal="center"/>
    </xf>
    <xf numFmtId="174" fontId="39" fillId="0" borderId="0" xfId="0" applyNumberFormat="1" applyFont="1"/>
    <xf numFmtId="174" fontId="39" fillId="0" borderId="0" xfId="0" applyNumberFormat="1" applyFont="1" applyAlignment="1">
      <alignment horizontal="center"/>
    </xf>
    <xf numFmtId="0" fontId="39" fillId="0" borderId="0" xfId="0" applyFont="1"/>
    <xf numFmtId="173" fontId="39" fillId="4" borderId="0" xfId="0" applyNumberFormat="1" applyFont="1" applyFill="1"/>
    <xf numFmtId="3" fontId="39" fillId="4" borderId="0" xfId="0" applyNumberFormat="1" applyFont="1" applyFill="1"/>
    <xf numFmtId="174" fontId="39" fillId="4" borderId="0" xfId="0" applyNumberFormat="1" applyFont="1" applyFill="1" applyAlignment="1">
      <alignment horizontal="center"/>
    </xf>
    <xf numFmtId="3" fontId="0" fillId="0" borderId="0" xfId="0" applyNumberFormat="1"/>
    <xf numFmtId="173" fontId="0" fillId="0" borderId="0" xfId="0" applyNumberFormat="1"/>
    <xf numFmtId="0" fontId="8" fillId="0" borderId="0" xfId="6" applyNumberFormat="1" applyFont="1" applyFill="1" applyAlignment="1">
      <alignment horizontal="center"/>
    </xf>
    <xf numFmtId="5" fontId="33" fillId="0" borderId="0" xfId="6" applyNumberFormat="1" applyFont="1"/>
    <xf numFmtId="42" fontId="32" fillId="0" borderId="12" xfId="6" applyNumberFormat="1" applyFont="1" applyBorder="1"/>
    <xf numFmtId="42" fontId="33" fillId="0" borderId="12" xfId="6" applyNumberFormat="1" applyFont="1" applyBorder="1"/>
    <xf numFmtId="41" fontId="19" fillId="0" borderId="0" xfId="1" applyNumberFormat="1" applyFont="1" applyFill="1" applyBorder="1"/>
    <xf numFmtId="41" fontId="13" fillId="0" borderId="0" xfId="1" applyNumberFormat="1" applyFont="1" applyBorder="1"/>
    <xf numFmtId="0" fontId="13" fillId="0" borderId="0" xfId="13" applyFont="1" applyBorder="1" applyAlignment="1">
      <alignment horizontal="center"/>
    </xf>
    <xf numFmtId="0" fontId="19" fillId="0" borderId="0" xfId="0" applyFont="1" applyFill="1"/>
    <xf numFmtId="175" fontId="32" fillId="0" borderId="0" xfId="5" applyNumberFormat="1" applyFont="1" applyFill="1"/>
    <xf numFmtId="10" fontId="32" fillId="2" borderId="0" xfId="7" applyNumberFormat="1" applyFont="1" applyFill="1"/>
    <xf numFmtId="41" fontId="13" fillId="2" borderId="17" xfId="1" applyNumberFormat="1" applyFont="1" applyFill="1" applyBorder="1"/>
    <xf numFmtId="37" fontId="8" fillId="0" borderId="0" xfId="6" applyNumberFormat="1" applyFont="1" applyFill="1"/>
    <xf numFmtId="41" fontId="8" fillId="0" borderId="0" xfId="6" applyNumberFormat="1" applyFont="1" applyFill="1"/>
    <xf numFmtId="0" fontId="14" fillId="0" borderId="0" xfId="0" applyFont="1" applyFill="1"/>
    <xf numFmtId="166" fontId="41" fillId="0" borderId="0" xfId="0" applyNumberFormat="1" applyFont="1" applyFill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0" fontId="10" fillId="0" borderId="0" xfId="7" applyNumberFormat="1" applyFont="1"/>
    <xf numFmtId="4" fontId="13" fillId="0" borderId="0" xfId="0" applyNumberFormat="1" applyFont="1" applyAlignment="1">
      <alignment horizontal="center"/>
    </xf>
    <xf numFmtId="37" fontId="13" fillId="0" borderId="0" xfId="0" applyNumberFormat="1" applyFont="1" applyFill="1"/>
    <xf numFmtId="3" fontId="13" fillId="0" borderId="0" xfId="0" applyNumberFormat="1" applyFont="1" applyFill="1"/>
    <xf numFmtId="168" fontId="8" fillId="0" borderId="0" xfId="6" applyNumberFormat="1" applyFont="1" applyFill="1"/>
    <xf numFmtId="0" fontId="8" fillId="0" borderId="0" xfId="0" applyFont="1"/>
    <xf numFmtId="0" fontId="13" fillId="0" borderId="0" xfId="0" applyFont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17" fillId="0" borderId="0" xfId="0" applyFont="1"/>
    <xf numFmtId="3" fontId="13" fillId="0" borderId="0" xfId="0" applyNumberFormat="1" applyFont="1"/>
    <xf numFmtId="37" fontId="13" fillId="0" borderId="0" xfId="0" applyNumberFormat="1" applyFont="1"/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/>
    <xf numFmtId="5" fontId="20" fillId="0" borderId="0" xfId="0" applyNumberFormat="1" applyFont="1"/>
    <xf numFmtId="5" fontId="13" fillId="0" borderId="0" xfId="0" applyNumberFormat="1" applyFont="1" applyFill="1"/>
    <xf numFmtId="3" fontId="13" fillId="0" borderId="0" xfId="0" applyNumberFormat="1" applyFont="1" applyFill="1"/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left"/>
    </xf>
    <xf numFmtId="169" fontId="13" fillId="0" borderId="0" xfId="17" applyNumberFormat="1" applyFont="1"/>
    <xf numFmtId="3" fontId="43" fillId="0" borderId="0" xfId="0" applyNumberFormat="1" applyFont="1" applyAlignment="1">
      <alignment horizontal="left"/>
    </xf>
    <xf numFmtId="3" fontId="43" fillId="0" borderId="0" xfId="0" applyNumberFormat="1" applyFont="1" applyFill="1" applyAlignment="1">
      <alignment horizontal="left"/>
    </xf>
    <xf numFmtId="49" fontId="43" fillId="0" borderId="0" xfId="0" applyNumberFormat="1" applyFont="1" applyAlignment="1">
      <alignment horizontal="left"/>
    </xf>
    <xf numFmtId="3" fontId="43" fillId="0" borderId="0" xfId="0" applyNumberFormat="1" applyFont="1"/>
    <xf numFmtId="0" fontId="43" fillId="0" borderId="0" xfId="0" applyFont="1"/>
    <xf numFmtId="3" fontId="43" fillId="4" borderId="0" xfId="0" applyNumberFormat="1" applyFont="1" applyFill="1"/>
    <xf numFmtId="173" fontId="4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center"/>
    </xf>
    <xf numFmtId="37" fontId="13" fillId="0" borderId="0" xfId="0" applyNumberFormat="1" applyFont="1"/>
    <xf numFmtId="0" fontId="13" fillId="0" borderId="0" xfId="0" applyFont="1" applyFill="1"/>
    <xf numFmtId="0" fontId="14" fillId="0" borderId="0" xfId="0" applyFont="1" applyBorder="1" applyAlignment="1">
      <alignment horizontal="left"/>
    </xf>
    <xf numFmtId="3" fontId="13" fillId="0" borderId="0" xfId="0" applyNumberFormat="1" applyFont="1" applyFill="1"/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left"/>
    </xf>
    <xf numFmtId="5" fontId="20" fillId="0" borderId="0" xfId="0" applyNumberFormat="1" applyFont="1" applyBorder="1"/>
    <xf numFmtId="5" fontId="8" fillId="0" borderId="0" xfId="0" applyNumberFormat="1" applyFont="1" applyFill="1"/>
    <xf numFmtId="0" fontId="27" fillId="4" borderId="31" xfId="0" applyFont="1" applyFill="1" applyBorder="1" applyAlignment="1">
      <alignment horizontal="left"/>
    </xf>
    <xf numFmtId="171" fontId="13" fillId="0" borderId="0" xfId="0" applyNumberFormat="1" applyFont="1" applyBorder="1"/>
    <xf numFmtId="1" fontId="13" fillId="0" borderId="0" xfId="0" applyNumberFormat="1" applyFont="1"/>
    <xf numFmtId="0" fontId="13" fillId="0" borderId="0" xfId="0" applyFont="1" applyAlignment="1">
      <alignment horizontal="center"/>
    </xf>
    <xf numFmtId="3" fontId="14" fillId="0" borderId="0" xfId="0" applyNumberFormat="1" applyFont="1" applyFill="1" applyAlignment="1"/>
    <xf numFmtId="10" fontId="14" fillId="0" borderId="0" xfId="0" applyNumberFormat="1" applyFont="1" applyBorder="1" applyAlignment="1">
      <alignment horizontal="center"/>
    </xf>
    <xf numFmtId="37" fontId="31" fillId="0" borderId="0" xfId="5" applyNumberFormat="1" applyFont="1" applyBorder="1" applyAlignment="1">
      <alignment vertical="top"/>
    </xf>
    <xf numFmtId="174" fontId="43" fillId="4" borderId="0" xfId="0" applyNumberFormat="1" applyFont="1" applyFill="1" applyAlignment="1">
      <alignment horizontal="center"/>
    </xf>
    <xf numFmtId="0" fontId="0" fillId="0" borderId="0" xfId="0" applyAlignment="1">
      <alignment shrinkToFit="1"/>
    </xf>
    <xf numFmtId="0" fontId="13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41" fillId="0" borderId="0" xfId="5" applyNumberFormat="1" applyFont="1" applyAlignment="1">
      <alignment horizontal="left"/>
    </xf>
    <xf numFmtId="0" fontId="27" fillId="0" borderId="0" xfId="0" applyFont="1" applyAlignment="1">
      <alignment horizontal="centerContinuous"/>
    </xf>
    <xf numFmtId="0" fontId="26" fillId="0" borderId="0" xfId="0" applyFont="1"/>
    <xf numFmtId="0" fontId="46" fillId="0" borderId="0" xfId="0" applyFont="1"/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5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0" fontId="46" fillId="0" borderId="0" xfId="0" applyFont="1" applyFill="1"/>
    <xf numFmtId="3" fontId="27" fillId="0" borderId="0" xfId="0" applyNumberFormat="1" applyFont="1" applyFill="1" applyAlignment="1"/>
    <xf numFmtId="0" fontId="27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8" xfId="0" applyFont="1" applyBorder="1" applyAlignment="1">
      <alignment horizontal="center"/>
    </xf>
    <xf numFmtId="0" fontId="26" fillId="0" borderId="0" xfId="0" applyFont="1" applyBorder="1"/>
    <xf numFmtId="0" fontId="26" fillId="0" borderId="0" xfId="0" applyFont="1" applyAlignment="1">
      <alignment horizontal="center"/>
    </xf>
    <xf numFmtId="42" fontId="26" fillId="0" borderId="0" xfId="0" applyNumberFormat="1" applyFont="1"/>
    <xf numFmtId="5" fontId="26" fillId="0" borderId="0" xfId="0" applyNumberFormat="1" applyFont="1"/>
    <xf numFmtId="10" fontId="26" fillId="0" borderId="0" xfId="7" applyNumberFormat="1" applyFont="1" applyBorder="1"/>
    <xf numFmtId="170" fontId="26" fillId="0" borderId="0" xfId="7" applyNumberFormat="1" applyFont="1" applyBorder="1"/>
    <xf numFmtId="42" fontId="26" fillId="0" borderId="10" xfId="0" applyNumberFormat="1" applyFont="1" applyBorder="1"/>
    <xf numFmtId="42" fontId="26" fillId="0" borderId="0" xfId="0" applyNumberFormat="1" applyFont="1" applyBorder="1"/>
    <xf numFmtId="37" fontId="26" fillId="0" borderId="0" xfId="20" applyNumberFormat="1" applyFont="1" applyFill="1"/>
    <xf numFmtId="169" fontId="26" fillId="0" borderId="0" xfId="0" applyNumberFormat="1" applyFont="1"/>
    <xf numFmtId="0" fontId="38" fillId="0" borderId="0" xfId="0" applyFont="1" applyAlignment="1">
      <alignment horizontal="right"/>
    </xf>
    <xf numFmtId="10" fontId="27" fillId="0" borderId="0" xfId="7" applyNumberFormat="1" applyFont="1" applyBorder="1"/>
    <xf numFmtId="37" fontId="26" fillId="0" borderId="0" xfId="5" applyNumberFormat="1" applyFont="1"/>
    <xf numFmtId="42" fontId="26" fillId="0" borderId="0" xfId="0" applyNumberFormat="1" applyFont="1" applyFill="1" applyBorder="1"/>
    <xf numFmtId="0" fontId="41" fillId="0" borderId="0" xfId="0" applyFont="1"/>
    <xf numFmtId="0" fontId="27" fillId="0" borderId="0" xfId="0" applyFont="1" applyFill="1" applyBorder="1" applyAlignment="1">
      <alignment horizontal="center"/>
    </xf>
    <xf numFmtId="0" fontId="27" fillId="4" borderId="32" xfId="0" applyFont="1" applyFill="1" applyBorder="1" applyAlignment="1">
      <alignment horizontal="center"/>
    </xf>
    <xf numFmtId="0" fontId="27" fillId="4" borderId="33" xfId="0" applyFont="1" applyFill="1" applyBorder="1" applyAlignment="1">
      <alignment horizontal="center"/>
    </xf>
    <xf numFmtId="37" fontId="26" fillId="4" borderId="21" xfId="20" applyNumberFormat="1" applyFont="1" applyFill="1" applyBorder="1"/>
    <xf numFmtId="37" fontId="26" fillId="4" borderId="0" xfId="20" applyNumberFormat="1" applyFont="1" applyFill="1" applyBorder="1"/>
    <xf numFmtId="0" fontId="27" fillId="4" borderId="0" xfId="0" applyFont="1" applyFill="1" applyBorder="1" applyAlignment="1">
      <alignment horizontal="center"/>
    </xf>
    <xf numFmtId="37" fontId="47" fillId="4" borderId="0" xfId="20" applyNumberFormat="1" applyFont="1" applyFill="1" applyBorder="1"/>
    <xf numFmtId="0" fontId="27" fillId="4" borderId="22" xfId="0" applyFont="1" applyFill="1" applyBorder="1" applyAlignment="1">
      <alignment horizontal="center"/>
    </xf>
    <xf numFmtId="0" fontId="26" fillId="4" borderId="0" xfId="0" applyFont="1" applyFill="1" applyBorder="1"/>
    <xf numFmtId="0" fontId="27" fillId="4" borderId="10" xfId="0" applyFont="1" applyFill="1" applyBorder="1" applyAlignment="1">
      <alignment horizontal="center"/>
    </xf>
    <xf numFmtId="0" fontId="27" fillId="4" borderId="29" xfId="0" applyFont="1" applyFill="1" applyBorder="1" applyAlignment="1">
      <alignment horizontal="center"/>
    </xf>
    <xf numFmtId="37" fontId="26" fillId="0" borderId="0" xfId="20" applyNumberFormat="1" applyFont="1" applyFill="1" applyBorder="1"/>
    <xf numFmtId="37" fontId="26" fillId="4" borderId="22" xfId="20" applyNumberFormat="1" applyFont="1" applyFill="1" applyBorder="1"/>
    <xf numFmtId="167" fontId="26" fillId="4" borderId="0" xfId="7" applyNumberFormat="1" applyFont="1" applyFill="1" applyBorder="1"/>
    <xf numFmtId="10" fontId="26" fillId="4" borderId="22" xfId="7" applyNumberFormat="1" applyFont="1" applyFill="1" applyBorder="1"/>
    <xf numFmtId="10" fontId="26" fillId="4" borderId="0" xfId="7" applyNumberFormat="1" applyFont="1" applyFill="1" applyBorder="1"/>
    <xf numFmtId="170" fontId="47" fillId="4" borderId="0" xfId="7" applyNumberFormat="1" applyFont="1" applyFill="1" applyBorder="1"/>
    <xf numFmtId="10" fontId="26" fillId="4" borderId="16" xfId="7" applyNumberFormat="1" applyFont="1" applyFill="1" applyBorder="1"/>
    <xf numFmtId="10" fontId="26" fillId="4" borderId="30" xfId="7" applyNumberFormat="1" applyFont="1" applyFill="1" applyBorder="1"/>
    <xf numFmtId="37" fontId="26" fillId="4" borderId="23" xfId="20" applyNumberFormat="1" applyFont="1" applyFill="1" applyBorder="1"/>
    <xf numFmtId="0" fontId="26" fillId="4" borderId="24" xfId="0" applyFont="1" applyFill="1" applyBorder="1"/>
    <xf numFmtId="10" fontId="26" fillId="4" borderId="24" xfId="7" applyNumberFormat="1" applyFont="1" applyFill="1" applyBorder="1"/>
    <xf numFmtId="10" fontId="47" fillId="4" borderId="24" xfId="7" applyNumberFormat="1" applyFont="1" applyFill="1" applyBorder="1"/>
    <xf numFmtId="10" fontId="26" fillId="4" borderId="25" xfId="7" applyNumberFormat="1" applyFont="1" applyFill="1" applyBorder="1"/>
    <xf numFmtId="0" fontId="47" fillId="0" borderId="0" xfId="0" applyFont="1"/>
    <xf numFmtId="0" fontId="47" fillId="0" borderId="0" xfId="0" applyFont="1" applyBorder="1"/>
    <xf numFmtId="0" fontId="47" fillId="0" borderId="0" xfId="0" applyFont="1" applyFill="1" applyBorder="1"/>
    <xf numFmtId="10" fontId="47" fillId="0" borderId="0" xfId="7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37" fontId="47" fillId="0" borderId="0" xfId="20" applyNumberFormat="1" applyFont="1" applyFill="1" applyBorder="1"/>
    <xf numFmtId="0" fontId="26" fillId="0" borderId="0" xfId="0" applyFont="1" applyFill="1" applyBorder="1" applyAlignment="1">
      <alignment horizontal="left"/>
    </xf>
    <xf numFmtId="5" fontId="26" fillId="0" borderId="0" xfId="7" applyNumberFormat="1" applyFont="1" applyFill="1" applyBorder="1"/>
    <xf numFmtId="3" fontId="40" fillId="0" borderId="0" xfId="13" applyNumberFormat="1" applyFont="1" applyFill="1"/>
    <xf numFmtId="0" fontId="27" fillId="0" borderId="0" xfId="0" applyFont="1" applyFill="1" applyAlignment="1"/>
    <xf numFmtId="174" fontId="43" fillId="0" borderId="0" xfId="0" applyNumberFormat="1" applyFont="1" applyAlignment="1">
      <alignment horizontal="left"/>
    </xf>
    <xf numFmtId="3" fontId="0" fillId="2" borderId="0" xfId="0" applyNumberFormat="1" applyFill="1" applyAlignment="1">
      <alignment horizontal="left"/>
    </xf>
    <xf numFmtId="41" fontId="13" fillId="0" borderId="3" xfId="1" applyNumberFormat="1" applyFont="1" applyBorder="1"/>
    <xf numFmtId="10" fontId="13" fillId="0" borderId="36" xfId="7" applyNumberFormat="1" applyFont="1" applyFill="1" applyBorder="1"/>
    <xf numFmtId="0" fontId="27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/>
    <xf numFmtId="166" fontId="8" fillId="0" borderId="0" xfId="0" applyNumberFormat="1" applyFont="1"/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165" fontId="8" fillId="0" borderId="10" xfId="0" applyNumberFormat="1" applyFont="1" applyBorder="1" applyAlignment="1">
      <alignment horizontal="right"/>
    </xf>
    <xf numFmtId="166" fontId="10" fillId="0" borderId="1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Continuous"/>
    </xf>
    <xf numFmtId="165" fontId="8" fillId="0" borderId="10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71" fontId="8" fillId="0" borderId="0" xfId="1" applyNumberFormat="1" applyFont="1" applyAlignment="1">
      <alignment horizontal="center"/>
    </xf>
    <xf numFmtId="164" fontId="8" fillId="0" borderId="0" xfId="0" applyNumberFormat="1" applyFont="1"/>
    <xf numFmtId="37" fontId="8" fillId="0" borderId="0" xfId="0" applyNumberFormat="1" applyFont="1" applyFill="1"/>
    <xf numFmtId="37" fontId="8" fillId="0" borderId="10" xfId="0" applyNumberFormat="1" applyFont="1" applyBorder="1"/>
    <xf numFmtId="37" fontId="8" fillId="0" borderId="10" xfId="0" applyNumberFormat="1" applyFont="1" applyFill="1" applyBorder="1"/>
    <xf numFmtId="164" fontId="8" fillId="0" borderId="0" xfId="0" applyNumberFormat="1" applyFont="1" applyFill="1"/>
    <xf numFmtId="3" fontId="8" fillId="0" borderId="0" xfId="0" applyNumberFormat="1" applyFont="1" applyAlignment="1">
      <alignment horizontal="left"/>
    </xf>
    <xf numFmtId="167" fontId="8" fillId="0" borderId="0" xfId="0" applyNumberFormat="1" applyFont="1"/>
    <xf numFmtId="164" fontId="8" fillId="0" borderId="0" xfId="0" applyNumberFormat="1" applyFont="1" applyAlignment="1">
      <alignment horizontal="left"/>
    </xf>
    <xf numFmtId="37" fontId="8" fillId="0" borderId="15" xfId="0" applyNumberFormat="1" applyFont="1" applyBorder="1"/>
    <xf numFmtId="41" fontId="8" fillId="0" borderId="10" xfId="0" applyNumberFormat="1" applyFont="1" applyBorder="1"/>
    <xf numFmtId="5" fontId="8" fillId="0" borderId="12" xfId="0" applyNumberFormat="1" applyFont="1" applyBorder="1"/>
    <xf numFmtId="0" fontId="8" fillId="2" borderId="0" xfId="0" applyFont="1" applyFill="1"/>
    <xf numFmtId="165" fontId="8" fillId="2" borderId="0" xfId="0" applyNumberFormat="1" applyFont="1" applyFill="1"/>
    <xf numFmtId="166" fontId="8" fillId="2" borderId="0" xfId="0" applyNumberFormat="1" applyFont="1" applyFill="1"/>
    <xf numFmtId="171" fontId="8" fillId="2" borderId="0" xfId="1" applyNumberFormat="1" applyFont="1" applyFill="1"/>
    <xf numFmtId="174" fontId="43" fillId="0" borderId="0" xfId="0" applyNumberFormat="1" applyFont="1" applyAlignment="1">
      <alignment horizontal="center"/>
    </xf>
    <xf numFmtId="0" fontId="47" fillId="0" borderId="0" xfId="0" applyFont="1" applyFill="1"/>
    <xf numFmtId="14" fontId="49" fillId="0" borderId="0" xfId="0" applyNumberFormat="1" applyFont="1" applyFill="1" applyBorder="1"/>
    <xf numFmtId="14" fontId="26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5" fontId="45" fillId="0" borderId="0" xfId="0" applyNumberFormat="1" applyFont="1" applyFill="1" applyBorder="1"/>
    <xf numFmtId="0" fontId="46" fillId="0" borderId="0" xfId="0" applyFont="1" applyBorder="1"/>
    <xf numFmtId="0" fontId="51" fillId="0" borderId="0" xfId="0" applyFont="1"/>
    <xf numFmtId="41" fontId="10" fillId="0" borderId="1" xfId="0" applyNumberFormat="1" applyFont="1" applyBorder="1" applyAlignment="1">
      <alignment horizontal="center"/>
    </xf>
    <xf numFmtId="41" fontId="10" fillId="0" borderId="5" xfId="0" applyNumberFormat="1" applyFont="1" applyBorder="1" applyAlignment="1">
      <alignment horizontal="center"/>
    </xf>
    <xf numFmtId="41" fontId="10" fillId="0" borderId="8" xfId="0" applyNumberFormat="1" applyFont="1" applyBorder="1" applyAlignment="1">
      <alignment horizontal="center"/>
    </xf>
    <xf numFmtId="3" fontId="11" fillId="0" borderId="0" xfId="0" quotePrefix="1" applyNumberFormat="1" applyFont="1" applyAlignment="1">
      <alignment horizontal="center"/>
    </xf>
    <xf numFmtId="169" fontId="14" fillId="0" borderId="0" xfId="17" applyNumberFormat="1" applyFont="1"/>
    <xf numFmtId="14" fontId="14" fillId="0" borderId="0" xfId="17" applyNumberFormat="1" applyFont="1"/>
    <xf numFmtId="0" fontId="14" fillId="0" borderId="0" xfId="17" applyFont="1"/>
    <xf numFmtId="169" fontId="14" fillId="0" borderId="0" xfId="17" applyNumberFormat="1" applyFont="1" applyAlignment="1">
      <alignment horizontal="right"/>
    </xf>
    <xf numFmtId="0" fontId="13" fillId="0" borderId="0" xfId="17" applyFont="1"/>
    <xf numFmtId="169" fontId="13" fillId="0" borderId="15" xfId="17" applyNumberFormat="1" applyFont="1" applyBorder="1"/>
    <xf numFmtId="0" fontId="53" fillId="0" borderId="0" xfId="17" applyFont="1"/>
    <xf numFmtId="4" fontId="54" fillId="0" borderId="0" xfId="17" applyNumberFormat="1" applyFont="1" applyAlignment="1">
      <alignment horizontal="left"/>
    </xf>
    <xf numFmtId="169" fontId="13" fillId="7" borderId="15" xfId="17" applyNumberFormat="1" applyFont="1" applyFill="1" applyBorder="1"/>
    <xf numFmtId="4" fontId="54" fillId="0" borderId="0" xfId="17" applyNumberFormat="1" applyFont="1" applyAlignment="1">
      <alignment horizontal="right"/>
    </xf>
    <xf numFmtId="169" fontId="13" fillId="0" borderId="10" xfId="17" applyNumberFormat="1" applyFont="1" applyBorder="1"/>
    <xf numFmtId="5" fontId="27" fillId="0" borderId="17" xfId="0" applyNumberFormat="1" applyFont="1" applyFill="1" applyBorder="1"/>
    <xf numFmtId="172" fontId="13" fillId="0" borderId="0" xfId="2" applyNumberFormat="1" applyFont="1" applyBorder="1"/>
    <xf numFmtId="172" fontId="13" fillId="0" borderId="0" xfId="2" applyNumberFormat="1" applyFont="1" applyFill="1" applyBorder="1"/>
    <xf numFmtId="172" fontId="15" fillId="0" borderId="0" xfId="2" applyNumberFormat="1" applyFont="1" applyFill="1" applyBorder="1" applyAlignment="1">
      <alignment horizontal="center"/>
    </xf>
    <xf numFmtId="172" fontId="13" fillId="0" borderId="0" xfId="2" applyNumberFormat="1" applyFont="1" applyFill="1" applyBorder="1" applyAlignment="1">
      <alignment horizontal="center"/>
    </xf>
    <xf numFmtId="3" fontId="10" fillId="0" borderId="0" xfId="0" applyNumberFormat="1" applyFont="1" applyFill="1"/>
    <xf numFmtId="41" fontId="10" fillId="0" borderId="1" xfId="0" quotePrefix="1" applyNumberFormat="1" applyFont="1" applyFill="1" applyBorder="1" applyAlignment="1">
      <alignment horizontal="center"/>
    </xf>
    <xf numFmtId="41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41" fontId="10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41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73" fontId="43" fillId="0" borderId="0" xfId="0" applyNumberFormat="1" applyFont="1" applyAlignment="1">
      <alignment horizontal="left"/>
    </xf>
    <xf numFmtId="166" fontId="8" fillId="0" borderId="10" xfId="0" applyNumberFormat="1" applyFont="1" applyBorder="1"/>
    <xf numFmtId="0" fontId="13" fillId="0" borderId="0" xfId="0" applyFont="1" applyAlignment="1">
      <alignment horizontal="center"/>
    </xf>
    <xf numFmtId="171" fontId="8" fillId="0" borderId="0" xfId="1" applyNumberFormat="1" applyFont="1" applyFill="1"/>
    <xf numFmtId="0" fontId="13" fillId="0" borderId="0" xfId="13" applyFont="1" applyAlignment="1">
      <alignment horizontal="right"/>
    </xf>
    <xf numFmtId="4" fontId="13" fillId="2" borderId="37" xfId="13" applyNumberFormat="1" applyFont="1" applyFill="1" applyBorder="1" applyAlignment="1">
      <alignment horizontal="center"/>
    </xf>
    <xf numFmtId="0" fontId="13" fillId="2" borderId="36" xfId="13" applyFont="1" applyFill="1" applyBorder="1" applyAlignment="1">
      <alignment horizontal="center"/>
    </xf>
    <xf numFmtId="0" fontId="27" fillId="0" borderId="0" xfId="0" applyFont="1" applyFill="1" applyAlignment="1">
      <alignment horizontal="centerContinuous"/>
    </xf>
    <xf numFmtId="0" fontId="27" fillId="0" borderId="0" xfId="5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/>
    </xf>
    <xf numFmtId="42" fontId="26" fillId="0" borderId="0" xfId="0" applyNumberFormat="1" applyFont="1" applyFill="1"/>
    <xf numFmtId="5" fontId="26" fillId="0" borderId="0" xfId="0" applyNumberFormat="1" applyFont="1" applyFill="1"/>
    <xf numFmtId="170" fontId="26" fillId="0" borderId="0" xfId="7" applyNumberFormat="1" applyFont="1" applyFill="1" applyBorder="1"/>
    <xf numFmtId="169" fontId="26" fillId="0" borderId="0" xfId="0" applyNumberFormat="1" applyFont="1" applyFill="1"/>
    <xf numFmtId="0" fontId="27" fillId="0" borderId="0" xfId="0" applyFont="1" applyFill="1"/>
    <xf numFmtId="42" fontId="27" fillId="0" borderId="0" xfId="0" applyNumberFormat="1" applyFont="1" applyFill="1" applyBorder="1"/>
    <xf numFmtId="37" fontId="27" fillId="0" borderId="0" xfId="5" applyNumberFormat="1" applyFont="1" applyFill="1"/>
    <xf numFmtId="10" fontId="27" fillId="0" borderId="0" xfId="7" applyNumberFormat="1" applyFont="1" applyFill="1" applyBorder="1"/>
    <xf numFmtId="44" fontId="27" fillId="0" borderId="0" xfId="2" applyNumberFormat="1" applyFont="1" applyFill="1" applyBorder="1"/>
    <xf numFmtId="167" fontId="27" fillId="0" borderId="0" xfId="7" applyNumberFormat="1" applyFont="1" applyFill="1" applyBorder="1"/>
    <xf numFmtId="172" fontId="26" fillId="0" borderId="0" xfId="2" applyNumberFormat="1" applyFont="1"/>
    <xf numFmtId="178" fontId="26" fillId="0" borderId="0" xfId="0" applyNumberFormat="1" applyFont="1"/>
    <xf numFmtId="5" fontId="27" fillId="0" borderId="17" xfId="0" applyNumberFormat="1" applyFont="1" applyBorder="1"/>
    <xf numFmtId="0" fontId="26" fillId="0" borderId="0" xfId="20" applyFont="1"/>
    <xf numFmtId="37" fontId="26" fillId="0" borderId="0" xfId="5" applyNumberFormat="1" applyFont="1" applyFill="1" applyBorder="1"/>
    <xf numFmtId="41" fontId="10" fillId="0" borderId="1" xfId="96" quotePrefix="1" applyNumberFormat="1" applyFont="1" applyBorder="1" applyAlignment="1">
      <alignment horizontal="center"/>
    </xf>
    <xf numFmtId="41" fontId="10" fillId="0" borderId="5" xfId="96" applyNumberFormat="1" applyFont="1" applyBorder="1" applyAlignment="1">
      <alignment horizontal="center"/>
    </xf>
    <xf numFmtId="41" fontId="10" fillId="0" borderId="8" xfId="96" applyNumberFormat="1" applyFont="1" applyBorder="1" applyAlignment="1">
      <alignment horizontal="center"/>
    </xf>
    <xf numFmtId="41" fontId="10" fillId="0" borderId="13" xfId="96" applyNumberFormat="1" applyFont="1" applyBorder="1" applyAlignment="1">
      <alignment horizontal="centerContinuous"/>
    </xf>
    <xf numFmtId="41" fontId="10" fillId="0" borderId="1" xfId="96" applyNumberFormat="1" applyFont="1" applyBorder="1" applyAlignment="1">
      <alignment horizontal="center"/>
    </xf>
    <xf numFmtId="171" fontId="8" fillId="0" borderId="10" xfId="1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1" fontId="10" fillId="0" borderId="1" xfId="0" quotePrefix="1" applyNumberFormat="1" applyFont="1" applyBorder="1" applyAlignment="1">
      <alignment horizontal="center"/>
    </xf>
    <xf numFmtId="172" fontId="47" fillId="0" borderId="0" xfId="7" applyNumberFormat="1" applyFont="1" applyFill="1" applyBorder="1" applyAlignment="1">
      <alignment horizontal="center"/>
    </xf>
    <xf numFmtId="10" fontId="26" fillId="0" borderId="10" xfId="7" applyNumberFormat="1" applyFont="1" applyFill="1" applyBorder="1"/>
    <xf numFmtId="10" fontId="46" fillId="0" borderId="0" xfId="0" applyNumberFormat="1" applyFont="1"/>
    <xf numFmtId="0" fontId="13" fillId="0" borderId="0" xfId="0" applyFont="1" applyBorder="1" applyAlignment="1">
      <alignment horizontal="center"/>
    </xf>
    <xf numFmtId="41" fontId="10" fillId="0" borderId="15" xfId="96" applyNumberFormat="1" applyFont="1" applyBorder="1" applyAlignment="1">
      <alignment horizontal="centerContinuous"/>
    </xf>
    <xf numFmtId="41" fontId="10" fillId="0" borderId="14" xfId="96" applyNumberFormat="1" applyFont="1" applyBorder="1" applyAlignment="1">
      <alignment horizontal="centerContinuous"/>
    </xf>
    <xf numFmtId="41" fontId="10" fillId="0" borderId="39" xfId="96" applyNumberFormat="1" applyFont="1" applyBorder="1" applyAlignment="1">
      <alignment horizontal="centerContinuous"/>
    </xf>
    <xf numFmtId="10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41" fontId="13" fillId="0" borderId="10" xfId="0" applyNumberFormat="1" applyFont="1" applyBorder="1" applyAlignment="1">
      <alignment horizontal="center" wrapText="1"/>
    </xf>
    <xf numFmtId="0" fontId="13" fillId="0" borderId="16" xfId="0" applyFont="1" applyBorder="1"/>
    <xf numFmtId="10" fontId="14" fillId="0" borderId="15" xfId="0" applyNumberFormat="1" applyFont="1" applyBorder="1" applyAlignment="1">
      <alignment horizontal="center"/>
    </xf>
    <xf numFmtId="5" fontId="13" fillId="0" borderId="15" xfId="0" applyNumberFormat="1" applyFont="1" applyBorder="1"/>
    <xf numFmtId="5" fontId="13" fillId="0" borderId="40" xfId="0" applyNumberFormat="1" applyFont="1" applyBorder="1"/>
    <xf numFmtId="10" fontId="14" fillId="0" borderId="16" xfId="0" applyNumberFormat="1" applyFont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Border="1"/>
    <xf numFmtId="5" fontId="13" fillId="0" borderId="0" xfId="0" applyNumberFormat="1" applyFont="1"/>
    <xf numFmtId="0" fontId="25" fillId="0" borderId="0" xfId="0" applyFont="1"/>
    <xf numFmtId="0" fontId="13" fillId="0" borderId="0" xfId="0" applyFont="1" applyBorder="1" applyAlignment="1">
      <alignment horizontal="left"/>
    </xf>
    <xf numFmtId="171" fontId="13" fillId="0" borderId="0" xfId="1" applyNumberFormat="1" applyFont="1"/>
    <xf numFmtId="0" fontId="13" fillId="0" borderId="0" xfId="0" applyFont="1" applyFill="1" applyBorder="1"/>
    <xf numFmtId="0" fontId="13" fillId="0" borderId="0" xfId="0" applyFont="1" applyFill="1"/>
    <xf numFmtId="171" fontId="13" fillId="0" borderId="0" xfId="1" applyNumberFormat="1" applyFont="1" applyFill="1" applyBorder="1"/>
    <xf numFmtId="5" fontId="20" fillId="0" borderId="0" xfId="0" applyNumberFormat="1" applyFont="1"/>
    <xf numFmtId="5" fontId="13" fillId="0" borderId="0" xfId="0" applyNumberFormat="1" applyFont="1" applyFill="1"/>
    <xf numFmtId="5" fontId="13" fillId="0" borderId="0" xfId="0" applyNumberFormat="1" applyFont="1" applyFill="1" applyBorder="1"/>
    <xf numFmtId="172" fontId="13" fillId="0" borderId="0" xfId="2" applyNumberFormat="1" applyFont="1" applyFill="1" applyBorder="1"/>
    <xf numFmtId="0" fontId="13" fillId="0" borderId="0" xfId="0" applyFont="1" applyFill="1" applyAlignment="1">
      <alignment horizontal="right"/>
    </xf>
    <xf numFmtId="172" fontId="13" fillId="0" borderId="0" xfId="2" applyNumberFormat="1" applyFont="1" applyBorder="1"/>
    <xf numFmtId="2" fontId="13" fillId="0" borderId="0" xfId="0" applyNumberFormat="1" applyFont="1"/>
    <xf numFmtId="0" fontId="0" fillId="0" borderId="0" xfId="0"/>
    <xf numFmtId="0" fontId="13" fillId="0" borderId="0" xfId="0" applyFont="1"/>
    <xf numFmtId="0" fontId="19" fillId="0" borderId="0" xfId="0" applyFont="1"/>
    <xf numFmtId="5" fontId="19" fillId="0" borderId="0" xfId="0" applyNumberFormat="1" applyFont="1"/>
    <xf numFmtId="6" fontId="13" fillId="0" borderId="0" xfId="0" applyNumberFormat="1" applyFont="1"/>
    <xf numFmtId="0" fontId="13" fillId="0" borderId="0" xfId="0" applyFont="1" applyFill="1" applyBorder="1"/>
    <xf numFmtId="0" fontId="13" fillId="0" borderId="0" xfId="0" applyFont="1" applyFill="1"/>
    <xf numFmtId="5" fontId="20" fillId="0" borderId="0" xfId="0" applyNumberFormat="1" applyFont="1"/>
    <xf numFmtId="5" fontId="13" fillId="0" borderId="0" xfId="0" applyNumberFormat="1" applyFont="1" applyFill="1"/>
    <xf numFmtId="5" fontId="13" fillId="0" borderId="0" xfId="0" applyNumberFormat="1" applyFont="1" applyFill="1" applyAlignment="1">
      <alignment horizontal="right"/>
    </xf>
    <xf numFmtId="5" fontId="13" fillId="0" borderId="0" xfId="0" applyNumberFormat="1" applyFont="1" applyBorder="1" applyAlignment="1">
      <alignment horizontal="right"/>
    </xf>
    <xf numFmtId="5" fontId="13" fillId="0" borderId="0" xfId="0" applyNumberFormat="1" applyFont="1" applyAlignment="1">
      <alignment horizontal="right"/>
    </xf>
    <xf numFmtId="5" fontId="13" fillId="0" borderId="16" xfId="2" applyNumberFormat="1" applyFont="1" applyFill="1" applyBorder="1"/>
    <xf numFmtId="5" fontId="65" fillId="0" borderId="16" xfId="0" applyNumberFormat="1" applyFont="1" applyFill="1" applyBorder="1"/>
    <xf numFmtId="5" fontId="13" fillId="0" borderId="0" xfId="0" applyNumberFormat="1" applyFont="1" applyFill="1" applyBorder="1"/>
    <xf numFmtId="171" fontId="65" fillId="0" borderId="0" xfId="0" applyNumberFormat="1" applyFont="1" applyFill="1"/>
    <xf numFmtId="0" fontId="13" fillId="0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8" fillId="0" borderId="0" xfId="5" applyNumberFormat="1" applyFont="1"/>
    <xf numFmtId="3" fontId="13" fillId="0" borderId="0" xfId="0" applyNumberFormat="1" applyFont="1" applyBorder="1"/>
    <xf numFmtId="0" fontId="15" fillId="0" borderId="0" xfId="0" applyFont="1" applyBorder="1"/>
    <xf numFmtId="0" fontId="1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17" applyFont="1" applyAlignment="1">
      <alignment horizontal="center"/>
    </xf>
    <xf numFmtId="174" fontId="0" fillId="2" borderId="0" xfId="0" applyNumberFormat="1" applyFill="1" applyAlignment="1">
      <alignment horizontal="left"/>
    </xf>
    <xf numFmtId="173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/>
    <xf numFmtId="165" fontId="8" fillId="0" borderId="0" xfId="0" applyNumberFormat="1" applyFont="1" applyFill="1"/>
    <xf numFmtId="166" fontId="8" fillId="0" borderId="0" xfId="0" applyNumberFormat="1" applyFont="1" applyFill="1"/>
    <xf numFmtId="0" fontId="9" fillId="0" borderId="0" xfId="0" applyFont="1" applyFill="1"/>
    <xf numFmtId="49" fontId="43" fillId="0" borderId="0" xfId="0" applyNumberFormat="1" applyFont="1" applyFill="1" applyAlignment="1">
      <alignment horizontal="left"/>
    </xf>
    <xf numFmtId="0" fontId="0" fillId="0" borderId="0" xfId="0" applyFill="1"/>
    <xf numFmtId="173" fontId="39" fillId="0" borderId="0" xfId="0" applyNumberFormat="1" applyFont="1" applyFill="1"/>
    <xf numFmtId="173" fontId="0" fillId="0" borderId="0" xfId="0" applyNumberFormat="1" applyFill="1" applyAlignment="1">
      <alignment horizontal="center"/>
    </xf>
    <xf numFmtId="3" fontId="0" fillId="0" borderId="0" xfId="0" applyNumberFormat="1" applyFill="1"/>
    <xf numFmtId="171" fontId="0" fillId="0" borderId="0" xfId="1" applyNumberFormat="1" applyFont="1"/>
    <xf numFmtId="171" fontId="0" fillId="0" borderId="0" xfId="1" applyNumberFormat="1" applyFont="1" applyFill="1"/>
    <xf numFmtId="0" fontId="13" fillId="0" borderId="0" xfId="0" applyFont="1" applyAlignment="1">
      <alignment horizontal="center"/>
    </xf>
    <xf numFmtId="171" fontId="22" fillId="0" borderId="0" xfId="1" applyNumberFormat="1" applyFont="1"/>
    <xf numFmtId="169" fontId="48" fillId="0" borderId="0" xfId="17" applyNumberFormat="1" applyFont="1"/>
    <xf numFmtId="171" fontId="48" fillId="0" borderId="0" xfId="1" applyNumberFormat="1" applyFont="1"/>
    <xf numFmtId="171" fontId="48" fillId="0" borderId="10" xfId="1" applyNumberFormat="1" applyFont="1" applyBorder="1"/>
    <xf numFmtId="10" fontId="48" fillId="0" borderId="0" xfId="17" applyNumberFormat="1" applyFont="1"/>
    <xf numFmtId="169" fontId="68" fillId="0" borderId="0" xfId="17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6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1" applyNumberFormat="1" applyFont="1" applyFill="1"/>
    <xf numFmtId="0" fontId="13" fillId="0" borderId="0" xfId="17" applyFont="1" applyFill="1" applyAlignment="1">
      <alignment horizontal="center"/>
    </xf>
    <xf numFmtId="41" fontId="48" fillId="0" borderId="10" xfId="1" applyNumberFormat="1" applyFont="1" applyFill="1" applyBorder="1"/>
    <xf numFmtId="3" fontId="69" fillId="0" borderId="0" xfId="13" applyNumberFormat="1" applyFont="1"/>
    <xf numFmtId="43" fontId="45" fillId="0" borderId="0" xfId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5" fontId="46" fillId="0" borderId="0" xfId="0" applyNumberFormat="1" applyFont="1"/>
    <xf numFmtId="172" fontId="41" fillId="0" borderId="0" xfId="2" applyNumberFormat="1" applyFont="1" applyFill="1" applyBorder="1" applyAlignment="1">
      <alignment horizontal="right"/>
    </xf>
    <xf numFmtId="5" fontId="26" fillId="0" borderId="10" xfId="0" applyNumberFormat="1" applyFont="1" applyFill="1" applyBorder="1"/>
    <xf numFmtId="0" fontId="26" fillId="0" borderId="0" xfId="0" applyFont="1" applyFill="1" applyAlignment="1">
      <alignment horizontal="right"/>
    </xf>
    <xf numFmtId="5" fontId="26" fillId="0" borderId="16" xfId="0" applyNumberFormat="1" applyFont="1" applyFill="1" applyBorder="1"/>
    <xf numFmtId="5" fontId="26" fillId="0" borderId="0" xfId="0" applyNumberFormat="1" applyFont="1" applyFill="1" applyAlignment="1">
      <alignment horizontal="right"/>
    </xf>
    <xf numFmtId="5" fontId="26" fillId="0" borderId="1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5" fontId="26" fillId="0" borderId="0" xfId="0" applyNumberFormat="1" applyFont="1" applyFill="1" applyAlignment="1">
      <alignment horizontal="left"/>
    </xf>
    <xf numFmtId="179" fontId="13" fillId="0" borderId="0" xfId="7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41" fontId="50" fillId="0" borderId="0" xfId="6" applyNumberFormat="1" applyFont="1" applyFill="1"/>
    <xf numFmtId="4" fontId="13" fillId="0" borderId="21" xfId="0" applyNumberFormat="1" applyFont="1" applyFill="1" applyBorder="1" applyAlignment="1">
      <alignment horizontal="center"/>
    </xf>
    <xf numFmtId="3" fontId="13" fillId="0" borderId="0" xfId="0" applyNumberFormat="1" applyFont="1" applyFill="1" applyBorder="1"/>
    <xf numFmtId="37" fontId="13" fillId="0" borderId="0" xfId="0" applyNumberFormat="1" applyFont="1" applyFill="1" applyBorder="1"/>
    <xf numFmtId="5" fontId="13" fillId="0" borderId="0" xfId="0" applyNumberFormat="1" applyFont="1" applyBorder="1"/>
    <xf numFmtId="3" fontId="13" fillId="0" borderId="0" xfId="0" applyNumberFormat="1" applyFont="1" applyFill="1" applyAlignment="1">
      <alignment horizontal="left"/>
    </xf>
    <xf numFmtId="10" fontId="13" fillId="0" borderId="0" xfId="7" applyNumberFormat="1" applyFont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5" fontId="13" fillId="0" borderId="0" xfId="2" applyNumberFormat="1" applyFont="1" applyFill="1"/>
    <xf numFmtId="0" fontId="27" fillId="0" borderId="2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5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169" fontId="27" fillId="0" borderId="0" xfId="0" applyNumberFormat="1" applyFont="1" applyAlignment="1">
      <alignment horizontal="center"/>
    </xf>
    <xf numFmtId="169" fontId="27" fillId="0" borderId="0" xfId="0" applyNumberFormat="1" applyFont="1"/>
    <xf numFmtId="14" fontId="27" fillId="0" borderId="0" xfId="0" applyNumberFormat="1" applyFont="1"/>
    <xf numFmtId="0" fontId="27" fillId="0" borderId="0" xfId="0" applyFont="1"/>
    <xf numFmtId="169" fontId="27" fillId="0" borderId="0" xfId="0" applyNumberFormat="1" applyFont="1" applyAlignment="1">
      <alignment horizontal="right"/>
    </xf>
    <xf numFmtId="169" fontId="27" fillId="0" borderId="0" xfId="0" applyNumberFormat="1" applyFont="1" applyAlignment="1"/>
    <xf numFmtId="0" fontId="49" fillId="0" borderId="0" xfId="0" applyFont="1"/>
    <xf numFmtId="169" fontId="70" fillId="0" borderId="0" xfId="0" applyNumberFormat="1" applyFont="1" applyAlignment="1">
      <alignment horizontal="center"/>
    </xf>
    <xf numFmtId="169" fontId="27" fillId="0" borderId="0" xfId="0" applyNumberFormat="1" applyFont="1" applyFill="1" applyAlignment="1">
      <alignment horizontal="center"/>
    </xf>
    <xf numFmtId="0" fontId="27" fillId="0" borderId="10" xfId="0" applyFont="1" applyBorder="1" applyAlignment="1">
      <alignment horizontal="center"/>
    </xf>
    <xf numFmtId="169" fontId="27" fillId="0" borderId="0" xfId="0" applyNumberFormat="1" applyFont="1" applyFill="1"/>
    <xf numFmtId="5" fontId="26" fillId="0" borderId="0" xfId="1" applyNumberFormat="1" applyFont="1"/>
    <xf numFmtId="5" fontId="26" fillId="0" borderId="0" xfId="1" applyNumberFormat="1" applyFont="1" applyBorder="1"/>
    <xf numFmtId="169" fontId="26" fillId="0" borderId="0" xfId="17" applyNumberFormat="1" applyFont="1" applyFill="1"/>
    <xf numFmtId="169" fontId="26" fillId="0" borderId="0" xfId="17" applyNumberFormat="1" applyFont="1"/>
    <xf numFmtId="171" fontId="26" fillId="0" borderId="0" xfId="1" applyNumberFormat="1" applyFont="1"/>
    <xf numFmtId="171" fontId="26" fillId="0" borderId="0" xfId="1" applyNumberFormat="1" applyFont="1" applyBorder="1"/>
    <xf numFmtId="169" fontId="47" fillId="0" borderId="0" xfId="0" applyNumberFormat="1" applyFont="1" applyFill="1"/>
    <xf numFmtId="169" fontId="26" fillId="0" borderId="15" xfId="0" applyNumberFormat="1" applyFont="1" applyFill="1" applyBorder="1"/>
    <xf numFmtId="171" fontId="26" fillId="0" borderId="15" xfId="1" applyNumberFormat="1" applyFont="1" applyBorder="1"/>
    <xf numFmtId="10" fontId="71" fillId="0" borderId="0" xfId="0" applyNumberFormat="1" applyFont="1" applyFill="1"/>
    <xf numFmtId="169" fontId="26" fillId="0" borderId="10" xfId="0" applyNumberFormat="1" applyFont="1" applyFill="1" applyBorder="1"/>
    <xf numFmtId="171" fontId="26" fillId="0" borderId="10" xfId="1" applyNumberFormat="1" applyFont="1" applyBorder="1"/>
    <xf numFmtId="169" fontId="26" fillId="0" borderId="12" xfId="0" applyNumberFormat="1" applyFont="1" applyFill="1" applyBorder="1"/>
    <xf numFmtId="164" fontId="26" fillId="0" borderId="12" xfId="1" applyNumberFormat="1" applyFont="1" applyBorder="1"/>
    <xf numFmtId="164" fontId="26" fillId="0" borderId="0" xfId="1" applyNumberFormat="1" applyFont="1" applyBorder="1"/>
    <xf numFmtId="0" fontId="26" fillId="0" borderId="0" xfId="0" applyFont="1" applyAlignment="1">
      <alignment vertical="top" wrapText="1"/>
    </xf>
    <xf numFmtId="171" fontId="26" fillId="0" borderId="0" xfId="0" applyNumberFormat="1" applyFont="1"/>
    <xf numFmtId="0" fontId="27" fillId="5" borderId="2" xfId="0" applyFont="1" applyFill="1" applyBorder="1" applyAlignment="1">
      <alignment horizontal="center"/>
    </xf>
    <xf numFmtId="0" fontId="27" fillId="5" borderId="6" xfId="0" applyFont="1" applyFill="1" applyBorder="1" applyAlignment="1">
      <alignment horizontal="center"/>
    </xf>
    <xf numFmtId="14" fontId="27" fillId="5" borderId="9" xfId="0" quotePrefix="1" applyNumberFormat="1" applyFont="1" applyFill="1" applyBorder="1" applyAlignment="1">
      <alignment horizontal="center"/>
    </xf>
    <xf numFmtId="14" fontId="27" fillId="5" borderId="11" xfId="0" quotePrefix="1" applyNumberFormat="1" applyFont="1" applyFill="1" applyBorder="1" applyAlignment="1">
      <alignment horizontal="center"/>
    </xf>
    <xf numFmtId="0" fontId="27" fillId="5" borderId="7" xfId="0" applyFont="1" applyFill="1" applyBorder="1" applyAlignment="1">
      <alignment horizontal="center"/>
    </xf>
    <xf numFmtId="0" fontId="27" fillId="5" borderId="9" xfId="0" applyFont="1" applyFill="1" applyBorder="1" applyAlignment="1">
      <alignment horizontal="center"/>
    </xf>
    <xf numFmtId="0" fontId="27" fillId="5" borderId="1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14" fontId="26" fillId="0" borderId="8" xfId="0" quotePrefix="1" applyNumberFormat="1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13" fillId="0" borderId="0" xfId="6" applyNumberFormat="1" applyFont="1" applyAlignment="1">
      <alignment horizontal="center"/>
    </xf>
    <xf numFmtId="0" fontId="13" fillId="0" borderId="0" xfId="6" applyFont="1"/>
    <xf numFmtId="3" fontId="13" fillId="0" borderId="0" xfId="6" applyNumberFormat="1" applyFont="1"/>
    <xf numFmtId="41" fontId="13" fillId="0" borderId="0" xfId="5" applyNumberFormat="1" applyFont="1" applyFill="1"/>
    <xf numFmtId="3" fontId="13" fillId="0" borderId="0" xfId="6" applyNumberFormat="1" applyFont="1" applyFill="1"/>
    <xf numFmtId="3" fontId="63" fillId="0" borderId="0" xfId="6" applyNumberFormat="1" applyFont="1" applyFill="1"/>
    <xf numFmtId="3" fontId="72" fillId="0" borderId="0" xfId="6" applyNumberFormat="1" applyFont="1" applyFill="1"/>
    <xf numFmtId="3" fontId="14" fillId="0" borderId="0" xfId="6" applyNumberFormat="1" applyFont="1" applyFill="1"/>
    <xf numFmtId="3" fontId="73" fillId="0" borderId="0" xfId="6" applyNumberFormat="1" applyFont="1" applyFill="1"/>
    <xf numFmtId="3" fontId="14" fillId="0" borderId="0" xfId="6" applyNumberFormat="1" applyFont="1"/>
    <xf numFmtId="3" fontId="14" fillId="0" borderId="0" xfId="6" applyNumberFormat="1" applyFont="1" applyFill="1" applyBorder="1"/>
    <xf numFmtId="0" fontId="13" fillId="0" borderId="0" xfId="6" applyFont="1" applyFill="1" applyBorder="1"/>
    <xf numFmtId="0" fontId="6" fillId="0" borderId="0" xfId="0" applyFont="1"/>
    <xf numFmtId="3" fontId="74" fillId="0" borderId="0" xfId="22" applyNumberFormat="1" applyFont="1" applyFill="1"/>
    <xf numFmtId="3" fontId="14" fillId="0" borderId="0" xfId="6" applyNumberFormat="1" applyFont="1" applyFill="1" applyAlignment="1">
      <alignment horizontal="center"/>
    </xf>
    <xf numFmtId="3" fontId="14" fillId="0" borderId="0" xfId="6" applyNumberFormat="1" applyFont="1" applyFill="1" applyAlignment="1">
      <alignment vertical="center" wrapText="1"/>
    </xf>
    <xf numFmtId="41" fontId="14" fillId="0" borderId="0" xfId="20" applyNumberFormat="1" applyFont="1" applyFill="1" applyAlignment="1">
      <alignment wrapText="1"/>
    </xf>
    <xf numFmtId="41" fontId="14" fillId="0" borderId="0" xfId="20" applyNumberFormat="1" applyFont="1" applyFill="1" applyAlignment="1">
      <alignment horizontal="center"/>
    </xf>
    <xf numFmtId="41" fontId="13" fillId="0" borderId="0" xfId="20" applyNumberFormat="1" applyFont="1" applyFill="1"/>
    <xf numFmtId="41" fontId="14" fillId="0" borderId="0" xfId="20" applyNumberFormat="1" applyFont="1" applyFill="1" applyBorder="1" applyAlignment="1">
      <alignment wrapText="1"/>
    </xf>
    <xf numFmtId="41" fontId="14" fillId="0" borderId="0" xfId="20" applyNumberFormat="1" applyFont="1" applyFill="1" applyBorder="1" applyAlignment="1">
      <alignment horizontal="center"/>
    </xf>
    <xf numFmtId="41" fontId="73" fillId="0" borderId="0" xfId="22" applyNumberFormat="1" applyFont="1" applyFill="1" applyAlignment="1">
      <alignment horizontal="center"/>
    </xf>
    <xf numFmtId="3" fontId="14" fillId="0" borderId="0" xfId="6" applyNumberFormat="1" applyFont="1" applyAlignment="1">
      <alignment horizontal="center"/>
    </xf>
    <xf numFmtId="3" fontId="14" fillId="0" borderId="0" xfId="22" applyNumberFormat="1" applyFont="1" applyFill="1" applyAlignment="1">
      <alignment horizontal="center"/>
    </xf>
    <xf numFmtId="3" fontId="14" fillId="0" borderId="0" xfId="6" applyNumberFormat="1" applyFont="1" applyFill="1" applyAlignment="1">
      <alignment wrapText="1"/>
    </xf>
    <xf numFmtId="41" fontId="14" fillId="0" borderId="0" xfId="20" applyNumberFormat="1" applyFont="1" applyFill="1"/>
    <xf numFmtId="41" fontId="72" fillId="0" borderId="0" xfId="20" applyNumberFormat="1" applyFont="1" applyFill="1" applyBorder="1" applyAlignment="1">
      <alignment horizontal="center" vertical="center"/>
    </xf>
    <xf numFmtId="0" fontId="14" fillId="0" borderId="0" xfId="6" applyNumberFormat="1" applyFont="1" applyFill="1" applyAlignment="1">
      <alignment wrapText="1"/>
    </xf>
    <xf numFmtId="41" fontId="14" fillId="0" borderId="0" xfId="22" applyNumberFormat="1" applyFont="1" applyFill="1" applyBorder="1" applyAlignment="1">
      <alignment horizontal="center"/>
    </xf>
    <xf numFmtId="41" fontId="14" fillId="0" borderId="0" xfId="20" applyNumberFormat="1" applyFont="1" applyFill="1" applyBorder="1" applyAlignment="1">
      <alignment horizontal="center" wrapText="1"/>
    </xf>
    <xf numFmtId="3" fontId="14" fillId="0" borderId="0" xfId="6" applyNumberFormat="1" applyFont="1" applyFill="1" applyAlignment="1">
      <alignment horizontal="center" vertical="center" wrapText="1"/>
    </xf>
    <xf numFmtId="41" fontId="14" fillId="0" borderId="0" xfId="20" quotePrefix="1" applyNumberFormat="1" applyFont="1" applyFill="1" applyAlignment="1">
      <alignment horizontal="center"/>
    </xf>
    <xf numFmtId="3" fontId="74" fillId="0" borderId="0" xfId="6" applyNumberFormat="1" applyFont="1" applyAlignment="1">
      <alignment horizontal="center"/>
    </xf>
    <xf numFmtId="41" fontId="72" fillId="0" borderId="0" xfId="22" applyNumberFormat="1" applyFont="1" applyFill="1" applyAlignment="1">
      <alignment horizontal="center"/>
    </xf>
    <xf numFmtId="41" fontId="72" fillId="0" borderId="0" xfId="20" applyNumberFormat="1" applyFont="1" applyFill="1" applyAlignment="1">
      <alignment horizontal="center"/>
    </xf>
    <xf numFmtId="41" fontId="14" fillId="0" borderId="0" xfId="22" applyNumberFormat="1" applyFont="1" applyFill="1" applyAlignment="1">
      <alignment horizontal="center"/>
    </xf>
    <xf numFmtId="0" fontId="14" fillId="0" borderId="0" xfId="6" applyNumberFormat="1" applyFont="1" applyFill="1" applyAlignment="1">
      <alignment horizontal="center" wrapText="1"/>
    </xf>
    <xf numFmtId="0" fontId="14" fillId="0" borderId="0" xfId="6" applyNumberFormat="1" applyFont="1" applyFill="1" applyAlignment="1">
      <alignment horizontal="center"/>
    </xf>
    <xf numFmtId="0" fontId="73" fillId="0" borderId="0" xfId="6" applyNumberFormat="1" applyFont="1" applyFill="1" applyAlignment="1">
      <alignment horizontal="center"/>
    </xf>
    <xf numFmtId="41" fontId="14" fillId="7" borderId="1" xfId="20" applyNumberFormat="1" applyFont="1" applyFill="1" applyBorder="1" applyAlignment="1">
      <alignment horizontal="center"/>
    </xf>
    <xf numFmtId="0" fontId="13" fillId="0" borderId="0" xfId="6" applyFont="1" applyFill="1" applyBorder="1" applyAlignment="1">
      <alignment horizontal="center"/>
    </xf>
    <xf numFmtId="0" fontId="13" fillId="0" borderId="0" xfId="6" applyNumberFormat="1" applyFont="1" applyFill="1" applyAlignment="1">
      <alignment horizontal="center"/>
    </xf>
    <xf numFmtId="0" fontId="13" fillId="0" borderId="0" xfId="6" applyFont="1" applyFill="1" applyAlignment="1">
      <alignment horizontal="center"/>
    </xf>
    <xf numFmtId="3" fontId="13" fillId="0" borderId="0" xfId="6" applyNumberFormat="1" applyFont="1" applyFill="1" applyAlignment="1">
      <alignment horizontal="center"/>
    </xf>
    <xf numFmtId="3" fontId="63" fillId="0" borderId="0" xfId="6" quotePrefix="1" applyNumberFormat="1" applyFont="1" applyFill="1" applyAlignment="1">
      <alignment horizontal="center"/>
    </xf>
    <xf numFmtId="3" fontId="63" fillId="0" borderId="0" xfId="6" applyNumberFormat="1" applyFont="1" applyFill="1" applyAlignment="1">
      <alignment horizontal="center"/>
    </xf>
    <xf numFmtId="3" fontId="75" fillId="0" borderId="0" xfId="6" applyNumberFormat="1" applyFont="1" applyFill="1" applyAlignment="1">
      <alignment horizontal="center"/>
    </xf>
    <xf numFmtId="0" fontId="13" fillId="0" borderId="0" xfId="20" applyFont="1" applyFill="1" applyAlignment="1">
      <alignment horizontal="center"/>
    </xf>
    <xf numFmtId="3" fontId="13" fillId="0" borderId="10" xfId="6" applyNumberFormat="1" applyFont="1" applyFill="1" applyBorder="1" applyAlignment="1">
      <alignment wrapText="1"/>
    </xf>
    <xf numFmtId="41" fontId="14" fillId="5" borderId="0" xfId="20" applyNumberFormat="1" applyFont="1" applyFill="1" applyAlignment="1">
      <alignment horizontal="center"/>
    </xf>
    <xf numFmtId="3" fontId="13" fillId="0" borderId="0" xfId="6" applyNumberFormat="1" applyFont="1" applyFill="1" applyBorder="1" applyAlignment="1">
      <alignment horizontal="center"/>
    </xf>
    <xf numFmtId="41" fontId="14" fillId="7" borderId="8" xfId="20" applyNumberFormat="1" applyFont="1" applyFill="1" applyBorder="1" applyAlignment="1">
      <alignment horizontal="center"/>
    </xf>
    <xf numFmtId="0" fontId="14" fillId="0" borderId="1" xfId="6" applyNumberFormat="1" applyFont="1" applyFill="1" applyBorder="1" applyAlignment="1">
      <alignment horizontal="center"/>
    </xf>
    <xf numFmtId="0" fontId="14" fillId="0" borderId="2" xfId="6" applyFont="1" applyFill="1" applyBorder="1" applyAlignment="1">
      <alignment horizontal="center"/>
    </xf>
    <xf numFmtId="0" fontId="14" fillId="0" borderId="3" xfId="6" applyFont="1" applyFill="1" applyBorder="1" applyAlignment="1">
      <alignment horizontal="center"/>
    </xf>
    <xf numFmtId="3" fontId="14" fillId="0" borderId="1" xfId="6" applyNumberFormat="1" applyFont="1" applyFill="1" applyBorder="1" applyAlignment="1">
      <alignment horizontal="center"/>
    </xf>
    <xf numFmtId="41" fontId="14" fillId="0" borderId="1" xfId="22" applyNumberFormat="1" applyFont="1" applyFill="1" applyBorder="1" applyAlignment="1">
      <alignment horizontal="center"/>
    </xf>
    <xf numFmtId="41" fontId="72" fillId="0" borderId="1" xfId="22" applyNumberFormat="1" applyFont="1" applyFill="1" applyBorder="1" applyAlignment="1">
      <alignment horizontal="center"/>
    </xf>
    <xf numFmtId="3" fontId="72" fillId="0" borderId="1" xfId="6" applyNumberFormat="1" applyFont="1" applyFill="1" applyBorder="1" applyAlignment="1">
      <alignment horizontal="center"/>
    </xf>
    <xf numFmtId="41" fontId="14" fillId="0" borderId="1" xfId="20" applyNumberFormat="1" applyFont="1" applyFill="1" applyBorder="1" applyAlignment="1">
      <alignment horizontal="center"/>
    </xf>
    <xf numFmtId="41" fontId="14" fillId="5" borderId="1" xfId="20" applyNumberFormat="1" applyFont="1" applyFill="1" applyBorder="1" applyAlignment="1">
      <alignment horizontal="center"/>
    </xf>
    <xf numFmtId="3" fontId="14" fillId="0" borderId="4" xfId="6" applyNumberFormat="1" applyFont="1" applyFill="1" applyBorder="1" applyAlignment="1">
      <alignment horizontal="center"/>
    </xf>
    <xf numFmtId="3" fontId="14" fillId="0" borderId="1" xfId="20" applyNumberFormat="1" applyFont="1" applyBorder="1" applyAlignment="1">
      <alignment horizontal="center"/>
    </xf>
    <xf numFmtId="41" fontId="14" fillId="0" borderId="1" xfId="20" applyNumberFormat="1" applyFont="1" applyBorder="1" applyAlignment="1">
      <alignment horizontal="center"/>
    </xf>
    <xf numFmtId="3" fontId="14" fillId="0" borderId="1" xfId="22" applyNumberFormat="1" applyFont="1" applyBorder="1" applyAlignment="1">
      <alignment horizontal="center"/>
    </xf>
    <xf numFmtId="49" fontId="14" fillId="5" borderId="2" xfId="20" quotePrefix="1" applyNumberFormat="1" applyFont="1" applyFill="1" applyBorder="1" applyAlignment="1">
      <alignment horizontal="center"/>
    </xf>
    <xf numFmtId="41" fontId="14" fillId="0" borderId="0" xfId="4" applyNumberFormat="1" applyFont="1" applyFill="1" applyBorder="1" applyAlignment="1">
      <alignment horizontal="center"/>
    </xf>
    <xf numFmtId="49" fontId="14" fillId="0" borderId="1" xfId="22" applyNumberFormat="1" applyFont="1" applyBorder="1" applyAlignment="1">
      <alignment horizontal="center"/>
    </xf>
    <xf numFmtId="49" fontId="14" fillId="5" borderId="1" xfId="20" quotePrefix="1" applyNumberFormat="1" applyFont="1" applyFill="1" applyBorder="1" applyAlignment="1">
      <alignment horizontal="center"/>
    </xf>
    <xf numFmtId="0" fontId="14" fillId="0" borderId="0" xfId="6" applyFont="1" applyFill="1" applyBorder="1" applyAlignment="1">
      <alignment horizontal="center"/>
    </xf>
    <xf numFmtId="0" fontId="14" fillId="0" borderId="0" xfId="6" applyFont="1" applyFill="1" applyAlignment="1">
      <alignment horizontal="center"/>
    </xf>
    <xf numFmtId="0" fontId="14" fillId="0" borderId="5" xfId="6" applyNumberFormat="1" applyFont="1" applyFill="1" applyBorder="1" applyAlignment="1">
      <alignment horizontal="center"/>
    </xf>
    <xf numFmtId="0" fontId="14" fillId="0" borderId="6" xfId="6" applyFont="1" applyFill="1" applyBorder="1" applyAlignment="1">
      <alignment horizontal="center"/>
    </xf>
    <xf numFmtId="3" fontId="14" fillId="0" borderId="5" xfId="6" applyNumberFormat="1" applyFont="1" applyFill="1" applyBorder="1" applyAlignment="1">
      <alignment horizontal="center"/>
    </xf>
    <xf numFmtId="41" fontId="14" fillId="0" borderId="5" xfId="22" applyNumberFormat="1" applyFont="1" applyFill="1" applyBorder="1" applyAlignment="1">
      <alignment horizontal="center"/>
    </xf>
    <xf numFmtId="41" fontId="72" fillId="0" borderId="5" xfId="22" applyNumberFormat="1" applyFont="1" applyFill="1" applyBorder="1" applyAlignment="1">
      <alignment horizontal="center"/>
    </xf>
    <xf numFmtId="3" fontId="72" fillId="0" borderId="5" xfId="5" applyNumberFormat="1" applyFont="1" applyFill="1" applyBorder="1" applyAlignment="1">
      <alignment horizontal="center"/>
    </xf>
    <xf numFmtId="41" fontId="14" fillId="0" borderId="5" xfId="20" quotePrefix="1" applyNumberFormat="1" applyFont="1" applyFill="1" applyBorder="1" applyAlignment="1">
      <alignment horizontal="center"/>
    </xf>
    <xf numFmtId="41" fontId="14" fillId="5" borderId="5" xfId="20" applyNumberFormat="1" applyFont="1" applyFill="1" applyBorder="1" applyAlignment="1">
      <alignment horizontal="center"/>
    </xf>
    <xf numFmtId="3" fontId="14" fillId="0" borderId="7" xfId="6" applyNumberFormat="1" applyFont="1" applyFill="1" applyBorder="1" applyAlignment="1">
      <alignment horizontal="center"/>
    </xf>
    <xf numFmtId="41" fontId="14" fillId="0" borderId="5" xfId="20" applyNumberFormat="1" applyFont="1" applyFill="1" applyBorder="1" applyAlignment="1">
      <alignment horizontal="center"/>
    </xf>
    <xf numFmtId="3" fontId="14" fillId="0" borderId="5" xfId="5" applyNumberFormat="1" applyFont="1" applyFill="1" applyBorder="1" applyAlignment="1">
      <alignment horizontal="center"/>
    </xf>
    <xf numFmtId="3" fontId="14" fillId="0" borderId="5" xfId="20" applyNumberFormat="1" applyFont="1" applyBorder="1" applyAlignment="1">
      <alignment horizontal="center"/>
    </xf>
    <xf numFmtId="3" fontId="14" fillId="0" borderId="5" xfId="22" applyNumberFormat="1" applyFont="1" applyBorder="1" applyAlignment="1">
      <alignment horizontal="center"/>
    </xf>
    <xf numFmtId="41" fontId="14" fillId="0" borderId="5" xfId="20" applyNumberFormat="1" applyFont="1" applyBorder="1" applyAlignment="1">
      <alignment horizontal="center"/>
    </xf>
    <xf numFmtId="41" fontId="14" fillId="5" borderId="6" xfId="20" applyNumberFormat="1" applyFont="1" applyFill="1" applyBorder="1" applyAlignment="1">
      <alignment horizontal="center"/>
    </xf>
    <xf numFmtId="41" fontId="14" fillId="7" borderId="5" xfId="20" applyNumberFormat="1" applyFont="1" applyFill="1" applyBorder="1" applyAlignment="1">
      <alignment horizontal="center"/>
    </xf>
    <xf numFmtId="0" fontId="14" fillId="0" borderId="8" xfId="6" applyNumberFormat="1" applyFont="1" applyFill="1" applyBorder="1" applyAlignment="1">
      <alignment horizontal="center"/>
    </xf>
    <xf numFmtId="0" fontId="14" fillId="0" borderId="9" xfId="6" applyFont="1" applyFill="1" applyBorder="1" applyAlignment="1">
      <alignment horizontal="center"/>
    </xf>
    <xf numFmtId="0" fontId="14" fillId="0" borderId="10" xfId="6" applyFont="1" applyFill="1" applyBorder="1" applyAlignment="1">
      <alignment horizontal="center"/>
    </xf>
    <xf numFmtId="0" fontId="14" fillId="0" borderId="11" xfId="6" applyFont="1" applyFill="1" applyBorder="1" applyAlignment="1">
      <alignment horizontal="center"/>
    </xf>
    <xf numFmtId="3" fontId="14" fillId="0" borderId="8" xfId="6" applyNumberFormat="1" applyFont="1" applyFill="1" applyBorder="1" applyAlignment="1">
      <alignment horizontal="center"/>
    </xf>
    <xf numFmtId="41" fontId="14" fillId="0" borderId="8" xfId="22" applyNumberFormat="1" applyFont="1" applyFill="1" applyBorder="1" applyAlignment="1">
      <alignment horizontal="center"/>
    </xf>
    <xf numFmtId="41" fontId="72" fillId="0" borderId="8" xfId="22" applyNumberFormat="1" applyFont="1" applyFill="1" applyBorder="1" applyAlignment="1">
      <alignment horizontal="center"/>
    </xf>
    <xf numFmtId="3" fontId="72" fillId="0" borderId="8" xfId="5" applyNumberFormat="1" applyFont="1" applyFill="1" applyBorder="1" applyAlignment="1">
      <alignment horizontal="center"/>
    </xf>
    <xf numFmtId="41" fontId="14" fillId="0" borderId="8" xfId="20" applyNumberFormat="1" applyFont="1" applyFill="1" applyBorder="1" applyAlignment="1">
      <alignment horizontal="center"/>
    </xf>
    <xf numFmtId="3" fontId="14" fillId="5" borderId="8" xfId="6" quotePrefix="1" applyNumberFormat="1" applyFont="1" applyFill="1" applyBorder="1" applyAlignment="1">
      <alignment horizontal="center"/>
    </xf>
    <xf numFmtId="3" fontId="14" fillId="0" borderId="11" xfId="6" applyNumberFormat="1" applyFont="1" applyFill="1" applyBorder="1" applyAlignment="1">
      <alignment horizontal="center"/>
    </xf>
    <xf numFmtId="41" fontId="14" fillId="0" borderId="8" xfId="20" applyNumberFormat="1" applyFont="1" applyBorder="1" applyAlignment="1">
      <alignment horizontal="center"/>
    </xf>
    <xf numFmtId="3" fontId="14" fillId="0" borderId="8" xfId="20" applyNumberFormat="1" applyFont="1" applyBorder="1" applyAlignment="1">
      <alignment horizontal="center"/>
    </xf>
    <xf numFmtId="3" fontId="14" fillId="0" borderId="8" xfId="5" applyNumberFormat="1" applyFont="1" applyFill="1" applyBorder="1" applyAlignment="1">
      <alignment horizontal="center"/>
    </xf>
    <xf numFmtId="3" fontId="14" fillId="0" borderId="8" xfId="22" applyNumberFormat="1" applyFont="1" applyBorder="1" applyAlignment="1">
      <alignment horizontal="center"/>
    </xf>
    <xf numFmtId="41" fontId="14" fillId="5" borderId="9" xfId="20" applyNumberFormat="1" applyFont="1" applyFill="1" applyBorder="1" applyAlignment="1">
      <alignment horizontal="center"/>
    </xf>
    <xf numFmtId="3" fontId="14" fillId="0" borderId="0" xfId="6" applyNumberFormat="1" applyFont="1" applyFill="1" applyBorder="1" applyAlignment="1">
      <alignment horizontal="center"/>
    </xf>
    <xf numFmtId="41" fontId="14" fillId="5" borderId="8" xfId="20" applyNumberFormat="1" applyFont="1" applyFill="1" applyBorder="1" applyAlignment="1">
      <alignment horizontal="center"/>
    </xf>
    <xf numFmtId="4" fontId="14" fillId="0" borderId="0" xfId="6" applyNumberFormat="1" applyFont="1" applyFill="1" applyAlignment="1">
      <alignment horizontal="center"/>
    </xf>
    <xf numFmtId="4" fontId="14" fillId="0" borderId="0" xfId="6" applyNumberFormat="1" applyFont="1" applyFill="1" applyBorder="1" applyAlignment="1">
      <alignment horizontal="center"/>
    </xf>
    <xf numFmtId="4" fontId="72" fillId="0" borderId="0" xfId="6" applyNumberFormat="1" applyFont="1" applyFill="1" applyBorder="1" applyAlignment="1">
      <alignment horizontal="center"/>
    </xf>
    <xf numFmtId="3" fontId="14" fillId="5" borderId="0" xfId="6" applyNumberFormat="1" applyFont="1" applyFill="1" applyAlignment="1">
      <alignment horizontal="center"/>
    </xf>
    <xf numFmtId="4" fontId="73" fillId="0" borderId="0" xfId="6" applyNumberFormat="1" applyFont="1" applyFill="1" applyBorder="1" applyAlignment="1">
      <alignment horizontal="center"/>
    </xf>
    <xf numFmtId="2" fontId="14" fillId="0" borderId="0" xfId="10" applyNumberFormat="1" applyFont="1" applyFill="1" applyAlignment="1" applyProtection="1">
      <alignment horizontal="center"/>
    </xf>
    <xf numFmtId="2" fontId="14" fillId="0" borderId="3" xfId="10" applyNumberFormat="1" applyFont="1" applyFill="1" applyBorder="1" applyAlignment="1" applyProtection="1">
      <alignment horizontal="center"/>
    </xf>
    <xf numFmtId="2" fontId="14" fillId="0" borderId="0" xfId="10" applyNumberFormat="1" applyFont="1" applyFill="1" applyBorder="1" applyAlignment="1" applyProtection="1">
      <alignment horizontal="center"/>
    </xf>
    <xf numFmtId="3" fontId="14" fillId="5" borderId="6" xfId="6" applyNumberFormat="1" applyFont="1" applyFill="1" applyBorder="1" applyAlignment="1">
      <alignment horizontal="center"/>
    </xf>
    <xf numFmtId="2" fontId="14" fillId="5" borderId="5" xfId="20" applyNumberFormat="1" applyFont="1" applyFill="1" applyBorder="1" applyAlignment="1">
      <alignment horizontal="center"/>
    </xf>
    <xf numFmtId="2" fontId="14" fillId="7" borderId="0" xfId="20" applyNumberFormat="1" applyFont="1" applyFill="1" applyAlignment="1">
      <alignment horizontal="center"/>
    </xf>
    <xf numFmtId="3" fontId="72" fillId="0" borderId="0" xfId="6" applyNumberFormat="1" applyFont="1" applyFill="1" applyAlignment="1">
      <alignment horizontal="center"/>
    </xf>
    <xf numFmtId="3" fontId="73" fillId="0" borderId="0" xfId="6" applyNumberFormat="1" applyFont="1" applyFill="1" applyAlignment="1">
      <alignment horizontal="center"/>
    </xf>
    <xf numFmtId="2" fontId="14" fillId="5" borderId="6" xfId="20" applyNumberFormat="1" applyFont="1" applyFill="1" applyBorder="1" applyAlignment="1">
      <alignment horizontal="center"/>
    </xf>
    <xf numFmtId="0" fontId="13" fillId="0" borderId="0" xfId="6" applyFont="1" applyFill="1"/>
    <xf numFmtId="3" fontId="14" fillId="5" borderId="0" xfId="6" applyNumberFormat="1" applyFont="1" applyFill="1"/>
    <xf numFmtId="3" fontId="75" fillId="0" borderId="0" xfId="6" applyNumberFormat="1" applyFont="1" applyFill="1"/>
    <xf numFmtId="3" fontId="13" fillId="0" borderId="0" xfId="6" applyNumberFormat="1" applyFont="1" applyFill="1" applyBorder="1"/>
    <xf numFmtId="3" fontId="14" fillId="5" borderId="6" xfId="6" applyNumberFormat="1" applyFont="1" applyFill="1" applyBorder="1"/>
    <xf numFmtId="3" fontId="14" fillId="6" borderId="0" xfId="6" applyNumberFormat="1" applyFont="1" applyFill="1"/>
    <xf numFmtId="5" fontId="13" fillId="0" borderId="0" xfId="6" applyNumberFormat="1" applyFont="1"/>
    <xf numFmtId="42" fontId="13" fillId="0" borderId="0" xfId="6" applyNumberFormat="1" applyFont="1"/>
    <xf numFmtId="42" fontId="13" fillId="0" borderId="0" xfId="4" applyNumberFormat="1" applyFont="1" applyFill="1"/>
    <xf numFmtId="41" fontId="13" fillId="0" borderId="0" xfId="4" applyNumberFormat="1" applyFont="1" applyFill="1"/>
    <xf numFmtId="42" fontId="63" fillId="0" borderId="0" xfId="4" applyNumberFormat="1" applyFont="1" applyFill="1"/>
    <xf numFmtId="42" fontId="14" fillId="5" borderId="0" xfId="6" applyNumberFormat="1" applyFont="1" applyFill="1"/>
    <xf numFmtId="42" fontId="75" fillId="0" borderId="0" xfId="4" applyNumberFormat="1" applyFont="1" applyFill="1"/>
    <xf numFmtId="42" fontId="13" fillId="0" borderId="0" xfId="4" applyNumberFormat="1" applyFont="1" applyFill="1" applyBorder="1"/>
    <xf numFmtId="42" fontId="14" fillId="5" borderId="6" xfId="6" applyNumberFormat="1" applyFont="1" applyFill="1" applyBorder="1"/>
    <xf numFmtId="42" fontId="14" fillId="0" borderId="0" xfId="6" applyNumberFormat="1" applyFont="1" applyFill="1" applyBorder="1"/>
    <xf numFmtId="42" fontId="14" fillId="6" borderId="0" xfId="4" applyNumberFormat="1" applyFont="1" applyFill="1"/>
    <xf numFmtId="5" fontId="13" fillId="0" borderId="0" xfId="6" applyNumberFormat="1" applyFont="1" applyFill="1" applyBorder="1"/>
    <xf numFmtId="37" fontId="13" fillId="0" borderId="0" xfId="6" applyNumberFormat="1" applyFont="1"/>
    <xf numFmtId="41" fontId="13" fillId="0" borderId="0" xfId="6" applyNumberFormat="1" applyFont="1"/>
    <xf numFmtId="41" fontId="63" fillId="0" borderId="0" xfId="4" applyNumberFormat="1" applyFont="1" applyFill="1"/>
    <xf numFmtId="41" fontId="14" fillId="5" borderId="0" xfId="6" applyNumberFormat="1" applyFont="1" applyFill="1"/>
    <xf numFmtId="41" fontId="75" fillId="0" borderId="0" xfId="4" applyNumberFormat="1" applyFont="1" applyFill="1"/>
    <xf numFmtId="41" fontId="13" fillId="0" borderId="0" xfId="4" applyNumberFormat="1" applyFont="1" applyFill="1" applyBorder="1"/>
    <xf numFmtId="41" fontId="14" fillId="5" borderId="6" xfId="6" applyNumberFormat="1" applyFont="1" applyFill="1" applyBorder="1"/>
    <xf numFmtId="41" fontId="14" fillId="0" borderId="0" xfId="6" applyNumberFormat="1" applyFont="1" applyFill="1" applyBorder="1"/>
    <xf numFmtId="171" fontId="14" fillId="6" borderId="0" xfId="1" applyNumberFormat="1" applyFont="1" applyFill="1"/>
    <xf numFmtId="41" fontId="13" fillId="0" borderId="10" xfId="6" applyNumberFormat="1" applyFont="1" applyBorder="1"/>
    <xf numFmtId="41" fontId="13" fillId="0" borderId="10" xfId="4" applyNumberFormat="1" applyFont="1" applyFill="1" applyBorder="1"/>
    <xf numFmtId="41" fontId="63" fillId="0" borderId="10" xfId="4" applyNumberFormat="1" applyFont="1" applyFill="1" applyBorder="1"/>
    <xf numFmtId="41" fontId="14" fillId="5" borderId="10" xfId="6" applyNumberFormat="1" applyFont="1" applyFill="1" applyBorder="1"/>
    <xf numFmtId="41" fontId="75" fillId="0" borderId="10" xfId="4" applyNumberFormat="1" applyFont="1" applyFill="1" applyBorder="1"/>
    <xf numFmtId="41" fontId="14" fillId="5" borderId="9" xfId="6" applyNumberFormat="1" applyFont="1" applyFill="1" applyBorder="1"/>
    <xf numFmtId="171" fontId="14" fillId="6" borderId="10" xfId="1" applyNumberFormat="1" applyFont="1" applyFill="1" applyBorder="1"/>
    <xf numFmtId="171" fontId="13" fillId="0" borderId="10" xfId="1" applyNumberFormat="1" applyFont="1" applyFill="1" applyBorder="1"/>
    <xf numFmtId="41" fontId="13" fillId="0" borderId="0" xfId="6" applyNumberFormat="1" applyFont="1" applyFill="1"/>
    <xf numFmtId="41" fontId="63" fillId="0" borderId="0" xfId="6" applyNumberFormat="1" applyFont="1" applyFill="1"/>
    <xf numFmtId="41" fontId="75" fillId="0" borderId="0" xfId="6" applyNumberFormat="1" applyFont="1" applyFill="1"/>
    <xf numFmtId="41" fontId="13" fillId="0" borderId="0" xfId="6" applyNumberFormat="1" applyFont="1" applyFill="1" applyBorder="1"/>
    <xf numFmtId="41" fontId="14" fillId="6" borderId="0" xfId="6" applyNumberFormat="1" applyFont="1" applyFill="1"/>
    <xf numFmtId="41" fontId="14" fillId="6" borderId="0" xfId="4" applyNumberFormat="1" applyFont="1" applyFill="1"/>
    <xf numFmtId="37" fontId="13" fillId="0" borderId="0" xfId="6" applyNumberFormat="1" applyFont="1" applyFill="1"/>
    <xf numFmtId="41" fontId="13" fillId="0" borderId="10" xfId="6" applyNumberFormat="1" applyFont="1" applyFill="1" applyBorder="1"/>
    <xf numFmtId="41" fontId="63" fillId="0" borderId="10" xfId="6" applyNumberFormat="1" applyFont="1" applyFill="1" applyBorder="1"/>
    <xf numFmtId="41" fontId="75" fillId="0" borderId="10" xfId="6" applyNumberFormat="1" applyFont="1" applyFill="1" applyBorder="1"/>
    <xf numFmtId="41" fontId="14" fillId="6" borderId="10" xfId="6" applyNumberFormat="1" applyFont="1" applyFill="1" applyBorder="1"/>
    <xf numFmtId="42" fontId="13" fillId="0" borderId="12" xfId="6" applyNumberFormat="1" applyFont="1" applyBorder="1"/>
    <xf numFmtId="42" fontId="13" fillId="0" borderId="12" xfId="6" applyNumberFormat="1" applyFont="1" applyFill="1" applyBorder="1"/>
    <xf numFmtId="42" fontId="63" fillId="0" borderId="12" xfId="6" applyNumberFormat="1" applyFont="1" applyFill="1" applyBorder="1"/>
    <xf numFmtId="42" fontId="14" fillId="5" borderId="12" xfId="6" applyNumberFormat="1" applyFont="1" applyFill="1" applyBorder="1"/>
    <xf numFmtId="42" fontId="75" fillId="0" borderId="12" xfId="6" applyNumberFormat="1" applyFont="1" applyFill="1" applyBorder="1"/>
    <xf numFmtId="42" fontId="14" fillId="5" borderId="38" xfId="6" applyNumberFormat="1" applyFont="1" applyFill="1" applyBorder="1"/>
    <xf numFmtId="42" fontId="14" fillId="6" borderId="12" xfId="6" applyNumberFormat="1" applyFont="1" applyFill="1" applyBorder="1"/>
    <xf numFmtId="41" fontId="72" fillId="0" borderId="0" xfId="6" applyNumberFormat="1" applyFont="1" applyFill="1"/>
    <xf numFmtId="41" fontId="73" fillId="0" borderId="0" xfId="6" applyNumberFormat="1" applyFont="1" applyFill="1"/>
    <xf numFmtId="41" fontId="14" fillId="0" borderId="0" xfId="6" applyNumberFormat="1" applyFont="1" applyFill="1"/>
    <xf numFmtId="41" fontId="72" fillId="0" borderId="0" xfId="4" applyNumberFormat="1" applyFont="1" applyFill="1"/>
    <xf numFmtId="41" fontId="73" fillId="0" borderId="0" xfId="4" applyNumberFormat="1" applyFont="1" applyFill="1"/>
    <xf numFmtId="41" fontId="14" fillId="0" borderId="0" xfId="4" applyNumberFormat="1" applyFont="1" applyFill="1"/>
    <xf numFmtId="42" fontId="72" fillId="0" borderId="0" xfId="4" applyNumberFormat="1" applyFont="1" applyFill="1"/>
    <xf numFmtId="42" fontId="73" fillId="0" borderId="0" xfId="4" applyNumberFormat="1" applyFont="1" applyFill="1"/>
    <xf numFmtId="42" fontId="14" fillId="0" borderId="0" xfId="4" applyNumberFormat="1" applyFont="1" applyFill="1"/>
    <xf numFmtId="41" fontId="72" fillId="0" borderId="10" xfId="4" applyNumberFormat="1" applyFont="1" applyFill="1" applyBorder="1"/>
    <xf numFmtId="41" fontId="73" fillId="0" borderId="10" xfId="4" applyNumberFormat="1" applyFont="1" applyFill="1" applyBorder="1"/>
    <xf numFmtId="41" fontId="14" fillId="0" borderId="10" xfId="4" applyNumberFormat="1" applyFont="1" applyFill="1" applyBorder="1"/>
    <xf numFmtId="41" fontId="13" fillId="0" borderId="15" xfId="6" applyNumberFormat="1" applyFont="1" applyBorder="1"/>
    <xf numFmtId="41" fontId="13" fillId="0" borderId="15" xfId="6" applyNumberFormat="1" applyFont="1" applyFill="1" applyBorder="1"/>
    <xf numFmtId="41" fontId="63" fillId="0" borderId="15" xfId="6" applyNumberFormat="1" applyFont="1" applyFill="1" applyBorder="1"/>
    <xf numFmtId="41" fontId="14" fillId="5" borderId="15" xfId="6" applyNumberFormat="1" applyFont="1" applyFill="1" applyBorder="1"/>
    <xf numFmtId="41" fontId="75" fillId="0" borderId="15" xfId="6" applyNumberFormat="1" applyFont="1" applyFill="1" applyBorder="1"/>
    <xf numFmtId="41" fontId="14" fillId="5" borderId="13" xfId="6" applyNumberFormat="1" applyFont="1" applyFill="1" applyBorder="1"/>
    <xf numFmtId="41" fontId="14" fillId="6" borderId="15" xfId="6" applyNumberFormat="1" applyFont="1" applyFill="1" applyBorder="1"/>
    <xf numFmtId="41" fontId="13" fillId="0" borderId="0" xfId="6" applyNumberFormat="1" applyFont="1" applyBorder="1"/>
    <xf numFmtId="41" fontId="63" fillId="0" borderId="0" xfId="6" applyNumberFormat="1" applyFont="1" applyFill="1" applyBorder="1"/>
    <xf numFmtId="41" fontId="14" fillId="5" borderId="0" xfId="6" applyNumberFormat="1" applyFont="1" applyFill="1" applyBorder="1"/>
    <xf numFmtId="41" fontId="75" fillId="0" borderId="0" xfId="6" applyNumberFormat="1" applyFont="1" applyFill="1" applyBorder="1"/>
    <xf numFmtId="41" fontId="14" fillId="6" borderId="0" xfId="6" applyNumberFormat="1" applyFont="1" applyFill="1" applyBorder="1"/>
    <xf numFmtId="0" fontId="13" fillId="0" borderId="0" xfId="6" applyNumberFormat="1" applyFont="1" applyBorder="1" applyAlignment="1">
      <alignment horizontal="center"/>
    </xf>
    <xf numFmtId="37" fontId="13" fillId="0" borderId="0" xfId="6" applyNumberFormat="1" applyFont="1" applyBorder="1"/>
    <xf numFmtId="0" fontId="13" fillId="0" borderId="0" xfId="6" applyFont="1" applyBorder="1"/>
    <xf numFmtId="41" fontId="63" fillId="0" borderId="0" xfId="4" applyNumberFormat="1" applyFont="1" applyFill="1" applyBorder="1"/>
    <xf numFmtId="0" fontId="14" fillId="0" borderId="0" xfId="6" applyNumberFormat="1" applyFont="1" applyAlignment="1">
      <alignment horizontal="center"/>
    </xf>
    <xf numFmtId="5" fontId="14" fillId="0" borderId="0" xfId="6" applyNumberFormat="1" applyFont="1"/>
    <xf numFmtId="42" fontId="14" fillId="0" borderId="12" xfId="6" applyNumberFormat="1" applyFont="1" applyBorder="1"/>
    <xf numFmtId="42" fontId="14" fillId="0" borderId="12" xfId="6" applyNumberFormat="1" applyFont="1" applyFill="1" applyBorder="1"/>
    <xf numFmtId="42" fontId="72" fillId="0" borderId="12" xfId="6" applyNumberFormat="1" applyFont="1" applyFill="1" applyBorder="1"/>
    <xf numFmtId="42" fontId="73" fillId="0" borderId="12" xfId="6" applyNumberFormat="1" applyFont="1" applyFill="1" applyBorder="1"/>
    <xf numFmtId="5" fontId="14" fillId="0" borderId="0" xfId="6" applyNumberFormat="1" applyFont="1" applyFill="1" applyBorder="1"/>
    <xf numFmtId="10" fontId="13" fillId="0" borderId="0" xfId="7" applyNumberFormat="1" applyFont="1"/>
    <xf numFmtId="10" fontId="14" fillId="0" borderId="0" xfId="7" quotePrefix="1" applyNumberFormat="1" applyFont="1" applyFill="1" applyAlignment="1">
      <alignment horizontal="center"/>
    </xf>
    <xf numFmtId="10" fontId="14" fillId="5" borderId="0" xfId="7" applyNumberFormat="1" applyFont="1" applyFill="1"/>
    <xf numFmtId="10" fontId="14" fillId="0" borderId="0" xfId="7" applyNumberFormat="1" applyFont="1" applyFill="1" applyBorder="1"/>
    <xf numFmtId="3" fontId="14" fillId="5" borderId="13" xfId="6" applyNumberFormat="1" applyFont="1" applyFill="1" applyBorder="1"/>
    <xf numFmtId="41" fontId="14" fillId="6" borderId="13" xfId="7" applyNumberFormat="1" applyFont="1" applyFill="1" applyBorder="1"/>
    <xf numFmtId="41" fontId="13" fillId="0" borderId="13" xfId="7" applyNumberFormat="1" applyFont="1" applyFill="1" applyBorder="1"/>
    <xf numFmtId="41" fontId="68" fillId="0" borderId="0" xfId="6" applyNumberFormat="1" applyFont="1" applyFill="1" applyAlignment="1">
      <alignment vertical="top" wrapText="1"/>
    </xf>
    <xf numFmtId="41" fontId="14" fillId="0" borderId="0" xfId="6" applyNumberFormat="1" applyFont="1" applyFill="1" applyAlignment="1">
      <alignment vertical="top" wrapText="1"/>
    </xf>
    <xf numFmtId="177" fontId="13" fillId="0" borderId="0" xfId="6" applyNumberFormat="1" applyFont="1" applyFill="1"/>
    <xf numFmtId="0" fontId="13" fillId="0" borderId="0" xfId="6" applyNumberFormat="1" applyFont="1" applyFill="1" applyAlignment="1">
      <alignment horizontal="left"/>
    </xf>
    <xf numFmtId="0" fontId="13" fillId="0" borderId="0" xfId="5" applyFont="1" applyFill="1"/>
    <xf numFmtId="10" fontId="13" fillId="0" borderId="0" xfId="7" applyNumberFormat="1" applyFont="1" applyFill="1"/>
    <xf numFmtId="176" fontId="13" fillId="0" borderId="0" xfId="5" applyNumberFormat="1" applyFont="1" applyFill="1"/>
    <xf numFmtId="41" fontId="63" fillId="0" borderId="0" xfId="5" applyNumberFormat="1" applyFont="1" applyFill="1"/>
    <xf numFmtId="41" fontId="75" fillId="0" borderId="0" xfId="5" applyNumberFormat="1" applyFont="1" applyFill="1"/>
    <xf numFmtId="41" fontId="14" fillId="0" borderId="0" xfId="5" applyNumberFormat="1" applyFont="1" applyFill="1"/>
    <xf numFmtId="41" fontId="14" fillId="0" borderId="0" xfId="5" applyNumberFormat="1" applyFont="1" applyFill="1" applyBorder="1"/>
    <xf numFmtId="3" fontId="13" fillId="0" borderId="0" xfId="5" applyNumberFormat="1" applyFont="1" applyFill="1"/>
    <xf numFmtId="3" fontId="63" fillId="0" borderId="0" xfId="5" applyNumberFormat="1" applyFont="1" applyFill="1"/>
    <xf numFmtId="3" fontId="75" fillId="0" borderId="0" xfId="5" applyNumberFormat="1" applyFont="1" applyFill="1"/>
    <xf numFmtId="3" fontId="14" fillId="0" borderId="0" xfId="5" applyNumberFormat="1" applyFont="1" applyFill="1"/>
    <xf numFmtId="3" fontId="14" fillId="0" borderId="0" xfId="5" applyNumberFormat="1" applyFont="1" applyFill="1" applyBorder="1"/>
    <xf numFmtId="0" fontId="13" fillId="0" borderId="0" xfId="6" applyNumberFormat="1" applyFont="1" applyFill="1" applyBorder="1" applyAlignment="1">
      <alignment horizontal="center"/>
    </xf>
    <xf numFmtId="0" fontId="13" fillId="0" borderId="0" xfId="5" applyFont="1" applyFill="1" applyBorder="1"/>
    <xf numFmtId="3" fontId="13" fillId="0" borderId="0" xfId="5" applyNumberFormat="1" applyFont="1" applyFill="1" applyBorder="1"/>
    <xf numFmtId="3" fontId="63" fillId="0" borderId="0" xfId="5" applyNumberFormat="1" applyFont="1" applyFill="1" applyBorder="1"/>
    <xf numFmtId="3" fontId="75" fillId="0" borderId="0" xfId="5" applyNumberFormat="1" applyFont="1" applyFill="1" applyBorder="1"/>
    <xf numFmtId="0" fontId="76" fillId="0" borderId="0" xfId="0" applyFont="1" applyFill="1" applyBorder="1" applyAlignment="1">
      <alignment horizontal="left"/>
    </xf>
    <xf numFmtId="0" fontId="13" fillId="0" borderId="0" xfId="5" applyFont="1" applyFill="1" applyBorder="1" applyAlignment="1">
      <alignment horizontal="right"/>
    </xf>
    <xf numFmtId="41" fontId="13" fillId="0" borderId="0" xfId="20" applyNumberFormat="1" applyFont="1" applyFill="1" applyAlignment="1">
      <alignment horizontal="right"/>
    </xf>
    <xf numFmtId="3" fontId="63" fillId="0" borderId="0" xfId="6" applyNumberFormat="1" applyFont="1" applyFill="1" applyBorder="1"/>
    <xf numFmtId="3" fontId="72" fillId="0" borderId="0" xfId="6" applyNumberFormat="1" applyFont="1" applyFill="1" applyBorder="1"/>
    <xf numFmtId="3" fontId="73" fillId="0" borderId="0" xfId="6" applyNumberFormat="1" applyFont="1" applyFill="1" applyBorder="1"/>
    <xf numFmtId="3" fontId="13" fillId="0" borderId="0" xfId="6" applyNumberFormat="1" applyFont="1" applyBorder="1"/>
    <xf numFmtId="0" fontId="14" fillId="0" borderId="4" xfId="6" applyFont="1" applyFill="1" applyBorder="1"/>
    <xf numFmtId="0" fontId="14" fillId="0" borderId="7" xfId="6" applyFont="1" applyFill="1" applyBorder="1"/>
    <xf numFmtId="0" fontId="14" fillId="0" borderId="0" xfId="6" applyNumberFormat="1" applyFont="1" applyAlignment="1">
      <alignment horizontal="left"/>
    </xf>
    <xf numFmtId="0" fontId="14" fillId="0" borderId="0" xfId="6" applyFont="1"/>
    <xf numFmtId="0" fontId="14" fillId="0" borderId="0" xfId="6" applyFont="1" applyFill="1" applyAlignment="1">
      <alignment vertical="top" wrapText="1"/>
    </xf>
    <xf numFmtId="0" fontId="72" fillId="0" borderId="0" xfId="0" applyFont="1" applyFill="1"/>
    <xf numFmtId="0" fontId="14" fillId="0" borderId="0" xfId="0" applyFont="1" applyFill="1" applyAlignment="1">
      <alignment vertical="top"/>
    </xf>
    <xf numFmtId="0" fontId="73" fillId="0" borderId="0" xfId="0" applyFont="1" applyFill="1" applyAlignment="1">
      <alignment vertical="top"/>
    </xf>
    <xf numFmtId="0" fontId="14" fillId="0" borderId="0" xfId="6" applyFont="1" applyFill="1" applyBorder="1"/>
    <xf numFmtId="41" fontId="14" fillId="0" borderId="0" xfId="20" applyNumberFormat="1" applyFont="1" applyFill="1" applyBorder="1" applyAlignment="1">
      <alignment vertical="top" wrapText="1"/>
    </xf>
    <xf numFmtId="41" fontId="14" fillId="0" borderId="0" xfId="20" applyNumberFormat="1" applyFont="1" applyFill="1" applyAlignment="1">
      <alignment vertical="top" wrapText="1"/>
    </xf>
    <xf numFmtId="0" fontId="72" fillId="0" borderId="0" xfId="0" applyFont="1" applyFill="1" applyAlignment="1">
      <alignment horizontal="right"/>
    </xf>
    <xf numFmtId="41" fontId="14" fillId="0" borderId="0" xfId="5" applyNumberFormat="1" applyFont="1" applyFill="1" applyAlignment="1">
      <alignment horizontal="center"/>
    </xf>
    <xf numFmtId="0" fontId="73" fillId="0" borderId="0" xfId="0" applyFont="1" applyFill="1" applyAlignment="1"/>
    <xf numFmtId="41" fontId="14" fillId="0" borderId="0" xfId="5" applyNumberFormat="1" applyFont="1" applyFill="1" applyBorder="1" applyAlignment="1">
      <alignment horizontal="center"/>
    </xf>
    <xf numFmtId="0" fontId="14" fillId="0" borderId="0" xfId="6" applyFont="1" applyAlignment="1">
      <alignment horizontal="center"/>
    </xf>
    <xf numFmtId="3" fontId="13" fillId="0" borderId="0" xfId="0" applyNumberFormat="1" applyFont="1" applyFill="1" applyAlignment="1">
      <alignment horizontal="right" indent="1"/>
    </xf>
    <xf numFmtId="41" fontId="13" fillId="0" borderId="10" xfId="20" applyNumberFormat="1" applyFont="1" applyFill="1" applyBorder="1" applyAlignment="1">
      <alignment wrapText="1"/>
    </xf>
    <xf numFmtId="0" fontId="14" fillId="0" borderId="0" xfId="6" applyFont="1" applyFill="1" applyAlignment="1">
      <alignment horizontal="left"/>
    </xf>
    <xf numFmtId="41" fontId="14" fillId="7" borderId="1" xfId="20" quotePrefix="1" applyNumberFormat="1" applyFont="1" applyFill="1" applyBorder="1" applyAlignment="1">
      <alignment horizontal="center"/>
    </xf>
    <xf numFmtId="2" fontId="14" fillId="7" borderId="6" xfId="20" applyNumberFormat="1" applyFont="1" applyFill="1" applyBorder="1" applyAlignment="1">
      <alignment horizontal="center"/>
    </xf>
    <xf numFmtId="15" fontId="28" fillId="5" borderId="13" xfId="0" quotePrefix="1" applyNumberFormat="1" applyFont="1" applyFill="1" applyBorder="1" applyAlignment="1">
      <alignment horizontal="center"/>
    </xf>
    <xf numFmtId="15" fontId="28" fillId="5" borderId="15" xfId="0" quotePrefix="1" applyNumberFormat="1" applyFont="1" applyFill="1" applyBorder="1" applyAlignment="1">
      <alignment horizontal="center"/>
    </xf>
    <xf numFmtId="41" fontId="28" fillId="5" borderId="15" xfId="0" quotePrefix="1" applyNumberFormat="1" applyFont="1" applyFill="1" applyBorder="1" applyAlignment="1">
      <alignment horizontal="center"/>
    </xf>
    <xf numFmtId="41" fontId="28" fillId="5" borderId="14" xfId="0" quotePrefix="1" applyNumberFormat="1" applyFont="1" applyFill="1" applyBorder="1" applyAlignment="1">
      <alignment horizontal="center"/>
    </xf>
    <xf numFmtId="41" fontId="10" fillId="0" borderId="13" xfId="0" applyNumberFormat="1" applyFont="1" applyBorder="1" applyAlignment="1">
      <alignment horizontal="center" wrapText="1"/>
    </xf>
    <xf numFmtId="41" fontId="10" fillId="0" borderId="14" xfId="0" applyNumberFormat="1" applyFont="1" applyBorder="1" applyAlignment="1">
      <alignment horizontal="center" wrapText="1"/>
    </xf>
    <xf numFmtId="41" fontId="10" fillId="0" borderId="13" xfId="0" applyNumberFormat="1" applyFont="1" applyBorder="1" applyAlignment="1">
      <alignment horizontal="center"/>
    </xf>
    <xf numFmtId="41" fontId="10" fillId="0" borderId="15" xfId="0" applyNumberFormat="1" applyFont="1" applyBorder="1" applyAlignment="1">
      <alignment horizontal="center"/>
    </xf>
    <xf numFmtId="41" fontId="10" fillId="0" borderId="14" xfId="0" applyNumberFormat="1" applyFont="1" applyBorder="1" applyAlignment="1">
      <alignment horizontal="center"/>
    </xf>
    <xf numFmtId="15" fontId="28" fillId="5" borderId="14" xfId="0" quotePrefix="1" applyNumberFormat="1" applyFont="1" applyFill="1" applyBorder="1" applyAlignment="1">
      <alignment horizontal="center"/>
    </xf>
    <xf numFmtId="37" fontId="14" fillId="0" borderId="34" xfId="20" applyNumberFormat="1" applyFont="1" applyFill="1" applyBorder="1" applyAlignment="1">
      <alignment horizontal="center" wrapText="1"/>
    </xf>
    <xf numFmtId="37" fontId="14" fillId="0" borderId="35" xfId="20" applyNumberFormat="1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5" borderId="4" xfId="0" applyFont="1" applyFill="1" applyBorder="1" applyAlignment="1">
      <alignment horizontal="center" wrapText="1"/>
    </xf>
    <xf numFmtId="0" fontId="27" fillId="5" borderId="7" xfId="0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5" applyNumberFormat="1" applyFont="1" applyAlignment="1">
      <alignment horizontal="center"/>
    </xf>
    <xf numFmtId="0" fontId="27" fillId="4" borderId="18" xfId="0" applyFont="1" applyFill="1" applyBorder="1" applyAlignment="1">
      <alignment horizontal="center"/>
    </xf>
    <xf numFmtId="0" fontId="27" fillId="4" borderId="19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center"/>
    </xf>
    <xf numFmtId="0" fontId="27" fillId="4" borderId="21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22" xfId="0" applyFont="1" applyFill="1" applyBorder="1" applyAlignment="1">
      <alignment horizontal="center"/>
    </xf>
    <xf numFmtId="41" fontId="14" fillId="0" borderId="0" xfId="5" applyNumberFormat="1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169" fontId="13" fillId="0" borderId="0" xfId="17" applyNumberFormat="1" applyFont="1" applyAlignment="1">
      <alignment horizontal="left" wrapText="1"/>
    </xf>
    <xf numFmtId="0" fontId="8" fillId="0" borderId="0" xfId="0" applyFont="1" applyAlignment="1">
      <alignment horizontal="center"/>
    </xf>
    <xf numFmtId="0" fontId="13" fillId="0" borderId="26" xfId="13" applyFont="1" applyBorder="1" applyAlignment="1">
      <alignment horizontal="center"/>
    </xf>
    <xf numFmtId="0" fontId="13" fillId="0" borderId="27" xfId="13" applyFont="1" applyBorder="1" applyAlignment="1">
      <alignment horizontal="center"/>
    </xf>
    <xf numFmtId="0" fontId="13" fillId="0" borderId="28" xfId="13" applyFont="1" applyBorder="1" applyAlignment="1">
      <alignment horizontal="center"/>
    </xf>
    <xf numFmtId="4" fontId="14" fillId="0" borderId="0" xfId="13" applyNumberFormat="1" applyFont="1" applyBorder="1" applyAlignment="1">
      <alignment horizontal="center"/>
    </xf>
    <xf numFmtId="4" fontId="15" fillId="0" borderId="0" xfId="13" applyNumberFormat="1" applyFont="1" applyBorder="1" applyAlignment="1">
      <alignment horizontal="center"/>
    </xf>
    <xf numFmtId="4" fontId="13" fillId="0" borderId="0" xfId="13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167" fontId="27" fillId="0" borderId="16" xfId="7" applyNumberFormat="1" applyFont="1" applyBorder="1"/>
  </cellXfs>
  <cellStyles count="220">
    <cellStyle name="Comma" xfId="1" builtinId="3"/>
    <cellStyle name="Comma 10" xfId="91" xr:uid="{3ADE128C-8899-475F-A60D-05BBF587B154}"/>
    <cellStyle name="Comma 10 2" xfId="158" xr:uid="{058C9137-E91D-4694-902D-5835A833C737}"/>
    <cellStyle name="Comma 10 3" xfId="200" xr:uid="{9E96BE3C-786C-481D-AB5E-BFCD75584BB5}"/>
    <cellStyle name="Comma 11" xfId="95" xr:uid="{3ADEB51F-412B-43D1-9C96-205903CED27A}"/>
    <cellStyle name="Comma 11 2" xfId="173" xr:uid="{AB0A9E16-D6D1-454A-85FB-F97DB15DA916}"/>
    <cellStyle name="Comma 11 3" xfId="215" xr:uid="{7A29F551-5AEC-4BAA-B8A1-A33A8FB49E6C}"/>
    <cellStyle name="Comma 12" xfId="177" xr:uid="{68B6AB16-CD76-4A49-9C9A-A0EBA37E7565}"/>
    <cellStyle name="Comma 12 2" xfId="218" xr:uid="{4C6CDCC4-A4C8-45A1-ABBB-C580372D3CEE}"/>
    <cellStyle name="Comma 14" xfId="169" xr:uid="{CD2758C8-FC5B-4A10-8677-9553E4DF312E}"/>
    <cellStyle name="Comma 14 2" xfId="211" xr:uid="{D01E2979-6C1F-48AA-86F8-4C0683B3C7F3}"/>
    <cellStyle name="Comma 2" xfId="21" xr:uid="{00000000-0005-0000-0000-000001000000}"/>
    <cellStyle name="Comma 2 2" xfId="25" xr:uid="{1DD2FDD2-2F8F-4131-934F-2C27F9E0388D}"/>
    <cellStyle name="Comma 2 2 2" xfId="66" xr:uid="{AF6A7869-4331-475B-B179-8706BBF0E10B}"/>
    <cellStyle name="Comma 2 3" xfId="37" xr:uid="{A0EF68D4-8058-4EAE-84E5-8E36FF858DF1}"/>
    <cellStyle name="Comma 2 3 2" xfId="123" xr:uid="{2A771510-91F2-4B24-8059-A42456D5BB63}"/>
    <cellStyle name="Comma 2 3 3" xfId="186" xr:uid="{B83528D3-DB12-43D4-A304-93397676DC1F}"/>
    <cellStyle name="Comma 2 4" xfId="80" xr:uid="{A1354B24-F502-453B-A98C-FFA60A574B4D}"/>
    <cellStyle name="Comma 2 4 2" xfId="127" xr:uid="{82653E2D-C8FF-44B2-8A79-2C50BC6E602C}"/>
    <cellStyle name="Comma 2 4 3" xfId="190" xr:uid="{BE22B360-8850-4C3E-8808-09D6ACB53CBC}"/>
    <cellStyle name="Comma 2 5" xfId="92" xr:uid="{F8D7FD13-502E-43CE-8071-CEA1B3CBAD7A}"/>
    <cellStyle name="Comma 2 6" xfId="150" xr:uid="{2F25335C-2132-4B94-BE9D-52C9F0B571F3}"/>
    <cellStyle name="Comma 2 7" xfId="160" xr:uid="{F17D607E-CD1C-412D-BFCF-216E318B8F08}"/>
    <cellStyle name="Comma 2 7 2" xfId="202" xr:uid="{2ACA48A3-0FB4-4645-9780-2763A5C5ABC9}"/>
    <cellStyle name="Comma 3" xfId="30" xr:uid="{6BB54C9C-87E6-4E37-94C1-53BF300EE21F}"/>
    <cellStyle name="Comma 3 2" xfId="33" xr:uid="{4AD59840-86BD-40C5-90EF-BD6CF6E31181}"/>
    <cellStyle name="Comma 3 2 2" xfId="103" xr:uid="{D7418385-367C-40C7-8AAF-FF9AB07A6A4A}"/>
    <cellStyle name="Comma 3 3" xfId="52" xr:uid="{1A16FFC9-2AE7-4374-B098-B0FED8A1C42D}"/>
    <cellStyle name="Comma 3 3 2" xfId="109" xr:uid="{D9EE94C8-006A-4E50-BAB5-8DAA13058F41}"/>
    <cellStyle name="Comma 3 4" xfId="55" xr:uid="{75806F58-A952-46C5-9E44-C6AE8378342D}"/>
    <cellStyle name="Comma 3 4 2" xfId="124" xr:uid="{94224782-3099-4A9C-B37B-16CBCCA8D279}"/>
    <cellStyle name="Comma 3 4 3" xfId="187" xr:uid="{E2CFFD11-3C8A-4473-BD3A-9FAFD8DC17B6}"/>
    <cellStyle name="Comma 3 5" xfId="67" xr:uid="{F38058A3-3635-4A17-A2BB-0A26CB05168C}"/>
    <cellStyle name="Comma 3 5 2" xfId="141" xr:uid="{FDFE8B8A-1756-4F62-8544-CF8AD58FCC06}"/>
    <cellStyle name="Comma 3 6" xfId="170" xr:uid="{22A27FCF-BBAC-4F97-8CBC-7A8FEC8BBE1D}"/>
    <cellStyle name="Comma 3 6 2" xfId="212" xr:uid="{2F7C5AEE-DD48-43FD-B032-4C8AA8BFD2F3}"/>
    <cellStyle name="Comma 3 7" xfId="98" xr:uid="{91D61654-61A9-4803-87C0-A681F196E051}"/>
    <cellStyle name="Comma 3 8" xfId="180" xr:uid="{FC2D84D2-9FDC-43C3-96BC-E405ADAF3070}"/>
    <cellStyle name="Comma 4" xfId="35" xr:uid="{50F703E1-A2A3-4608-BE57-E1D3100F8D50}"/>
    <cellStyle name="Comma 4 2" xfId="46" xr:uid="{61A1574E-ABD2-4B85-8071-4CCA3345BAF9}"/>
    <cellStyle name="Comma 4 3" xfId="143" xr:uid="{FCBCA8EE-38B5-4E55-900F-3D5434EF4E02}"/>
    <cellStyle name="Comma 4 3 2" xfId="197" xr:uid="{B3C31DB4-52E1-4826-BF44-06A2D01E8AD6}"/>
    <cellStyle name="Comma 4 4" xfId="166" xr:uid="{8E52885E-4F54-478A-8D4B-EB20141F7658}"/>
    <cellStyle name="Comma 4 4 2" xfId="208" xr:uid="{E404D594-6D93-43B4-BD00-702D52A00A7F}"/>
    <cellStyle name="Comma 4 5" xfId="105" xr:uid="{E88D844C-F04E-47E5-AD62-FC156521D021}"/>
    <cellStyle name="Comma 5" xfId="56" xr:uid="{145AE8EE-AEB9-405F-8118-C14A707F986E}"/>
    <cellStyle name="Comma 6" xfId="39" xr:uid="{BED93EB0-6EB7-4575-A7D0-E5781C5ED41B}"/>
    <cellStyle name="Comma 6 2" xfId="154" xr:uid="{30E2FA31-3C34-4EF5-B7E5-6E66A159678C}"/>
    <cellStyle name="Comma 6 3" xfId="113" xr:uid="{0FC434DA-C9EA-47AE-B153-83F58A556B4D}"/>
    <cellStyle name="Comma 7" xfId="61" xr:uid="{90060131-3FCC-455D-B0CD-6A61D6F18F78}"/>
    <cellStyle name="Comma 7 2" xfId="119" xr:uid="{B4CA2559-B035-4F93-9269-F0056750B42D}"/>
    <cellStyle name="Comma 7 3" xfId="184" xr:uid="{85EC36BB-3699-4BF4-8D55-79E1FEC16922}"/>
    <cellStyle name="Comma 8" xfId="76" xr:uid="{72F4761F-F110-4C1E-A7D3-0A952FDCAAD0}"/>
    <cellStyle name="Comma 9" xfId="84" xr:uid="{4B56FAD7-4326-40A9-B715-4D7A1270F9DD}"/>
    <cellStyle name="Comma 9 2" xfId="140" xr:uid="{60CC1CE8-AA97-4837-BF85-643683C676CA}"/>
    <cellStyle name="Currency" xfId="2" builtinId="4"/>
    <cellStyle name="Currency 10" xfId="145" xr:uid="{CA2DCB59-9AB8-447C-9F3D-B5FC9C2A8A95}"/>
    <cellStyle name="Currency 11" xfId="147" xr:uid="{5E45E280-0821-44ED-94F5-98E9D3C127EF}"/>
    <cellStyle name="Currency 12" xfId="174" xr:uid="{3C402DCA-A81C-430C-B7BA-B65561906C1F}"/>
    <cellStyle name="Currency 12 2" xfId="216" xr:uid="{84A5815D-B2C1-470D-8F0E-7F54EE44075E}"/>
    <cellStyle name="Currency 13" xfId="178" xr:uid="{9D7C6499-44E1-401A-9572-CCE1185009F2}"/>
    <cellStyle name="Currency 13 2" xfId="219" xr:uid="{A94EB549-CA47-4FD8-B92D-6E9C2C295989}"/>
    <cellStyle name="Currency 2" xfId="14" xr:uid="{00000000-0005-0000-0000-000003000000}"/>
    <cellStyle name="Currency 2 2" xfId="57" xr:uid="{A8BD0344-3B7C-4969-ACD2-BC0C087CB027}"/>
    <cellStyle name="Currency 2 2 2" xfId="86" xr:uid="{42AE1E6A-F5B3-4882-967D-17E9E8897C7E}"/>
    <cellStyle name="Currency 2 3" xfId="83" xr:uid="{96638423-A141-484C-9178-381308BA60E8}"/>
    <cellStyle name="Currency 2 3 2" xfId="137" xr:uid="{4DB68830-0357-4A2F-BFEF-BC69139D8F80}"/>
    <cellStyle name="Currency 2 3 3" xfId="195" xr:uid="{1C183B4F-69D7-4527-9B79-5A2EA59E8282}"/>
    <cellStyle name="Currency 3" xfId="38" xr:uid="{B7ED6E06-A3DD-4CB4-BD97-3F7D77CD13F0}"/>
    <cellStyle name="Currency 3 2" xfId="64" xr:uid="{0209FC29-7C1E-47C0-A918-AA3B9A12039E}"/>
    <cellStyle name="Currency 3 2 2" xfId="72" xr:uid="{4C7285C2-A485-4D0B-BE8B-EFA0D3109806}"/>
    <cellStyle name="Currency 3 3" xfId="153" xr:uid="{51700AF1-1657-4681-8ED6-564651BADDAA}"/>
    <cellStyle name="Currency 3 4" xfId="171" xr:uid="{F7F3EE76-3FC3-4DBA-998F-EA27BAF4C22D}"/>
    <cellStyle name="Currency 3 4 2" xfId="213" xr:uid="{111CF2C7-C168-4F62-904A-00AA9D3A5941}"/>
    <cellStyle name="Currency 3 5" xfId="106" xr:uid="{9C1C952A-CB8D-4A3C-92EA-1B2B6DE445D2}"/>
    <cellStyle name="Currency 4" xfId="42" xr:uid="{B9DF8EF0-0F13-4447-A3F0-1E83AE4026FC}"/>
    <cellStyle name="Currency 4 2" xfId="74" xr:uid="{5A77E583-5985-4917-8D02-372DD6BEDF72}"/>
    <cellStyle name="Currency 4 3" xfId="156" xr:uid="{08B875CB-9E8B-4650-B4D4-BD30EB7378BF}"/>
    <cellStyle name="Currency 4 4" xfId="112" xr:uid="{ECCB2235-F836-4559-AB53-D3D4428127A3}"/>
    <cellStyle name="Currency 5" xfId="43" xr:uid="{990A0355-33CB-43C2-B96D-7A85812462FD}"/>
    <cellStyle name="Currency 5 2" xfId="117" xr:uid="{7775ACF7-9AE1-40F3-B7D1-6034A65F75CD}"/>
    <cellStyle name="Currency 6" xfId="45" xr:uid="{F212B8E7-08C5-4B17-B9E1-6EF3F86562E1}"/>
    <cellStyle name="Currency 6 2" xfId="121" xr:uid="{81EEE35C-1C15-4060-9F52-8A7512FDA107}"/>
    <cellStyle name="Currency 6 3" xfId="185" xr:uid="{753A4458-9108-4C1B-B073-6347CC016445}"/>
    <cellStyle name="Currency 7" xfId="60" xr:uid="{82F62320-CEBC-45A0-9EF4-C9D833997D78}"/>
    <cellStyle name="Currency 7 2" xfId="130" xr:uid="{8776D119-0E8D-40C4-8B1F-EE75496F52E0}"/>
    <cellStyle name="Currency 7 3" xfId="193" xr:uid="{057BFA61-1396-41CB-842D-9F902CA0B106}"/>
    <cellStyle name="Currency 8" xfId="70" xr:uid="{4FEE9DC8-5822-40D9-AAB3-C9537A4B2D0E}"/>
    <cellStyle name="Currency 9" xfId="93" xr:uid="{C3737DBC-57A7-45C0-A919-6C33B7BF19D9}"/>
    <cellStyle name="Currency 9 2" xfId="138" xr:uid="{E70DCB6D-A1F5-4BA5-90C0-E268CFDEB21D}"/>
    <cellStyle name="Followed Hyperlink" xfId="9" builtinId="9" customBuiltin="1"/>
    <cellStyle name="Followed Hyperlink 2" xfId="10" xr:uid="{00000000-0005-0000-0000-000005000000}"/>
    <cellStyle name="Hyperlink" xfId="8" builtinId="8" customBuiltin="1"/>
    <cellStyle name="Hyperlink 2" xfId="11" xr:uid="{00000000-0005-0000-0000-000007000000}"/>
    <cellStyle name="Manual-Input" xfId="15" xr:uid="{00000000-0005-0000-0000-000008000000}"/>
    <cellStyle name="Normal" xfId="0" builtinId="0"/>
    <cellStyle name="Normal 10" xfId="68" xr:uid="{467577A5-B395-44E2-AE7C-F0F328E92AC3}"/>
    <cellStyle name="Normal 10 2" xfId="146" xr:uid="{17170973-334C-45C9-A9A7-2E1748165A10}"/>
    <cellStyle name="Normal 11" xfId="90" xr:uid="{FD9928F6-02A3-406A-9A28-55302094D05B}"/>
    <cellStyle name="Normal 11 2" xfId="157" xr:uid="{02BE9FE3-B7D7-478B-92F4-57EC10960BA7}"/>
    <cellStyle name="Normal 11 3" xfId="199" xr:uid="{A082064B-B487-469C-9EF6-3BC6E4CCA66C}"/>
    <cellStyle name="Normal 12" xfId="94" xr:uid="{01903B35-617F-4B8A-8A15-D720F934806F}"/>
    <cellStyle name="Normal 12 2" xfId="172" xr:uid="{63F5F596-BEAE-4C55-906D-32D578D96929}"/>
    <cellStyle name="Normal 12 3" xfId="214" xr:uid="{C85AF6B1-3CEB-4364-8CE4-DA90D529FE78}"/>
    <cellStyle name="Normal 13" xfId="176" xr:uid="{0A2CC56B-47A2-4EBE-96C1-DBBD60F17A83}"/>
    <cellStyle name="Normal 13 2" xfId="217" xr:uid="{726E8DF5-7C60-4FB4-888A-F23EF83D41C8}"/>
    <cellStyle name="Normal 16" xfId="96" xr:uid="{FD32D3B7-1A99-4A1A-9A1E-6F15DEA8B033}"/>
    <cellStyle name="Normal 2" xfId="16" xr:uid="{00000000-0005-0000-0000-00000A000000}"/>
    <cellStyle name="Normal 2 10" xfId="149" xr:uid="{9BDB610F-09C1-4D4A-B548-B7620D9AFCC2}"/>
    <cellStyle name="Normal 2 10 3 8 2" xfId="100" xr:uid="{42226728-BE44-432B-A809-44B4D240E84F}"/>
    <cellStyle name="Normal 2 10 3 8 2 2" xfId="182" xr:uid="{59EFD091-70CB-4EF9-8042-3F87B4B9CC99}"/>
    <cellStyle name="Normal 2 11" xfId="159" xr:uid="{BC65EF2A-F9F7-4C7C-84CD-2A63A1950DB8}"/>
    <cellStyle name="Normal 2 11 2" xfId="201" xr:uid="{6151E37E-873F-4E0F-97FF-164B7FF45DA4}"/>
    <cellStyle name="Normal 2 12" xfId="175" xr:uid="{67790A75-AD28-4BB3-B004-BC8F4F5E177A}"/>
    <cellStyle name="Normal 2 2" xfId="17" xr:uid="{00000000-0005-0000-0000-00000B000000}"/>
    <cellStyle name="Normal 2 2 2" xfId="54" xr:uid="{251429D5-6D0C-430A-8432-3CD5687C14D0}"/>
    <cellStyle name="Normal 2 2 2 2" xfId="88" xr:uid="{57D75D10-35EF-4981-BA50-266D7017D7C7}"/>
    <cellStyle name="Normal 2 2 2 2 2" xfId="163" xr:uid="{3C3D1454-3AC6-4B7B-BD1F-D13A9DD19665}"/>
    <cellStyle name="Normal 2 2 2 2 3" xfId="205" xr:uid="{71EC4AC3-50C7-42E9-9869-E2AFF45C9AFD}"/>
    <cellStyle name="Normal 2 2 3" xfId="85" xr:uid="{B669DD6C-8B7D-4F3D-A4A2-9EEF239DE603}"/>
    <cellStyle name="Normal 2 2 3 2" xfId="161" xr:uid="{110F6399-0387-4FFF-BAD7-61F081116817}"/>
    <cellStyle name="Normal 2 2 3 3" xfId="203" xr:uid="{2DD54980-C7C9-4307-846A-66794333D32D}"/>
    <cellStyle name="Normal 2 3" xfId="18" xr:uid="{00000000-0005-0000-0000-00000C000000}"/>
    <cellStyle name="Normal 2 3 2" xfId="26" xr:uid="{13BFB77E-EAD4-4049-BCC6-3C775E6EB7BA}"/>
    <cellStyle name="Normal 2 4" xfId="23" xr:uid="{E797A55D-58C3-4D3D-872F-5002F02696D1}"/>
    <cellStyle name="Normal 2 4 2" xfId="101" xr:uid="{ABA33C1B-168B-4881-8EFB-0D37CC8FF38A}"/>
    <cellStyle name="Normal 2 5" xfId="51" xr:uid="{89CE337F-7C38-4103-AA30-E966E46D4B55}"/>
    <cellStyle name="Normal 2 5 2" xfId="152" xr:uid="{0C92A0A1-C49D-4CCC-A5D4-AE14E8006D57}"/>
    <cellStyle name="Normal 2 5 3" xfId="114" xr:uid="{A1763CEA-EA60-4814-B49E-9432451FF750}"/>
    <cellStyle name="Normal 2 6" xfId="62" xr:uid="{9B9B98B3-86FC-4771-94B3-149FB2E54499}"/>
    <cellStyle name="Normal 2 6 2" xfId="116" xr:uid="{2DD83BD7-E038-4ED5-80B2-D5706A5685F2}"/>
    <cellStyle name="Normal 2 7" xfId="79" xr:uid="{C825ACEE-7807-4E36-8DAA-1C52A88C05CC}"/>
    <cellStyle name="Normal 2 7 2" xfId="120" xr:uid="{AB8D958A-0D36-4240-8B4A-00130E07A0AD}"/>
    <cellStyle name="Normal 2 8" xfId="81" xr:uid="{9DACD38E-D94B-4ACE-9846-5371C71BBB6E}"/>
    <cellStyle name="Normal 2 8 2" xfId="125" xr:uid="{06AC6EA4-2F2A-4F04-9F14-77B3A8DC29DE}"/>
    <cellStyle name="Normal 2 8 3" xfId="188" xr:uid="{4A58EB82-8B59-4BB7-92C9-64422A3AB968}"/>
    <cellStyle name="Normal 2 9" xfId="135" xr:uid="{C9597D42-04DB-4557-8B7D-2B5EF14F3348}"/>
    <cellStyle name="Normal 3" xfId="29" xr:uid="{8E1141DB-B0F0-4993-ADB7-0F2DB08FAE7D}"/>
    <cellStyle name="Normal 3 2" xfId="36" xr:uid="{5FF9D95F-0084-4447-BED0-0B2AB404E551}"/>
    <cellStyle name="Normal 3 2 2" xfId="48" xr:uid="{BF8DC018-C567-4695-B056-D00C980E675C}"/>
    <cellStyle name="Normal 3 2 2 2" xfId="134" xr:uid="{5B1AE1CA-43A0-48CD-83FE-BA24676E2B64}"/>
    <cellStyle name="Normal 3 2 3" xfId="73" xr:uid="{35114FBC-B68D-46F2-AAB9-B0391D925956}"/>
    <cellStyle name="Normal 3 2 3 2" xfId="139" xr:uid="{37B4BE2F-2EFA-43D2-9E30-88CE18BCEBC2}"/>
    <cellStyle name="Normal 3 2 4" xfId="151" xr:uid="{4E09818B-201B-41B3-B0E3-2F308328AD5A}"/>
    <cellStyle name="Normal 3 2 5" xfId="102" xr:uid="{033E3492-CB46-4A0D-8D51-50A38EDE367F}"/>
    <cellStyle name="Normal 3 3" xfId="75" xr:uid="{C792F4C2-454A-42A4-93D9-16371B0EE4BD}"/>
    <cellStyle name="Normal 3 4" xfId="82" xr:uid="{94FC497C-49B3-49C0-835A-A4EA19F8FFB6}"/>
    <cellStyle name="Normal 3 4 2" xfId="136" xr:uid="{92EFBA8E-4CA5-4786-BA2F-EC2E84539E58}"/>
    <cellStyle name="Normal 3 4 3" xfId="194" xr:uid="{3B4115EC-2D2C-4006-BE41-040FCB6C9938}"/>
    <cellStyle name="Normal 3 5" xfId="97" xr:uid="{885120B4-534F-4422-AA01-099E32B44290}"/>
    <cellStyle name="Normal 3 6" xfId="179" xr:uid="{FE98F292-1E77-467C-A890-91EE22DD34E6}"/>
    <cellStyle name="Normal 4" xfId="32" xr:uid="{BFAE8F36-A889-4822-BD25-53CC8AABD7D6}"/>
    <cellStyle name="Normal 4 2" xfId="110" xr:uid="{2489A568-B766-4091-B11C-263176520AC6}"/>
    <cellStyle name="Normal 4 3" xfId="165" xr:uid="{CA312F3D-B8E5-48AF-8278-F76F9A52F241}"/>
    <cellStyle name="Normal 4 3 2" xfId="207" xr:uid="{B54CEA58-914F-4021-982F-0267A491800C}"/>
    <cellStyle name="Normal 4 4" xfId="108" xr:uid="{014B9E7F-A89C-4CD2-B646-4F32C165D0B6}"/>
    <cellStyle name="Normal 48" xfId="27" xr:uid="{4C1E72DD-D415-4440-AB3E-64630B5C8EF3}"/>
    <cellStyle name="Normal 48 2" xfId="128" xr:uid="{86043055-86D1-4E21-A40A-7D5D8CFAD714}"/>
    <cellStyle name="Normal 48 3" xfId="191" xr:uid="{F4A99E02-6AEF-45C4-9F6E-20FB14F55650}"/>
    <cellStyle name="Normal 5" xfId="34" xr:uid="{4A7EBB00-6487-4174-AC8A-4CA8BD215231}"/>
    <cellStyle name="Normal 5 2" xfId="47" xr:uid="{3C9A096B-C419-4732-ACAE-6484466AFD0B}"/>
    <cellStyle name="Normal 5 3" xfId="142" xr:uid="{5621FE96-A9CC-4027-9047-DE0D93183004}"/>
    <cellStyle name="Normal 5 3 2" xfId="196" xr:uid="{231F98C9-5F91-4C57-827C-62C4694E04C6}"/>
    <cellStyle name="Normal 5 4" xfId="111" xr:uid="{94FD546B-33D7-49AF-BF50-E8CE429D605F}"/>
    <cellStyle name="Normal 6" xfId="12" xr:uid="{00000000-0005-0000-0000-00000D000000}"/>
    <cellStyle name="Normal 6 2" xfId="69" xr:uid="{9304F450-A109-4208-92D3-BE3134199D6B}"/>
    <cellStyle name="Normal 6 2 2" xfId="89" xr:uid="{8F9501C3-A527-409C-B4FA-819977E04616}"/>
    <cellStyle name="Normal 6 2 2 2" xfId="164" xr:uid="{9659D7D2-0070-4E8C-AE20-D9003C696ED3}"/>
    <cellStyle name="Normal 6 2 2 3" xfId="206" xr:uid="{008354B8-122B-4A6B-A83C-859A095A75E8}"/>
    <cellStyle name="Normal 6 3" xfId="87" xr:uid="{86919E86-72D1-4E65-920B-DCE22123E85A}"/>
    <cellStyle name="Normal 6 3 2" xfId="162" xr:uid="{81A21AAC-A679-48E2-A687-F010A4C1B9E5}"/>
    <cellStyle name="Normal 6 3 3" xfId="204" xr:uid="{D888AA02-6AB6-4800-9E51-F0F6B9CF4D08}"/>
    <cellStyle name="Normal 7" xfId="49" xr:uid="{87919A2E-522D-4EDD-A1A5-2BBD1D64F684}"/>
    <cellStyle name="Normal 7 2" xfId="115" xr:uid="{1A18957D-7747-425F-8D82-CE0FCFBAAA7C}"/>
    <cellStyle name="Normal 73" xfId="40" xr:uid="{83FB1B50-6B45-490B-8D2A-2DAC3A830946}"/>
    <cellStyle name="Normal 73 2" xfId="144" xr:uid="{782FE5DD-8249-4007-AB57-469C5675868C}"/>
    <cellStyle name="Normal 73 3" xfId="198" xr:uid="{F86D1FDD-84E2-44F7-B3CB-09B41CE589DC}"/>
    <cellStyle name="Normal 77 2" xfId="168" xr:uid="{2FE59172-DDAA-40D6-A17C-92270C5B7C46}"/>
    <cellStyle name="Normal 77 2 2" xfId="210" xr:uid="{AC6820A8-CF0B-4858-8305-EA16D7C4E27E}"/>
    <cellStyle name="Normal 8" xfId="44" xr:uid="{484A1372-76FA-4481-8C5F-9F50F97F5A3B}"/>
    <cellStyle name="Normal 8 2" xfId="122" xr:uid="{BD0516C1-C1EB-47EE-96DA-E8B5EDF52032}"/>
    <cellStyle name="Normal 8 3" xfId="118" xr:uid="{93D84CA7-E82B-4BAF-8095-E75CAA8849F8}"/>
    <cellStyle name="Normal 8 4" xfId="183" xr:uid="{076FDECA-0D0F-493D-90B9-D76211825A05}"/>
    <cellStyle name="Normal 9" xfId="59" xr:uid="{08226348-9C84-4D2C-87D7-7F0BBE7528AC}"/>
    <cellStyle name="Normal 9 2" xfId="132" xr:uid="{F65227D4-C957-414B-828A-1E2045DE607B}"/>
    <cellStyle name="Normal_IDElec6_97" xfId="3" xr:uid="{00000000-0005-0000-0000-00000E000000}"/>
    <cellStyle name="Normal_IDGas6_97" xfId="4" xr:uid="{00000000-0005-0000-0000-00000F000000}"/>
    <cellStyle name="Normal_RestateDebtInt1200case 2" xfId="13" xr:uid="{00000000-0005-0000-0000-000010000000}"/>
    <cellStyle name="Normal_WAElec6_97" xfId="5" xr:uid="{00000000-0005-0000-0000-000011000000}"/>
    <cellStyle name="Normal_WAElec6_97 2" xfId="20" xr:uid="{00000000-0005-0000-0000-000012000000}"/>
    <cellStyle name="Normal_WAGas6_97" xfId="6" xr:uid="{00000000-0005-0000-0000-000013000000}"/>
    <cellStyle name="Normal_WAGas6_97 2" xfId="22" xr:uid="{00000000-0005-0000-0000-000014000000}"/>
    <cellStyle name="Percent" xfId="7" builtinId="5"/>
    <cellStyle name="Percent 10" xfId="148" xr:uid="{420DFAC6-393E-454A-BB0D-C629DE075D2A}"/>
    <cellStyle name="Percent 2" xfId="19" xr:uid="{00000000-0005-0000-0000-000016000000}"/>
    <cellStyle name="Percent 2 2" xfId="24" xr:uid="{C1672843-4B24-46EC-9F1B-7B4B9B54103C}"/>
    <cellStyle name="Percent 2 2 2" xfId="65" xr:uid="{1E71B0E7-DCD7-4D51-8F5E-F69F8D757153}"/>
    <cellStyle name="Percent 2 2 3" xfId="104" xr:uid="{F1782B59-405E-4BD6-8B9D-8BD7F32E5684}"/>
    <cellStyle name="Percent 2 3" xfId="53" xr:uid="{DC810CDE-1002-448F-BDE6-60E1AF23763D}"/>
    <cellStyle name="Percent 2 3 2" xfId="126" xr:uid="{BDBFC2CD-6C1E-417B-A062-B0AF65D9D19E}"/>
    <cellStyle name="Percent 2 3 3" xfId="189" xr:uid="{BE2A48A0-C687-46D4-8F0E-B0A7D6EE1652}"/>
    <cellStyle name="Percent 3" xfId="31" xr:uid="{DBD241F3-AC6C-4E8D-A7E2-D85B146A2F8C}"/>
    <cellStyle name="Percent 3 2" xfId="77" xr:uid="{63D9D2F2-1630-4CB3-A5C3-099743B50AAF}"/>
    <cellStyle name="Percent 3 3" xfId="155" xr:uid="{A01FB66B-12BF-48EF-A707-10E18BB4EE92}"/>
    <cellStyle name="Percent 3 4" xfId="99" xr:uid="{691EBE17-5EED-48A8-A17D-2CD8873F405E}"/>
    <cellStyle name="Percent 3 5" xfId="181" xr:uid="{71306E9B-A2BB-4E1B-96E5-57E889991054}"/>
    <cellStyle name="Percent 35" xfId="28" xr:uid="{07CB7A5B-825D-4378-B519-64C51377C233}"/>
    <cellStyle name="Percent 35 2" xfId="129" xr:uid="{5636DF56-8AAB-4914-B7A4-C7DE2DCA8CBA}"/>
    <cellStyle name="Percent 35 3" xfId="192" xr:uid="{2E0D8824-82C9-4287-A0E3-281E1FF15344}"/>
    <cellStyle name="Percent 4" xfId="41" xr:uid="{A176D01B-C0A7-4CEF-988D-6045C08906A2}"/>
    <cellStyle name="Percent 4 2" xfId="167" xr:uid="{BE886CE4-6F0F-4800-9D44-789912E19DB8}"/>
    <cellStyle name="Percent 4 2 2" xfId="209" xr:uid="{023BA332-2426-4BA4-B218-F7BE809D0EB2}"/>
    <cellStyle name="Percent 5" xfId="50" xr:uid="{5F324DCC-817D-4C89-8C8E-F2A33BF43B11}"/>
    <cellStyle name="Percent 5 2" xfId="107" xr:uid="{733C13A1-7C78-4FBC-9AF7-41ECCF5C3070}"/>
    <cellStyle name="Percent 6" xfId="58" xr:uid="{BE44750B-F501-44D9-B670-BE406565F66B}"/>
    <cellStyle name="Percent 7" xfId="63" xr:uid="{AD6A8542-D7FB-4784-9F1C-187BF7CB068E}"/>
    <cellStyle name="Percent 8" xfId="71" xr:uid="{A5824FD7-ABA6-4DA3-BDB6-2F7CF4164E3C}"/>
    <cellStyle name="Percent 8 2" xfId="131" xr:uid="{074744FD-CB3D-4D4E-A317-E5650FFB0666}"/>
    <cellStyle name="Percent 9" xfId="78" xr:uid="{004642FB-A00A-4E39-99A7-70E2051A0870}"/>
    <cellStyle name="Percent 9 2" xfId="133" xr:uid="{46DD83B1-ACEF-4ACD-B4AB-C4CEE39BA07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56029</xdr:colOff>
      <xdr:row>83</xdr:row>
      <xdr:rowOff>27116</xdr:rowOff>
    </xdr:from>
    <xdr:to>
      <xdr:col>24</xdr:col>
      <xdr:colOff>1255059</xdr:colOff>
      <xdr:row>83</xdr:row>
      <xdr:rowOff>705971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5464117" y="12555292"/>
          <a:ext cx="5759824" cy="67885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The Restated TOTAL column does not represent 06/30/2023 Test Period Commission Basis results of operation on a normalized basis (CBR basis). Differences exists due to inclusion of proposed cost of debt (pro forma versus CBR actual cost of debt) impacting Adjustment 2.14 above, and the inclusion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Restate 06.30.2023 AMA Rate base to EOP adjustment 2.15.</a:t>
          </a:r>
          <a:endParaRPr lang="en-U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"/>
  <sheetViews>
    <sheetView workbookViewId="0"/>
  </sheetViews>
  <sheetFormatPr defaultColWidth="9.33203125" defaultRowHeight="13.2"/>
  <cols>
    <col min="1" max="16384" width="9.33203125" style="265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K68"/>
  <sheetViews>
    <sheetView zoomScaleNormal="100" workbookViewId="0">
      <selection sqref="A1:H1"/>
    </sheetView>
  </sheetViews>
  <sheetFormatPr defaultColWidth="10.5546875" defaultRowHeight="13.2" outlineLevelRow="1"/>
  <cols>
    <col min="1" max="1" width="8.44140625" style="147" customWidth="1"/>
    <col min="2" max="2" width="18.5546875" style="148" customWidth="1"/>
    <col min="3" max="4" width="10.5546875" style="141" customWidth="1"/>
    <col min="5" max="5" width="10.33203125" style="141" customWidth="1"/>
    <col min="6" max="6" width="14.5546875" style="149" customWidth="1"/>
    <col min="7" max="7" width="11.33203125" style="141" bestFit="1" customWidth="1"/>
    <col min="8" max="8" width="2.33203125" style="141" customWidth="1"/>
    <col min="9" max="9" width="14.33203125" style="141" customWidth="1"/>
    <col min="10" max="10" width="19.33203125" style="141" customWidth="1"/>
    <col min="11" max="16384" width="10.5546875" style="141"/>
  </cols>
  <sheetData>
    <row r="1" spans="1:9">
      <c r="A1" s="921" t="s">
        <v>111</v>
      </c>
      <c r="B1" s="921"/>
      <c r="C1" s="921"/>
      <c r="D1" s="921"/>
      <c r="E1" s="921"/>
      <c r="F1" s="921"/>
      <c r="G1" s="921"/>
      <c r="H1" s="921"/>
    </row>
    <row r="2" spans="1:9">
      <c r="A2" s="921" t="s">
        <v>122</v>
      </c>
      <c r="B2" s="921"/>
      <c r="C2" s="921"/>
      <c r="D2" s="921"/>
      <c r="E2" s="921"/>
      <c r="F2" s="921"/>
      <c r="G2" s="921"/>
      <c r="H2" s="921"/>
    </row>
    <row r="3" spans="1:9">
      <c r="A3" s="921" t="s">
        <v>200</v>
      </c>
      <c r="B3" s="921"/>
      <c r="C3" s="921"/>
      <c r="D3" s="921"/>
      <c r="E3" s="921"/>
      <c r="F3" s="921"/>
      <c r="G3" s="921"/>
      <c r="H3" s="921"/>
    </row>
    <row r="4" spans="1:9">
      <c r="A4" s="922" t="str">
        <f>'ROO INPUT 1.00'!A5:C5</f>
        <v>TWELVE MONTHS ENDED JUNE 30, 2023</v>
      </c>
      <c r="B4" s="922"/>
      <c r="C4" s="922"/>
      <c r="D4" s="922"/>
      <c r="E4" s="922"/>
      <c r="F4" s="922"/>
      <c r="G4" s="922"/>
      <c r="H4" s="922"/>
    </row>
    <row r="5" spans="1:9">
      <c r="A5" s="923" t="s">
        <v>114</v>
      </c>
      <c r="B5" s="923"/>
      <c r="C5" s="923"/>
      <c r="D5" s="923"/>
      <c r="E5" s="923"/>
      <c r="F5" s="923"/>
      <c r="G5" s="923"/>
      <c r="H5" s="923"/>
    </row>
    <row r="6" spans="1:9" ht="13.8" thickBot="1">
      <c r="A6" s="142"/>
      <c r="B6" s="143"/>
      <c r="C6" s="144"/>
      <c r="D6" s="145"/>
      <c r="E6" s="145"/>
      <c r="F6" s="145"/>
      <c r="I6" s="146" t="s">
        <v>194</v>
      </c>
    </row>
    <row r="7" spans="1:9" ht="13.8" thickBot="1">
      <c r="C7" s="149"/>
      <c r="D7" s="149"/>
      <c r="E7" s="918" t="s">
        <v>122</v>
      </c>
      <c r="F7" s="919"/>
      <c r="G7" s="920"/>
      <c r="I7" s="146" t="s">
        <v>195</v>
      </c>
    </row>
    <row r="8" spans="1:9">
      <c r="C8" s="149"/>
      <c r="D8" s="149"/>
      <c r="E8" s="147">
        <f>'ADJ DETAIL INPUT'!V10</f>
        <v>2.139999999999997</v>
      </c>
      <c r="F8" s="207"/>
      <c r="G8" s="207"/>
      <c r="I8" s="146"/>
    </row>
    <row r="9" spans="1:9">
      <c r="C9" s="149"/>
      <c r="D9" s="149"/>
      <c r="E9" s="150" t="s">
        <v>19</v>
      </c>
      <c r="F9" s="146" t="s">
        <v>380</v>
      </c>
      <c r="G9" s="146" t="s">
        <v>381</v>
      </c>
      <c r="I9" s="146" t="s">
        <v>196</v>
      </c>
    </row>
    <row r="10" spans="1:9">
      <c r="B10" s="151" t="s">
        <v>115</v>
      </c>
      <c r="C10" s="149"/>
      <c r="D10" s="149"/>
      <c r="E10" s="152" t="s">
        <v>197</v>
      </c>
      <c r="F10" s="153" t="s">
        <v>116</v>
      </c>
      <c r="G10" s="153" t="s">
        <v>198</v>
      </c>
      <c r="I10" s="153" t="str">
        <f>F10</f>
        <v>Adjustments</v>
      </c>
    </row>
    <row r="11" spans="1:9">
      <c r="A11" s="147">
        <f>'ADJ SUMMARY'!A8</f>
        <v>1</v>
      </c>
      <c r="B11" s="148" t="str">
        <f>'ADJ SUMMARY'!C8</f>
        <v>Results of Operations</v>
      </c>
      <c r="C11" s="149"/>
      <c r="D11" s="149"/>
      <c r="E11" s="154">
        <f>'ADJ SUMMARY'!E8</f>
        <v>533429.39999999991</v>
      </c>
      <c r="F11" s="154"/>
      <c r="G11" s="160">
        <f>SUM(E11:F11)</f>
        <v>533429.39999999991</v>
      </c>
      <c r="H11" s="160"/>
      <c r="I11" s="160">
        <f>ROUND(E11*$E$57*-$E$64,0)-(E61*-E64)</f>
        <v>57.009999999999764</v>
      </c>
    </row>
    <row r="12" spans="1:9">
      <c r="A12" s="147">
        <f>'ADJ SUMMARY'!A9</f>
        <v>1.01</v>
      </c>
      <c r="B12" s="148" t="str">
        <f>'ADJ SUMMARY'!C9</f>
        <v>Deferred FIT Rate Base</v>
      </c>
      <c r="C12" s="149"/>
      <c r="D12" s="149"/>
      <c r="F12" s="154">
        <f>'ADJ SUMMARY'!E9</f>
        <v>-224</v>
      </c>
      <c r="G12" s="160">
        <f t="shared" ref="G12:G31" si="0">SUM(F12:F12)</f>
        <v>-224</v>
      </c>
      <c r="H12" s="160"/>
      <c r="I12" s="154">
        <f t="shared" ref="I12:I45" si="1">ROUND(F12*$E$57*-$F$64,0)</f>
        <v>1</v>
      </c>
    </row>
    <row r="13" spans="1:9">
      <c r="A13" s="147">
        <f>'ADJ SUMMARY'!A10</f>
        <v>1.02</v>
      </c>
      <c r="B13" s="148" t="str">
        <f>'ADJ SUMMARY'!C10</f>
        <v>Deferred Debits and Credits</v>
      </c>
      <c r="C13" s="149"/>
      <c r="D13" s="149"/>
      <c r="F13" s="154">
        <f>'ADJ SUMMARY'!E10</f>
        <v>0</v>
      </c>
      <c r="G13" s="160">
        <f t="shared" si="0"/>
        <v>0</v>
      </c>
      <c r="H13" s="160"/>
      <c r="I13" s="154">
        <f t="shared" si="1"/>
        <v>0</v>
      </c>
    </row>
    <row r="14" spans="1:9">
      <c r="A14" s="147">
        <f>'ADJ SUMMARY'!A11</f>
        <v>1.03</v>
      </c>
      <c r="B14" s="148" t="str">
        <f>'ADJ SUMMARY'!C11</f>
        <v>Working Capital</v>
      </c>
      <c r="C14" s="149"/>
      <c r="D14" s="149"/>
      <c r="F14" s="154">
        <f>'ADJ SUMMARY'!E11</f>
        <v>-648</v>
      </c>
      <c r="G14" s="160">
        <f t="shared" si="0"/>
        <v>-648</v>
      </c>
      <c r="H14" s="160"/>
      <c r="I14" s="154">
        <f t="shared" si="1"/>
        <v>3</v>
      </c>
    </row>
    <row r="15" spans="1:9">
      <c r="A15" s="147">
        <f>'ADJ SUMMARY'!A12</f>
        <v>2.0099999999999998</v>
      </c>
      <c r="B15" s="148" t="str">
        <f>'ADJ SUMMARY'!C12</f>
        <v>Eliminate B &amp; O Taxes</v>
      </c>
      <c r="C15" s="149"/>
      <c r="D15" s="149"/>
      <c r="F15" s="154">
        <f>'ADJ SUMMARY'!E12</f>
        <v>0</v>
      </c>
      <c r="G15" s="160">
        <f t="shared" si="0"/>
        <v>0</v>
      </c>
      <c r="H15" s="160"/>
      <c r="I15" s="154">
        <f t="shared" si="1"/>
        <v>0</v>
      </c>
    </row>
    <row r="16" spans="1:9">
      <c r="A16" s="147">
        <f>'ADJ SUMMARY'!A13</f>
        <v>2.0199999999999996</v>
      </c>
      <c r="B16" s="148" t="str">
        <f>'ADJ SUMMARY'!C13</f>
        <v>Restate Property Tax</v>
      </c>
      <c r="C16" s="149"/>
      <c r="D16" s="149"/>
      <c r="F16" s="154">
        <f>'ADJ SUMMARY'!E13</f>
        <v>0</v>
      </c>
      <c r="G16" s="160">
        <f t="shared" si="0"/>
        <v>0</v>
      </c>
      <c r="H16" s="160"/>
      <c r="I16" s="154">
        <f t="shared" si="1"/>
        <v>0</v>
      </c>
    </row>
    <row r="17" spans="1:9">
      <c r="A17" s="147">
        <f>'ADJ SUMMARY'!A14</f>
        <v>2.0299999999999994</v>
      </c>
      <c r="B17" s="148" t="str">
        <f>'ADJ SUMMARY'!C14</f>
        <v>Uncollectible Expense</v>
      </c>
      <c r="C17" s="149"/>
      <c r="D17" s="149"/>
      <c r="F17" s="154">
        <f>'ADJ SUMMARY'!E14</f>
        <v>0</v>
      </c>
      <c r="G17" s="160">
        <f t="shared" si="0"/>
        <v>0</v>
      </c>
      <c r="H17" s="160"/>
      <c r="I17" s="154">
        <f t="shared" si="1"/>
        <v>0</v>
      </c>
    </row>
    <row r="18" spans="1:9">
      <c r="A18" s="147">
        <f>'ADJ SUMMARY'!A15</f>
        <v>2.0399999999999991</v>
      </c>
      <c r="B18" s="148" t="str">
        <f>'ADJ SUMMARY'!C15</f>
        <v>Regulatory Expense</v>
      </c>
      <c r="C18" s="149"/>
      <c r="D18" s="149"/>
      <c r="F18" s="154">
        <f>'ADJ SUMMARY'!E15</f>
        <v>0</v>
      </c>
      <c r="G18" s="160">
        <f t="shared" si="0"/>
        <v>0</v>
      </c>
      <c r="H18" s="160"/>
      <c r="I18" s="154">
        <f t="shared" si="1"/>
        <v>0</v>
      </c>
    </row>
    <row r="19" spans="1:9">
      <c r="A19" s="147">
        <f>'ADJ SUMMARY'!A16</f>
        <v>2.0499999999999989</v>
      </c>
      <c r="B19" s="148" t="str">
        <f>'ADJ SUMMARY'!C16</f>
        <v>Injuries &amp; Damages</v>
      </c>
      <c r="C19" s="149"/>
      <c r="D19" s="149"/>
      <c r="F19" s="154">
        <f>'ADJ SUMMARY'!E16</f>
        <v>0</v>
      </c>
      <c r="G19" s="160">
        <f t="shared" si="0"/>
        <v>0</v>
      </c>
      <c r="H19" s="160"/>
      <c r="I19" s="154">
        <f t="shared" si="1"/>
        <v>0</v>
      </c>
    </row>
    <row r="20" spans="1:9">
      <c r="A20" s="147">
        <f>'ADJ SUMMARY'!A17</f>
        <v>2.0599999999999987</v>
      </c>
      <c r="B20" s="148" t="str">
        <f>'ADJ SUMMARY'!C17</f>
        <v>FIT / DFIT Expense</v>
      </c>
      <c r="C20" s="149"/>
      <c r="D20" s="149"/>
      <c r="F20" s="154">
        <f>'ADJ SUMMARY'!E17</f>
        <v>0</v>
      </c>
      <c r="G20" s="160">
        <f t="shared" si="0"/>
        <v>0</v>
      </c>
      <c r="H20" s="160"/>
      <c r="I20" s="154">
        <f t="shared" si="1"/>
        <v>0</v>
      </c>
    </row>
    <row r="21" spans="1:9">
      <c r="A21" s="147">
        <f>'ADJ SUMMARY'!A18</f>
        <v>2.0699999999999985</v>
      </c>
      <c r="B21" s="148" t="str">
        <f>'ADJ SUMMARY'!C18</f>
        <v>Office Space Charges to Non-Utility</v>
      </c>
      <c r="C21" s="149"/>
      <c r="D21" s="149"/>
      <c r="F21" s="154">
        <f>'ADJ SUMMARY'!E18</f>
        <v>0</v>
      </c>
      <c r="G21" s="160">
        <f t="shared" si="0"/>
        <v>0</v>
      </c>
      <c r="H21" s="160"/>
      <c r="I21" s="154">
        <f t="shared" si="1"/>
        <v>0</v>
      </c>
    </row>
    <row r="22" spans="1:9">
      <c r="A22" s="147">
        <f>'ADJ SUMMARY'!A19</f>
        <v>2.0799999999999983</v>
      </c>
      <c r="B22" s="148" t="str">
        <f>'ADJ SUMMARY'!C19</f>
        <v>Restate Excise Taxes</v>
      </c>
      <c r="C22" s="149"/>
      <c r="D22" s="149"/>
      <c r="F22" s="154">
        <f>'ADJ SUMMARY'!E19</f>
        <v>0</v>
      </c>
      <c r="G22" s="160">
        <f t="shared" si="0"/>
        <v>0</v>
      </c>
      <c r="H22" s="160"/>
      <c r="I22" s="154">
        <f t="shared" si="1"/>
        <v>0</v>
      </c>
    </row>
    <row r="23" spans="1:9">
      <c r="A23" s="147">
        <f>'ADJ SUMMARY'!A20</f>
        <v>2.0899999999999981</v>
      </c>
      <c r="B23" s="148" t="str">
        <f>'ADJ SUMMARY'!C20</f>
        <v>Net Gains &amp; Losses</v>
      </c>
      <c r="C23" s="149"/>
      <c r="D23" s="149"/>
      <c r="F23" s="154">
        <f>'ADJ SUMMARY'!E20</f>
        <v>0</v>
      </c>
      <c r="G23" s="160">
        <f t="shared" si="0"/>
        <v>0</v>
      </c>
      <c r="H23" s="160"/>
      <c r="I23" s="154">
        <f t="shared" si="1"/>
        <v>0</v>
      </c>
    </row>
    <row r="24" spans="1:9">
      <c r="A24" s="147">
        <f>'ADJ SUMMARY'!A21</f>
        <v>2.0999999999999979</v>
      </c>
      <c r="B24" s="148" t="str">
        <f>'ADJ SUMMARY'!C21</f>
        <v>Weather Normalization / Gas Cost Adjust</v>
      </c>
      <c r="C24" s="149"/>
      <c r="D24" s="149"/>
      <c r="F24" s="154">
        <f>'ADJ SUMMARY'!E21</f>
        <v>0</v>
      </c>
      <c r="G24" s="160">
        <f t="shared" si="0"/>
        <v>0</v>
      </c>
      <c r="H24" s="160"/>
      <c r="I24" s="154">
        <f t="shared" si="1"/>
        <v>0</v>
      </c>
    </row>
    <row r="25" spans="1:9">
      <c r="A25" s="147">
        <f>'ADJ SUMMARY'!A22</f>
        <v>2.1099999999999977</v>
      </c>
      <c r="B25" s="148" t="str">
        <f>'ADJ SUMMARY'!C22</f>
        <v>Eliminate Adder Schedules</v>
      </c>
      <c r="C25" s="149"/>
      <c r="D25" s="149"/>
      <c r="F25" s="154">
        <f>'ADJ SUMMARY'!E22</f>
        <v>0</v>
      </c>
      <c r="G25" s="160">
        <f t="shared" si="0"/>
        <v>0</v>
      </c>
      <c r="H25" s="160"/>
      <c r="I25" s="154">
        <f t="shared" si="1"/>
        <v>0</v>
      </c>
    </row>
    <row r="26" spans="1:9">
      <c r="A26" s="147">
        <f>'ADJ SUMMARY'!A23</f>
        <v>2.1199999999999974</v>
      </c>
      <c r="B26" s="148" t="str">
        <f>'ADJ SUMMARY'!C23</f>
        <v>Misc. Restating Non-Util / Non- Recurring Expense</v>
      </c>
      <c r="C26" s="149"/>
      <c r="D26" s="149"/>
      <c r="F26" s="154">
        <f>'ADJ SUMMARY'!E23</f>
        <v>0</v>
      </c>
      <c r="G26" s="160">
        <f t="shared" si="0"/>
        <v>0</v>
      </c>
      <c r="H26" s="160"/>
      <c r="I26" s="154">
        <f t="shared" si="1"/>
        <v>0</v>
      </c>
    </row>
    <row r="27" spans="1:9">
      <c r="A27" s="147">
        <f>'ADJ SUMMARY'!A24</f>
        <v>2.1299999999999972</v>
      </c>
      <c r="B27" s="148" t="str">
        <f>'ADJ SUMMARY'!C24</f>
        <v>Restating Incentives Expense</v>
      </c>
      <c r="C27" s="149"/>
      <c r="D27" s="149"/>
      <c r="F27" s="154">
        <f>'ADJ SUMMARY'!E24</f>
        <v>0</v>
      </c>
      <c r="G27" s="160">
        <f t="shared" si="0"/>
        <v>0</v>
      </c>
      <c r="H27" s="160"/>
      <c r="I27" s="154">
        <f t="shared" si="1"/>
        <v>0</v>
      </c>
    </row>
    <row r="28" spans="1:9">
      <c r="A28" s="147">
        <f>'ADJ SUMMARY'!A25</f>
        <v>2.139999999999997</v>
      </c>
      <c r="B28" s="148" t="str">
        <f>'ADJ SUMMARY'!C25</f>
        <v>Restate Debt Interest</v>
      </c>
      <c r="C28" s="149"/>
      <c r="D28" s="149"/>
      <c r="F28" s="154">
        <f>'ADJ SUMMARY'!E25</f>
        <v>0</v>
      </c>
      <c r="G28" s="160">
        <f t="shared" si="0"/>
        <v>0</v>
      </c>
      <c r="H28" s="160"/>
      <c r="I28" s="154">
        <f t="shared" si="1"/>
        <v>0</v>
      </c>
    </row>
    <row r="29" spans="1:9">
      <c r="A29" s="147">
        <f>'ADJ SUMMARY'!A26</f>
        <v>2.1499999999999968</v>
      </c>
      <c r="B29" s="148" t="str">
        <f>'ADJ SUMMARY'!C26</f>
        <v>Restate Capital 06.2023 EOP</v>
      </c>
      <c r="C29" s="149"/>
      <c r="D29" s="149"/>
      <c r="F29" s="154">
        <f>'ADJ SUMMARY'!E26</f>
        <v>12408</v>
      </c>
      <c r="G29" s="160">
        <f t="shared" si="0"/>
        <v>12408</v>
      </c>
      <c r="H29" s="160"/>
      <c r="I29" s="154">
        <f t="shared" si="1"/>
        <v>-67</v>
      </c>
    </row>
    <row r="30" spans="1:9" hidden="1" outlineLevel="1">
      <c r="A30" s="147">
        <f>'ADJ SUMMARY'!A27</f>
        <v>0</v>
      </c>
      <c r="B30" s="148" t="str">
        <f>'ADJ SUMMARY'!C27</f>
        <v/>
      </c>
      <c r="C30" s="149"/>
      <c r="D30" s="149"/>
      <c r="F30" s="154">
        <f>'ADJ SUMMARY'!E27</f>
        <v>0</v>
      </c>
      <c r="G30" s="160">
        <f t="shared" ref="G30" si="2">SUM(F30:F30)</f>
        <v>0</v>
      </c>
      <c r="H30" s="160"/>
      <c r="I30" s="154">
        <f t="shared" si="1"/>
        <v>0</v>
      </c>
    </row>
    <row r="31" spans="1:9" collapsed="1">
      <c r="A31" s="147">
        <f>'ADJ SUMMARY'!A30</f>
        <v>3.01</v>
      </c>
      <c r="B31" s="148" t="str">
        <f>'ADJ SUMMARY'!C30</f>
        <v>Pro Forma Revenue Normalization</v>
      </c>
      <c r="C31" s="149"/>
      <c r="D31" s="149"/>
      <c r="F31" s="154">
        <f>'ADJ SUMMARY'!E30</f>
        <v>0</v>
      </c>
      <c r="G31" s="160">
        <f t="shared" si="0"/>
        <v>0</v>
      </c>
      <c r="H31" s="160"/>
      <c r="I31" s="154">
        <f t="shared" si="1"/>
        <v>0</v>
      </c>
    </row>
    <row r="32" spans="1:9">
      <c r="A32" s="147">
        <f>'ADJ SUMMARY'!A31</f>
        <v>3.0199999999999996</v>
      </c>
      <c r="B32" s="148" t="str">
        <f>'ADJ SUMMARY'!C31</f>
        <v>Pro Forma Def. Debits, Credits &amp; Regulatory Amorts</v>
      </c>
      <c r="C32" s="149"/>
      <c r="D32" s="149"/>
      <c r="F32" s="154">
        <f>'ADJ SUMMARY'!E31</f>
        <v>0</v>
      </c>
      <c r="G32" s="160">
        <f t="shared" ref="G32:G49" si="3">SUM(F32:F32)</f>
        <v>0</v>
      </c>
      <c r="H32" s="160"/>
      <c r="I32" s="154">
        <f t="shared" si="1"/>
        <v>0</v>
      </c>
    </row>
    <row r="33" spans="1:9">
      <c r="A33" s="147">
        <f>'ADJ SUMMARY'!A32</f>
        <v>3.0299999999999994</v>
      </c>
      <c r="B33" s="148" t="str">
        <f>'ADJ SUMMARY'!C32</f>
        <v>Pro Forma EDIT (RSGM)</v>
      </c>
      <c r="C33" s="149"/>
      <c r="D33" s="149"/>
      <c r="F33" s="154">
        <f>'ADJ SUMMARY'!E32</f>
        <v>0</v>
      </c>
      <c r="G33" s="160">
        <f t="shared" si="3"/>
        <v>0</v>
      </c>
      <c r="H33" s="160"/>
      <c r="I33" s="154">
        <f t="shared" si="1"/>
        <v>0</v>
      </c>
    </row>
    <row r="34" spans="1:9">
      <c r="A34" s="147">
        <f>'ADJ SUMMARY'!A33</f>
        <v>3.0399999999999991</v>
      </c>
      <c r="B34" s="148" t="str">
        <f>'ADJ SUMMARY'!C33</f>
        <v>Pro Forma AMI Amortization</v>
      </c>
      <c r="C34" s="149"/>
      <c r="D34" s="149"/>
      <c r="F34" s="154">
        <f>'ADJ SUMMARY'!E33</f>
        <v>-2141</v>
      </c>
      <c r="G34" s="160">
        <f t="shared" si="3"/>
        <v>-2141</v>
      </c>
      <c r="H34" s="160"/>
      <c r="I34" s="154">
        <f t="shared" si="1"/>
        <v>12</v>
      </c>
    </row>
    <row r="35" spans="1:9">
      <c r="A35" s="147">
        <f>'ADJ SUMMARY'!A34</f>
        <v>3.0499999999999989</v>
      </c>
      <c r="B35" s="148" t="str">
        <f>'ADJ SUMMARY'!C34</f>
        <v>Pro Forma Labor Non-Exec</v>
      </c>
      <c r="C35" s="149"/>
      <c r="D35" s="149"/>
      <c r="F35" s="154">
        <f>'ADJ SUMMARY'!E34</f>
        <v>0</v>
      </c>
      <c r="G35" s="160">
        <f t="shared" si="3"/>
        <v>0</v>
      </c>
      <c r="H35" s="160"/>
      <c r="I35" s="154">
        <f t="shared" si="1"/>
        <v>0</v>
      </c>
    </row>
    <row r="36" spans="1:9">
      <c r="A36" s="147">
        <f>'ADJ SUMMARY'!A35</f>
        <v>3.0599999999999987</v>
      </c>
      <c r="B36" s="148" t="str">
        <f>'ADJ SUMMARY'!C35</f>
        <v>Pro Forma Labor Exec</v>
      </c>
      <c r="C36" s="149"/>
      <c r="D36" s="149"/>
      <c r="F36" s="154">
        <f>'ADJ SUMMARY'!E35</f>
        <v>0</v>
      </c>
      <c r="G36" s="160">
        <f t="shared" si="3"/>
        <v>0</v>
      </c>
      <c r="H36" s="160"/>
      <c r="I36" s="154">
        <f t="shared" si="1"/>
        <v>0</v>
      </c>
    </row>
    <row r="37" spans="1:9">
      <c r="A37" s="147">
        <f>'ADJ SUMMARY'!A36</f>
        <v>3.0699999999999985</v>
      </c>
      <c r="B37" s="148" t="str">
        <f>'ADJ SUMMARY'!C36</f>
        <v>Pro Forma Employee Benefits</v>
      </c>
      <c r="C37" s="149"/>
      <c r="D37" s="149"/>
      <c r="F37" s="154">
        <f>'ADJ SUMMARY'!E36</f>
        <v>0</v>
      </c>
      <c r="G37" s="160">
        <f t="shared" si="3"/>
        <v>0</v>
      </c>
      <c r="H37" s="160"/>
      <c r="I37" s="154">
        <f t="shared" si="1"/>
        <v>0</v>
      </c>
    </row>
    <row r="38" spans="1:9">
      <c r="A38" s="147">
        <f>'ADJ SUMMARY'!A37</f>
        <v>3.0799999999999983</v>
      </c>
      <c r="B38" s="148" t="str">
        <f>'ADJ SUMMARY'!C37</f>
        <v>Pro Forma Incentives</v>
      </c>
      <c r="C38" s="149"/>
      <c r="D38" s="149"/>
      <c r="F38" s="154">
        <f>'ADJ SUMMARY'!E37</f>
        <v>0</v>
      </c>
      <c r="G38" s="160">
        <f t="shared" ref="G38:G39" si="4">SUM(F38:F38)</f>
        <v>0</v>
      </c>
      <c r="H38" s="160"/>
      <c r="I38" s="154">
        <f t="shared" ref="I38:I39" si="5">ROUND(F38*$E$57*-$F$64,0)</f>
        <v>0</v>
      </c>
    </row>
    <row r="39" spans="1:9">
      <c r="A39" s="147">
        <f>'ADJ SUMMARY'!A38</f>
        <v>3.0899999999999981</v>
      </c>
      <c r="B39" s="148" t="str">
        <f>'ADJ SUMMARY'!C38</f>
        <v>Pro Forma LIRAP Labor</v>
      </c>
      <c r="C39" s="149"/>
      <c r="D39" s="149"/>
      <c r="F39" s="154">
        <f>'ADJ SUMMARY'!E38</f>
        <v>0</v>
      </c>
      <c r="G39" s="160">
        <f t="shared" si="4"/>
        <v>0</v>
      </c>
      <c r="H39" s="160"/>
      <c r="I39" s="154">
        <f t="shared" si="5"/>
        <v>0</v>
      </c>
    </row>
    <row r="40" spans="1:9">
      <c r="A40" s="147">
        <f>'ADJ SUMMARY'!A39</f>
        <v>3.0999999999999979</v>
      </c>
      <c r="B40" s="148" t="str">
        <f>'ADJ SUMMARY'!C39</f>
        <v>Pro Forma CCA Labor</v>
      </c>
      <c r="C40" s="149"/>
      <c r="D40" s="149"/>
      <c r="F40" s="154">
        <f>'ADJ SUMMARY'!E39</f>
        <v>0</v>
      </c>
      <c r="G40" s="160">
        <f t="shared" si="3"/>
        <v>0</v>
      </c>
      <c r="H40" s="160"/>
      <c r="I40" s="154">
        <f t="shared" si="1"/>
        <v>0</v>
      </c>
    </row>
    <row r="41" spans="1:9">
      <c r="A41" s="147">
        <f>'ADJ SUMMARY'!A40</f>
        <v>3.1099999999999977</v>
      </c>
      <c r="B41" s="148" t="str">
        <f>'ADJ SUMMARY'!C40</f>
        <v>Pro Forma Property Tax</v>
      </c>
      <c r="C41" s="149"/>
      <c r="D41" s="149"/>
      <c r="F41" s="154">
        <f>'ADJ SUMMARY'!E40</f>
        <v>0</v>
      </c>
      <c r="G41" s="160">
        <f t="shared" si="3"/>
        <v>0</v>
      </c>
      <c r="H41" s="160"/>
      <c r="I41" s="154">
        <f t="shared" si="1"/>
        <v>0</v>
      </c>
    </row>
    <row r="42" spans="1:9">
      <c r="A42" s="147">
        <f>'ADJ SUMMARY'!A41</f>
        <v>3.1199999999999974</v>
      </c>
      <c r="B42" s="148" t="str">
        <f>'ADJ SUMMARY'!C41</f>
        <v>Pro Forma Insurance Expense</v>
      </c>
      <c r="C42" s="149"/>
      <c r="D42" s="149"/>
      <c r="F42" s="154">
        <f>'ADJ SUMMARY'!E41</f>
        <v>0</v>
      </c>
      <c r="G42" s="160">
        <f t="shared" si="3"/>
        <v>0</v>
      </c>
      <c r="H42" s="160"/>
      <c r="I42" s="154">
        <f t="shared" si="1"/>
        <v>0</v>
      </c>
    </row>
    <row r="43" spans="1:9">
      <c r="A43" s="147">
        <f>'ADJ SUMMARY'!A42</f>
        <v>3.1299999999999972</v>
      </c>
      <c r="B43" s="148" t="str">
        <f>'ADJ SUMMARY'!C42</f>
        <v>Pro Forma IS/IT Expense</v>
      </c>
      <c r="C43" s="149"/>
      <c r="D43" s="149"/>
      <c r="F43" s="154">
        <f>'ADJ SUMMARY'!E42</f>
        <v>0</v>
      </c>
      <c r="G43" s="160">
        <f t="shared" si="3"/>
        <v>0</v>
      </c>
      <c r="H43" s="160"/>
      <c r="I43" s="154">
        <f t="shared" si="1"/>
        <v>0</v>
      </c>
    </row>
    <row r="44" spans="1:9">
      <c r="A44" s="147">
        <f>'ADJ SUMMARY'!A43</f>
        <v>3.139999999999997</v>
      </c>
      <c r="B44" s="148" t="str">
        <f>'ADJ SUMMARY'!C43</f>
        <v>Pro Forma Misc O&amp;M Exp</v>
      </c>
      <c r="C44" s="149"/>
      <c r="D44" s="149"/>
      <c r="F44" s="154">
        <f>'ADJ SUMMARY'!E43</f>
        <v>0</v>
      </c>
      <c r="G44" s="160">
        <f t="shared" si="3"/>
        <v>0</v>
      </c>
      <c r="H44" s="160"/>
      <c r="I44" s="154">
        <f t="shared" si="1"/>
        <v>0</v>
      </c>
    </row>
    <row r="45" spans="1:9">
      <c r="A45" s="147">
        <f>'ADJ SUMMARY'!A44</f>
        <v>3.1499999999999968</v>
      </c>
      <c r="B45" s="148" t="str">
        <f>'ADJ SUMMARY'!C44</f>
        <v>Pro Forma Capital Additions to 12.31.2023 EOP</v>
      </c>
      <c r="C45" s="149"/>
      <c r="D45" s="149"/>
      <c r="F45" s="154">
        <f>'ADJ SUMMARY'!E44</f>
        <v>19487.900000000001</v>
      </c>
      <c r="G45" s="160">
        <f t="shared" si="3"/>
        <v>19487.900000000001</v>
      </c>
      <c r="H45" s="160"/>
      <c r="I45" s="154">
        <f t="shared" si="1"/>
        <v>-105</v>
      </c>
    </row>
    <row r="46" spans="1:9">
      <c r="A46" s="147">
        <f>'ADJ SUMMARY'!A45</f>
        <v>3.1599999999999966</v>
      </c>
      <c r="B46" s="148" t="str">
        <f>'ADJ SUMMARY'!C45</f>
        <v>Pro Forma Depreciation Expense</v>
      </c>
      <c r="C46" s="149"/>
      <c r="D46" s="149"/>
      <c r="F46" s="154">
        <f>'ADJ SUMMARY'!E45</f>
        <v>0</v>
      </c>
      <c r="G46" s="160">
        <f t="shared" ref="G46:G48" si="6">SUM(F46:F46)</f>
        <v>0</v>
      </c>
      <c r="H46" s="160"/>
      <c r="I46" s="154">
        <f t="shared" ref="I46:I48" si="7">ROUND(F46*$E$57*-$F$64,0)</f>
        <v>0</v>
      </c>
    </row>
    <row r="47" spans="1:9">
      <c r="A47" s="147">
        <f>'ADJ SUMMARY'!A46</f>
        <v>3.1699999999999964</v>
      </c>
      <c r="B47" s="148" t="str">
        <f>'ADJ SUMMARY'!C46</f>
        <v>Pro Forma Capital Additions to 12.31.2024 EOP</v>
      </c>
      <c r="C47" s="149"/>
      <c r="D47" s="149"/>
      <c r="F47" s="154">
        <f>'ADJ SUMMARY'!E46</f>
        <v>20568</v>
      </c>
      <c r="G47" s="160">
        <f t="shared" si="6"/>
        <v>20568</v>
      </c>
      <c r="H47" s="160"/>
      <c r="I47" s="154">
        <f t="shared" si="7"/>
        <v>-111</v>
      </c>
    </row>
    <row r="48" spans="1:9">
      <c r="A48" s="147">
        <f>'ADJ SUMMARY'!A47</f>
        <v>3.1799999999999962</v>
      </c>
      <c r="B48" s="148" t="str">
        <f>'ADJ SUMMARY'!C47</f>
        <v>Pro Forma New Regulatory Amortizations</v>
      </c>
      <c r="C48" s="149"/>
      <c r="D48" s="149"/>
      <c r="F48" s="154">
        <f>'ADJ SUMMARY'!E47</f>
        <v>0</v>
      </c>
      <c r="G48" s="160">
        <f t="shared" si="6"/>
        <v>0</v>
      </c>
      <c r="H48" s="160"/>
      <c r="I48" s="154">
        <f t="shared" si="7"/>
        <v>0</v>
      </c>
    </row>
    <row r="49" spans="1:11">
      <c r="A49" s="147">
        <f>'ADJ SUMMARY'!A48</f>
        <v>3.1899999999999959</v>
      </c>
      <c r="B49" s="148" t="str">
        <f>'ADJ SUMMARY'!C48</f>
        <v>Pro Forma Nucleus/ETRM Expense</v>
      </c>
      <c r="C49" s="149"/>
      <c r="D49" s="149"/>
      <c r="F49" s="154">
        <f>'ADJ SUMMARY'!E48</f>
        <v>0</v>
      </c>
      <c r="G49" s="160">
        <f t="shared" si="3"/>
        <v>0</v>
      </c>
      <c r="H49" s="160"/>
      <c r="I49" s="154">
        <f>ROUND(F49*$E$57*-$F$64,0)</f>
        <v>0</v>
      </c>
    </row>
    <row r="50" spans="1:11">
      <c r="A50" s="147">
        <f>'ADJ SUMMARY'!A49</f>
        <v>3.1999999999999957</v>
      </c>
      <c r="B50" s="148" t="str">
        <f>'ADJ SUMMARY'!C49</f>
        <v>Pro Forma BOD Fees Expense</v>
      </c>
      <c r="C50" s="149"/>
      <c r="D50" s="149"/>
      <c r="F50" s="154">
        <f>'ADJ SUMMARY'!E49</f>
        <v>0</v>
      </c>
      <c r="G50" s="160">
        <f t="shared" ref="G50:G52" si="8">SUM(F50:F50)</f>
        <v>0</v>
      </c>
      <c r="H50" s="160"/>
      <c r="I50" s="154">
        <f t="shared" ref="I50:I52" si="9">ROUND(F50*$E$57*-$F$64,0)</f>
        <v>0</v>
      </c>
    </row>
    <row r="51" spans="1:11">
      <c r="A51" s="147">
        <f>'ADJ SUMMARY'!A50</f>
        <v>4.01</v>
      </c>
      <c r="B51" s="148" t="str">
        <f>'ADJ SUMMARY'!C50</f>
        <v>Provisional Capital Additions to 12.31.2025 AMA</v>
      </c>
      <c r="C51" s="149"/>
      <c r="D51" s="149"/>
      <c r="F51" s="154">
        <f>'ADJ SUMMARY'!E50</f>
        <v>3203.9000000000015</v>
      </c>
      <c r="G51" s="160">
        <f t="shared" si="8"/>
        <v>3203.9000000000015</v>
      </c>
      <c r="H51" s="160"/>
      <c r="I51" s="154">
        <f t="shared" si="9"/>
        <v>-17</v>
      </c>
    </row>
    <row r="52" spans="1:11">
      <c r="A52" s="147">
        <f>'ADJ SUMMARY'!A51</f>
        <v>4.0199999999999996</v>
      </c>
      <c r="B52" s="148" t="str">
        <f>'ADJ SUMMARY'!C51</f>
        <v>2024-2025 Capital Adds O&amp;M &amp; Revenue Offsets</v>
      </c>
      <c r="C52" s="149"/>
      <c r="D52" s="149"/>
      <c r="F52" s="154">
        <f>'ADJ SUMMARY'!E51</f>
        <v>0</v>
      </c>
      <c r="G52" s="160">
        <f t="shared" si="8"/>
        <v>0</v>
      </c>
      <c r="H52" s="160"/>
      <c r="I52" s="154">
        <f t="shared" si="9"/>
        <v>0</v>
      </c>
    </row>
    <row r="53" spans="1:11">
      <c r="B53" s="155"/>
      <c r="C53" s="149"/>
      <c r="D53" s="149"/>
      <c r="E53" s="336">
        <f>SUM(E11:E52)</f>
        <v>533429.39999999991</v>
      </c>
      <c r="F53" s="336">
        <f>SUM(F11:F52)</f>
        <v>52654.8</v>
      </c>
      <c r="G53" s="336">
        <f>SUM(G11:G52)</f>
        <v>586084.19999999995</v>
      </c>
      <c r="H53" s="161"/>
      <c r="I53" s="336">
        <f>SUM(I11:I52)</f>
        <v>-226.99000000000024</v>
      </c>
      <c r="J53" s="544">
        <f>G53-'ADJ SUMMARY'!E53</f>
        <v>0</v>
      </c>
      <c r="K53" s="543" t="s">
        <v>635</v>
      </c>
    </row>
    <row r="54" spans="1:11">
      <c r="B54" s="155"/>
      <c r="C54" s="149"/>
      <c r="D54" s="149"/>
      <c r="E54" s="161"/>
      <c r="F54" s="162"/>
      <c r="G54" s="163"/>
      <c r="H54" s="160"/>
      <c r="I54" s="160"/>
    </row>
    <row r="55" spans="1:11">
      <c r="B55" s="155"/>
      <c r="C55" s="149"/>
      <c r="D55" s="149"/>
      <c r="E55" s="161"/>
      <c r="F55" s="162"/>
      <c r="G55" s="163"/>
      <c r="H55" s="160"/>
      <c r="I55" s="160"/>
    </row>
    <row r="56" spans="1:11">
      <c r="C56" s="149"/>
      <c r="D56" s="149"/>
      <c r="E56" s="161"/>
      <c r="F56" s="161"/>
      <c r="G56" s="161"/>
      <c r="H56" s="160"/>
      <c r="I56" s="160"/>
    </row>
    <row r="57" spans="1:11">
      <c r="B57" s="148" t="s">
        <v>121</v>
      </c>
      <c r="C57" s="149"/>
      <c r="D57" s="149"/>
      <c r="E57" s="169">
        <f>'RR SUMMARY'!Q14</f>
        <v>2.5700000000000001E-2</v>
      </c>
      <c r="F57" s="169">
        <f>E57-I57</f>
        <v>2.5700000000000001E-2</v>
      </c>
      <c r="G57" s="169"/>
      <c r="H57" s="168"/>
      <c r="I57" s="169"/>
    </row>
    <row r="58" spans="1:11">
      <c r="C58" s="149"/>
      <c r="D58" s="149"/>
      <c r="E58" s="161"/>
      <c r="F58" s="161"/>
      <c r="G58" s="161"/>
      <c r="H58" s="160"/>
      <c r="I58" s="160"/>
    </row>
    <row r="59" spans="1:11">
      <c r="B59" s="148" t="s">
        <v>117</v>
      </c>
      <c r="C59" s="149"/>
      <c r="D59" s="149"/>
      <c r="E59" s="161">
        <f>E53*E57</f>
        <v>13709.135579999998</v>
      </c>
      <c r="F59" s="161">
        <f>F53*F57</f>
        <v>1353.2283600000001</v>
      </c>
      <c r="G59" s="161">
        <f>SUM(E59:F59)</f>
        <v>15062.363939999999</v>
      </c>
      <c r="H59" s="160"/>
      <c r="I59" s="161">
        <f>SUM(I11:I52)</f>
        <v>-226.99000000000024</v>
      </c>
    </row>
    <row r="60" spans="1:11">
      <c r="C60" s="149"/>
      <c r="D60" s="149"/>
      <c r="E60" s="161"/>
      <c r="F60" s="161"/>
      <c r="G60" s="161"/>
      <c r="H60" s="160"/>
      <c r="I60" s="161"/>
    </row>
    <row r="61" spans="1:11">
      <c r="B61" s="148" t="s">
        <v>201</v>
      </c>
      <c r="C61" s="149"/>
      <c r="D61" s="412" t="s">
        <v>524</v>
      </c>
      <c r="E61" s="542">
        <v>13981</v>
      </c>
      <c r="F61" s="165"/>
      <c r="G61" s="164">
        <f>SUM(E61:F61)</f>
        <v>13981</v>
      </c>
      <c r="H61" s="160"/>
      <c r="I61" s="205"/>
    </row>
    <row r="62" spans="1:11">
      <c r="C62" s="149"/>
      <c r="D62" s="149"/>
      <c r="E62" s="161"/>
      <c r="F62" s="161"/>
      <c r="G62" s="161"/>
      <c r="H62" s="160"/>
      <c r="I62" s="206"/>
    </row>
    <row r="63" spans="1:11">
      <c r="B63" s="148" t="s">
        <v>118</v>
      </c>
      <c r="C63" s="149"/>
      <c r="D63" s="149"/>
      <c r="E63" s="161">
        <f>E59-E61</f>
        <v>-271.8644200000017</v>
      </c>
      <c r="F63" s="161">
        <f>F59-F61</f>
        <v>1353.2283600000001</v>
      </c>
      <c r="G63" s="161">
        <f>SUM(E63:F63)</f>
        <v>1081.3639399999984</v>
      </c>
      <c r="H63" s="160"/>
      <c r="I63" s="206"/>
    </row>
    <row r="64" spans="1:11">
      <c r="B64" s="148" t="s">
        <v>119</v>
      </c>
      <c r="D64" s="149"/>
      <c r="E64" s="167">
        <v>0.21</v>
      </c>
      <c r="F64" s="167">
        <v>0.21</v>
      </c>
      <c r="G64" s="167"/>
      <c r="H64" s="168"/>
      <c r="I64" s="167"/>
    </row>
    <row r="65" spans="2:10" ht="13.8" thickBot="1">
      <c r="D65" s="149"/>
      <c r="E65" s="161"/>
      <c r="F65" s="161"/>
      <c r="G65" s="161"/>
      <c r="H65" s="160"/>
      <c r="I65" s="161"/>
    </row>
    <row r="66" spans="2:10" ht="13.8" thickBot="1">
      <c r="B66" s="148" t="s">
        <v>120</v>
      </c>
      <c r="D66" s="149"/>
      <c r="E66" s="211">
        <f>ROUND(E63*-E64,0)</f>
        <v>57</v>
      </c>
      <c r="F66" s="166">
        <f>ROUND(F63*-F64,0)</f>
        <v>-284</v>
      </c>
      <c r="G66" s="166">
        <f>SUM(E66:F66)</f>
        <v>-227</v>
      </c>
      <c r="H66" s="160"/>
      <c r="I66" s="166">
        <f>I59</f>
        <v>-226.99000000000024</v>
      </c>
      <c r="J66" s="332" t="s">
        <v>379</v>
      </c>
    </row>
    <row r="67" spans="2:10">
      <c r="E67" s="413">
        <f>'ADJ DETAIL INPUT'!V10</f>
        <v>2.139999999999997</v>
      </c>
      <c r="F67" s="156"/>
      <c r="J67" s="540">
        <f>I66-'ADJ DETAIL INPUT'!V53-'ADJ DETAIL INPUT'!AW54</f>
        <v>0.18795559999978195</v>
      </c>
    </row>
    <row r="68" spans="2:10" ht="13.8" thickBot="1">
      <c r="E68" s="414" t="s">
        <v>19</v>
      </c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86" orientation="portrait" r:id="rId1"/>
  <headerFooter alignWithMargins="0">
    <oddFooter>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pageSetUpPr fitToPage="1"/>
  </sheetPr>
  <dimension ref="A1:AB84"/>
  <sheetViews>
    <sheetView workbookViewId="0">
      <selection sqref="A1:O1"/>
    </sheetView>
  </sheetViews>
  <sheetFormatPr defaultColWidth="11.44140625" defaultRowHeight="13.2" outlineLevelRow="1"/>
  <cols>
    <col min="1" max="1" width="8.5546875" style="478" customWidth="1"/>
    <col min="2" max="2" width="33" style="478" customWidth="1"/>
    <col min="3" max="3" width="4.44140625" style="478" customWidth="1"/>
    <col min="4" max="4" width="3.33203125" style="478" customWidth="1"/>
    <col min="5" max="5" width="12.44140625" style="478" customWidth="1"/>
    <col min="6" max="6" width="11.44140625" style="478" customWidth="1"/>
    <col min="7" max="7" width="4.44140625" style="478" customWidth="1"/>
    <col min="8" max="9" width="11.44140625" style="478" customWidth="1"/>
    <col min="10" max="10" width="4.6640625" style="478" customWidth="1"/>
    <col min="11" max="12" width="11.44140625" style="478"/>
    <col min="13" max="13" width="4.44140625" style="11" customWidth="1"/>
    <col min="14" max="15" width="11.44140625" style="11"/>
    <col min="16" max="16" width="11.44140625" style="250"/>
    <col min="17" max="17" width="5.6640625" style="60" bestFit="1" customWidth="1"/>
    <col min="18" max="18" width="8.33203125" style="250" customWidth="1"/>
    <col min="19" max="19" width="12.5546875" style="226" customWidth="1"/>
    <col min="20" max="20" width="11.44140625" style="226"/>
    <col min="21" max="21" width="11.44140625" style="395"/>
    <col min="22" max="28" width="11.44140625" style="247"/>
    <col min="29" max="16384" width="11.44140625" style="11"/>
  </cols>
  <sheetData>
    <row r="1" spans="1:28" ht="17.399999999999999">
      <c r="A1" s="924" t="s">
        <v>434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208"/>
    </row>
    <row r="2" spans="1:28" ht="17.399999999999999">
      <c r="A2" s="924" t="s">
        <v>111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  <c r="P2" s="208"/>
    </row>
    <row r="3" spans="1:28" ht="17.399999999999999">
      <c r="A3" s="924" t="s">
        <v>162</v>
      </c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208"/>
    </row>
    <row r="4" spans="1:28" s="18" customFormat="1" ht="17.399999999999999">
      <c r="A4" s="72"/>
      <c r="B4" s="72"/>
      <c r="C4" s="72"/>
      <c r="D4" s="72"/>
      <c r="E4" s="72"/>
      <c r="F4" s="72"/>
      <c r="G4" s="462"/>
      <c r="H4" s="563"/>
      <c r="I4" s="72"/>
      <c r="J4" s="72"/>
      <c r="K4" s="72"/>
      <c r="L4" s="72"/>
      <c r="M4" s="72"/>
      <c r="N4" s="71"/>
      <c r="O4" s="71"/>
      <c r="P4" s="231"/>
      <c r="Q4" s="59"/>
      <c r="R4" s="231"/>
      <c r="S4" s="231"/>
      <c r="T4" s="231"/>
      <c r="U4" s="396"/>
      <c r="V4" s="231"/>
      <c r="W4" s="231"/>
      <c r="X4" s="231"/>
      <c r="Y4" s="231"/>
      <c r="Z4" s="231"/>
      <c r="AA4" s="226"/>
      <c r="AB4" s="226"/>
    </row>
    <row r="5" spans="1:28" ht="13.8">
      <c r="H5" s="77" t="s">
        <v>142</v>
      </c>
      <c r="S5" s="231"/>
      <c r="T5" s="231"/>
      <c r="U5" s="396"/>
      <c r="V5" s="231"/>
      <c r="W5" s="231"/>
      <c r="X5" s="231"/>
      <c r="Y5" s="231"/>
      <c r="Z5" s="231"/>
    </row>
    <row r="6" spans="1:28">
      <c r="S6" s="231"/>
      <c r="T6" s="231"/>
      <c r="U6" s="396"/>
      <c r="V6" s="231"/>
      <c r="W6" s="231"/>
      <c r="X6" s="231"/>
      <c r="Y6" s="231"/>
      <c r="Z6" s="231"/>
    </row>
    <row r="7" spans="1:28" s="18" customFormat="1">
      <c r="A7" s="478"/>
      <c r="B7" s="478"/>
      <c r="C7" s="478"/>
      <c r="D7" s="478"/>
      <c r="E7" s="478"/>
      <c r="F7" s="478"/>
      <c r="G7" s="478"/>
      <c r="H7" s="462"/>
      <c r="I7" s="478"/>
      <c r="J7" s="478"/>
      <c r="K7" s="19"/>
      <c r="L7" s="912" t="s">
        <v>156</v>
      </c>
      <c r="M7" s="912"/>
      <c r="N7" s="912"/>
      <c r="P7" s="231"/>
      <c r="Q7" s="59"/>
      <c r="R7" s="231"/>
      <c r="S7" s="231"/>
      <c r="T7" s="231"/>
      <c r="U7" s="396"/>
      <c r="V7" s="231"/>
      <c r="W7" s="231"/>
      <c r="X7" s="231"/>
      <c r="Y7" s="231"/>
      <c r="Z7" s="231"/>
      <c r="AA7" s="226"/>
      <c r="AB7" s="226"/>
    </row>
    <row r="8" spans="1:28" s="18" customFormat="1">
      <c r="A8" s="478"/>
      <c r="B8" s="478"/>
      <c r="C8" s="478"/>
      <c r="D8" s="478"/>
      <c r="E8" s="925" t="s">
        <v>541</v>
      </c>
      <c r="F8" s="925"/>
      <c r="G8" s="19"/>
      <c r="H8" s="925"/>
      <c r="I8" s="925"/>
      <c r="J8" s="478"/>
      <c r="K8" s="912" t="s">
        <v>157</v>
      </c>
      <c r="L8" s="912"/>
      <c r="N8" s="912" t="s">
        <v>158</v>
      </c>
      <c r="O8" s="912"/>
      <c r="P8" s="231"/>
      <c r="Q8" s="59"/>
      <c r="R8" s="231"/>
      <c r="S8" s="231"/>
      <c r="T8" s="231"/>
      <c r="U8" s="396"/>
      <c r="V8" s="231"/>
      <c r="W8" s="231"/>
      <c r="X8" s="231"/>
      <c r="Y8" s="231"/>
      <c r="Z8" s="231"/>
      <c r="AA8" s="226"/>
      <c r="AB8" s="226"/>
    </row>
    <row r="9" spans="1:28" s="18" customFormat="1">
      <c r="A9" s="462"/>
      <c r="B9" s="478"/>
      <c r="C9" s="478"/>
      <c r="D9" s="478"/>
      <c r="E9" s="915" t="s">
        <v>68</v>
      </c>
      <c r="F9" s="915"/>
      <c r="G9" s="20"/>
      <c r="H9" s="915" t="s">
        <v>68</v>
      </c>
      <c r="I9" s="915"/>
      <c r="J9" s="478"/>
      <c r="K9" s="915" t="s">
        <v>68</v>
      </c>
      <c r="L9" s="915"/>
      <c r="N9" s="12" t="s">
        <v>159</v>
      </c>
      <c r="O9" s="12" t="s">
        <v>18</v>
      </c>
      <c r="P9" s="231"/>
      <c r="Q9" s="59"/>
      <c r="R9" s="231"/>
      <c r="S9" s="231"/>
      <c r="T9" s="231"/>
      <c r="U9" s="398"/>
      <c r="V9" s="231"/>
      <c r="W9" s="231"/>
      <c r="X9" s="231"/>
      <c r="Y9" s="231"/>
      <c r="Z9" s="231"/>
      <c r="AA9" s="226"/>
      <c r="AB9" s="226"/>
    </row>
    <row r="10" spans="1:28">
      <c r="A10" s="562" t="s">
        <v>160</v>
      </c>
      <c r="B10" s="562" t="s">
        <v>70</v>
      </c>
      <c r="C10" s="560"/>
      <c r="D10" s="560"/>
      <c r="E10" s="562" t="s">
        <v>71</v>
      </c>
      <c r="F10" s="562" t="s">
        <v>18</v>
      </c>
      <c r="G10" s="561"/>
      <c r="H10" s="562" t="s">
        <v>71</v>
      </c>
      <c r="I10" s="562" t="s">
        <v>18</v>
      </c>
      <c r="K10" s="562" t="s">
        <v>71</v>
      </c>
      <c r="L10" s="562" t="s">
        <v>18</v>
      </c>
      <c r="N10" s="65">
        <f>CF!E27</f>
        <v>0.75264900000000001</v>
      </c>
      <c r="O10" s="66">
        <f>'RR SUMMARY'!O15</f>
        <v>7.6100000000000001E-2</v>
      </c>
      <c r="S10" s="231"/>
      <c r="T10" s="268"/>
      <c r="U10" s="397"/>
      <c r="V10" s="268"/>
      <c r="W10" s="269"/>
      <c r="X10" s="269"/>
      <c r="Y10" s="231"/>
      <c r="Z10" s="231"/>
    </row>
    <row r="11" spans="1:28">
      <c r="A11" s="253">
        <f>'ADJ DETAIL INPUT'!E$10</f>
        <v>1</v>
      </c>
      <c r="B11" s="229" t="str">
        <f>TRIM(CONCATENATE('ADJ DETAIL INPUT'!E$7," ",'ADJ DETAIL INPUT'!E$8," ",'ADJ DETAIL INPUT'!E$9))</f>
        <v>Results of Operations</v>
      </c>
      <c r="E11" s="463">
        <v>36392</v>
      </c>
      <c r="F11" s="463">
        <v>533429.39999999991</v>
      </c>
      <c r="G11" s="463"/>
      <c r="H11" s="463">
        <f>'ADJ DETAIL INPUT'!E$58</f>
        <v>36392</v>
      </c>
      <c r="I11" s="463">
        <f>'ADJ DETAIL INPUT'!E$81</f>
        <v>533429.39999999991</v>
      </c>
      <c r="J11" s="462"/>
      <c r="K11" s="463">
        <f>H11-E11</f>
        <v>0</v>
      </c>
      <c r="L11" s="463">
        <f>I11-F11</f>
        <v>0</v>
      </c>
      <c r="N11" s="68">
        <f>K11/$N$10*-1</f>
        <v>0</v>
      </c>
      <c r="O11" s="68">
        <f>L11*$O$10/$N$10</f>
        <v>0</v>
      </c>
      <c r="P11" s="235">
        <f>N11+O11</f>
        <v>0</v>
      </c>
      <c r="S11" s="270"/>
      <c r="T11" s="83"/>
      <c r="U11" s="396"/>
      <c r="V11" s="83"/>
      <c r="W11" s="231"/>
      <c r="X11" s="83"/>
      <c r="Y11" s="231"/>
      <c r="Z11" s="231"/>
    </row>
    <row r="12" spans="1:28" s="27" customFormat="1">
      <c r="A12" s="253">
        <f>'ADJ DETAIL INPUT'!F$10</f>
        <v>1.01</v>
      </c>
      <c r="B12" s="229" t="str">
        <f>TRIM(CONCATENATE('ADJ DETAIL INPUT'!F$7," ",'ADJ DETAIL INPUT'!F$8," ",'ADJ DETAIL INPUT'!F$9))</f>
        <v>Deferred FIT Rate Base</v>
      </c>
      <c r="C12" s="478"/>
      <c r="D12" s="478"/>
      <c r="E12" s="463">
        <v>-1.208928</v>
      </c>
      <c r="F12" s="463">
        <v>-224</v>
      </c>
      <c r="G12" s="249"/>
      <c r="H12" s="249">
        <f>'ADJ DETAIL INPUT'!F$58</f>
        <v>-1.208928</v>
      </c>
      <c r="I12" s="249">
        <f>'ADJ DETAIL INPUT'!F$81</f>
        <v>-224</v>
      </c>
      <c r="J12" s="462"/>
      <c r="K12" s="463">
        <f t="shared" ref="K12:K14" si="0">H12-E12</f>
        <v>0</v>
      </c>
      <c r="L12" s="463">
        <f t="shared" ref="L12:L14" si="1">I12-F12</f>
        <v>0</v>
      </c>
      <c r="N12" s="68">
        <f t="shared" ref="N12:N14" si="2">K12/$N$10*-1</f>
        <v>0</v>
      </c>
      <c r="O12" s="68">
        <f t="shared" ref="O12:O14" si="3">L12*$O$10/$N$10</f>
        <v>0</v>
      </c>
      <c r="P12" s="235">
        <f t="shared" ref="P12:P14" si="4">N12+O12</f>
        <v>0</v>
      </c>
      <c r="Q12" s="61"/>
      <c r="R12" s="250"/>
      <c r="S12" s="270"/>
      <c r="T12" s="83"/>
      <c r="U12" s="396"/>
      <c r="V12" s="83"/>
      <c r="W12" s="231"/>
      <c r="X12" s="83"/>
      <c r="Y12" s="231"/>
      <c r="Z12" s="231"/>
      <c r="AA12" s="247"/>
      <c r="AB12" s="247"/>
    </row>
    <row r="13" spans="1:28" s="27" customFormat="1">
      <c r="A13" s="253">
        <f>'ADJ DETAIL INPUT'!G$10</f>
        <v>1.02</v>
      </c>
      <c r="B13" s="229" t="str">
        <f>TRIM(CONCATENATE('ADJ DETAIL INPUT'!G$7," ",'ADJ DETAIL INPUT'!G$8," ",'ADJ DETAIL INPUT'!G$9))</f>
        <v>Deferred Debits and Credits</v>
      </c>
      <c r="C13" s="478"/>
      <c r="D13" s="478"/>
      <c r="E13" s="463">
        <v>0</v>
      </c>
      <c r="F13" s="463">
        <v>0</v>
      </c>
      <c r="G13" s="249"/>
      <c r="H13" s="249">
        <f>'ADJ DETAIL INPUT'!G$58</f>
        <v>0</v>
      </c>
      <c r="I13" s="249">
        <f>'ADJ DETAIL INPUT'!G$81</f>
        <v>0</v>
      </c>
      <c r="J13" s="462"/>
      <c r="K13" s="463">
        <f t="shared" si="0"/>
        <v>0</v>
      </c>
      <c r="L13" s="463">
        <f t="shared" si="1"/>
        <v>0</v>
      </c>
      <c r="N13" s="68">
        <f t="shared" si="2"/>
        <v>0</v>
      </c>
      <c r="O13" s="68">
        <f t="shared" si="3"/>
        <v>0</v>
      </c>
      <c r="P13" s="235">
        <f t="shared" si="4"/>
        <v>0</v>
      </c>
      <c r="Q13" s="60"/>
      <c r="R13" s="250"/>
      <c r="S13" s="270"/>
      <c r="T13" s="83"/>
      <c r="U13" s="396"/>
      <c r="V13" s="83"/>
      <c r="W13" s="231"/>
      <c r="X13" s="83"/>
      <c r="Y13" s="231"/>
      <c r="Z13" s="231"/>
      <c r="AA13" s="247"/>
      <c r="AB13" s="247"/>
    </row>
    <row r="14" spans="1:28" s="27" customFormat="1">
      <c r="A14" s="253">
        <f>'ADJ DETAIL INPUT'!H$10</f>
        <v>1.03</v>
      </c>
      <c r="B14" s="229" t="str">
        <f>TRIM(CONCATENATE('ADJ DETAIL INPUT'!H$7," ",'ADJ DETAIL INPUT'!H$8," ",'ADJ DETAIL INPUT'!H$9))</f>
        <v>Working Capital</v>
      </c>
      <c r="C14" s="478"/>
      <c r="D14" s="478"/>
      <c r="E14" s="463">
        <v>-3.4972560000000001</v>
      </c>
      <c r="F14" s="463">
        <v>-648</v>
      </c>
      <c r="G14" s="249"/>
      <c r="H14" s="249">
        <f>'ADJ DETAIL INPUT'!H$58</f>
        <v>-3.4972560000000001</v>
      </c>
      <c r="I14" s="249">
        <f>'ADJ DETAIL INPUT'!H$81</f>
        <v>-648</v>
      </c>
      <c r="J14" s="462"/>
      <c r="K14" s="463">
        <f t="shared" si="0"/>
        <v>0</v>
      </c>
      <c r="L14" s="463">
        <f t="shared" si="1"/>
        <v>0</v>
      </c>
      <c r="N14" s="68">
        <f t="shared" si="2"/>
        <v>0</v>
      </c>
      <c r="O14" s="68">
        <f t="shared" si="3"/>
        <v>0</v>
      </c>
      <c r="P14" s="235">
        <f t="shared" si="4"/>
        <v>0</v>
      </c>
      <c r="Q14" s="60"/>
      <c r="R14" s="250"/>
      <c r="S14" s="231"/>
      <c r="T14" s="86"/>
      <c r="U14" s="396"/>
      <c r="V14" s="86"/>
      <c r="W14" s="231"/>
      <c r="X14" s="86"/>
      <c r="Y14" s="231"/>
      <c r="Z14" s="231"/>
      <c r="AA14" s="247"/>
      <c r="AB14" s="247"/>
    </row>
    <row r="15" spans="1:28" ht="8.25" customHeight="1">
      <c r="A15" s="253"/>
      <c r="B15" s="229"/>
      <c r="E15" s="463"/>
      <c r="F15" s="463"/>
      <c r="G15" s="249"/>
      <c r="H15" s="249"/>
      <c r="I15" s="249"/>
      <c r="J15" s="462"/>
      <c r="K15" s="463"/>
      <c r="L15" s="463"/>
      <c r="M15" s="27"/>
      <c r="N15" s="68"/>
      <c r="O15" s="68"/>
      <c r="S15" s="231"/>
      <c r="T15" s="231"/>
      <c r="U15" s="396"/>
      <c r="V15" s="231"/>
      <c r="W15" s="231"/>
      <c r="X15" s="231"/>
      <c r="Y15" s="231"/>
      <c r="Z15" s="231"/>
    </row>
    <row r="16" spans="1:28">
      <c r="A16" s="253"/>
      <c r="B16" s="478" t="s">
        <v>73</v>
      </c>
      <c r="E16" s="22">
        <f>SUM(E11:E15)</f>
        <v>36387.293815999998</v>
      </c>
      <c r="F16" s="22">
        <f>SUM(F11:F15)</f>
        <v>532557.39999999991</v>
      </c>
      <c r="G16" s="22"/>
      <c r="H16" s="22">
        <f>SUM(H11:H15)</f>
        <v>36387.293815999998</v>
      </c>
      <c r="I16" s="22">
        <f>SUM(I11:I15)</f>
        <v>532557.39999999991</v>
      </c>
      <c r="J16" s="462"/>
      <c r="K16" s="22">
        <f>SUM(K11:K15)</f>
        <v>0</v>
      </c>
      <c r="L16" s="22">
        <f>SUM(L11:L15)</f>
        <v>0</v>
      </c>
      <c r="N16" s="22">
        <f>SUM(N11:N15)</f>
        <v>0</v>
      </c>
      <c r="O16" s="22">
        <f>SUM(O11:O15)</f>
        <v>0</v>
      </c>
      <c r="S16" s="231"/>
      <c r="T16" s="231"/>
      <c r="U16" s="396"/>
      <c r="V16" s="231"/>
      <c r="W16" s="231"/>
      <c r="X16" s="231"/>
      <c r="Y16" s="231"/>
      <c r="Z16" s="231"/>
    </row>
    <row r="17" spans="1:28" ht="5.25" customHeight="1">
      <c r="A17" s="253"/>
      <c r="B17" s="229"/>
      <c r="E17" s="463"/>
      <c r="F17" s="463"/>
      <c r="G17" s="463"/>
      <c r="H17" s="463"/>
      <c r="I17" s="463"/>
      <c r="J17" s="462"/>
      <c r="S17" s="270"/>
      <c r="T17" s="86"/>
      <c r="U17" s="396"/>
      <c r="V17" s="86"/>
      <c r="W17" s="231"/>
      <c r="X17" s="231"/>
      <c r="Y17" s="231"/>
      <c r="Z17" s="231"/>
    </row>
    <row r="18" spans="1:28" s="27" customFormat="1">
      <c r="A18" s="133">
        <f>'ADJ DETAIL INPUT'!I$10</f>
        <v>2.0099999999999998</v>
      </c>
      <c r="B18" s="229" t="str">
        <f>TRIM(CONCATENATE('ADJ DETAIL INPUT'!I$7," ",'ADJ DETAIL INPUT'!I$8," ",'ADJ DETAIL INPUT'!I$9))</f>
        <v>Eliminate B &amp; O Taxes</v>
      </c>
      <c r="C18" s="478"/>
      <c r="D18" s="478"/>
      <c r="E18" s="249">
        <v>33.18</v>
      </c>
      <c r="F18" s="249">
        <v>0</v>
      </c>
      <c r="G18" s="249"/>
      <c r="H18" s="249">
        <f>'ADJ DETAIL INPUT'!I$58</f>
        <v>33.18</v>
      </c>
      <c r="I18" s="249">
        <f>'ADJ DETAIL INPUT'!I$81</f>
        <v>0</v>
      </c>
      <c r="J18" s="462"/>
      <c r="K18" s="463">
        <f t="shared" ref="K18:K29" si="5">H18-E18</f>
        <v>0</v>
      </c>
      <c r="L18" s="463">
        <f t="shared" ref="L18:L29" si="6">I18-F18</f>
        <v>0</v>
      </c>
      <c r="M18" s="11"/>
      <c r="N18" s="68">
        <f t="shared" ref="N18:N29" si="7">K18/$N$10*-1</f>
        <v>0</v>
      </c>
      <c r="O18" s="68">
        <f t="shared" ref="O18:O29" si="8">L18*$O$10/$N$10</f>
        <v>0</v>
      </c>
      <c r="P18" s="235">
        <f t="shared" ref="P18:P29" si="9">N18+O18</f>
        <v>0</v>
      </c>
      <c r="Q18" s="61"/>
      <c r="R18" s="250"/>
      <c r="S18" s="270"/>
      <c r="T18" s="86"/>
      <c r="U18" s="396"/>
      <c r="V18" s="87"/>
      <c r="W18" s="231"/>
      <c r="X18" s="231"/>
      <c r="Y18" s="231"/>
      <c r="Z18" s="231"/>
      <c r="AA18" s="247"/>
      <c r="AB18" s="247"/>
    </row>
    <row r="19" spans="1:28" s="27" customFormat="1">
      <c r="A19" s="133">
        <f>'ADJ DETAIL INPUT'!J$10</f>
        <v>2.0199999999999996</v>
      </c>
      <c r="B19" s="229" t="str">
        <f>TRIM(CONCATENATE('ADJ DETAIL INPUT'!J$7," ",'ADJ DETAIL INPUT'!J$8," ",'ADJ DETAIL INPUT'!J$9))</f>
        <v>Restate Property Tax</v>
      </c>
      <c r="C19" s="478"/>
      <c r="D19" s="478"/>
      <c r="E19" s="249">
        <v>-227.52</v>
      </c>
      <c r="F19" s="249">
        <v>0</v>
      </c>
      <c r="G19" s="249"/>
      <c r="H19" s="249">
        <f>'ADJ DETAIL INPUT'!J$58</f>
        <v>-227.52</v>
      </c>
      <c r="I19" s="249">
        <f>'ADJ DETAIL INPUT'!J$81</f>
        <v>0</v>
      </c>
      <c r="J19" s="462"/>
      <c r="K19" s="463">
        <f t="shared" si="5"/>
        <v>0</v>
      </c>
      <c r="L19" s="463">
        <f t="shared" si="6"/>
        <v>0</v>
      </c>
      <c r="M19" s="11"/>
      <c r="N19" s="68">
        <f t="shared" si="7"/>
        <v>0</v>
      </c>
      <c r="O19" s="68">
        <f t="shared" si="8"/>
        <v>0</v>
      </c>
      <c r="P19" s="235">
        <f t="shared" si="9"/>
        <v>0</v>
      </c>
      <c r="Q19" s="61"/>
      <c r="R19" s="250"/>
      <c r="S19" s="270"/>
      <c r="T19" s="86"/>
      <c r="U19" s="396"/>
      <c r="V19" s="86"/>
      <c r="W19" s="231"/>
      <c r="X19" s="231"/>
      <c r="Y19" s="231"/>
      <c r="Z19" s="231"/>
      <c r="AA19" s="247"/>
      <c r="AB19" s="247"/>
    </row>
    <row r="20" spans="1:28" s="27" customFormat="1">
      <c r="A20" s="133">
        <f>'ADJ DETAIL INPUT'!K$10</f>
        <v>2.0299999999999994</v>
      </c>
      <c r="B20" s="229" t="str">
        <f>TRIM(CONCATENATE('ADJ DETAIL INPUT'!K$7," ",'ADJ DETAIL INPUT'!K$8," ",'ADJ DETAIL INPUT'!K$9))</f>
        <v>Uncollectible Expense</v>
      </c>
      <c r="C20" s="478"/>
      <c r="D20" s="478"/>
      <c r="E20" s="249">
        <v>-732.33</v>
      </c>
      <c r="F20" s="249">
        <v>0</v>
      </c>
      <c r="G20" s="249"/>
      <c r="H20" s="249">
        <f>'ADJ DETAIL INPUT'!K$58</f>
        <v>-732.33</v>
      </c>
      <c r="I20" s="249">
        <f>'ADJ DETAIL INPUT'!K$81</f>
        <v>0</v>
      </c>
      <c r="J20" s="462"/>
      <c r="K20" s="463">
        <f t="shared" ref="K20" si="10">H20-E20</f>
        <v>0</v>
      </c>
      <c r="L20" s="463">
        <f t="shared" ref="L20" si="11">I20-F20</f>
        <v>0</v>
      </c>
      <c r="M20" s="11"/>
      <c r="N20" s="68">
        <f t="shared" ref="N20" si="12">K20/$N$10*-1</f>
        <v>0</v>
      </c>
      <c r="O20" s="68">
        <f t="shared" ref="O20" si="13">L20*$O$10/$N$10</f>
        <v>0</v>
      </c>
      <c r="P20" s="235">
        <f t="shared" ref="P20" si="14">N20+O20</f>
        <v>0</v>
      </c>
      <c r="Q20" s="61"/>
      <c r="R20" s="250"/>
      <c r="S20" s="86"/>
      <c r="T20" s="62"/>
      <c r="U20" s="396"/>
      <c r="V20" s="231"/>
      <c r="W20" s="231"/>
      <c r="X20" s="231"/>
      <c r="Y20" s="231"/>
      <c r="Z20" s="231"/>
      <c r="AA20" s="247"/>
      <c r="AB20" s="247"/>
    </row>
    <row r="21" spans="1:28" s="27" customFormat="1">
      <c r="A21" s="133">
        <f>'ADJ DETAIL INPUT'!L$10</f>
        <v>2.0399999999999991</v>
      </c>
      <c r="B21" s="229" t="str">
        <f>TRIM(CONCATENATE('ADJ DETAIL INPUT'!L$7," ",'ADJ DETAIL INPUT'!L$8," ",'ADJ DETAIL INPUT'!L$9))</f>
        <v>Regulatory Expense</v>
      </c>
      <c r="C21" s="478"/>
      <c r="D21" s="478"/>
      <c r="E21" s="249">
        <v>-314.42</v>
      </c>
      <c r="F21" s="249">
        <v>0</v>
      </c>
      <c r="G21" s="249"/>
      <c r="H21" s="249">
        <f>'ADJ DETAIL INPUT'!L$58</f>
        <v>-314.42</v>
      </c>
      <c r="I21" s="249">
        <f>'ADJ DETAIL INPUT'!L$81</f>
        <v>0</v>
      </c>
      <c r="J21" s="462"/>
      <c r="K21" s="463">
        <f t="shared" si="5"/>
        <v>0</v>
      </c>
      <c r="L21" s="463">
        <f t="shared" si="6"/>
        <v>0</v>
      </c>
      <c r="M21" s="11"/>
      <c r="N21" s="68">
        <f t="shared" si="7"/>
        <v>0</v>
      </c>
      <c r="O21" s="68">
        <f t="shared" si="8"/>
        <v>0</v>
      </c>
      <c r="P21" s="235">
        <f t="shared" si="9"/>
        <v>0</v>
      </c>
      <c r="Q21" s="61"/>
      <c r="R21" s="250"/>
      <c r="S21" s="86"/>
      <c r="T21" s="231"/>
      <c r="U21" s="396"/>
      <c r="V21" s="231"/>
      <c r="W21" s="231"/>
      <c r="X21" s="231"/>
      <c r="Y21" s="231"/>
      <c r="Z21" s="231"/>
      <c r="AA21" s="247"/>
      <c r="AB21" s="247"/>
    </row>
    <row r="22" spans="1:28" s="27" customFormat="1">
      <c r="A22" s="133">
        <f>'ADJ DETAIL INPUT'!M$10</f>
        <v>2.0499999999999989</v>
      </c>
      <c r="B22" s="229" t="str">
        <f>TRIM(CONCATENATE('ADJ DETAIL INPUT'!M$7," ",'ADJ DETAIL INPUT'!M$8," ",'ADJ DETAIL INPUT'!M$9))</f>
        <v>Injuries &amp; Damages</v>
      </c>
      <c r="C22" s="478"/>
      <c r="D22" s="478"/>
      <c r="E22" s="249">
        <v>14.22</v>
      </c>
      <c r="F22" s="249">
        <v>0</v>
      </c>
      <c r="G22" s="249"/>
      <c r="H22" s="249">
        <f>'ADJ DETAIL INPUT'!M$58</f>
        <v>14.22</v>
      </c>
      <c r="I22" s="249">
        <f>'ADJ DETAIL INPUT'!M$81</f>
        <v>0</v>
      </c>
      <c r="J22" s="462"/>
      <c r="K22" s="463">
        <f t="shared" si="5"/>
        <v>0</v>
      </c>
      <c r="L22" s="463">
        <f t="shared" si="6"/>
        <v>0</v>
      </c>
      <c r="M22" s="11"/>
      <c r="N22" s="68">
        <f t="shared" si="7"/>
        <v>0</v>
      </c>
      <c r="O22" s="68">
        <f t="shared" si="8"/>
        <v>0</v>
      </c>
      <c r="P22" s="235">
        <f t="shared" si="9"/>
        <v>0</v>
      </c>
      <c r="Q22" s="61"/>
      <c r="R22" s="250"/>
      <c r="S22" s="231"/>
      <c r="T22" s="231"/>
      <c r="U22" s="396"/>
      <c r="V22" s="231"/>
      <c r="W22" s="231"/>
      <c r="X22" s="231"/>
      <c r="Y22" s="231"/>
      <c r="Z22" s="231"/>
      <c r="AA22" s="247"/>
      <c r="AB22" s="247"/>
    </row>
    <row r="23" spans="1:28" s="27" customFormat="1">
      <c r="A23" s="133">
        <f>'ADJ DETAIL INPUT'!N$10</f>
        <v>2.0599999999999987</v>
      </c>
      <c r="B23" s="229" t="str">
        <f>TRIM(CONCATENATE('ADJ DETAIL INPUT'!N$7," ",'ADJ DETAIL INPUT'!N$8," ",'ADJ DETAIL INPUT'!N$9))</f>
        <v>FIT / DFIT Expense</v>
      </c>
      <c r="C23" s="478"/>
      <c r="D23" s="478"/>
      <c r="E23" s="249">
        <v>101</v>
      </c>
      <c r="F23" s="249">
        <v>0</v>
      </c>
      <c r="G23" s="249"/>
      <c r="H23" s="249">
        <f>'ADJ DETAIL INPUT'!N$58</f>
        <v>101</v>
      </c>
      <c r="I23" s="249">
        <f>'ADJ DETAIL INPUT'!N$81</f>
        <v>0</v>
      </c>
      <c r="J23" s="462"/>
      <c r="K23" s="463">
        <f t="shared" si="5"/>
        <v>0</v>
      </c>
      <c r="L23" s="463">
        <f t="shared" si="6"/>
        <v>0</v>
      </c>
      <c r="M23" s="11"/>
      <c r="N23" s="68">
        <f t="shared" si="7"/>
        <v>0</v>
      </c>
      <c r="O23" s="68">
        <f t="shared" si="8"/>
        <v>0</v>
      </c>
      <c r="P23" s="235">
        <f t="shared" si="9"/>
        <v>0</v>
      </c>
      <c r="Q23" s="61"/>
      <c r="R23" s="250"/>
      <c r="S23" s="86"/>
      <c r="T23" s="231"/>
      <c r="U23" s="396"/>
      <c r="V23" s="231"/>
      <c r="W23" s="231"/>
      <c r="X23" s="231"/>
      <c r="Y23" s="231"/>
      <c r="Z23" s="231"/>
      <c r="AA23" s="247"/>
      <c r="AB23" s="247"/>
    </row>
    <row r="24" spans="1:28" s="27" customFormat="1">
      <c r="A24" s="133">
        <f>'ADJ DETAIL INPUT'!O$10</f>
        <v>2.0699999999999985</v>
      </c>
      <c r="B24" s="229" t="str">
        <f>TRIM(CONCATENATE('ADJ DETAIL INPUT'!O$7," ",'ADJ DETAIL INPUT'!O$8," ",'ADJ DETAIL INPUT'!O$9))</f>
        <v>Office Space Charges to Non-Utility</v>
      </c>
      <c r="C24" s="478"/>
      <c r="D24" s="478"/>
      <c r="E24" s="249">
        <v>7.9</v>
      </c>
      <c r="F24" s="249">
        <v>0</v>
      </c>
      <c r="G24" s="249"/>
      <c r="H24" s="249">
        <f>'ADJ DETAIL INPUT'!O$58</f>
        <v>7.9</v>
      </c>
      <c r="I24" s="249">
        <f>'ADJ DETAIL INPUT'!O$81</f>
        <v>0</v>
      </c>
      <c r="J24" s="462"/>
      <c r="K24" s="463">
        <f t="shared" si="5"/>
        <v>0</v>
      </c>
      <c r="L24" s="463">
        <f t="shared" si="6"/>
        <v>0</v>
      </c>
      <c r="M24" s="67"/>
      <c r="N24" s="68">
        <f t="shared" si="7"/>
        <v>0</v>
      </c>
      <c r="O24" s="68">
        <f t="shared" si="8"/>
        <v>0</v>
      </c>
      <c r="P24" s="235">
        <f t="shared" si="9"/>
        <v>0</v>
      </c>
      <c r="Q24" s="61"/>
      <c r="R24" s="250"/>
      <c r="S24" s="231"/>
      <c r="T24" s="231"/>
      <c r="U24" s="396"/>
      <c r="V24" s="231"/>
      <c r="W24" s="231"/>
      <c r="X24" s="231"/>
      <c r="Y24" s="231"/>
      <c r="Z24" s="231"/>
      <c r="AA24" s="247"/>
      <c r="AB24" s="247"/>
    </row>
    <row r="25" spans="1:28" s="27" customFormat="1">
      <c r="A25" s="133">
        <f>'ADJ DETAIL INPUT'!P$10</f>
        <v>2.0799999999999983</v>
      </c>
      <c r="B25" s="229" t="str">
        <f>TRIM(CONCATENATE('ADJ DETAIL INPUT'!P$7," ",'ADJ DETAIL INPUT'!P$8," ",'ADJ DETAIL INPUT'!P$9))</f>
        <v>Restate Excise Taxes</v>
      </c>
      <c r="C25" s="478"/>
      <c r="D25" s="478"/>
      <c r="E25" s="249">
        <v>3.16</v>
      </c>
      <c r="F25" s="249">
        <v>0</v>
      </c>
      <c r="G25" s="249"/>
      <c r="H25" s="249">
        <f>'ADJ DETAIL INPUT'!P$58</f>
        <v>3.16</v>
      </c>
      <c r="I25" s="249">
        <f>'ADJ DETAIL INPUT'!P$81</f>
        <v>0</v>
      </c>
      <c r="J25" s="462"/>
      <c r="K25" s="463">
        <f t="shared" si="5"/>
        <v>0</v>
      </c>
      <c r="L25" s="463">
        <f t="shared" si="6"/>
        <v>0</v>
      </c>
      <c r="M25" s="67"/>
      <c r="N25" s="68">
        <f t="shared" si="7"/>
        <v>0</v>
      </c>
      <c r="O25" s="68">
        <f t="shared" si="8"/>
        <v>0</v>
      </c>
      <c r="P25" s="235">
        <f t="shared" si="9"/>
        <v>0</v>
      </c>
      <c r="Q25" s="61"/>
      <c r="R25" s="250"/>
      <c r="S25" s="86"/>
      <c r="T25" s="231"/>
      <c r="U25" s="396"/>
      <c r="V25" s="231"/>
      <c r="W25" s="231"/>
      <c r="X25" s="231"/>
      <c r="Y25" s="231"/>
      <c r="Z25" s="231"/>
      <c r="AA25" s="247"/>
      <c r="AB25" s="247"/>
    </row>
    <row r="26" spans="1:28" s="27" customFormat="1">
      <c r="A26" s="133">
        <f>'ADJ DETAIL INPUT'!Q$10</f>
        <v>2.0899999999999981</v>
      </c>
      <c r="B26" s="229" t="str">
        <f>TRIM(CONCATENATE('ADJ DETAIL INPUT'!Q$7," ",'ADJ DETAIL INPUT'!Q$8," ",'ADJ DETAIL INPUT'!Q$9))</f>
        <v>Net Gains &amp; Losses</v>
      </c>
      <c r="C26" s="478"/>
      <c r="D26" s="478"/>
      <c r="E26" s="249">
        <v>8.69</v>
      </c>
      <c r="F26" s="249">
        <v>0</v>
      </c>
      <c r="G26" s="249"/>
      <c r="H26" s="249">
        <f>'ADJ DETAIL INPUT'!Q$58</f>
        <v>8.69</v>
      </c>
      <c r="I26" s="249">
        <f>'ADJ DETAIL INPUT'!Q$81</f>
        <v>0</v>
      </c>
      <c r="J26" s="462"/>
      <c r="K26" s="463">
        <f t="shared" ref="K26:L27" si="15">H26-E26</f>
        <v>0</v>
      </c>
      <c r="L26" s="463">
        <f t="shared" si="15"/>
        <v>0</v>
      </c>
      <c r="M26" s="67"/>
      <c r="N26" s="68">
        <f>K26/$N$10*-1</f>
        <v>0</v>
      </c>
      <c r="O26" s="68">
        <f>L26*$O$10/$N$10</f>
        <v>0</v>
      </c>
      <c r="P26" s="235">
        <f>N26+O26</f>
        <v>0</v>
      </c>
      <c r="Q26" s="61"/>
      <c r="R26" s="250"/>
      <c r="S26" s="231"/>
      <c r="T26" s="231"/>
      <c r="U26" s="396"/>
      <c r="V26" s="231"/>
      <c r="W26" s="231"/>
      <c r="X26" s="231"/>
      <c r="Y26" s="231"/>
      <c r="Z26" s="231"/>
      <c r="AA26" s="247"/>
      <c r="AB26" s="247"/>
    </row>
    <row r="27" spans="1:28" s="21" customFormat="1">
      <c r="A27" s="133">
        <f>'ADJ DETAIL INPUT'!R$10</f>
        <v>2.0999999999999979</v>
      </c>
      <c r="B27" s="229" t="str">
        <f>TRIM(CONCATENATE('ADJ DETAIL INPUT'!R$7," ",'ADJ DETAIL INPUT'!R$8," ",'ADJ DETAIL INPUT'!R$9))</f>
        <v>Weather Normalization / Gas Cost Adjust</v>
      </c>
      <c r="C27" s="478"/>
      <c r="D27" s="478"/>
      <c r="E27" s="249">
        <v>-33.97</v>
      </c>
      <c r="F27" s="249">
        <v>0</v>
      </c>
      <c r="G27" s="249"/>
      <c r="H27" s="249">
        <f>'ADJ DETAIL INPUT'!R$58</f>
        <v>-33.97</v>
      </c>
      <c r="I27" s="249">
        <f>'ADJ DETAIL INPUT'!R$81</f>
        <v>0</v>
      </c>
      <c r="J27" s="462"/>
      <c r="K27" s="463">
        <f t="shared" si="15"/>
        <v>0</v>
      </c>
      <c r="L27" s="463">
        <f t="shared" si="15"/>
        <v>0</v>
      </c>
      <c r="M27" s="11"/>
      <c r="N27" s="68">
        <f>K27/$N$10*-1</f>
        <v>0</v>
      </c>
      <c r="O27" s="68">
        <f>L27*$O$10/$N$10</f>
        <v>0</v>
      </c>
      <c r="P27" s="235">
        <f>N27+O27</f>
        <v>0</v>
      </c>
      <c r="Q27" s="58"/>
      <c r="R27" s="250"/>
      <c r="S27" s="376"/>
      <c r="T27" s="376"/>
      <c r="U27" s="396"/>
      <c r="V27" s="231"/>
      <c r="W27" s="231"/>
      <c r="X27" s="231"/>
      <c r="Y27" s="231"/>
      <c r="Z27" s="231"/>
      <c r="AA27" s="247"/>
      <c r="AB27" s="247"/>
    </row>
    <row r="28" spans="1:28" s="228" customFormat="1">
      <c r="A28" s="133">
        <f>'ADJ DETAIL INPUT'!S$10</f>
        <v>2.1099999999999977</v>
      </c>
      <c r="B28" s="229" t="str">
        <f>TRIM(CONCATENATE('ADJ DETAIL INPUT'!S$7," ",'ADJ DETAIL INPUT'!S$8," ",'ADJ DETAIL INPUT'!S$9))</f>
        <v>Eliminate Adder Schedules</v>
      </c>
      <c r="C28" s="478"/>
      <c r="D28" s="478"/>
      <c r="E28" s="249">
        <v>8.0499999999992724</v>
      </c>
      <c r="F28" s="249">
        <v>0</v>
      </c>
      <c r="G28" s="249"/>
      <c r="H28" s="249">
        <f>'ADJ DETAIL INPUT'!S$58</f>
        <v>8.0499999999992724</v>
      </c>
      <c r="I28" s="249">
        <f>'ADJ DETAIL INPUT'!S$81</f>
        <v>0</v>
      </c>
      <c r="J28" s="462"/>
      <c r="K28" s="463">
        <f t="shared" ref="K28" si="16">H28-E28</f>
        <v>0</v>
      </c>
      <c r="L28" s="463">
        <f t="shared" ref="L28" si="17">I28-F28</f>
        <v>0</v>
      </c>
      <c r="M28" s="225"/>
      <c r="N28" s="234">
        <f>K28/$N$10*-1</f>
        <v>0</v>
      </c>
      <c r="O28" s="234">
        <f>L28*$O$10/$N$10</f>
        <v>0</v>
      </c>
      <c r="P28" s="235">
        <f>N28+O28</f>
        <v>0</v>
      </c>
      <c r="Q28" s="233"/>
      <c r="R28" s="250"/>
      <c r="S28" s="376"/>
      <c r="T28" s="376"/>
      <c r="U28" s="396"/>
      <c r="V28" s="231"/>
      <c r="W28" s="231"/>
      <c r="X28" s="231"/>
      <c r="Y28" s="231"/>
      <c r="Z28" s="231"/>
      <c r="AA28" s="247"/>
      <c r="AB28" s="247"/>
    </row>
    <row r="29" spans="1:28" s="61" customFormat="1">
      <c r="A29" s="133">
        <f>'ADJ DETAIL INPUT'!T$10</f>
        <v>2.1199999999999974</v>
      </c>
      <c r="B29" s="252" t="str">
        <f>TRIM(CONCATENATE('ADJ DETAIL INPUT'!T$7," ",'ADJ DETAIL INPUT'!T$8," ",'ADJ DETAIL INPUT'!T$9))</f>
        <v>Misc. Restating Non-Util / Non- Recurring Expense</v>
      </c>
      <c r="C29" s="493"/>
      <c r="D29" s="493"/>
      <c r="E29" s="221">
        <v>328.00799999999998</v>
      </c>
      <c r="F29" s="221">
        <v>0</v>
      </c>
      <c r="G29" s="221"/>
      <c r="H29" s="221">
        <f>'ADJ DETAIL INPUT'!T$58</f>
        <v>328.00799999999998</v>
      </c>
      <c r="I29" s="221">
        <f>'ADJ DETAIL INPUT'!T$81</f>
        <v>0</v>
      </c>
      <c r="J29" s="482"/>
      <c r="K29" s="463">
        <f t="shared" si="5"/>
        <v>0</v>
      </c>
      <c r="L29" s="463">
        <f t="shared" si="6"/>
        <v>0</v>
      </c>
      <c r="M29" s="67"/>
      <c r="N29" s="68">
        <f t="shared" si="7"/>
        <v>0</v>
      </c>
      <c r="O29" s="68">
        <f t="shared" si="8"/>
        <v>0</v>
      </c>
      <c r="P29" s="235">
        <f t="shared" si="9"/>
        <v>0</v>
      </c>
      <c r="R29" s="250"/>
      <c r="S29" s="376"/>
      <c r="T29" s="376"/>
      <c r="U29" s="396"/>
      <c r="V29" s="231"/>
      <c r="W29" s="231"/>
      <c r="X29" s="231"/>
      <c r="Y29" s="231"/>
      <c r="Z29" s="231"/>
      <c r="AA29" s="250"/>
      <c r="AB29" s="250"/>
    </row>
    <row r="30" spans="1:28" s="61" customFormat="1">
      <c r="A30" s="133">
        <f>'ADJ DETAIL INPUT'!U$10</f>
        <v>2.1299999999999972</v>
      </c>
      <c r="B30" s="252" t="str">
        <f>TRIM(CONCATENATE('ADJ DETAIL INPUT'!U$7," ",'ADJ DETAIL INPUT'!U$8," ",'ADJ DETAIL INPUT'!U$9))</f>
        <v>Restating Incentives Expense</v>
      </c>
      <c r="C30" s="493"/>
      <c r="D30" s="493"/>
      <c r="E30" s="221">
        <v>-197.72357</v>
      </c>
      <c r="F30" s="221">
        <v>0</v>
      </c>
      <c r="G30" s="221"/>
      <c r="H30" s="221">
        <f>'ADJ DETAIL INPUT'!U$58</f>
        <v>-197.72357</v>
      </c>
      <c r="I30" s="221">
        <f>'ADJ DETAIL INPUT'!U$81</f>
        <v>0</v>
      </c>
      <c r="J30" s="482"/>
      <c r="K30" s="463">
        <f t="shared" ref="K30:L32" si="18">H30-E30</f>
        <v>0</v>
      </c>
      <c r="L30" s="463">
        <f t="shared" si="18"/>
        <v>0</v>
      </c>
      <c r="M30" s="67"/>
      <c r="N30" s="234">
        <f>K30/$N$10*-1</f>
        <v>0</v>
      </c>
      <c r="O30" s="234">
        <f>L30*$O$10/$N$10</f>
        <v>0</v>
      </c>
      <c r="P30" s="235">
        <f>N30+O30</f>
        <v>0</v>
      </c>
      <c r="Q30" s="250"/>
      <c r="R30" s="250"/>
      <c r="S30" s="62"/>
      <c r="T30" s="62"/>
      <c r="U30" s="396"/>
      <c r="V30" s="250"/>
      <c r="W30" s="250"/>
      <c r="X30" s="250"/>
      <c r="Y30" s="250"/>
      <c r="Z30" s="250"/>
      <c r="AA30" s="250"/>
      <c r="AB30" s="250"/>
    </row>
    <row r="31" spans="1:28" s="61" customFormat="1">
      <c r="A31" s="133">
        <f>'ADJ DETAIL INPUT'!V$10</f>
        <v>2.139999999999997</v>
      </c>
      <c r="B31" s="252" t="str">
        <f>TRIM(CONCATENATE('ADJ DETAIL INPUT'!V$7," ",'ADJ DETAIL INPUT'!V$8," ",'ADJ DETAIL INPUT'!V$9))</f>
        <v>Restate Debt Interest</v>
      </c>
      <c r="C31" s="493"/>
      <c r="D31" s="493"/>
      <c r="E31" s="221">
        <v>-57</v>
      </c>
      <c r="F31" s="221">
        <v>0</v>
      </c>
      <c r="G31" s="221"/>
      <c r="H31" s="221">
        <f>'ADJ DETAIL INPUT'!V$58</f>
        <v>-57</v>
      </c>
      <c r="I31" s="221">
        <f>'ADJ DETAIL INPUT'!V$81</f>
        <v>0</v>
      </c>
      <c r="J31" s="482"/>
      <c r="K31" s="463">
        <f t="shared" si="18"/>
        <v>0</v>
      </c>
      <c r="L31" s="463">
        <f t="shared" si="18"/>
        <v>0</v>
      </c>
      <c r="M31" s="67"/>
      <c r="N31" s="68">
        <f>K31/$N$10*-1</f>
        <v>0</v>
      </c>
      <c r="O31" s="68">
        <f>L31*$O$10/$N$10</f>
        <v>0</v>
      </c>
      <c r="P31" s="235">
        <f>N31+O31</f>
        <v>0</v>
      </c>
      <c r="Q31" s="60" t="s">
        <v>167</v>
      </c>
      <c r="R31" s="250"/>
      <c r="S31" s="231"/>
      <c r="T31" s="231"/>
      <c r="U31" s="396"/>
      <c r="V31" s="250"/>
      <c r="W31" s="250"/>
      <c r="X31" s="250"/>
      <c r="Y31" s="250"/>
      <c r="Z31" s="250"/>
      <c r="AA31" s="250"/>
      <c r="AB31" s="250"/>
    </row>
    <row r="32" spans="1:28" s="61" customFormat="1">
      <c r="A32" s="133">
        <f>'ADJ DETAIL INPUT'!W$10</f>
        <v>2.1499999999999968</v>
      </c>
      <c r="B32" s="252" t="str">
        <f>TRIM(CONCATENATE('ADJ DETAIL INPUT'!W$7," ",'ADJ DETAIL INPUT'!W$8," ",'ADJ DETAIL INPUT'!W$9))</f>
        <v>Restate Capital 06.2023 EOP</v>
      </c>
      <c r="C32" s="493"/>
      <c r="D32" s="493"/>
      <c r="E32" s="221">
        <v>66.965975999999998</v>
      </c>
      <c r="F32" s="221">
        <v>12408</v>
      </c>
      <c r="G32" s="221"/>
      <c r="H32" s="221">
        <f>'ADJ DETAIL INPUT'!W$58</f>
        <v>66.965975999999998</v>
      </c>
      <c r="I32" s="221">
        <f>'ADJ DETAIL INPUT'!W$81</f>
        <v>12408</v>
      </c>
      <c r="J32" s="482"/>
      <c r="K32" s="463">
        <f t="shared" si="18"/>
        <v>0</v>
      </c>
      <c r="L32" s="463">
        <f t="shared" si="18"/>
        <v>0</v>
      </c>
      <c r="M32" s="67"/>
      <c r="N32" s="234">
        <f>K32/$N$10*-1</f>
        <v>0</v>
      </c>
      <c r="O32" s="234">
        <f>L32*$O$10/$N$10</f>
        <v>0</v>
      </c>
      <c r="P32" s="235">
        <f>N32+O32</f>
        <v>0</v>
      </c>
      <c r="Q32" s="250"/>
      <c r="R32" s="250"/>
      <c r="S32" s="231"/>
      <c r="T32" s="231"/>
      <c r="U32" s="396"/>
      <c r="V32" s="250"/>
      <c r="W32" s="250"/>
      <c r="X32" s="250"/>
      <c r="Y32" s="250"/>
      <c r="Z32" s="250"/>
      <c r="AA32" s="250"/>
      <c r="AB32" s="250"/>
    </row>
    <row r="33" spans="1:28" s="61" customFormat="1" hidden="1" outlineLevel="1">
      <c r="A33" s="133">
        <f>'ADJ DETAIL INPUT'!X$10</f>
        <v>0</v>
      </c>
      <c r="B33" s="252" t="str">
        <f>TRIM(CONCATENATE('ADJ DETAIL INPUT'!X$7," ",'ADJ DETAIL INPUT'!X$8," ",'ADJ DETAIL INPUT'!X$9))</f>
        <v/>
      </c>
      <c r="C33" s="493"/>
      <c r="D33" s="493"/>
      <c r="E33" s="221">
        <v>0</v>
      </c>
      <c r="F33" s="221">
        <v>0</v>
      </c>
      <c r="G33" s="221"/>
      <c r="H33" s="221">
        <f>'ADJ DETAIL INPUT'!X$58</f>
        <v>0</v>
      </c>
      <c r="I33" s="221">
        <f>'ADJ DETAIL INPUT'!X$81</f>
        <v>0</v>
      </c>
      <c r="J33" s="482"/>
      <c r="K33" s="463">
        <f t="shared" ref="K33" si="19">H33-E33</f>
        <v>0</v>
      </c>
      <c r="L33" s="463">
        <f t="shared" ref="L33" si="20">I33-F33</f>
        <v>0</v>
      </c>
      <c r="M33" s="464"/>
      <c r="N33" s="470">
        <f>K33/$N$10*-1</f>
        <v>0</v>
      </c>
      <c r="O33" s="470">
        <f>L33*$O$10/$N$10</f>
        <v>0</v>
      </c>
      <c r="P33" s="471">
        <f>N33+O33</f>
        <v>0</v>
      </c>
      <c r="Q33" s="468"/>
      <c r="R33" s="468"/>
      <c r="S33" s="467"/>
      <c r="T33" s="467"/>
      <c r="U33" s="473"/>
      <c r="V33" s="468"/>
      <c r="W33" s="468"/>
      <c r="X33" s="468"/>
      <c r="Y33" s="468"/>
      <c r="Z33" s="468"/>
      <c r="AA33" s="468"/>
      <c r="AB33" s="468"/>
    </row>
    <row r="34" spans="1:28" ht="18" customHeight="1" collapsed="1" thickBot="1">
      <c r="A34" s="133"/>
      <c r="B34" s="478" t="s">
        <v>74</v>
      </c>
      <c r="E34" s="26">
        <f>SUM(E16:E33)</f>
        <v>35395.50422200001</v>
      </c>
      <c r="F34" s="26">
        <f>SUM(F16:F33)</f>
        <v>544965.39999999991</v>
      </c>
      <c r="G34" s="26"/>
      <c r="H34" s="26">
        <f>SUM(H16:H33)</f>
        <v>35395.50422200001</v>
      </c>
      <c r="I34" s="26">
        <f>SUM(I16:I33)</f>
        <v>544965.39999999991</v>
      </c>
      <c r="J34" s="462"/>
      <c r="K34" s="26">
        <f>SUM(K16:K33)</f>
        <v>0</v>
      </c>
      <c r="L34" s="26">
        <f>SUM(L16:L33)</f>
        <v>0</v>
      </c>
      <c r="M34" s="26"/>
      <c r="N34" s="26">
        <f>SUM(N16:N33)</f>
        <v>0</v>
      </c>
      <c r="O34" s="26">
        <f>SUM(O16:O33)</f>
        <v>0</v>
      </c>
      <c r="S34" s="231"/>
    </row>
    <row r="35" spans="1:28" ht="15" customHeight="1" thickTop="1">
      <c r="A35" s="476" t="str">
        <f>'ADJ SUMMARY'!A29</f>
        <v>Pro Forma Adjustments - 07.2023 - 12.2025</v>
      </c>
      <c r="D35" s="229"/>
      <c r="E35" s="229"/>
      <c r="H35" s="229"/>
      <c r="J35" s="462"/>
      <c r="K35" s="249"/>
      <c r="L35" s="249"/>
      <c r="N35" s="24"/>
      <c r="O35" s="24"/>
      <c r="S35" s="231"/>
    </row>
    <row r="36" spans="1:28" s="60" customFormat="1">
      <c r="A36" s="133">
        <f>'ADJ DETAIL INPUT'!Z$10</f>
        <v>3.01</v>
      </c>
      <c r="B36" s="252" t="str">
        <f>TRIM(CONCATENATE('ADJ DETAIL INPUT'!Z$7," ",'ADJ DETAIL INPUT'!Z$8," ",'ADJ DETAIL INPUT'!Z$9))</f>
        <v>Pro Forma Revenue Normalization</v>
      </c>
      <c r="C36" s="493"/>
      <c r="D36" s="493"/>
      <c r="E36" s="221">
        <v>1922.07</v>
      </c>
      <c r="F36" s="221">
        <v>0</v>
      </c>
      <c r="G36" s="221"/>
      <c r="H36" s="221">
        <f>'ADJ DETAIL INPUT'!Z$58</f>
        <v>1922.07</v>
      </c>
      <c r="I36" s="221">
        <f>'ADJ DETAIL INPUT'!Z$81</f>
        <v>0</v>
      </c>
      <c r="J36" s="482"/>
      <c r="K36" s="463">
        <f>H36-E36</f>
        <v>0</v>
      </c>
      <c r="L36" s="463">
        <f>I36-F36</f>
        <v>0</v>
      </c>
      <c r="M36" s="11"/>
      <c r="N36" s="68">
        <f>K36/$N$10*-1</f>
        <v>0</v>
      </c>
      <c r="O36" s="68">
        <f>L36*$O$10/$N$10</f>
        <v>0</v>
      </c>
      <c r="P36" s="83">
        <f>N36+O36</f>
        <v>0</v>
      </c>
      <c r="Q36" s="231"/>
      <c r="R36" s="231"/>
      <c r="S36" s="231"/>
      <c r="T36" s="231"/>
      <c r="U36" s="396"/>
      <c r="V36" s="250"/>
      <c r="W36" s="250"/>
      <c r="X36" s="250"/>
      <c r="Y36" s="250"/>
      <c r="Z36" s="250"/>
      <c r="AA36" s="250"/>
      <c r="AB36" s="250"/>
    </row>
    <row r="37" spans="1:28" s="250" customFormat="1">
      <c r="A37" s="133">
        <f>'ADJ DETAIL INPUT'!AA$10</f>
        <v>3.0199999999999996</v>
      </c>
      <c r="B37" s="252" t="str">
        <f>TRIM(CONCATENATE('ADJ DETAIL INPUT'!AA$7," ",'ADJ DETAIL INPUT'!AA$8," ",'ADJ DETAIL INPUT'!AA$9))</f>
        <v>Pro Forma Def. Debits, Credits &amp; Regulatory Amorts</v>
      </c>
      <c r="C37" s="493"/>
      <c r="D37" s="493"/>
      <c r="E37" s="221">
        <v>192.76</v>
      </c>
      <c r="F37" s="221">
        <v>0</v>
      </c>
      <c r="G37" s="221"/>
      <c r="H37" s="221">
        <f>'ADJ DETAIL INPUT'!AA$58</f>
        <v>192.76</v>
      </c>
      <c r="I37" s="221">
        <f>'ADJ DETAIL INPUT'!AA$81</f>
        <v>0</v>
      </c>
      <c r="J37" s="482"/>
      <c r="K37" s="463">
        <f t="shared" ref="K37:K38" si="21">H37-E37</f>
        <v>0</v>
      </c>
      <c r="L37" s="463">
        <f t="shared" ref="L37:L38" si="22">I37-F37</f>
        <v>0</v>
      </c>
      <c r="M37" s="247"/>
      <c r="N37" s="234">
        <f t="shared" ref="N37:N38" si="23">K37/$N$10*-1</f>
        <v>0</v>
      </c>
      <c r="O37" s="234">
        <f t="shared" ref="O37:O38" si="24">L37*$O$10/$N$10</f>
        <v>0</v>
      </c>
      <c r="P37" s="83">
        <f t="shared" ref="P37:P38" si="25">N37+O37</f>
        <v>0</v>
      </c>
      <c r="Q37" s="231"/>
      <c r="R37" s="231"/>
      <c r="S37" s="231"/>
      <c r="T37" s="231"/>
      <c r="U37" s="396"/>
    </row>
    <row r="38" spans="1:28" s="250" customFormat="1">
      <c r="A38" s="133">
        <f>'ADJ DETAIL INPUT'!AB$10</f>
        <v>3.0299999999999994</v>
      </c>
      <c r="B38" s="252" t="str">
        <f>TRIM(CONCATENATE('ADJ DETAIL INPUT'!AB$7," ",'ADJ DETAIL INPUT'!AB$8," ",'ADJ DETAIL INPUT'!AB$9))</f>
        <v>Pro Forma EDIT (RSGM)</v>
      </c>
      <c r="C38" s="493"/>
      <c r="D38" s="493"/>
      <c r="E38" s="221">
        <v>-136</v>
      </c>
      <c r="F38" s="221">
        <v>0</v>
      </c>
      <c r="G38" s="221"/>
      <c r="H38" s="221">
        <f>'ADJ DETAIL INPUT'!AB$58</f>
        <v>-136</v>
      </c>
      <c r="I38" s="221">
        <f>'ADJ DETAIL INPUT'!AB$81</f>
        <v>0</v>
      </c>
      <c r="J38" s="482"/>
      <c r="K38" s="463">
        <f t="shared" si="21"/>
        <v>0</v>
      </c>
      <c r="L38" s="463">
        <f t="shared" si="22"/>
        <v>0</v>
      </c>
      <c r="M38" s="247"/>
      <c r="N38" s="234">
        <f t="shared" si="23"/>
        <v>0</v>
      </c>
      <c r="O38" s="234">
        <f t="shared" si="24"/>
        <v>0</v>
      </c>
      <c r="P38" s="83">
        <f t="shared" si="25"/>
        <v>0</v>
      </c>
      <c r="Q38" s="231"/>
      <c r="R38" s="231"/>
      <c r="S38" s="231"/>
      <c r="T38" s="231"/>
      <c r="U38" s="396"/>
    </row>
    <row r="39" spans="1:28" s="250" customFormat="1">
      <c r="A39" s="133">
        <f>'ADJ DETAIL INPUT'!AC$10</f>
        <v>3.0399999999999991</v>
      </c>
      <c r="B39" s="252" t="str">
        <f>TRIM(CONCATENATE('ADJ DETAIL INPUT'!AC$7," ",'ADJ DETAIL INPUT'!AC$8," ",'ADJ DETAIL INPUT'!AC$9))</f>
        <v>Pro Forma AMI Amortization</v>
      </c>
      <c r="C39" s="493"/>
      <c r="D39" s="493"/>
      <c r="E39" s="221">
        <v>622.815023</v>
      </c>
      <c r="F39" s="221">
        <v>-2141</v>
      </c>
      <c r="G39" s="221"/>
      <c r="H39" s="221">
        <f>'ADJ DETAIL INPUT'!AC$58</f>
        <v>622.815023</v>
      </c>
      <c r="I39" s="221">
        <f>'ADJ DETAIL INPUT'!AC$81</f>
        <v>-2141</v>
      </c>
      <c r="J39" s="482"/>
      <c r="K39" s="463">
        <f>H39-E39</f>
        <v>0</v>
      </c>
      <c r="L39" s="463">
        <f>I39-F39</f>
        <v>0</v>
      </c>
      <c r="M39" s="247"/>
      <c r="N39" s="234">
        <f>K39/$N$10*-1</f>
        <v>0</v>
      </c>
      <c r="O39" s="234">
        <f>L39*$O$10/$N$10</f>
        <v>0</v>
      </c>
      <c r="P39" s="83">
        <f>N39+O39</f>
        <v>0</v>
      </c>
      <c r="Q39" s="231"/>
      <c r="R39" s="231"/>
      <c r="S39" s="231"/>
      <c r="T39" s="231"/>
      <c r="U39" s="396"/>
    </row>
    <row r="40" spans="1:28" s="232" customFormat="1">
      <c r="A40" s="133">
        <f>'ADJ DETAIL INPUT'!AD$10</f>
        <v>3.0499999999999989</v>
      </c>
      <c r="B40" s="252" t="str">
        <f>TRIM(CONCATENATE('ADJ DETAIL INPUT'!AD$7," ",'ADJ DETAIL INPUT'!AD$8," ",'ADJ DETAIL INPUT'!AD$9))</f>
        <v>Pro Forma Labor Non-Exec</v>
      </c>
      <c r="C40" s="493"/>
      <c r="D40" s="493"/>
      <c r="E40" s="221">
        <v>-1441.9870000000001</v>
      </c>
      <c r="F40" s="221">
        <v>0</v>
      </c>
      <c r="G40" s="221"/>
      <c r="H40" s="221">
        <f>'ADJ DETAIL INPUT'!AD$58</f>
        <v>-1441.9870000000001</v>
      </c>
      <c r="I40" s="221">
        <f>'ADJ DETAIL INPUT'!AD$81</f>
        <v>0</v>
      </c>
      <c r="J40" s="482"/>
      <c r="K40" s="463">
        <f t="shared" ref="K40" si="26">H40-E40</f>
        <v>0</v>
      </c>
      <c r="L40" s="463">
        <f t="shared" ref="L40" si="27">I40-F40</f>
        <v>0</v>
      </c>
      <c r="M40" s="225"/>
      <c r="N40" s="234">
        <f t="shared" ref="N40" si="28">K40/$N$10*-1</f>
        <v>0</v>
      </c>
      <c r="O40" s="234">
        <f t="shared" ref="O40" si="29">L40*$O$10/$N$10</f>
        <v>0</v>
      </c>
      <c r="P40" s="235">
        <f t="shared" ref="P40" si="30">N40+O40</f>
        <v>0</v>
      </c>
      <c r="R40" s="250"/>
      <c r="S40" s="231"/>
      <c r="T40" s="231"/>
      <c r="U40" s="396"/>
      <c r="V40" s="250"/>
      <c r="W40" s="250"/>
      <c r="X40" s="250"/>
      <c r="Y40" s="250"/>
      <c r="Z40" s="250"/>
      <c r="AA40" s="250"/>
      <c r="AB40" s="250"/>
    </row>
    <row r="41" spans="1:28" s="250" customFormat="1">
      <c r="A41" s="133">
        <f>'ADJ DETAIL INPUT'!AE$10</f>
        <v>3.0599999999999987</v>
      </c>
      <c r="B41" s="252" t="str">
        <f>TRIM(CONCATENATE('ADJ DETAIL INPUT'!AE$7," ",'ADJ DETAIL INPUT'!AE$8," ",'ADJ DETAIL INPUT'!AE$9))</f>
        <v>Pro Forma Labor Exec</v>
      </c>
      <c r="C41" s="493"/>
      <c r="D41" s="493"/>
      <c r="E41" s="221">
        <v>-15.013949999999999</v>
      </c>
      <c r="F41" s="221">
        <v>0</v>
      </c>
      <c r="G41" s="221"/>
      <c r="H41" s="221">
        <f>'ADJ DETAIL INPUT'!AE$58</f>
        <v>-15.013949999999999</v>
      </c>
      <c r="I41" s="221">
        <f>'ADJ DETAIL INPUT'!AE$81</f>
        <v>0</v>
      </c>
      <c r="J41" s="482"/>
      <c r="K41" s="463">
        <f t="shared" ref="K41" si="31">H41-E41</f>
        <v>0</v>
      </c>
      <c r="L41" s="463">
        <f t="shared" ref="L41" si="32">I41-F41</f>
        <v>0</v>
      </c>
      <c r="M41" s="247"/>
      <c r="N41" s="234">
        <f t="shared" ref="N41" si="33">K41/$N$10*-1</f>
        <v>0</v>
      </c>
      <c r="O41" s="234">
        <f t="shared" ref="O41" si="34">L41*$O$10/$N$10</f>
        <v>0</v>
      </c>
      <c r="P41" s="83">
        <f t="shared" ref="P41" si="35">N41+O41</f>
        <v>0</v>
      </c>
      <c r="Q41" s="231"/>
      <c r="R41" s="231"/>
      <c r="S41" s="231"/>
      <c r="T41" s="231"/>
      <c r="U41" s="396"/>
    </row>
    <row r="42" spans="1:28">
      <c r="A42" s="133">
        <f>'ADJ DETAIL INPUT'!AF$10</f>
        <v>3.0699999999999985</v>
      </c>
      <c r="B42" s="229" t="str">
        <f>TRIM(CONCATENATE('ADJ DETAIL INPUT'!AF$7," ",'ADJ DETAIL INPUT'!AF$8," ",'ADJ DETAIL INPUT'!AF$9))</f>
        <v>Pro Forma Employee Benefits</v>
      </c>
      <c r="E42" s="249">
        <v>1334.4680000000001</v>
      </c>
      <c r="F42" s="249">
        <v>0</v>
      </c>
      <c r="G42" s="249"/>
      <c r="H42" s="249">
        <f>'ADJ DETAIL INPUT'!AF$58</f>
        <v>1334.4680000000001</v>
      </c>
      <c r="I42" s="249">
        <f>'ADJ DETAIL INPUT'!AF$81</f>
        <v>0</v>
      </c>
      <c r="J42" s="462"/>
      <c r="K42" s="463">
        <f t="shared" ref="K42:K44" si="36">H42-E42</f>
        <v>0</v>
      </c>
      <c r="L42" s="463">
        <f t="shared" ref="L42:L44" si="37">I42-F42</f>
        <v>0</v>
      </c>
      <c r="N42" s="68">
        <f t="shared" ref="N42:N44" si="38">K42/$N$10*-1</f>
        <v>0</v>
      </c>
      <c r="O42" s="68">
        <f t="shared" ref="O42:O44" si="39">L42*$O$10/$N$10</f>
        <v>0</v>
      </c>
      <c r="P42" s="235">
        <f t="shared" ref="P42:P44" si="40">N42+O42</f>
        <v>0</v>
      </c>
      <c r="S42" s="86"/>
    </row>
    <row r="43" spans="1:28" s="478" customFormat="1">
      <c r="A43" s="133">
        <f>'ADJ DETAIL INPUT'!AG$10</f>
        <v>3.0799999999999983</v>
      </c>
      <c r="B43" s="229" t="str">
        <f>TRIM(CONCATENATE('ADJ DETAIL INPUT'!AG$7," ",'ADJ DETAIL INPUT'!AG$8," ",'ADJ DETAIL INPUT'!AG$9))</f>
        <v>Pro Forma Incentives</v>
      </c>
      <c r="E43" s="249">
        <v>-291.35199999999998</v>
      </c>
      <c r="F43" s="249">
        <v>0</v>
      </c>
      <c r="G43" s="249"/>
      <c r="H43" s="249">
        <f>'ADJ DETAIL INPUT'!AG$58</f>
        <v>-291.35199999999998</v>
      </c>
      <c r="I43" s="249">
        <f>'ADJ DETAIL INPUT'!AG$81</f>
        <v>0</v>
      </c>
      <c r="J43" s="462"/>
      <c r="K43" s="463">
        <f t="shared" ref="K43" si="41">H43-E43</f>
        <v>0</v>
      </c>
      <c r="L43" s="463">
        <f t="shared" ref="L43" si="42">I43-F43</f>
        <v>0</v>
      </c>
      <c r="N43" s="484">
        <f t="shared" ref="N43" si="43">K43/$N$10*-1</f>
        <v>0</v>
      </c>
      <c r="O43" s="484">
        <f t="shared" ref="O43" si="44">L43*$O$10/$N$10</f>
        <v>0</v>
      </c>
      <c r="P43" s="485">
        <f t="shared" ref="P43" si="45">N43+O43</f>
        <v>0</v>
      </c>
      <c r="Q43" s="493"/>
      <c r="R43" s="493"/>
      <c r="S43" s="469"/>
      <c r="T43" s="462"/>
      <c r="U43" s="475"/>
    </row>
    <row r="44" spans="1:28" ht="13.5" customHeight="1">
      <c r="A44" s="133">
        <f>'ADJ DETAIL INPUT'!AH$10</f>
        <v>3.0899999999999981</v>
      </c>
      <c r="B44" s="229" t="str">
        <f>TRIM(CONCATENATE('ADJ DETAIL INPUT'!AH$7," ",'ADJ DETAIL INPUT'!AH$8," ",'ADJ DETAIL INPUT'!AH$9))</f>
        <v>Pro Forma LIRAP Labor</v>
      </c>
      <c r="E44" s="249">
        <v>-61.620000000000005</v>
      </c>
      <c r="F44" s="249">
        <v>0</v>
      </c>
      <c r="G44" s="249"/>
      <c r="H44" s="249">
        <f>'ADJ DETAIL INPUT'!AH$58</f>
        <v>-61.620000000000005</v>
      </c>
      <c r="I44" s="249">
        <f>'ADJ DETAIL INPUT'!AH$81</f>
        <v>0</v>
      </c>
      <c r="J44" s="462"/>
      <c r="K44" s="463">
        <f t="shared" si="36"/>
        <v>0</v>
      </c>
      <c r="L44" s="463">
        <f t="shared" si="37"/>
        <v>0</v>
      </c>
      <c r="N44" s="68">
        <f t="shared" si="38"/>
        <v>0</v>
      </c>
      <c r="O44" s="68">
        <f t="shared" si="39"/>
        <v>0</v>
      </c>
      <c r="P44" s="235">
        <f t="shared" si="40"/>
        <v>0</v>
      </c>
      <c r="S44" s="86"/>
    </row>
    <row r="45" spans="1:28">
      <c r="A45" s="133">
        <f>'ADJ DETAIL INPUT'!AI$10</f>
        <v>3.0999999999999979</v>
      </c>
      <c r="B45" s="229" t="str">
        <f>TRIM(CONCATENATE('ADJ DETAIL INPUT'!AI$7," ",'ADJ DETAIL INPUT'!AI$8," ",'ADJ DETAIL INPUT'!AI$9))</f>
        <v>Pro Forma CCA Labor</v>
      </c>
      <c r="E45" s="249">
        <v>-89.198110000000014</v>
      </c>
      <c r="F45" s="249">
        <v>0</v>
      </c>
      <c r="G45" s="249"/>
      <c r="H45" s="249">
        <f>'ADJ DETAIL INPUT'!AI$58</f>
        <v>-89.198110000000014</v>
      </c>
      <c r="I45" s="249">
        <f>'ADJ DETAIL INPUT'!AI$81</f>
        <v>0</v>
      </c>
      <c r="J45" s="462"/>
      <c r="K45" s="463">
        <f t="shared" ref="K45:L45" si="46">H45-E45</f>
        <v>0</v>
      </c>
      <c r="L45" s="463">
        <f t="shared" si="46"/>
        <v>0</v>
      </c>
      <c r="N45" s="68">
        <f>K45/$N$10*-1</f>
        <v>0</v>
      </c>
      <c r="O45" s="68">
        <f>L45*$O$10/$N$10</f>
        <v>0</v>
      </c>
      <c r="P45" s="235">
        <f>N45+O45</f>
        <v>0</v>
      </c>
      <c r="S45" s="86"/>
    </row>
    <row r="46" spans="1:28" s="461" customFormat="1">
      <c r="A46" s="133">
        <f>'ADJ DETAIL INPUT'!AJ$10</f>
        <v>3.1099999999999977</v>
      </c>
      <c r="B46" s="229" t="str">
        <f>TRIM(CONCATENATE('ADJ DETAIL INPUT'!AJ$7," ",'ADJ DETAIL INPUT'!AJ$8," ",'ADJ DETAIL INPUT'!AJ$9))</f>
        <v>Pro Forma Property Tax</v>
      </c>
      <c r="C46" s="478"/>
      <c r="D46" s="478"/>
      <c r="E46" s="249">
        <v>-747.34</v>
      </c>
      <c r="F46" s="249">
        <v>0</v>
      </c>
      <c r="G46" s="249"/>
      <c r="H46" s="249">
        <f>'ADJ DETAIL INPUT'!AJ$58</f>
        <v>-747.34</v>
      </c>
      <c r="I46" s="249">
        <f>'ADJ DETAIL INPUT'!AJ$81</f>
        <v>0</v>
      </c>
      <c r="J46" s="462"/>
      <c r="K46" s="463">
        <f t="shared" ref="K46" si="47">H46-E46</f>
        <v>0</v>
      </c>
      <c r="L46" s="463">
        <f t="shared" ref="L46" si="48">I46-F46</f>
        <v>0</v>
      </c>
      <c r="N46" s="470">
        <f>K46/$N$10*-1</f>
        <v>0</v>
      </c>
      <c r="O46" s="470">
        <f>L46*$O$10/$N$10</f>
        <v>0</v>
      </c>
      <c r="P46" s="471">
        <f>N46+O46</f>
        <v>0</v>
      </c>
      <c r="Q46" s="468"/>
      <c r="R46" s="468"/>
      <c r="S46" s="469"/>
      <c r="T46" s="462"/>
      <c r="U46" s="475"/>
    </row>
    <row r="47" spans="1:28">
      <c r="A47" s="133">
        <f>'ADJ DETAIL INPUT'!AK$10</f>
        <v>3.1199999999999974</v>
      </c>
      <c r="B47" s="229" t="str">
        <f>TRIM(CONCATENATE('ADJ DETAIL INPUT'!AK$7," ",'ADJ DETAIL INPUT'!AK$8," ",'ADJ DETAIL INPUT'!AK$9))</f>
        <v>Pro Forma Insurance Expense</v>
      </c>
      <c r="E47" s="249">
        <v>-472.42</v>
      </c>
      <c r="F47" s="249">
        <v>0</v>
      </c>
      <c r="G47" s="249"/>
      <c r="H47" s="249">
        <f>'ADJ DETAIL INPUT'!AK$58</f>
        <v>-472.42</v>
      </c>
      <c r="I47" s="249">
        <f>'ADJ DETAIL INPUT'!AK$81</f>
        <v>0</v>
      </c>
      <c r="J47" s="462"/>
      <c r="K47" s="463">
        <f t="shared" ref="K47" si="49">H47-E47</f>
        <v>0</v>
      </c>
      <c r="L47" s="463">
        <f t="shared" ref="L47" si="50">I47-F47</f>
        <v>0</v>
      </c>
      <c r="N47" s="68">
        <f>K47/$N$10*-1</f>
        <v>0</v>
      </c>
      <c r="O47" s="68">
        <f>L47*$O$10/$N$10</f>
        <v>0</v>
      </c>
      <c r="P47" s="83">
        <f>N47+O47</f>
        <v>0</v>
      </c>
      <c r="Q47" s="231"/>
      <c r="R47" s="231"/>
      <c r="S47" s="86"/>
    </row>
    <row r="48" spans="1:28" s="61" customFormat="1">
      <c r="A48" s="133">
        <f>'ADJ DETAIL INPUT'!AL$10</f>
        <v>3.1299999999999972</v>
      </c>
      <c r="B48" s="252" t="str">
        <f>TRIM(CONCATENATE('ADJ DETAIL INPUT'!AL$7," ",'ADJ DETAIL INPUT'!AL$8," ",'ADJ DETAIL INPUT'!AL$9))</f>
        <v>Pro Forma IS/IT Expense</v>
      </c>
      <c r="C48" s="493"/>
      <c r="D48" s="493"/>
      <c r="E48" s="221">
        <v>-16.274000000000001</v>
      </c>
      <c r="F48" s="221">
        <v>0</v>
      </c>
      <c r="G48" s="221"/>
      <c r="H48" s="221">
        <f>'ADJ DETAIL INPUT'!AL$58</f>
        <v>-16.274000000000001</v>
      </c>
      <c r="I48" s="221">
        <f>'ADJ DETAIL INPUT'!AL$81</f>
        <v>0</v>
      </c>
      <c r="J48" s="482"/>
      <c r="K48" s="463">
        <f t="shared" ref="K48" si="51">H48-E48</f>
        <v>0</v>
      </c>
      <c r="L48" s="463">
        <f t="shared" ref="L48" si="52">I48-F48</f>
        <v>0</v>
      </c>
      <c r="M48" s="67"/>
      <c r="N48" s="68">
        <f>K48/$N$10*-1</f>
        <v>0</v>
      </c>
      <c r="O48" s="68">
        <f>L48*$O$10/$N$10</f>
        <v>0</v>
      </c>
      <c r="P48" s="83">
        <f>N48+O48</f>
        <v>0</v>
      </c>
      <c r="Q48" s="62"/>
      <c r="R48" s="231"/>
      <c r="S48" s="86"/>
      <c r="T48" s="231"/>
      <c r="U48" s="396"/>
      <c r="V48" s="250"/>
      <c r="W48" s="250"/>
      <c r="X48" s="250"/>
      <c r="Y48" s="250"/>
      <c r="Z48" s="250"/>
      <c r="AA48" s="250"/>
      <c r="AB48" s="250"/>
    </row>
    <row r="49" spans="1:28" s="250" customFormat="1">
      <c r="A49" s="565">
        <f>'ADJ DETAIL INPUT'!AM$10</f>
        <v>3.139999999999997</v>
      </c>
      <c r="B49" s="566" t="str">
        <f>TRIM(CONCATENATE('ADJ DETAIL INPUT'!AM$7," ",'ADJ DETAIL INPUT'!AM$8," ",'ADJ DETAIL INPUT'!AM$9))</f>
        <v>Pro Forma Misc O&amp;M Exp</v>
      </c>
      <c r="C49" s="482"/>
      <c r="D49" s="482"/>
      <c r="E49" s="567">
        <v>-1290.5929799999999</v>
      </c>
      <c r="F49" s="567">
        <v>0</v>
      </c>
      <c r="G49" s="567"/>
      <c r="H49" s="567">
        <f>'ADJ DETAIL INPUT'!AM$58</f>
        <v>-1290.5929799999999</v>
      </c>
      <c r="I49" s="567">
        <f>'ADJ DETAIL INPUT'!AM$81</f>
        <v>0</v>
      </c>
      <c r="J49" s="482"/>
      <c r="K49" s="568">
        <f t="shared" ref="K49" si="53">H49-E49</f>
        <v>0</v>
      </c>
      <c r="L49" s="568">
        <f t="shared" ref="L49" si="54">I49-F49</f>
        <v>0</v>
      </c>
      <c r="M49" s="226"/>
      <c r="N49" s="255">
        <f t="shared" ref="N49" si="55">K49/$N$10*-1</f>
        <v>0</v>
      </c>
      <c r="O49" s="255">
        <f t="shared" ref="O49" si="56">L49*$O$10/$N$10</f>
        <v>0</v>
      </c>
      <c r="P49" s="83">
        <f t="shared" ref="P49" si="57">N49+O49</f>
        <v>0</v>
      </c>
      <c r="Q49" s="231"/>
      <c r="R49" s="231"/>
      <c r="S49" s="231"/>
      <c r="T49" s="231"/>
      <c r="U49" s="396"/>
    </row>
    <row r="50" spans="1:28" s="468" customFormat="1">
      <c r="A50" s="565">
        <f>'ADJ DETAIL INPUT'!AN$10</f>
        <v>3.1499999999999968</v>
      </c>
      <c r="B50" s="566" t="str">
        <f>TRIM(CONCATENATE('ADJ DETAIL INPUT'!AN$7," ",'ADJ DETAIL INPUT'!AN$8," ",'ADJ DETAIL INPUT'!AN$9))</f>
        <v>Pro Forma Capital Additions to 12.31.2023 EOP</v>
      </c>
      <c r="C50" s="482"/>
      <c r="D50" s="482"/>
      <c r="E50" s="567">
        <v>-898.12380370000005</v>
      </c>
      <c r="F50" s="567">
        <v>19487.900000000001</v>
      </c>
      <c r="G50" s="567"/>
      <c r="H50" s="567">
        <f>'ADJ DETAIL INPUT'!AN$58</f>
        <v>-898.12380370000005</v>
      </c>
      <c r="I50" s="567">
        <f>'ADJ DETAIL INPUT'!AN$81</f>
        <v>19487.900000000001</v>
      </c>
      <c r="J50" s="482"/>
      <c r="K50" s="568">
        <f t="shared" ref="K50:K54" si="58">H50-E50</f>
        <v>0</v>
      </c>
      <c r="L50" s="568">
        <f t="shared" ref="L50:L54" si="59">I50-F50</f>
        <v>0</v>
      </c>
      <c r="M50" s="462"/>
      <c r="N50" s="255">
        <f t="shared" ref="N50:N54" si="60">K50/$N$10*-1</f>
        <v>0</v>
      </c>
      <c r="O50" s="255">
        <f t="shared" ref="O50:O54" si="61">L50*$O$10/$N$10</f>
        <v>0</v>
      </c>
      <c r="P50" s="472">
        <f t="shared" ref="P50:P54" si="62">N50+O50</f>
        <v>0</v>
      </c>
      <c r="Q50" s="467"/>
      <c r="R50" s="467"/>
      <c r="S50" s="467"/>
      <c r="T50" s="467"/>
      <c r="U50" s="473"/>
    </row>
    <row r="51" spans="1:28" s="493" customFormat="1">
      <c r="A51" s="565">
        <f>'ADJ DETAIL INPUT'!AO$10</f>
        <v>3.1599999999999966</v>
      </c>
      <c r="B51" s="566" t="str">
        <f>TRIM(CONCATENATE('ADJ DETAIL INPUT'!AO$7," ",'ADJ DETAIL INPUT'!AO$8," ",'ADJ DETAIL INPUT'!AO$9))</f>
        <v>Pro Forma Depreciation Expense</v>
      </c>
      <c r="C51" s="482"/>
      <c r="D51" s="482"/>
      <c r="E51" s="567">
        <v>714.31799999999998</v>
      </c>
      <c r="F51" s="567">
        <v>0</v>
      </c>
      <c r="G51" s="567"/>
      <c r="H51" s="567">
        <f>'ADJ DETAIL INPUT'!AO$58</f>
        <v>714.31799999999998</v>
      </c>
      <c r="I51" s="567">
        <f>'ADJ DETAIL INPUT'!AO$81</f>
        <v>0</v>
      </c>
      <c r="J51" s="482"/>
      <c r="K51" s="568">
        <f t="shared" ref="K51:K53" si="63">H51-E51</f>
        <v>0</v>
      </c>
      <c r="L51" s="568">
        <f t="shared" ref="L51:L53" si="64">I51-F51</f>
        <v>0</v>
      </c>
      <c r="M51" s="462"/>
      <c r="N51" s="255">
        <f t="shared" ref="N51:N53" si="65">K51/$N$10*-1</f>
        <v>0</v>
      </c>
      <c r="O51" s="255">
        <f t="shared" ref="O51:O53" si="66">L51*$O$10/$N$10</f>
        <v>0</v>
      </c>
      <c r="P51" s="491">
        <f t="shared" ref="P51:P53" si="67">N51+O51</f>
        <v>0</v>
      </c>
      <c r="Q51" s="482"/>
      <c r="R51" s="482"/>
      <c r="S51" s="482"/>
      <c r="T51" s="482"/>
      <c r="U51" s="473"/>
    </row>
    <row r="52" spans="1:28" s="493" customFormat="1">
      <c r="A52" s="565">
        <f>'ADJ DETAIL INPUT'!AP$10</f>
        <v>3.1699999999999964</v>
      </c>
      <c r="B52" s="566" t="str">
        <f>TRIM(CONCATENATE('ADJ DETAIL INPUT'!AP$7," ",'ADJ DETAIL INPUT'!AP$8," ",'ADJ DETAIL INPUT'!AP$9))</f>
        <v>Pro Forma Capital Additions to 12.31.2024 EOP</v>
      </c>
      <c r="C52" s="482"/>
      <c r="D52" s="482"/>
      <c r="E52" s="567">
        <v>-1435.024504</v>
      </c>
      <c r="F52" s="567">
        <v>20568</v>
      </c>
      <c r="G52" s="567"/>
      <c r="H52" s="567">
        <f>'ADJ DETAIL INPUT'!AP$58</f>
        <v>-1435.024504</v>
      </c>
      <c r="I52" s="567">
        <f>'ADJ DETAIL INPUT'!AP$81</f>
        <v>20568</v>
      </c>
      <c r="J52" s="482"/>
      <c r="K52" s="568">
        <f t="shared" si="63"/>
        <v>0</v>
      </c>
      <c r="L52" s="568">
        <f t="shared" si="64"/>
        <v>0</v>
      </c>
      <c r="M52" s="462"/>
      <c r="N52" s="255">
        <f t="shared" si="65"/>
        <v>0</v>
      </c>
      <c r="O52" s="255">
        <f t="shared" si="66"/>
        <v>0</v>
      </c>
      <c r="P52" s="491">
        <f t="shared" si="67"/>
        <v>0</v>
      </c>
      <c r="Q52" s="482"/>
      <c r="R52" s="482"/>
      <c r="S52" s="482"/>
      <c r="T52" s="482"/>
      <c r="U52" s="473"/>
    </row>
    <row r="53" spans="1:28" s="493" customFormat="1">
      <c r="A53" s="565">
        <f>'ADJ DETAIL INPUT'!AQ$10</f>
        <v>3.1799999999999962</v>
      </c>
      <c r="B53" s="566" t="str">
        <f>TRIM(CONCATENATE('ADJ DETAIL INPUT'!AQ$7," ",'ADJ DETAIL INPUT'!AQ$8," ",'ADJ DETAIL INPUT'!AQ$9))</f>
        <v>Pro Forma New Regulatory Amortizations</v>
      </c>
      <c r="C53" s="482"/>
      <c r="D53" s="482"/>
      <c r="E53" s="567">
        <v>-237</v>
      </c>
      <c r="F53" s="567">
        <v>0</v>
      </c>
      <c r="G53" s="567"/>
      <c r="H53" s="567">
        <f>'ADJ DETAIL INPUT'!AQ$58</f>
        <v>-237</v>
      </c>
      <c r="I53" s="567">
        <f>'ADJ DETAIL INPUT'!AQ$81</f>
        <v>0</v>
      </c>
      <c r="J53" s="482"/>
      <c r="K53" s="568">
        <f t="shared" si="63"/>
        <v>0</v>
      </c>
      <c r="L53" s="568">
        <f t="shared" si="64"/>
        <v>0</v>
      </c>
      <c r="M53" s="462"/>
      <c r="N53" s="255">
        <f t="shared" si="65"/>
        <v>0</v>
      </c>
      <c r="O53" s="255">
        <f t="shared" si="66"/>
        <v>0</v>
      </c>
      <c r="P53" s="491">
        <f t="shared" si="67"/>
        <v>0</v>
      </c>
      <c r="Q53" s="482"/>
      <c r="R53" s="482"/>
      <c r="S53" s="482"/>
      <c r="T53" s="482"/>
      <c r="U53" s="473"/>
    </row>
    <row r="54" spans="1:28" s="468" customFormat="1">
      <c r="A54" s="565">
        <f>'ADJ DETAIL INPUT'!AR$10</f>
        <v>3.1899999999999959</v>
      </c>
      <c r="B54" s="566" t="str">
        <f>TRIM(CONCATENATE('ADJ DETAIL INPUT'!AR$7," ",'ADJ DETAIL INPUT'!AR$8," ",'ADJ DETAIL INPUT'!AR$9))</f>
        <v>Pro Forma Nucleus/ETRM Expense</v>
      </c>
      <c r="C54" s="482"/>
      <c r="D54" s="482"/>
      <c r="E54" s="567">
        <v>-140.62</v>
      </c>
      <c r="F54" s="567">
        <v>0</v>
      </c>
      <c r="G54" s="567"/>
      <c r="H54" s="567">
        <f>'ADJ DETAIL INPUT'!AR$58</f>
        <v>-140.62</v>
      </c>
      <c r="I54" s="567">
        <f>'ADJ DETAIL INPUT'!AR$81</f>
        <v>0</v>
      </c>
      <c r="J54" s="482"/>
      <c r="K54" s="568">
        <f t="shared" si="58"/>
        <v>0</v>
      </c>
      <c r="L54" s="568">
        <f t="shared" si="59"/>
        <v>0</v>
      </c>
      <c r="M54" s="462"/>
      <c r="N54" s="255">
        <f t="shared" si="60"/>
        <v>0</v>
      </c>
      <c r="O54" s="255">
        <f t="shared" si="61"/>
        <v>0</v>
      </c>
      <c r="P54" s="472">
        <f t="shared" si="62"/>
        <v>0</v>
      </c>
      <c r="Q54" s="467"/>
      <c r="R54" s="467"/>
      <c r="S54" s="467"/>
      <c r="T54" s="467"/>
      <c r="U54" s="473"/>
    </row>
    <row r="55" spans="1:28" s="60" customFormat="1">
      <c r="A55" s="133">
        <f>'ADJ DETAIL INPUT'!AS$10</f>
        <v>3.1999999999999957</v>
      </c>
      <c r="B55" s="252" t="str">
        <f>TRIM(CONCATENATE('ADJ DETAIL INPUT'!AS$7," ",'ADJ DETAIL INPUT'!AS$8," ",'ADJ DETAIL INPUT'!AS$9))</f>
        <v>Pro Forma BOD Fees Expense</v>
      </c>
      <c r="C55" s="493"/>
      <c r="D55" s="493"/>
      <c r="E55" s="221">
        <v>-118.5</v>
      </c>
      <c r="F55" s="221">
        <v>0</v>
      </c>
      <c r="G55" s="221"/>
      <c r="H55" s="221">
        <f>'ADJ DETAIL INPUT'!AS$58</f>
        <v>-118.5</v>
      </c>
      <c r="I55" s="221">
        <f>'ADJ DETAIL INPUT'!AS$81</f>
        <v>0</v>
      </c>
      <c r="J55" s="482"/>
      <c r="K55" s="463">
        <f t="shared" ref="K55" si="68">H55-E55</f>
        <v>0</v>
      </c>
      <c r="L55" s="463">
        <f t="shared" ref="L55" si="69">I55-F55</f>
        <v>0</v>
      </c>
      <c r="M55" s="11"/>
      <c r="N55" s="68">
        <f t="shared" ref="N55" si="70">K55/$N$10*-1</f>
        <v>0</v>
      </c>
      <c r="O55" s="68">
        <f t="shared" ref="O55" si="71">L55*$O$10/$N$10</f>
        <v>0</v>
      </c>
      <c r="P55" s="83">
        <f t="shared" ref="P55" si="72">N55+O55</f>
        <v>0</v>
      </c>
      <c r="Q55" s="231"/>
      <c r="R55" s="231"/>
      <c r="S55" s="231"/>
      <c r="T55" s="231"/>
      <c r="U55" s="396"/>
      <c r="V55" s="250"/>
      <c r="W55" s="250"/>
      <c r="X55" s="250"/>
      <c r="Y55" s="250"/>
      <c r="Z55" s="250"/>
      <c r="AA55" s="250"/>
      <c r="AB55" s="250"/>
    </row>
    <row r="56" spans="1:28" s="250" customFormat="1">
      <c r="A56" s="133">
        <f>'ADJ DETAIL INPUT'!AT$10</f>
        <v>4.01</v>
      </c>
      <c r="B56" s="252" t="str">
        <f>TRIM(CONCATENATE('ADJ DETAIL INPUT'!AT$7," ",'ADJ DETAIL INPUT'!AT$8," ",'ADJ DETAIL INPUT'!AT$9))</f>
        <v>Provisional Capital Additions to 12.31.2025 AMA</v>
      </c>
      <c r="C56" s="493"/>
      <c r="D56" s="493"/>
      <c r="E56" s="221">
        <v>-1697.0085517</v>
      </c>
      <c r="F56" s="221">
        <v>3203.9000000000015</v>
      </c>
      <c r="G56" s="221"/>
      <c r="H56" s="221">
        <f>'ADJ DETAIL INPUT'!AT$58</f>
        <v>-1697.0085517</v>
      </c>
      <c r="I56" s="221">
        <f>'ADJ DETAIL INPUT'!AT$81</f>
        <v>3203.9000000000015</v>
      </c>
      <c r="J56" s="482"/>
      <c r="K56" s="463">
        <f t="shared" ref="K56:K57" si="73">H56-E56</f>
        <v>0</v>
      </c>
      <c r="L56" s="463">
        <f t="shared" ref="L56:L57" si="74">I56-F56</f>
        <v>0</v>
      </c>
      <c r="M56" s="247"/>
      <c r="N56" s="234">
        <f t="shared" ref="N56:N57" si="75">K56/$N$10*-1</f>
        <v>0</v>
      </c>
      <c r="O56" s="234">
        <f t="shared" ref="O56:O57" si="76">L56*$O$10/$N$10</f>
        <v>0</v>
      </c>
      <c r="P56" s="83">
        <f t="shared" ref="P56:P57" si="77">N56+O56</f>
        <v>0</v>
      </c>
      <c r="Q56" s="231"/>
      <c r="R56" s="231"/>
      <c r="S56" s="231"/>
      <c r="T56" s="231"/>
      <c r="U56" s="396"/>
    </row>
    <row r="57" spans="1:28" s="250" customFormat="1">
      <c r="A57" s="133">
        <f>'ADJ DETAIL INPUT'!AU$10</f>
        <v>4.0199999999999996</v>
      </c>
      <c r="B57" s="252" t="str">
        <f>TRIM(CONCATENATE('ADJ DETAIL INPUT'!AU$7," ",'ADJ DETAIL INPUT'!AU$8," ",'ADJ DETAIL INPUT'!AU$9))</f>
        <v>2024-2025 Capital Adds O&amp;M &amp; Revenue Offsets</v>
      </c>
      <c r="C57" s="493"/>
      <c r="D57" s="493"/>
      <c r="E57" s="221">
        <v>491.93853000000001</v>
      </c>
      <c r="F57" s="221">
        <v>0</v>
      </c>
      <c r="G57" s="221"/>
      <c r="H57" s="221">
        <f>'ADJ DETAIL INPUT'!AU$58</f>
        <v>491.93853000000001</v>
      </c>
      <c r="I57" s="221">
        <f>'ADJ DETAIL INPUT'!AU$81</f>
        <v>0</v>
      </c>
      <c r="J57" s="482"/>
      <c r="K57" s="463">
        <f t="shared" si="73"/>
        <v>0</v>
      </c>
      <c r="L57" s="463">
        <f t="shared" si="74"/>
        <v>0</v>
      </c>
      <c r="M57" s="247"/>
      <c r="N57" s="234">
        <f t="shared" si="75"/>
        <v>0</v>
      </c>
      <c r="O57" s="234">
        <f t="shared" si="76"/>
        <v>0</v>
      </c>
      <c r="P57" s="83">
        <f t="shared" si="77"/>
        <v>0</v>
      </c>
      <c r="Q57" s="231"/>
      <c r="R57" s="231"/>
      <c r="S57" s="231"/>
      <c r="T57" s="231"/>
      <c r="U57" s="396"/>
    </row>
    <row r="58" spans="1:28" s="232" customFormat="1" hidden="1" outlineLevel="1">
      <c r="A58" s="133">
        <f>'ADJ DETAIL INPUT'!AV$10</f>
        <v>0</v>
      </c>
      <c r="B58" s="252" t="str">
        <f>TRIM(CONCATENATE('ADJ DETAIL INPUT'!AV$7," ",'ADJ DETAIL INPUT'!AV$8," ",'ADJ DETAIL INPUT'!AV$9))</f>
        <v/>
      </c>
      <c r="C58" s="493"/>
      <c r="D58" s="493"/>
      <c r="E58" s="221">
        <v>0</v>
      </c>
      <c r="F58" s="221">
        <v>0</v>
      </c>
      <c r="G58" s="221"/>
      <c r="H58" s="221">
        <f>'ADJ DETAIL INPUT'!AV$58</f>
        <v>0</v>
      </c>
      <c r="I58" s="221">
        <f>'ADJ DETAIL INPUT'!AV$81</f>
        <v>0</v>
      </c>
      <c r="J58" s="482"/>
      <c r="K58" s="463">
        <f t="shared" ref="K58" si="78">H58-E58</f>
        <v>0</v>
      </c>
      <c r="L58" s="463">
        <f t="shared" ref="L58" si="79">I58-F58</f>
        <v>0</v>
      </c>
      <c r="M58" s="225"/>
      <c r="N58" s="234">
        <f t="shared" ref="N58" si="80">K58/$N$10*-1</f>
        <v>0</v>
      </c>
      <c r="O58" s="234">
        <f t="shared" ref="O58" si="81">L58*$O$10/$N$10</f>
        <v>0</v>
      </c>
      <c r="P58" s="83">
        <f t="shared" ref="P58" si="82">N58+O58</f>
        <v>0</v>
      </c>
      <c r="Q58" s="231"/>
      <c r="R58" s="231"/>
      <c r="S58" s="231"/>
      <c r="T58" s="231"/>
      <c r="U58" s="396"/>
      <c r="V58" s="250"/>
      <c r="W58" s="250"/>
      <c r="X58" s="250"/>
      <c r="Y58" s="250"/>
      <c r="Z58" s="250"/>
      <c r="AA58" s="250"/>
      <c r="AB58" s="250"/>
    </row>
    <row r="59" spans="1:28" s="60" customFormat="1" collapsed="1">
      <c r="A59" s="133"/>
      <c r="B59" s="252"/>
      <c r="C59" s="493"/>
      <c r="D59" s="493"/>
      <c r="E59" s="463"/>
      <c r="F59" s="463"/>
      <c r="G59" s="221"/>
      <c r="H59" s="221"/>
      <c r="I59" s="221"/>
      <c r="J59" s="482"/>
      <c r="K59" s="463"/>
      <c r="L59" s="463"/>
      <c r="M59" s="11"/>
      <c r="N59" s="68"/>
      <c r="O59" s="68"/>
      <c r="P59" s="235"/>
      <c r="R59" s="250"/>
      <c r="S59" s="231"/>
      <c r="T59" s="231"/>
      <c r="U59" s="396"/>
      <c r="V59" s="250"/>
      <c r="W59" s="250"/>
      <c r="X59" s="250"/>
      <c r="Y59" s="250"/>
      <c r="Z59" s="250"/>
      <c r="AA59" s="250"/>
      <c r="AB59" s="250"/>
    </row>
    <row r="60" spans="1:28" ht="16.5" customHeight="1" thickBot="1">
      <c r="A60" s="133"/>
      <c r="B60" s="478" t="str">
        <f>'ADJ SUMMARY'!C53</f>
        <v xml:space="preserve">     Pro Forma Study Ending 12.2025</v>
      </c>
      <c r="E60" s="26">
        <f>SUM(E34:E59)</f>
        <v>31585.798875600016</v>
      </c>
      <c r="F60" s="26">
        <f>SUM(F34:F59)</f>
        <v>586084.19999999995</v>
      </c>
      <c r="G60" s="70"/>
      <c r="H60" s="26">
        <f>SUM(H34:H59)</f>
        <v>31585.798875600016</v>
      </c>
      <c r="I60" s="26">
        <f>SUM(I34:I59)</f>
        <v>586084.19999999995</v>
      </c>
      <c r="J60" s="462"/>
      <c r="K60" s="26">
        <f>SUM(K34:K59)</f>
        <v>0</v>
      </c>
      <c r="L60" s="26">
        <f>SUM(L34:L59)</f>
        <v>0</v>
      </c>
      <c r="M60" s="70"/>
      <c r="N60" s="26">
        <f>SUM(N34:N59)</f>
        <v>0</v>
      </c>
      <c r="O60" s="26">
        <f>SUM(O34:O59)</f>
        <v>0</v>
      </c>
      <c r="P60" s="231"/>
      <c r="Q60" s="59"/>
      <c r="R60" s="231"/>
      <c r="S60" s="87"/>
      <c r="T60" s="258"/>
      <c r="V60" s="226"/>
    </row>
    <row r="61" spans="1:28" ht="13.8" thickTop="1">
      <c r="A61" s="25"/>
      <c r="D61" s="229"/>
      <c r="E61" s="229"/>
      <c r="H61" s="88"/>
      <c r="I61" s="88"/>
      <c r="J61" s="462"/>
      <c r="K61" s="463"/>
      <c r="L61" s="463"/>
      <c r="O61" s="17">
        <f>N60+O60</f>
        <v>0</v>
      </c>
      <c r="P61" s="231"/>
      <c r="Q61" s="59"/>
      <c r="R61" s="231"/>
      <c r="S61" s="231"/>
      <c r="V61" s="226"/>
    </row>
    <row r="62" spans="1:28">
      <c r="A62" s="569"/>
      <c r="B62" s="252"/>
      <c r="D62" s="229"/>
      <c r="E62" s="229"/>
      <c r="F62" s="463"/>
      <c r="H62" s="229"/>
      <c r="I62" s="259"/>
      <c r="J62" s="462"/>
      <c r="K62" s="570"/>
      <c r="N62" s="69" t="s">
        <v>542</v>
      </c>
      <c r="O62" s="256"/>
      <c r="P62" s="231"/>
      <c r="Q62" s="59"/>
      <c r="R62" s="231"/>
      <c r="S62" s="83"/>
      <c r="V62" s="226"/>
    </row>
    <row r="63" spans="1:28" ht="13.8" thickBot="1">
      <c r="A63" s="571"/>
      <c r="B63" s="229"/>
      <c r="D63" s="229"/>
      <c r="E63" s="229"/>
      <c r="F63" s="463"/>
      <c r="H63" s="229"/>
      <c r="J63" s="462"/>
      <c r="N63" s="69" t="s">
        <v>161</v>
      </c>
      <c r="O63" s="82">
        <f>SUM(O61:O62)</f>
        <v>0</v>
      </c>
      <c r="P63" s="231"/>
      <c r="Q63" s="59"/>
      <c r="R63" s="84"/>
      <c r="S63" s="231"/>
      <c r="V63" s="226"/>
    </row>
    <row r="64" spans="1:28" ht="13.8" thickTop="1">
      <c r="A64" s="572"/>
      <c r="B64" s="229"/>
      <c r="D64" s="229"/>
      <c r="E64" s="229"/>
      <c r="F64" s="463"/>
      <c r="H64" s="229"/>
      <c r="J64" s="462"/>
      <c r="N64" s="69" t="s">
        <v>544</v>
      </c>
      <c r="O64" s="256">
        <v>17293</v>
      </c>
      <c r="P64" s="231"/>
      <c r="Q64" s="59"/>
      <c r="R64" s="231"/>
      <c r="S64" s="231"/>
      <c r="V64" s="226"/>
    </row>
    <row r="65" spans="1:22" ht="13.8" thickBot="1">
      <c r="A65" s="572"/>
      <c r="B65" s="229"/>
      <c r="D65" s="229"/>
      <c r="E65" s="229"/>
      <c r="F65" s="463"/>
      <c r="H65" s="229"/>
      <c r="J65" s="462"/>
      <c r="N65" s="69" t="s">
        <v>163</v>
      </c>
      <c r="O65" s="26">
        <f>O64+O63</f>
        <v>17293</v>
      </c>
      <c r="P65" s="231"/>
      <c r="Q65" s="59"/>
      <c r="R65" s="231"/>
      <c r="S65" s="231"/>
      <c r="V65" s="226"/>
    </row>
    <row r="66" spans="1:22" ht="13.8" thickTop="1">
      <c r="A66" s="572"/>
      <c r="B66" s="229"/>
      <c r="D66" s="229"/>
      <c r="H66" s="229"/>
      <c r="J66" s="462"/>
      <c r="N66" s="85"/>
      <c r="O66" s="83">
        <f>'RR SUMMARY'!F24</f>
        <v>17293</v>
      </c>
      <c r="P66" s="83">
        <f>O65-O66</f>
        <v>0</v>
      </c>
      <c r="Q66" s="59"/>
      <c r="R66" s="85"/>
      <c r="S66" s="231"/>
      <c r="V66" s="226"/>
    </row>
    <row r="67" spans="1:22">
      <c r="A67" s="476" t="str">
        <f>'ADJ SUMMARY'!A56</f>
        <v>Pro Forma Adjustments - 12.2025 - 12.2026</v>
      </c>
      <c r="D67" s="229"/>
      <c r="E67" s="229"/>
      <c r="F67" s="249"/>
      <c r="H67" s="229"/>
      <c r="J67" s="462"/>
      <c r="N67" s="85"/>
      <c r="O67" s="83"/>
      <c r="P67" s="231"/>
      <c r="Q67" s="59"/>
      <c r="R67" s="85"/>
      <c r="S67" s="231"/>
      <c r="V67" s="226"/>
    </row>
    <row r="68" spans="1:22" s="483" customFormat="1">
      <c r="A68" s="133">
        <f>'ADJ DETAIL INPUT'!AY$10</f>
        <v>0</v>
      </c>
      <c r="B68" s="252" t="str">
        <f>TRIM(CONCATENATE('ADJ DETAIL INPUT'!AY$7," ",'ADJ DETAIL INPUT'!AY$8," ",'ADJ DETAIL INPUT'!AY$9))</f>
        <v/>
      </c>
      <c r="C68" s="493"/>
      <c r="D68" s="493"/>
      <c r="E68" s="221">
        <v>0</v>
      </c>
      <c r="F68" s="221">
        <v>0</v>
      </c>
      <c r="G68" s="221"/>
      <c r="H68" s="221">
        <f>'ADJ DETAIL INPUT'!AY$58</f>
        <v>0</v>
      </c>
      <c r="I68" s="221">
        <f>'ADJ DETAIL INPUT'!AY$81</f>
        <v>0</v>
      </c>
      <c r="J68" s="482"/>
      <c r="K68" s="463">
        <f>H68-E68</f>
        <v>0</v>
      </c>
      <c r="L68" s="463">
        <f>I68-F68</f>
        <v>0</v>
      </c>
      <c r="M68" s="478"/>
      <c r="N68" s="484">
        <f>K68/$N$10*-1</f>
        <v>0</v>
      </c>
      <c r="O68" s="484">
        <f>L68*$O$10/$N$10</f>
        <v>0</v>
      </c>
      <c r="P68" s="491">
        <f>N68+O68</f>
        <v>0</v>
      </c>
      <c r="Q68" s="482"/>
      <c r="R68" s="482"/>
      <c r="S68" s="482"/>
      <c r="T68" s="482"/>
      <c r="U68" s="473"/>
    </row>
    <row r="69" spans="1:22" s="468" customFormat="1">
      <c r="A69" s="133">
        <f>'ADJ DETAIL INPUT'!AZ$10</f>
        <v>5.01</v>
      </c>
      <c r="B69" s="252" t="str">
        <f>TRIM(CONCATENATE('ADJ DETAIL INPUT'!AZ$7," ",'ADJ DETAIL INPUT'!AZ$8," ",'ADJ DETAIL INPUT'!AZ$9))</f>
        <v>Pro Forma AMI Amortization</v>
      </c>
      <c r="C69" s="493"/>
      <c r="D69" s="493"/>
      <c r="E69" s="221">
        <v>78.373344000000003</v>
      </c>
      <c r="F69" s="221">
        <v>-848</v>
      </c>
      <c r="G69" s="221"/>
      <c r="H69" s="221">
        <f>'ADJ DETAIL INPUT'!AZ$58</f>
        <v>78.373344000000003</v>
      </c>
      <c r="I69" s="221">
        <f>'ADJ DETAIL INPUT'!AZ$81</f>
        <v>-848</v>
      </c>
      <c r="J69" s="482"/>
      <c r="K69" s="463">
        <f t="shared" ref="K69" si="83">H69-E69</f>
        <v>0</v>
      </c>
      <c r="L69" s="463">
        <f t="shared" ref="L69" si="84">I69-F69</f>
        <v>0</v>
      </c>
      <c r="M69" s="461"/>
      <c r="N69" s="470">
        <f t="shared" ref="N69" si="85">K69/$N$10*-1</f>
        <v>0</v>
      </c>
      <c r="O69" s="470">
        <f t="shared" ref="O69" si="86">L69*$O$10/$N$10</f>
        <v>0</v>
      </c>
      <c r="P69" s="472">
        <f t="shared" ref="P69" si="87">N69+O69</f>
        <v>0</v>
      </c>
      <c r="Q69" s="467"/>
      <c r="R69" s="467"/>
      <c r="S69" s="467"/>
      <c r="T69" s="467"/>
      <c r="U69" s="473"/>
    </row>
    <row r="70" spans="1:22" s="483" customFormat="1">
      <c r="A70" s="133">
        <f>'ADJ DETAIL INPUT'!BA$10</f>
        <v>5.0199999999999996</v>
      </c>
      <c r="B70" s="252" t="str">
        <f>TRIM(CONCATENATE('ADJ DETAIL INPUT'!BA$7," ",'ADJ DETAIL INPUT'!BA$8," ",'ADJ DETAIL INPUT'!BA$9))</f>
        <v>Pro Forma Labor Non-Exec</v>
      </c>
      <c r="C70" s="493"/>
      <c r="D70" s="493"/>
      <c r="E70" s="221">
        <v>-580.57100000000003</v>
      </c>
      <c r="F70" s="221">
        <v>0</v>
      </c>
      <c r="G70" s="221"/>
      <c r="H70" s="221">
        <f>'ADJ DETAIL INPUT'!BA$58</f>
        <v>-580.57100000000003</v>
      </c>
      <c r="I70" s="221">
        <f>'ADJ DETAIL INPUT'!BA$81</f>
        <v>0</v>
      </c>
      <c r="J70" s="482"/>
      <c r="K70" s="463">
        <f t="shared" ref="K70:K77" si="88">H70-E70</f>
        <v>0</v>
      </c>
      <c r="L70" s="463">
        <f t="shared" ref="L70:L77" si="89">I70-F70</f>
        <v>0</v>
      </c>
      <c r="M70" s="478"/>
      <c r="N70" s="484">
        <f t="shared" ref="N70:N77" si="90">K70/$N$10*-1</f>
        <v>0</v>
      </c>
      <c r="O70" s="484">
        <f t="shared" ref="O70:O77" si="91">L70*$O$10/$N$10</f>
        <v>0</v>
      </c>
      <c r="P70" s="491">
        <f t="shared" ref="P70:P77" si="92">N70+O70</f>
        <v>0</v>
      </c>
      <c r="Q70" s="482"/>
      <c r="R70" s="482"/>
      <c r="S70" s="482"/>
      <c r="T70" s="482"/>
      <c r="U70" s="473"/>
    </row>
    <row r="71" spans="1:22" s="483" customFormat="1">
      <c r="A71" s="133">
        <f>'ADJ DETAIL INPUT'!BB$10</f>
        <v>5.0299999999999994</v>
      </c>
      <c r="B71" s="252" t="str">
        <f>TRIM(CONCATENATE('ADJ DETAIL INPUT'!BB$7," ",'ADJ DETAIL INPUT'!BB$8," ",'ADJ DETAIL INPUT'!BB$9))</f>
        <v>Pro Forma Employee Benefits</v>
      </c>
      <c r="C71" s="493"/>
      <c r="D71" s="493"/>
      <c r="E71" s="221">
        <v>-115.97200000000001</v>
      </c>
      <c r="F71" s="221">
        <v>0</v>
      </c>
      <c r="G71" s="221"/>
      <c r="H71" s="221">
        <f>'ADJ DETAIL INPUT'!BB$58</f>
        <v>-115.97200000000001</v>
      </c>
      <c r="I71" s="221">
        <f>'ADJ DETAIL INPUT'!BB$81</f>
        <v>0</v>
      </c>
      <c r="J71" s="482"/>
      <c r="K71" s="463">
        <f t="shared" si="88"/>
        <v>0</v>
      </c>
      <c r="L71" s="463">
        <f t="shared" si="89"/>
        <v>0</v>
      </c>
      <c r="M71" s="478"/>
      <c r="N71" s="484">
        <f t="shared" si="90"/>
        <v>0</v>
      </c>
      <c r="O71" s="484">
        <f t="shared" si="91"/>
        <v>0</v>
      </c>
      <c r="P71" s="491">
        <f t="shared" si="92"/>
        <v>0</v>
      </c>
      <c r="Q71" s="482"/>
      <c r="R71" s="482"/>
      <c r="S71" s="482"/>
      <c r="T71" s="482"/>
      <c r="U71" s="473"/>
    </row>
    <row r="72" spans="1:22" s="483" customFormat="1">
      <c r="A72" s="133">
        <f>'ADJ DETAIL INPUT'!BC$10</f>
        <v>5.0399999999999991</v>
      </c>
      <c r="B72" s="252" t="str">
        <f>TRIM(CONCATENATE('ADJ DETAIL INPUT'!BC$7," ",'ADJ DETAIL INPUT'!BC$8," ",'ADJ DETAIL INPUT'!BC$9))</f>
        <v>Pro Forma Property Tax</v>
      </c>
      <c r="C72" s="493"/>
      <c r="D72" s="493"/>
      <c r="E72" s="221">
        <v>-23.7</v>
      </c>
      <c r="F72" s="221">
        <v>0</v>
      </c>
      <c r="G72" s="221"/>
      <c r="H72" s="221">
        <f>'ADJ DETAIL INPUT'!BC$58</f>
        <v>-23.7</v>
      </c>
      <c r="I72" s="221">
        <f>'ADJ DETAIL INPUT'!BC$81</f>
        <v>0</v>
      </c>
      <c r="J72" s="482"/>
      <c r="K72" s="463">
        <f t="shared" si="88"/>
        <v>0</v>
      </c>
      <c r="L72" s="463">
        <f t="shared" si="89"/>
        <v>0</v>
      </c>
      <c r="M72" s="478"/>
      <c r="N72" s="484">
        <f t="shared" si="90"/>
        <v>0</v>
      </c>
      <c r="O72" s="484">
        <f t="shared" si="91"/>
        <v>0</v>
      </c>
      <c r="P72" s="491">
        <f t="shared" si="92"/>
        <v>0</v>
      </c>
      <c r="Q72" s="482"/>
      <c r="R72" s="482"/>
      <c r="S72" s="482"/>
      <c r="T72" s="482"/>
      <c r="U72" s="473"/>
    </row>
    <row r="73" spans="1:22" s="483" customFormat="1">
      <c r="A73" s="133">
        <f>'ADJ DETAIL INPUT'!BD$10</f>
        <v>5.0499999999999989</v>
      </c>
      <c r="B73" s="252" t="str">
        <f>TRIM(CONCATENATE('ADJ DETAIL INPUT'!BD$7," ",'ADJ DETAIL INPUT'!BD$8," ",'ADJ DETAIL INPUT'!BD$9))</f>
        <v>Pro Forma Nucleus/ETRM Expense</v>
      </c>
      <c r="C73" s="493"/>
      <c r="D73" s="493"/>
      <c r="E73" s="221">
        <v>51.35</v>
      </c>
      <c r="F73" s="221">
        <v>0</v>
      </c>
      <c r="G73" s="221"/>
      <c r="H73" s="221">
        <f>'ADJ DETAIL INPUT'!BD$58</f>
        <v>51.35</v>
      </c>
      <c r="I73" s="221">
        <f>'ADJ DETAIL INPUT'!BD$81</f>
        <v>0</v>
      </c>
      <c r="J73" s="482"/>
      <c r="K73" s="463">
        <f t="shared" si="88"/>
        <v>0</v>
      </c>
      <c r="L73" s="463">
        <f t="shared" si="89"/>
        <v>0</v>
      </c>
      <c r="M73" s="478"/>
      <c r="N73" s="484">
        <f t="shared" si="90"/>
        <v>0</v>
      </c>
      <c r="O73" s="484">
        <f t="shared" si="91"/>
        <v>0</v>
      </c>
      <c r="P73" s="491">
        <f t="shared" si="92"/>
        <v>0</v>
      </c>
      <c r="Q73" s="482"/>
      <c r="R73" s="482"/>
      <c r="S73" s="482"/>
      <c r="T73" s="482"/>
      <c r="U73" s="473"/>
    </row>
    <row r="74" spans="1:22" s="483" customFormat="1">
      <c r="A74" s="133">
        <f>'ADJ DETAIL INPUT'!BE$10</f>
        <v>5.0599999999999987</v>
      </c>
      <c r="B74" s="252" t="str">
        <f>TRIM(CONCATENATE('ADJ DETAIL INPUT'!BE$7," ",'ADJ DETAIL INPUT'!BE$8," ",'ADJ DETAIL INPUT'!BE$9))</f>
        <v>Pro Forma Misc O&amp;M Exp</v>
      </c>
      <c r="C74" s="493"/>
      <c r="D74" s="493"/>
      <c r="E74" s="221">
        <v>-516.23814000000004</v>
      </c>
      <c r="F74" s="221">
        <v>0</v>
      </c>
      <c r="G74" s="221"/>
      <c r="H74" s="221">
        <f>'ADJ DETAIL INPUT'!BE$58</f>
        <v>-516.23814000000004</v>
      </c>
      <c r="I74" s="221">
        <f>'ADJ DETAIL INPUT'!BE$81</f>
        <v>0</v>
      </c>
      <c r="J74" s="482"/>
      <c r="K74" s="463">
        <f t="shared" si="88"/>
        <v>0</v>
      </c>
      <c r="L74" s="463">
        <f t="shared" si="89"/>
        <v>0</v>
      </c>
      <c r="M74" s="478"/>
      <c r="N74" s="484">
        <f t="shared" si="90"/>
        <v>0</v>
      </c>
      <c r="O74" s="484">
        <f t="shared" si="91"/>
        <v>0</v>
      </c>
      <c r="P74" s="491">
        <f t="shared" si="92"/>
        <v>0</v>
      </c>
      <c r="Q74" s="482"/>
      <c r="R74" s="482"/>
      <c r="S74" s="482"/>
      <c r="T74" s="482"/>
      <c r="U74" s="473"/>
    </row>
    <row r="75" spans="1:22" s="483" customFormat="1">
      <c r="A75" s="133">
        <f>'ADJ DETAIL INPUT'!BF$10</f>
        <v>5.0699999999999985</v>
      </c>
      <c r="B75" s="252" t="str">
        <f>TRIM(CONCATENATE('ADJ DETAIL INPUT'!BF$7," ",'ADJ DETAIL INPUT'!BF$8," ",'ADJ DETAIL INPUT'!BF$9))</f>
        <v>Provisional Capital Adds to 12.31.2026 AMA</v>
      </c>
      <c r="C75" s="493"/>
      <c r="D75" s="493"/>
      <c r="E75" s="221">
        <v>-1282.3712067000001</v>
      </c>
      <c r="F75" s="221">
        <v>17088.900000000001</v>
      </c>
      <c r="G75" s="221"/>
      <c r="H75" s="221">
        <f>'ADJ DETAIL INPUT'!BF$58</f>
        <v>-1282.3712067000001</v>
      </c>
      <c r="I75" s="221">
        <f>'ADJ DETAIL INPUT'!BF$81</f>
        <v>17088.900000000001</v>
      </c>
      <c r="J75" s="482"/>
      <c r="K75" s="463">
        <f t="shared" si="88"/>
        <v>0</v>
      </c>
      <c r="L75" s="463">
        <f t="shared" si="89"/>
        <v>0</v>
      </c>
      <c r="M75" s="478"/>
      <c r="N75" s="484">
        <f t="shared" si="90"/>
        <v>0</v>
      </c>
      <c r="O75" s="484">
        <f t="shared" si="91"/>
        <v>0</v>
      </c>
      <c r="P75" s="491">
        <f t="shared" si="92"/>
        <v>0</v>
      </c>
      <c r="Q75" s="482"/>
      <c r="R75" s="482"/>
      <c r="S75" s="482"/>
      <c r="T75" s="482"/>
      <c r="U75" s="473"/>
    </row>
    <row r="76" spans="1:22" s="483" customFormat="1">
      <c r="A76" s="133">
        <f>'ADJ DETAIL INPUT'!BG$10</f>
        <v>5.0799999999999983</v>
      </c>
      <c r="B76" s="252" t="str">
        <f>TRIM(CONCATENATE('ADJ DETAIL INPUT'!BG$7," ",'ADJ DETAIL INPUT'!BG$8," ",'ADJ DETAIL INPUT'!BG$9))</f>
        <v>2026 Capital Adds O&amp;M &amp; Revenue Offsets</v>
      </c>
      <c r="C76" s="493"/>
      <c r="D76" s="493"/>
      <c r="E76" s="221">
        <v>189.50441000000001</v>
      </c>
      <c r="F76" s="221">
        <v>0</v>
      </c>
      <c r="G76" s="221"/>
      <c r="H76" s="221">
        <f>'ADJ DETAIL INPUT'!BG$58</f>
        <v>189.50441000000001</v>
      </c>
      <c r="I76" s="221">
        <f>'ADJ DETAIL INPUT'!BG$81</f>
        <v>0</v>
      </c>
      <c r="J76" s="482"/>
      <c r="K76" s="463">
        <f t="shared" si="88"/>
        <v>0</v>
      </c>
      <c r="L76" s="463">
        <f t="shared" si="89"/>
        <v>0</v>
      </c>
      <c r="M76" s="478"/>
      <c r="N76" s="484">
        <f t="shared" si="90"/>
        <v>0</v>
      </c>
      <c r="O76" s="484">
        <f t="shared" si="91"/>
        <v>0</v>
      </c>
      <c r="P76" s="491">
        <f t="shared" si="92"/>
        <v>0</v>
      </c>
      <c r="Q76" s="482"/>
      <c r="R76" s="482"/>
      <c r="S76" s="482"/>
      <c r="T76" s="482"/>
      <c r="U76" s="473"/>
    </row>
    <row r="77" spans="1:22" s="483" customFormat="1">
      <c r="A77" s="133">
        <f>'ADJ DETAIL INPUT'!BH$10</f>
        <v>0</v>
      </c>
      <c r="B77" s="252" t="str">
        <f>TRIM(CONCATENATE('ADJ DETAIL INPUT'!BH$7," ",'ADJ DETAIL INPUT'!BH$8," ",'ADJ DETAIL INPUT'!BH$9))</f>
        <v/>
      </c>
      <c r="C77" s="493"/>
      <c r="D77" s="493"/>
      <c r="E77" s="221">
        <v>0</v>
      </c>
      <c r="F77" s="221">
        <v>0</v>
      </c>
      <c r="G77" s="221"/>
      <c r="H77" s="221">
        <f>'ADJ DETAIL INPUT'!BH$58</f>
        <v>0</v>
      </c>
      <c r="I77" s="221">
        <f>'ADJ DETAIL INPUT'!BH$81</f>
        <v>0</v>
      </c>
      <c r="J77" s="482"/>
      <c r="K77" s="463">
        <f t="shared" si="88"/>
        <v>0</v>
      </c>
      <c r="L77" s="463">
        <f t="shared" si="89"/>
        <v>0</v>
      </c>
      <c r="M77" s="478"/>
      <c r="N77" s="484">
        <f t="shared" si="90"/>
        <v>0</v>
      </c>
      <c r="O77" s="484">
        <f t="shared" si="91"/>
        <v>0</v>
      </c>
      <c r="P77" s="491">
        <f t="shared" si="92"/>
        <v>0</v>
      </c>
      <c r="Q77" s="482"/>
      <c r="R77" s="482"/>
      <c r="S77" s="482"/>
      <c r="T77" s="482"/>
      <c r="U77" s="473"/>
    </row>
    <row r="78" spans="1:22" ht="13.8" thickBot="1">
      <c r="B78" s="478" t="str">
        <f>'ADJ SUMMARY'!C68</f>
        <v xml:space="preserve">     Pro Forma Study Ending 12.2026</v>
      </c>
      <c r="E78" s="26">
        <f>SUM(E60:E77)</f>
        <v>29386.17428290001</v>
      </c>
      <c r="F78" s="26">
        <f>SUM(F60:F77)</f>
        <v>602325.1</v>
      </c>
      <c r="H78" s="26">
        <f>SUM(H60:H77)</f>
        <v>29386.17428290001</v>
      </c>
      <c r="I78" s="26">
        <f>SUM(I60:I77)</f>
        <v>602325.1</v>
      </c>
      <c r="K78" s="26">
        <f>SUM(K68:K77)</f>
        <v>0</v>
      </c>
      <c r="L78" s="26">
        <f>SUM(L68:L77)</f>
        <v>0</v>
      </c>
      <c r="M78" s="453"/>
      <c r="N78" s="26">
        <f>SUM(N68:N77)</f>
        <v>0</v>
      </c>
      <c r="O78" s="26">
        <f>SUM(O68:O77)</f>
        <v>0</v>
      </c>
      <c r="P78" s="26">
        <f>SUM(P68:P77)</f>
        <v>0</v>
      </c>
    </row>
    <row r="79" spans="1:22" ht="13.8" thickTop="1">
      <c r="N79" s="477"/>
      <c r="O79" s="481">
        <f>N78+O78</f>
        <v>0</v>
      </c>
    </row>
    <row r="80" spans="1:22">
      <c r="N80" s="486" t="s">
        <v>543</v>
      </c>
      <c r="O80" s="492"/>
    </row>
    <row r="81" spans="14:16" ht="13.8" thickBot="1">
      <c r="N81" s="486" t="s">
        <v>161</v>
      </c>
      <c r="O81" s="490">
        <f>SUM(O79:O80)</f>
        <v>0</v>
      </c>
    </row>
    <row r="82" spans="14:16" ht="13.8" thickTop="1">
      <c r="N82" s="487" t="s">
        <v>544</v>
      </c>
      <c r="O82" s="573">
        <v>4564</v>
      </c>
    </row>
    <row r="83" spans="14:16" ht="13.8" thickBot="1">
      <c r="N83" s="488" t="s">
        <v>163</v>
      </c>
      <c r="O83" s="489">
        <f>O81+O82</f>
        <v>4564</v>
      </c>
    </row>
    <row r="84" spans="14:16" ht="13.8" thickTop="1">
      <c r="N84" s="479"/>
      <c r="O84" s="480">
        <f>'RR SUMMARY'!H24</f>
        <v>4563.7102337211754</v>
      </c>
      <c r="P84" s="485">
        <f>O84-O83</f>
        <v>-0.28976627882457251</v>
      </c>
    </row>
  </sheetData>
  <mergeCells count="11">
    <mergeCell ref="E9:F9"/>
    <mergeCell ref="H9:I9"/>
    <mergeCell ref="K9:L9"/>
    <mergeCell ref="A1:O1"/>
    <mergeCell ref="A2:O2"/>
    <mergeCell ref="A3:O3"/>
    <mergeCell ref="L7:N7"/>
    <mergeCell ref="E8:F8"/>
    <mergeCell ref="H8:I8"/>
    <mergeCell ref="K8:L8"/>
    <mergeCell ref="N8:O8"/>
  </mergeCells>
  <phoneticPr fontId="23" type="noConversion"/>
  <pageMargins left="0.75" right="0.5" top="1" bottom="1" header="0.5" footer="0.5"/>
  <pageSetup scale="53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theme="0" tint="-0.34998626667073579"/>
  </sheetPr>
  <dimension ref="A1:BE98"/>
  <sheetViews>
    <sheetView zoomScaleNormal="100" workbookViewId="0"/>
  </sheetViews>
  <sheetFormatPr defaultColWidth="10.5546875" defaultRowHeight="12"/>
  <cols>
    <col min="1" max="1" width="5.5546875" style="116" customWidth="1"/>
    <col min="2" max="3" width="1.5546875" style="92" customWidth="1"/>
    <col min="4" max="4" width="28.5546875" style="92" customWidth="1"/>
    <col min="5" max="5" width="17.44140625" style="94" customWidth="1"/>
    <col min="6" max="56" width="20.44140625" style="94" customWidth="1"/>
    <col min="57" max="16384" width="10.5546875" style="92"/>
  </cols>
  <sheetData>
    <row r="1" spans="1:57"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</row>
    <row r="2" spans="1:57" ht="12.75" customHeight="1">
      <c r="A2" s="91" t="str">
        <f>'ADJ DETAIL INPUT'!A2</f>
        <v>AVISTA UTILITIES</v>
      </c>
      <c r="E2" s="93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</row>
    <row r="3" spans="1:57" ht="12.75" customHeight="1">
      <c r="A3" s="91" t="str">
        <f>'ADJ DETAIL INPUT'!A3</f>
        <v>WASHINGTON NATURAL GAS</v>
      </c>
      <c r="E3" s="93"/>
    </row>
    <row r="4" spans="1:57" ht="12.75" customHeight="1">
      <c r="A4" s="91" t="str">
        <f>'ADJ DETAIL INPUT'!A4</f>
        <v>TWELVE MONTHS ENDED JUNE 30, 2023</v>
      </c>
      <c r="E4" s="96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</row>
    <row r="5" spans="1:57" ht="13.2">
      <c r="A5" s="91" t="str">
        <f>'ADJ DETAIL INPUT'!A5</f>
        <v xml:space="preserve">(000'S OF DOLLARS)   </v>
      </c>
      <c r="B5" s="91"/>
      <c r="C5" s="91"/>
      <c r="D5" s="91"/>
      <c r="E5" s="91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 s="477"/>
      <c r="AG5"/>
      <c r="AH5"/>
      <c r="AI5"/>
      <c r="AJ5"/>
      <c r="AK5"/>
      <c r="AL5"/>
      <c r="AM5"/>
      <c r="AN5" s="477"/>
      <c r="AO5" s="477"/>
      <c r="AP5" s="477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 s="97"/>
    </row>
    <row r="6" spans="1:57" ht="12.75" customHeight="1">
      <c r="A6" s="91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 s="477"/>
      <c r="AG6"/>
      <c r="AH6"/>
      <c r="AI6"/>
      <c r="AJ6"/>
      <c r="AK6"/>
      <c r="AL6"/>
      <c r="AM6"/>
      <c r="AN6" s="477"/>
      <c r="AO6" s="477"/>
      <c r="AP6" s="477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7" s="99" customFormat="1" ht="11.4">
      <c r="A7" s="98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</row>
    <row r="8" spans="1:57" s="99" customFormat="1" ht="12" customHeight="1">
      <c r="A8" s="101"/>
      <c r="B8" s="102"/>
      <c r="C8" s="103"/>
      <c r="D8" s="104"/>
      <c r="E8" s="105">
        <f>'ADJ DETAIL INPUT'!E7</f>
        <v>0</v>
      </c>
      <c r="F8" s="105" t="str">
        <f>'ADJ DETAIL INPUT'!F7</f>
        <v xml:space="preserve">Deferred </v>
      </c>
      <c r="G8" s="105" t="str">
        <f>'ADJ DETAIL INPUT'!G7</f>
        <v>Deferred</v>
      </c>
      <c r="H8" s="105" t="str">
        <f>'ADJ DETAIL INPUT'!H7</f>
        <v>Working</v>
      </c>
      <c r="I8" s="105" t="str">
        <f>'ADJ DETAIL INPUT'!I7</f>
        <v xml:space="preserve">Eliminate </v>
      </c>
      <c r="J8" s="105" t="str">
        <f>'ADJ DETAIL INPUT'!J7</f>
        <v>Restate</v>
      </c>
      <c r="K8" s="105" t="str">
        <f>'ADJ DETAIL INPUT'!K7</f>
        <v>Uncollectible</v>
      </c>
      <c r="L8" s="105" t="str">
        <f>'ADJ DETAIL INPUT'!L7</f>
        <v>Regulatory</v>
      </c>
      <c r="M8" s="105" t="str">
        <f>'ADJ DETAIL INPUT'!M7</f>
        <v>Injuries</v>
      </c>
      <c r="N8" s="105" t="str">
        <f>'ADJ DETAIL INPUT'!N7</f>
        <v xml:space="preserve">FIT / </v>
      </c>
      <c r="O8" s="105" t="str">
        <f>'ADJ DETAIL INPUT'!O7</f>
        <v>Office Space</v>
      </c>
      <c r="P8" s="105" t="str">
        <f>'ADJ DETAIL INPUT'!P7</f>
        <v>Restate</v>
      </c>
      <c r="Q8" s="105" t="str">
        <f>'ADJ DETAIL INPUT'!Q7</f>
        <v>Net</v>
      </c>
      <c r="R8" s="105" t="str">
        <f>'ADJ DETAIL INPUT'!R7</f>
        <v xml:space="preserve">Weather </v>
      </c>
      <c r="S8" s="105" t="str">
        <f>'ADJ DETAIL INPUT'!S7</f>
        <v>Eliminate</v>
      </c>
      <c r="T8" s="105" t="str">
        <f>'ADJ DETAIL INPUT'!T7</f>
        <v>Misc. Restating</v>
      </c>
      <c r="U8" s="105" t="str">
        <f>'ADJ DETAIL INPUT'!U7</f>
        <v>Restating</v>
      </c>
      <c r="V8" s="105" t="str">
        <f>'ADJ DETAIL INPUT'!V7</f>
        <v>Restate</v>
      </c>
      <c r="W8" s="105" t="str">
        <f>'ADJ DETAIL INPUT'!W7</f>
        <v>Restate</v>
      </c>
      <c r="X8" s="105">
        <f>'ADJ DETAIL INPUT'!X7</f>
        <v>0</v>
      </c>
      <c r="Y8" s="105" t="str">
        <f>'ADJ DETAIL INPUT'!Z7</f>
        <v>Pro Forma</v>
      </c>
      <c r="Z8" s="105" t="str">
        <f>'ADJ DETAIL INPUT'!AA7</f>
        <v xml:space="preserve">Pro Forma </v>
      </c>
      <c r="AA8" s="105" t="str">
        <f>'ADJ DETAIL INPUT'!AB7</f>
        <v>Pro Forma</v>
      </c>
      <c r="AB8" s="105" t="str">
        <f>'ADJ DETAIL INPUT'!AC7</f>
        <v>Pro Forma</v>
      </c>
      <c r="AC8" s="105" t="str">
        <f>'ADJ DETAIL INPUT'!AD7</f>
        <v xml:space="preserve">Pro Forma </v>
      </c>
      <c r="AD8" s="105" t="str">
        <f>'ADJ DETAIL INPUT'!AE7</f>
        <v>Pro Forma</v>
      </c>
      <c r="AE8" s="105" t="str">
        <f>'ADJ DETAIL INPUT'!AF7</f>
        <v>Pro Forma</v>
      </c>
      <c r="AF8" s="105" t="str">
        <f>'ADJ DETAIL INPUT'!AG7</f>
        <v>Pro Forma</v>
      </c>
      <c r="AG8" s="105" t="str">
        <f>'ADJ DETAIL INPUT'!AH7</f>
        <v>Pro Forma</v>
      </c>
      <c r="AH8" s="105" t="str">
        <f>'ADJ DETAIL INPUT'!AI7</f>
        <v>Pro Forma</v>
      </c>
      <c r="AI8" s="105" t="str">
        <f>'ADJ DETAIL INPUT'!AJ7</f>
        <v>Pro Forma</v>
      </c>
      <c r="AJ8" s="105" t="str">
        <f>'ADJ DETAIL INPUT'!AK7</f>
        <v>Pro Forma</v>
      </c>
      <c r="AK8" s="105" t="str">
        <f>'ADJ DETAIL INPUT'!AL7</f>
        <v>Pro Forma</v>
      </c>
      <c r="AL8" s="105" t="str">
        <f>'ADJ DETAIL INPUT'!AM7</f>
        <v>Pro Forma</v>
      </c>
      <c r="AM8" s="105" t="str">
        <f>'ADJ DETAIL INPUT'!AN7</f>
        <v>Pro Forma</v>
      </c>
      <c r="AN8" s="105" t="str">
        <f>'ADJ DETAIL INPUT'!AO7</f>
        <v>Pro Forma</v>
      </c>
      <c r="AO8" s="105" t="str">
        <f>'ADJ DETAIL INPUT'!AP7</f>
        <v>Pro Forma</v>
      </c>
      <c r="AP8" s="105" t="str">
        <f>'ADJ DETAIL INPUT'!AQ7</f>
        <v>Pro Forma</v>
      </c>
      <c r="AQ8" s="105" t="str">
        <f>'ADJ DETAIL INPUT'!AR7</f>
        <v>Pro Forma</v>
      </c>
      <c r="AR8" s="105" t="str">
        <f>'ADJ DETAIL INPUT'!AS7</f>
        <v>Pro Forma</v>
      </c>
      <c r="AS8" s="105" t="str">
        <f>'ADJ DETAIL INPUT'!AT7</f>
        <v>Provisional</v>
      </c>
      <c r="AT8" s="105" t="str">
        <f>'ADJ DETAIL INPUT'!AU7</f>
        <v>2024-2025</v>
      </c>
      <c r="AU8" s="105">
        <f>'ADJ DETAIL INPUT'!AY7</f>
        <v>0</v>
      </c>
      <c r="AV8" s="105" t="str">
        <f>'ADJ DETAIL INPUT'!AZ7</f>
        <v>Pro Forma</v>
      </c>
      <c r="AW8" s="105" t="str">
        <f>'ADJ DETAIL INPUT'!BA7</f>
        <v xml:space="preserve">Pro Forma </v>
      </c>
      <c r="AX8" s="105" t="str">
        <f>'ADJ DETAIL INPUT'!BB7</f>
        <v>Pro Forma</v>
      </c>
      <c r="AY8" s="105" t="str">
        <f>'ADJ DETAIL INPUT'!BC7</f>
        <v>Pro Forma</v>
      </c>
      <c r="AZ8" s="105" t="str">
        <f>'ADJ DETAIL INPUT'!BD7</f>
        <v>Pro Forma</v>
      </c>
      <c r="BA8" s="105" t="str">
        <f>'ADJ DETAIL INPUT'!BE7</f>
        <v>Pro Forma</v>
      </c>
      <c r="BB8" s="105" t="str">
        <f>'ADJ DETAIL INPUT'!BF7</f>
        <v>Provisional</v>
      </c>
      <c r="BC8" s="105">
        <f>'ADJ DETAIL INPUT'!BG7</f>
        <v>2026</v>
      </c>
      <c r="BD8" s="105">
        <f>'ADJ DETAIL INPUT'!BH7</f>
        <v>0</v>
      </c>
    </row>
    <row r="9" spans="1:57" s="99" customFormat="1">
      <c r="A9" s="106" t="s">
        <v>6</v>
      </c>
      <c r="B9" s="107"/>
      <c r="C9" s="108"/>
      <c r="D9" s="109"/>
      <c r="E9" s="110" t="str">
        <f>'ADJ DETAIL INPUT'!E8</f>
        <v>Results of</v>
      </c>
      <c r="F9" s="110" t="str">
        <f>'ADJ DETAIL INPUT'!F8</f>
        <v>FIT</v>
      </c>
      <c r="G9" s="110" t="str">
        <f>'ADJ DETAIL INPUT'!G8</f>
        <v xml:space="preserve">Debits and </v>
      </c>
      <c r="H9" s="110" t="str">
        <f>'ADJ DETAIL INPUT'!H8</f>
        <v>Capital</v>
      </c>
      <c r="I9" s="110" t="str">
        <f>'ADJ DETAIL INPUT'!I8</f>
        <v xml:space="preserve">B &amp; O </v>
      </c>
      <c r="J9" s="110" t="str">
        <f>'ADJ DETAIL INPUT'!J8</f>
        <v>Property</v>
      </c>
      <c r="K9" s="110" t="str">
        <f>'ADJ DETAIL INPUT'!K8</f>
        <v>Expense</v>
      </c>
      <c r="L9" s="110" t="str">
        <f>'ADJ DETAIL INPUT'!L8</f>
        <v>Expense</v>
      </c>
      <c r="M9" s="110" t="str">
        <f>'ADJ DETAIL INPUT'!M8</f>
        <v>&amp;</v>
      </c>
      <c r="N9" s="110" t="str">
        <f>'ADJ DETAIL INPUT'!N8</f>
        <v xml:space="preserve">DFIT </v>
      </c>
      <c r="O9" s="110" t="str">
        <f>'ADJ DETAIL INPUT'!O8</f>
        <v>Charges to</v>
      </c>
      <c r="P9" s="110" t="str">
        <f>'ADJ DETAIL INPUT'!P8</f>
        <v>Excise</v>
      </c>
      <c r="Q9" s="110" t="str">
        <f>'ADJ DETAIL INPUT'!Q8</f>
        <v>Gains</v>
      </c>
      <c r="R9" s="110" t="str">
        <f>'ADJ DETAIL INPUT'!R8</f>
        <v>Normalization /</v>
      </c>
      <c r="S9" s="110" t="str">
        <f>'ADJ DETAIL INPUT'!S8</f>
        <v>Adder</v>
      </c>
      <c r="T9" s="110" t="str">
        <f>'ADJ DETAIL INPUT'!T8</f>
        <v>Non-Util / Non-</v>
      </c>
      <c r="U9" s="110" t="str">
        <f>'ADJ DETAIL INPUT'!U8</f>
        <v>Incentives</v>
      </c>
      <c r="V9" s="110" t="str">
        <f>'ADJ DETAIL INPUT'!V8</f>
        <v>Debt</v>
      </c>
      <c r="W9" s="110" t="str">
        <f>'ADJ DETAIL INPUT'!W8</f>
        <v>Capital</v>
      </c>
      <c r="X9" s="110">
        <f>'ADJ DETAIL INPUT'!X8</f>
        <v>0</v>
      </c>
      <c r="Y9" s="110" t="str">
        <f>'ADJ DETAIL INPUT'!Z8</f>
        <v xml:space="preserve"> Revenue</v>
      </c>
      <c r="Z9" s="110" t="str">
        <f>'ADJ DETAIL INPUT'!AA8</f>
        <v>Def. Debits, Credits &amp;</v>
      </c>
      <c r="AA9" s="110" t="str">
        <f>'ADJ DETAIL INPUT'!AB8</f>
        <v>EDIT</v>
      </c>
      <c r="AB9" s="110" t="str">
        <f>'ADJ DETAIL INPUT'!AC8</f>
        <v>AMI</v>
      </c>
      <c r="AC9" s="110" t="str">
        <f>'ADJ DETAIL INPUT'!AD8</f>
        <v>Labor</v>
      </c>
      <c r="AD9" s="110" t="str">
        <f>'ADJ DETAIL INPUT'!AE8</f>
        <v>Labor</v>
      </c>
      <c r="AE9" s="110" t="str">
        <f>'ADJ DETAIL INPUT'!AF8</f>
        <v>Employee</v>
      </c>
      <c r="AF9" s="110" t="str">
        <f>'ADJ DETAIL INPUT'!AG8</f>
        <v>Incentives</v>
      </c>
      <c r="AG9" s="110" t="str">
        <f>'ADJ DETAIL INPUT'!AH8</f>
        <v xml:space="preserve">LIRAP </v>
      </c>
      <c r="AH9" s="110" t="str">
        <f>'ADJ DETAIL INPUT'!AI8</f>
        <v>CCA</v>
      </c>
      <c r="AI9" s="110" t="str">
        <f>'ADJ DETAIL INPUT'!AJ8</f>
        <v>Property</v>
      </c>
      <c r="AJ9" s="110" t="str">
        <f>'ADJ DETAIL INPUT'!AK8</f>
        <v xml:space="preserve">Insurance </v>
      </c>
      <c r="AK9" s="110" t="str">
        <f>'ADJ DETAIL INPUT'!AL8</f>
        <v>IS/IT</v>
      </c>
      <c r="AL9" s="110" t="str">
        <f>'ADJ DETAIL INPUT'!AM8</f>
        <v>Misc</v>
      </c>
      <c r="AM9" s="110" t="str">
        <f>'ADJ DETAIL INPUT'!AN8</f>
        <v>Capital Additions</v>
      </c>
      <c r="AN9" s="110" t="str">
        <f>'ADJ DETAIL INPUT'!AO8</f>
        <v>Depreciation</v>
      </c>
      <c r="AO9" s="110" t="str">
        <f>'ADJ DETAIL INPUT'!AP8</f>
        <v>Capital Additions</v>
      </c>
      <c r="AP9" s="110" t="str">
        <f>'ADJ DETAIL INPUT'!AQ8</f>
        <v>New Regulatory</v>
      </c>
      <c r="AQ9" s="110" t="str">
        <f>'ADJ DETAIL INPUT'!AR8</f>
        <v>Nucleus/ETRM</v>
      </c>
      <c r="AR9" s="110" t="str">
        <f>'ADJ DETAIL INPUT'!AS8</f>
        <v>BOD Fees</v>
      </c>
      <c r="AS9" s="110" t="str">
        <f>'ADJ DETAIL INPUT'!AT8</f>
        <v>Capital Additions</v>
      </c>
      <c r="AT9" s="110" t="str">
        <f>'ADJ DETAIL INPUT'!AU8</f>
        <v>Capital Adds O&amp;M</v>
      </c>
      <c r="AU9" s="110">
        <f>'ADJ DETAIL INPUT'!AY8</f>
        <v>0</v>
      </c>
      <c r="AV9" s="110" t="str">
        <f>'ADJ DETAIL INPUT'!AZ8</f>
        <v>AMI</v>
      </c>
      <c r="AW9" s="110" t="str">
        <f>'ADJ DETAIL INPUT'!BA8</f>
        <v>Labor</v>
      </c>
      <c r="AX9" s="110" t="str">
        <f>'ADJ DETAIL INPUT'!BB8</f>
        <v>Employee</v>
      </c>
      <c r="AY9" s="110" t="str">
        <f>'ADJ DETAIL INPUT'!BC8</f>
        <v>Property</v>
      </c>
      <c r="AZ9" s="110" t="str">
        <f>'ADJ DETAIL INPUT'!BD8</f>
        <v>Nucleus/ETRM</v>
      </c>
      <c r="BA9" s="110" t="str">
        <f>'ADJ DETAIL INPUT'!BE8</f>
        <v>Misc</v>
      </c>
      <c r="BB9" s="110" t="str">
        <f>'ADJ DETAIL INPUT'!BF8</f>
        <v>Capital Adds</v>
      </c>
      <c r="BC9" s="110" t="str">
        <f>'ADJ DETAIL INPUT'!BG8</f>
        <v>Capital Adds O&amp;M</v>
      </c>
      <c r="BD9" s="110">
        <f>'ADJ DETAIL INPUT'!BH8</f>
        <v>0</v>
      </c>
    </row>
    <row r="10" spans="1:57" s="99" customFormat="1" ht="11.4">
      <c r="A10" s="111" t="s">
        <v>15</v>
      </c>
      <c r="B10" s="112"/>
      <c r="C10" s="113"/>
      <c r="D10" s="114" t="s">
        <v>16</v>
      </c>
      <c r="E10" s="115" t="str">
        <f>'ADJ DETAIL INPUT'!E9</f>
        <v>Operations</v>
      </c>
      <c r="F10" s="115" t="str">
        <f>'ADJ DETAIL INPUT'!F9</f>
        <v>Rate Base</v>
      </c>
      <c r="G10" s="115" t="str">
        <f>'ADJ DETAIL INPUT'!G9</f>
        <v>Credits</v>
      </c>
      <c r="H10" s="115"/>
      <c r="I10" s="115" t="str">
        <f>'ADJ DETAIL INPUT'!I9</f>
        <v>Taxes</v>
      </c>
      <c r="J10" s="115" t="str">
        <f>'ADJ DETAIL INPUT'!J9</f>
        <v>Tax</v>
      </c>
      <c r="K10" s="115"/>
      <c r="L10" s="115"/>
      <c r="M10" s="115" t="str">
        <f>'ADJ DETAIL INPUT'!M9</f>
        <v>Damages</v>
      </c>
      <c r="N10" s="115" t="str">
        <f>'ADJ DETAIL INPUT'!N9</f>
        <v>Expense</v>
      </c>
      <c r="O10" s="115" t="str">
        <f>'ADJ DETAIL INPUT'!O9</f>
        <v>Non-Utility</v>
      </c>
      <c r="P10" s="115" t="str">
        <f>'ADJ DETAIL INPUT'!P9</f>
        <v>Taxes</v>
      </c>
      <c r="Q10" s="115"/>
      <c r="R10" s="115" t="str">
        <f>'ADJ DETAIL INPUT'!R9</f>
        <v>Gas Cost Adjust</v>
      </c>
      <c r="S10" s="115" t="str">
        <f>'ADJ DETAIL INPUT'!S9</f>
        <v>Schedules</v>
      </c>
      <c r="T10" s="115" t="str">
        <f>'ADJ DETAIL INPUT'!T9</f>
        <v>Recurring Expense</v>
      </c>
      <c r="U10" s="115"/>
      <c r="V10" s="115" t="str">
        <f>'ADJ DETAIL INPUT'!V9</f>
        <v>Interest</v>
      </c>
      <c r="W10" s="115" t="str">
        <f>'ADJ DETAIL INPUT'!W9</f>
        <v>06.2023 EOP</v>
      </c>
      <c r="X10" s="115">
        <f>'ADJ DETAIL INPUT'!X9</f>
        <v>0</v>
      </c>
      <c r="Y10" s="115" t="str">
        <f>'ADJ DETAIL INPUT'!Z9</f>
        <v xml:space="preserve">Normalization </v>
      </c>
      <c r="Z10" s="115" t="str">
        <f>'ADJ DETAIL INPUT'!AA9</f>
        <v>Regulatory Amorts</v>
      </c>
      <c r="AA10" s="115" t="str">
        <f>'ADJ DETAIL INPUT'!AB9</f>
        <v>(RSGM)</v>
      </c>
      <c r="AB10" s="115" t="str">
        <f>'ADJ DETAIL INPUT'!AC9</f>
        <v>Amortization</v>
      </c>
      <c r="AC10" s="115" t="str">
        <f>'ADJ DETAIL INPUT'!AD9</f>
        <v>Non-Exec</v>
      </c>
      <c r="AD10" s="115" t="str">
        <f>'ADJ DETAIL INPUT'!AE9</f>
        <v>Exec</v>
      </c>
      <c r="AE10" s="115" t="str">
        <f>'ADJ DETAIL INPUT'!AF9</f>
        <v>Benefits</v>
      </c>
      <c r="AF10" s="115">
        <f>'ADJ DETAIL INPUT'!AG9</f>
        <v>0</v>
      </c>
      <c r="AG10" s="115" t="str">
        <f>'ADJ DETAIL INPUT'!AH9</f>
        <v>Labor</v>
      </c>
      <c r="AH10" s="115" t="str">
        <f>'ADJ DETAIL INPUT'!AI9</f>
        <v>Labor</v>
      </c>
      <c r="AI10" s="115" t="str">
        <f>'ADJ DETAIL INPUT'!AJ9</f>
        <v>Tax</v>
      </c>
      <c r="AJ10" s="115" t="str">
        <f>'ADJ DETAIL INPUT'!AK9</f>
        <v>Expense</v>
      </c>
      <c r="AK10" s="115" t="str">
        <f>'ADJ DETAIL INPUT'!AL9</f>
        <v>Expense</v>
      </c>
      <c r="AL10" s="115" t="str">
        <f>'ADJ DETAIL INPUT'!AM9</f>
        <v>O&amp;M Exp</v>
      </c>
      <c r="AM10" s="115" t="str">
        <f>'ADJ DETAIL INPUT'!AN9</f>
        <v>to 12.31.2023 EOP</v>
      </c>
      <c r="AN10" s="115" t="str">
        <f>'ADJ DETAIL INPUT'!AO9</f>
        <v>Expense</v>
      </c>
      <c r="AO10" s="115" t="str">
        <f>'ADJ DETAIL INPUT'!AP9</f>
        <v>to 12.31.2024 EOP</v>
      </c>
      <c r="AP10" s="115" t="str">
        <f>'ADJ DETAIL INPUT'!AQ9</f>
        <v>Amortizations</v>
      </c>
      <c r="AQ10" s="115" t="str">
        <f>'ADJ DETAIL INPUT'!AR9</f>
        <v>Expense</v>
      </c>
      <c r="AR10" s="115" t="str">
        <f>'ADJ DETAIL INPUT'!AS9</f>
        <v>Expense</v>
      </c>
      <c r="AS10" s="115" t="str">
        <f>'ADJ DETAIL INPUT'!AT9</f>
        <v>to 12.31.2025 AMA</v>
      </c>
      <c r="AT10" s="115" t="str">
        <f>'ADJ DETAIL INPUT'!AU9</f>
        <v>&amp; Revenue Offsets</v>
      </c>
      <c r="AU10" s="115">
        <f>'ADJ DETAIL INPUT'!AY9</f>
        <v>0</v>
      </c>
      <c r="AV10" s="115" t="str">
        <f>'ADJ DETAIL INPUT'!AZ9</f>
        <v>Amortization</v>
      </c>
      <c r="AW10" s="115" t="str">
        <f>'ADJ DETAIL INPUT'!BA9</f>
        <v>Non-Exec</v>
      </c>
      <c r="AX10" s="115" t="str">
        <f>'ADJ DETAIL INPUT'!BB9</f>
        <v>Benefits</v>
      </c>
      <c r="AY10" s="115" t="str">
        <f>'ADJ DETAIL INPUT'!BC9</f>
        <v>Tax</v>
      </c>
      <c r="AZ10" s="115" t="str">
        <f>'ADJ DETAIL INPUT'!BD9</f>
        <v>Expense</v>
      </c>
      <c r="BA10" s="115" t="str">
        <f>'ADJ DETAIL INPUT'!BE9</f>
        <v>O&amp;M Exp</v>
      </c>
      <c r="BB10" s="115" t="str">
        <f>'ADJ DETAIL INPUT'!BF9</f>
        <v>to 12.31.2026 AMA</v>
      </c>
      <c r="BC10" s="115" t="str">
        <f>'ADJ DETAIL INPUT'!BG9</f>
        <v>&amp; Revenue Offsets</v>
      </c>
      <c r="BD10" s="115">
        <f>'ADJ DETAIL INPUT'!BH9</f>
        <v>0</v>
      </c>
    </row>
    <row r="11" spans="1:57" s="99" customFormat="1">
      <c r="A11" s="98"/>
      <c r="B11" s="131" t="s">
        <v>171</v>
      </c>
      <c r="E11" s="132">
        <f>'ADJ DETAIL INPUT'!E10</f>
        <v>1</v>
      </c>
      <c r="F11" s="132">
        <f>'ADJ DETAIL INPUT'!F10</f>
        <v>1.01</v>
      </c>
      <c r="G11" s="132">
        <f>'ADJ DETAIL INPUT'!G10</f>
        <v>1.02</v>
      </c>
      <c r="H11" s="132">
        <f>'ADJ DETAIL INPUT'!H10</f>
        <v>1.03</v>
      </c>
      <c r="I11" s="132">
        <f>'ADJ DETAIL INPUT'!I10</f>
        <v>2.0099999999999998</v>
      </c>
      <c r="J11" s="132">
        <f>'ADJ DETAIL INPUT'!J10</f>
        <v>2.0199999999999996</v>
      </c>
      <c r="K11" s="132">
        <f>'ADJ DETAIL INPUT'!K10</f>
        <v>2.0299999999999994</v>
      </c>
      <c r="L11" s="132">
        <f>'ADJ DETAIL INPUT'!L10</f>
        <v>2.0399999999999991</v>
      </c>
      <c r="M11" s="132">
        <f>'ADJ DETAIL INPUT'!M10</f>
        <v>2.0499999999999989</v>
      </c>
      <c r="N11" s="132">
        <f>'ADJ DETAIL INPUT'!N10</f>
        <v>2.0599999999999987</v>
      </c>
      <c r="O11" s="132">
        <f>'ADJ DETAIL INPUT'!O10</f>
        <v>2.0699999999999985</v>
      </c>
      <c r="P11" s="132">
        <f>'ADJ DETAIL INPUT'!P10</f>
        <v>2.0799999999999983</v>
      </c>
      <c r="Q11" s="132">
        <f>'ADJ DETAIL INPUT'!Q10</f>
        <v>2.0899999999999981</v>
      </c>
      <c r="R11" s="132">
        <f>'ADJ DETAIL INPUT'!R10</f>
        <v>2.0999999999999979</v>
      </c>
      <c r="S11" s="132">
        <f>'ADJ DETAIL INPUT'!S10</f>
        <v>2.1099999999999977</v>
      </c>
      <c r="T11" s="132">
        <f>'ADJ DETAIL INPUT'!T10</f>
        <v>2.1199999999999974</v>
      </c>
      <c r="U11" s="132">
        <f>'ADJ DETAIL INPUT'!U10</f>
        <v>2.1299999999999972</v>
      </c>
      <c r="V11" s="132">
        <f>'ADJ DETAIL INPUT'!V10</f>
        <v>2.139999999999997</v>
      </c>
      <c r="W11" s="132">
        <f>'ADJ DETAIL INPUT'!W10</f>
        <v>2.1499999999999968</v>
      </c>
      <c r="X11" s="132">
        <f>'ADJ DETAIL INPUT'!X10</f>
        <v>0</v>
      </c>
      <c r="Y11" s="132">
        <f>'ADJ DETAIL INPUT'!Z10</f>
        <v>3.01</v>
      </c>
      <c r="Z11" s="132">
        <f>'ADJ DETAIL INPUT'!AA10</f>
        <v>3.0199999999999996</v>
      </c>
      <c r="AA11" s="132">
        <f>'ADJ DETAIL INPUT'!AB10</f>
        <v>3.0299999999999994</v>
      </c>
      <c r="AB11" s="132">
        <f>'ADJ DETAIL INPUT'!AC10</f>
        <v>3.0399999999999991</v>
      </c>
      <c r="AC11" s="132">
        <f>'ADJ DETAIL INPUT'!AD10</f>
        <v>3.0499999999999989</v>
      </c>
      <c r="AD11" s="132">
        <f>'ADJ DETAIL INPUT'!AE10</f>
        <v>3.0599999999999987</v>
      </c>
      <c r="AE11" s="132">
        <f>'ADJ DETAIL INPUT'!AF10</f>
        <v>3.0699999999999985</v>
      </c>
      <c r="AF11" s="132">
        <f>'ADJ DETAIL INPUT'!AG10</f>
        <v>3.0799999999999983</v>
      </c>
      <c r="AG11" s="132">
        <f>'ADJ DETAIL INPUT'!AH10</f>
        <v>3.0899999999999981</v>
      </c>
      <c r="AH11" s="132">
        <f>'ADJ DETAIL INPUT'!AI10</f>
        <v>3.0999999999999979</v>
      </c>
      <c r="AI11" s="132">
        <f>'ADJ DETAIL INPUT'!AJ10</f>
        <v>3.1099999999999977</v>
      </c>
      <c r="AJ11" s="132">
        <f>'ADJ DETAIL INPUT'!AK10</f>
        <v>3.1199999999999974</v>
      </c>
      <c r="AK11" s="132">
        <f>'ADJ DETAIL INPUT'!AL10</f>
        <v>3.1299999999999972</v>
      </c>
      <c r="AL11" s="132">
        <f>'ADJ DETAIL INPUT'!AM10</f>
        <v>3.139999999999997</v>
      </c>
      <c r="AM11" s="132">
        <f>'ADJ DETAIL INPUT'!AN10</f>
        <v>3.1499999999999968</v>
      </c>
      <c r="AN11" s="132">
        <f>'ADJ DETAIL INPUT'!AO10</f>
        <v>3.1599999999999966</v>
      </c>
      <c r="AO11" s="132">
        <f>'ADJ DETAIL INPUT'!AP10</f>
        <v>3.1699999999999964</v>
      </c>
      <c r="AP11" s="132">
        <f>'ADJ DETAIL INPUT'!AQ10</f>
        <v>3.1799999999999962</v>
      </c>
      <c r="AQ11" s="132">
        <f>'ADJ DETAIL INPUT'!AR10</f>
        <v>3.1899999999999959</v>
      </c>
      <c r="AR11" s="132">
        <f>'ADJ DETAIL INPUT'!AS10</f>
        <v>3.1999999999999957</v>
      </c>
      <c r="AS11" s="132">
        <f>'ADJ DETAIL INPUT'!AT10</f>
        <v>4.01</v>
      </c>
      <c r="AT11" s="132">
        <f>'ADJ DETAIL INPUT'!AU10</f>
        <v>4.0199999999999996</v>
      </c>
      <c r="AU11" s="132">
        <f>'ADJ DETAIL INPUT'!AY10</f>
        <v>0</v>
      </c>
      <c r="AV11" s="132">
        <f>'ADJ DETAIL INPUT'!AZ10</f>
        <v>5.01</v>
      </c>
      <c r="AW11" s="132">
        <f>'ADJ DETAIL INPUT'!BA10</f>
        <v>5.0199999999999996</v>
      </c>
      <c r="AX11" s="132">
        <f>'ADJ DETAIL INPUT'!BB10</f>
        <v>5.0299999999999994</v>
      </c>
      <c r="AY11" s="132">
        <f>'ADJ DETAIL INPUT'!BC10</f>
        <v>5.0399999999999991</v>
      </c>
      <c r="AZ11" s="132">
        <f>'ADJ DETAIL INPUT'!BD10</f>
        <v>5.0499999999999989</v>
      </c>
      <c r="BA11" s="132">
        <f>'ADJ DETAIL INPUT'!BE10</f>
        <v>5.0599999999999987</v>
      </c>
      <c r="BB11" s="132">
        <f>'ADJ DETAIL INPUT'!BF10</f>
        <v>5.0699999999999985</v>
      </c>
      <c r="BC11" s="132">
        <f>'ADJ DETAIL INPUT'!BG10</f>
        <v>5.0799999999999983</v>
      </c>
      <c r="BD11" s="132">
        <f>'ADJ DETAIL INPUT'!BH10</f>
        <v>0</v>
      </c>
    </row>
    <row r="12" spans="1:57" s="99" customFormat="1">
      <c r="A12" s="98"/>
      <c r="B12" s="131" t="s">
        <v>172</v>
      </c>
      <c r="E12" s="100" t="str">
        <f>'ADJ DETAIL INPUT'!E11</f>
        <v>G-ROO</v>
      </c>
      <c r="F12" s="100" t="str">
        <f>'ADJ DETAIL INPUT'!F11</f>
        <v>G-DFIT</v>
      </c>
      <c r="G12" s="100" t="str">
        <f>'ADJ DETAIL INPUT'!G11</f>
        <v>G-DDC</v>
      </c>
      <c r="H12" s="100" t="str">
        <f>'ADJ DETAIL INPUT'!H11</f>
        <v>G-WC</v>
      </c>
      <c r="I12" s="100" t="str">
        <f>'ADJ DETAIL INPUT'!I11</f>
        <v>G-EBO</v>
      </c>
      <c r="J12" s="100" t="str">
        <f>'ADJ DETAIL INPUT'!J11</f>
        <v>G-RPT</v>
      </c>
      <c r="K12" s="100" t="str">
        <f>'ADJ DETAIL INPUT'!K11</f>
        <v>G-UE</v>
      </c>
      <c r="L12" s="100" t="str">
        <f>'ADJ DETAIL INPUT'!L11</f>
        <v>G-RE</v>
      </c>
      <c r="M12" s="100" t="str">
        <f>'ADJ DETAIL INPUT'!M11</f>
        <v>G-ID</v>
      </c>
      <c r="N12" s="100" t="str">
        <f>'ADJ DETAIL INPUT'!N11</f>
        <v>G-FIT</v>
      </c>
      <c r="O12" s="100" t="str">
        <f>'ADJ DETAIL INPUT'!O11</f>
        <v>G-OSC</v>
      </c>
      <c r="P12" s="100" t="str">
        <f>'ADJ DETAIL INPUT'!P11</f>
        <v>G-RET</v>
      </c>
      <c r="Q12" s="100" t="str">
        <f>'ADJ DETAIL INPUT'!Q11</f>
        <v>G-NGL</v>
      </c>
      <c r="R12" s="100" t="str">
        <f>'ADJ DETAIL INPUT'!R11</f>
        <v>G-WNGC</v>
      </c>
      <c r="S12" s="100" t="str">
        <f>'ADJ DETAIL INPUT'!S11</f>
        <v>G-EAS</v>
      </c>
      <c r="T12" s="100" t="str">
        <f>'ADJ DETAIL INPUT'!T11</f>
        <v>G-MR</v>
      </c>
      <c r="U12" s="100" t="str">
        <f>'ADJ DETAIL INPUT'!U11</f>
        <v>G-RI</v>
      </c>
      <c r="V12" s="100" t="str">
        <f>'ADJ DETAIL INPUT'!V11</f>
        <v>G-RDI</v>
      </c>
      <c r="W12" s="100" t="str">
        <f>'ADJ DETAIL INPUT'!W11</f>
        <v>G-RCAP</v>
      </c>
      <c r="X12" s="100">
        <f>'ADJ DETAIL INPUT'!X11</f>
        <v>0</v>
      </c>
      <c r="Y12" s="100" t="str">
        <f>'ADJ DETAIL INPUT'!Z11</f>
        <v>G-PREV</v>
      </c>
      <c r="Z12" s="100" t="str">
        <f>'ADJ DETAIL INPUT'!AA11</f>
        <v>G-PRA</v>
      </c>
      <c r="AA12" s="100" t="str">
        <f>'ADJ DETAIL INPUT'!AB11</f>
        <v>G-EDIT</v>
      </c>
      <c r="AB12" s="100" t="str">
        <f>'ADJ DETAIL INPUT'!AC11</f>
        <v>G-PAMI</v>
      </c>
      <c r="AC12" s="100" t="str">
        <f>'ADJ DETAIL INPUT'!AD11</f>
        <v>G-PLN</v>
      </c>
      <c r="AD12" s="100" t="str">
        <f>'ADJ DETAIL INPUT'!AE11</f>
        <v>G-PLE</v>
      </c>
      <c r="AE12" s="100" t="str">
        <f>'ADJ DETAIL INPUT'!AF11</f>
        <v>G-PEB</v>
      </c>
      <c r="AF12" s="100" t="str">
        <f>'ADJ DETAIL INPUT'!AG11</f>
        <v>G-PI</v>
      </c>
      <c r="AG12" s="100" t="str">
        <f>'ADJ DETAIL INPUT'!AH11</f>
        <v>G-LIRAP</v>
      </c>
      <c r="AH12" s="100" t="str">
        <f>'ADJ DETAIL INPUT'!AI11</f>
        <v>G-CCA</v>
      </c>
      <c r="AI12" s="100" t="str">
        <f>'ADJ DETAIL INPUT'!AJ11</f>
        <v>G-PPT</v>
      </c>
      <c r="AJ12" s="100" t="str">
        <f>'ADJ DETAIL INPUT'!AK11</f>
        <v>G-PINS</v>
      </c>
      <c r="AK12" s="100" t="str">
        <f>'ADJ DETAIL INPUT'!AL11</f>
        <v>G-PIT</v>
      </c>
      <c r="AL12" s="100" t="str">
        <f>'ADJ DETAIL INPUT'!AM11</f>
        <v>G-PMisc</v>
      </c>
      <c r="AM12" s="100" t="str">
        <f>'ADJ DETAIL INPUT'!AN11</f>
        <v>G-CAP23E</v>
      </c>
      <c r="AN12" s="100" t="str">
        <f>'ADJ DETAIL INPUT'!AO11</f>
        <v>G-DEP</v>
      </c>
      <c r="AO12" s="100" t="str">
        <f>'ADJ DETAIL INPUT'!AP11</f>
        <v>G-CAP24E</v>
      </c>
      <c r="AP12" s="100" t="str">
        <f>'ADJ DETAIL INPUT'!AQ11</f>
        <v>G-NRA</v>
      </c>
      <c r="AQ12" s="100" t="str">
        <f>'ADJ DETAIL INPUT'!AR11</f>
        <v>G-ETRM</v>
      </c>
      <c r="AR12" s="100" t="str">
        <f>'ADJ DETAIL INPUT'!AS11</f>
        <v>G-PBOD</v>
      </c>
      <c r="AS12" s="100" t="str">
        <f>'ADJ DETAIL INPUT'!AT11</f>
        <v>G-CAP25A</v>
      </c>
      <c r="AT12" s="100" t="str">
        <f>'ADJ DETAIL INPUT'!AU11</f>
        <v>G-Offsets25</v>
      </c>
      <c r="AU12" s="100">
        <f>'ADJ DETAIL INPUT'!AY11</f>
        <v>0</v>
      </c>
      <c r="AV12" s="100" t="str">
        <f>'ADJ DETAIL INPUT'!AZ11</f>
        <v>G-PAMI26</v>
      </c>
      <c r="AW12" s="100" t="str">
        <f>'ADJ DETAIL INPUT'!BA11</f>
        <v>G-PLN26</v>
      </c>
      <c r="AX12" s="100" t="str">
        <f>'ADJ DETAIL INPUT'!BB11</f>
        <v>G-PEB26</v>
      </c>
      <c r="AY12" s="100" t="str">
        <f>'ADJ DETAIL INPUT'!BC11</f>
        <v>G-PPT26</v>
      </c>
      <c r="AZ12" s="100" t="str">
        <f>'ADJ DETAIL INPUT'!BD11</f>
        <v>G-ETRM26</v>
      </c>
      <c r="BA12" s="100" t="str">
        <f>'ADJ DETAIL INPUT'!BE11</f>
        <v>G-PMisc26</v>
      </c>
      <c r="BB12" s="100" t="str">
        <f>'ADJ DETAIL INPUT'!BF11</f>
        <v>G-CAP26A</v>
      </c>
      <c r="BC12" s="100" t="str">
        <f>'ADJ DETAIL INPUT'!BG11</f>
        <v>G-Offsets26</v>
      </c>
      <c r="BD12" s="100">
        <f>'ADJ DETAIL INPUT'!BH11</f>
        <v>0</v>
      </c>
    </row>
    <row r="14" spans="1:57">
      <c r="B14" s="92" t="s">
        <v>31</v>
      </c>
    </row>
    <row r="15" spans="1:57" s="117" customFormat="1">
      <c r="A15" s="116">
        <v>1</v>
      </c>
      <c r="B15" s="117" t="s">
        <v>32</v>
      </c>
      <c r="E15" s="171">
        <f>'ADJ DETAIL INPUT'!E14</f>
        <v>246541</v>
      </c>
      <c r="F15" s="171">
        <f>'ADJ DETAIL INPUT'!F14</f>
        <v>0</v>
      </c>
      <c r="G15" s="171">
        <f>'ADJ DETAIL INPUT'!G14</f>
        <v>0</v>
      </c>
      <c r="H15" s="171">
        <f>'ADJ DETAIL INPUT'!H14</f>
        <v>0</v>
      </c>
      <c r="I15" s="171">
        <f>'ADJ DETAIL INPUT'!I14</f>
        <v>-8526</v>
      </c>
      <c r="J15" s="171">
        <f>'ADJ DETAIL INPUT'!J14</f>
        <v>0</v>
      </c>
      <c r="K15" s="171">
        <f>'ADJ DETAIL INPUT'!K14</f>
        <v>0</v>
      </c>
      <c r="L15" s="171">
        <f>'ADJ DETAIL INPUT'!L14</f>
        <v>0</v>
      </c>
      <c r="M15" s="171">
        <f>'ADJ DETAIL INPUT'!M14</f>
        <v>0</v>
      </c>
      <c r="N15" s="171">
        <f>'ADJ DETAIL INPUT'!N14</f>
        <v>0</v>
      </c>
      <c r="O15" s="171">
        <f>'ADJ DETAIL INPUT'!O14</f>
        <v>0</v>
      </c>
      <c r="P15" s="171">
        <f>'ADJ DETAIL INPUT'!P14</f>
        <v>0</v>
      </c>
      <c r="Q15" s="171">
        <f>'ADJ DETAIL INPUT'!Q14</f>
        <v>0</v>
      </c>
      <c r="R15" s="171">
        <f>'ADJ DETAIL INPUT'!R14</f>
        <v>28</v>
      </c>
      <c r="S15" s="171">
        <f>'ADJ DETAIL INPUT'!S14</f>
        <v>-26674</v>
      </c>
      <c r="T15" s="171">
        <f>'ADJ DETAIL INPUT'!T14</f>
        <v>0</v>
      </c>
      <c r="U15" s="171">
        <f>'ADJ DETAIL INPUT'!U14</f>
        <v>0</v>
      </c>
      <c r="V15" s="171">
        <f>'ADJ DETAIL INPUT'!V14</f>
        <v>0</v>
      </c>
      <c r="W15" s="171">
        <f>'ADJ DETAIL INPUT'!W14</f>
        <v>0</v>
      </c>
      <c r="X15" s="171">
        <f>'ADJ DETAIL INPUT'!X14</f>
        <v>0</v>
      </c>
      <c r="Y15" s="171">
        <f>'ADJ DETAIL INPUT'!Z14</f>
        <v>-89786</v>
      </c>
      <c r="Z15" s="171">
        <f>'ADJ DETAIL INPUT'!AA14</f>
        <v>0</v>
      </c>
      <c r="AA15" s="171">
        <f>'ADJ DETAIL INPUT'!AB14</f>
        <v>0</v>
      </c>
      <c r="AB15" s="171">
        <f>'ADJ DETAIL INPUT'!AC14</f>
        <v>0</v>
      </c>
      <c r="AC15" s="171">
        <f>'ADJ DETAIL INPUT'!AD14</f>
        <v>0</v>
      </c>
      <c r="AD15" s="171">
        <f>'ADJ DETAIL INPUT'!AE14</f>
        <v>0</v>
      </c>
      <c r="AE15" s="171">
        <f>'ADJ DETAIL INPUT'!AF14</f>
        <v>0</v>
      </c>
      <c r="AF15" s="171">
        <f>'ADJ DETAIL INPUT'!AG14</f>
        <v>0</v>
      </c>
      <c r="AG15" s="171">
        <f>'ADJ DETAIL INPUT'!AH14</f>
        <v>0</v>
      </c>
      <c r="AH15" s="171">
        <f>'ADJ DETAIL INPUT'!AI14</f>
        <v>0</v>
      </c>
      <c r="AI15" s="171">
        <f>'ADJ DETAIL INPUT'!AJ14</f>
        <v>0</v>
      </c>
      <c r="AJ15" s="171">
        <f>'ADJ DETAIL INPUT'!AK14</f>
        <v>0</v>
      </c>
      <c r="AK15" s="171">
        <f>'ADJ DETAIL INPUT'!AL14</f>
        <v>0</v>
      </c>
      <c r="AL15" s="171">
        <f>'ADJ DETAIL INPUT'!AM14</f>
        <v>0</v>
      </c>
      <c r="AM15" s="171">
        <f>'ADJ DETAIL INPUT'!AN14</f>
        <v>0</v>
      </c>
      <c r="AN15" s="171">
        <f>'ADJ DETAIL INPUT'!AO14</f>
        <v>0</v>
      </c>
      <c r="AO15" s="171">
        <f>'ADJ DETAIL INPUT'!AP14</f>
        <v>0</v>
      </c>
      <c r="AP15" s="171">
        <f>'ADJ DETAIL INPUT'!AQ14</f>
        <v>0</v>
      </c>
      <c r="AQ15" s="171">
        <f>'ADJ DETAIL INPUT'!AR14</f>
        <v>0</v>
      </c>
      <c r="AR15" s="171">
        <f>'ADJ DETAIL INPUT'!AS14</f>
        <v>0</v>
      </c>
      <c r="AS15" s="171">
        <f>'ADJ DETAIL INPUT'!AT14</f>
        <v>0</v>
      </c>
      <c r="AT15" s="171">
        <f>'ADJ DETAIL INPUT'!AU14</f>
        <v>0</v>
      </c>
      <c r="AU15" s="171">
        <f>'ADJ DETAIL INPUT'!AY14</f>
        <v>0</v>
      </c>
      <c r="AV15" s="171">
        <f>'ADJ DETAIL INPUT'!AZ14</f>
        <v>0</v>
      </c>
      <c r="AW15" s="171">
        <f>'ADJ DETAIL INPUT'!BA14</f>
        <v>0</v>
      </c>
      <c r="AX15" s="171">
        <f>'ADJ DETAIL INPUT'!BB14</f>
        <v>0</v>
      </c>
      <c r="AY15" s="171">
        <f>'ADJ DETAIL INPUT'!BC14</f>
        <v>0</v>
      </c>
      <c r="AZ15" s="171">
        <f>'ADJ DETAIL INPUT'!BD14</f>
        <v>0</v>
      </c>
      <c r="BA15" s="171">
        <f>'ADJ DETAIL INPUT'!BE14</f>
        <v>0</v>
      </c>
      <c r="BB15" s="171">
        <f>'ADJ DETAIL INPUT'!BF14</f>
        <v>0</v>
      </c>
      <c r="BC15" s="171">
        <f>'ADJ DETAIL INPUT'!BG14</f>
        <v>0</v>
      </c>
      <c r="BD15" s="171">
        <f>'ADJ DETAIL INPUT'!BH14</f>
        <v>0</v>
      </c>
    </row>
    <row r="16" spans="1:57">
      <c r="A16" s="116">
        <v>2</v>
      </c>
      <c r="B16" s="118" t="s">
        <v>33</v>
      </c>
      <c r="D16" s="118"/>
      <c r="E16" s="134">
        <f>'ADJ DETAIL INPUT'!E15</f>
        <v>5180</v>
      </c>
      <c r="F16" s="134">
        <f>'ADJ DETAIL INPUT'!F15</f>
        <v>0</v>
      </c>
      <c r="G16" s="134">
        <f>'ADJ DETAIL INPUT'!G15</f>
        <v>0</v>
      </c>
      <c r="H16" s="134">
        <f>'ADJ DETAIL INPUT'!H15</f>
        <v>0</v>
      </c>
      <c r="I16" s="134">
        <f>'ADJ DETAIL INPUT'!I15</f>
        <v>-120</v>
      </c>
      <c r="J16" s="134">
        <f>'ADJ DETAIL INPUT'!J15</f>
        <v>0</v>
      </c>
      <c r="K16" s="134">
        <f>'ADJ DETAIL INPUT'!K15</f>
        <v>0</v>
      </c>
      <c r="L16" s="134">
        <f>'ADJ DETAIL INPUT'!L15</f>
        <v>0</v>
      </c>
      <c r="M16" s="134">
        <f>'ADJ DETAIL INPUT'!M15</f>
        <v>0</v>
      </c>
      <c r="N16" s="134">
        <f>'ADJ DETAIL INPUT'!N15</f>
        <v>0</v>
      </c>
      <c r="O16" s="134">
        <f>'ADJ DETAIL INPUT'!O15</f>
        <v>0</v>
      </c>
      <c r="P16" s="134">
        <f>'ADJ DETAIL INPUT'!P15</f>
        <v>0</v>
      </c>
      <c r="Q16" s="134">
        <f>'ADJ DETAIL INPUT'!Q15</f>
        <v>0</v>
      </c>
      <c r="R16" s="134">
        <f>'ADJ DETAIL INPUT'!R15</f>
        <v>0</v>
      </c>
      <c r="S16" s="134">
        <f>'ADJ DETAIL INPUT'!S15</f>
        <v>0</v>
      </c>
      <c r="T16" s="134">
        <f>'ADJ DETAIL INPUT'!T15</f>
        <v>0</v>
      </c>
      <c r="U16" s="134">
        <f>'ADJ DETAIL INPUT'!U15</f>
        <v>0</v>
      </c>
      <c r="V16" s="134">
        <f>'ADJ DETAIL INPUT'!V15</f>
        <v>0</v>
      </c>
      <c r="W16" s="134">
        <f>'ADJ DETAIL INPUT'!W15</f>
        <v>0</v>
      </c>
      <c r="X16" s="134">
        <f>'ADJ DETAIL INPUT'!X15</f>
        <v>0</v>
      </c>
      <c r="Y16" s="134">
        <f>'ADJ DETAIL INPUT'!Z15</f>
        <v>333</v>
      </c>
      <c r="Z16" s="134">
        <f>'ADJ DETAIL INPUT'!AA15</f>
        <v>0</v>
      </c>
      <c r="AA16" s="134">
        <f>'ADJ DETAIL INPUT'!AB15</f>
        <v>0</v>
      </c>
      <c r="AB16" s="134">
        <f>'ADJ DETAIL INPUT'!AC15</f>
        <v>0</v>
      </c>
      <c r="AC16" s="134">
        <f>'ADJ DETAIL INPUT'!AD15</f>
        <v>0</v>
      </c>
      <c r="AD16" s="134">
        <f>'ADJ DETAIL INPUT'!AE15</f>
        <v>0</v>
      </c>
      <c r="AE16" s="134">
        <f>'ADJ DETAIL INPUT'!AF15</f>
        <v>0</v>
      </c>
      <c r="AF16" s="134">
        <f>'ADJ DETAIL INPUT'!AG15</f>
        <v>0</v>
      </c>
      <c r="AG16" s="134">
        <f>'ADJ DETAIL INPUT'!AH15</f>
        <v>0</v>
      </c>
      <c r="AH16" s="134">
        <f>'ADJ DETAIL INPUT'!AI15</f>
        <v>0</v>
      </c>
      <c r="AI16" s="134">
        <f>'ADJ DETAIL INPUT'!AJ15</f>
        <v>0</v>
      </c>
      <c r="AJ16" s="134">
        <f>'ADJ DETAIL INPUT'!AK15</f>
        <v>0</v>
      </c>
      <c r="AK16" s="134">
        <f>'ADJ DETAIL INPUT'!AL15</f>
        <v>0</v>
      </c>
      <c r="AL16" s="134">
        <f>'ADJ DETAIL INPUT'!AM15</f>
        <v>0</v>
      </c>
      <c r="AM16" s="134">
        <f>'ADJ DETAIL INPUT'!AN15</f>
        <v>0</v>
      </c>
      <c r="AN16" s="134">
        <f>'ADJ DETAIL INPUT'!AO15</f>
        <v>0</v>
      </c>
      <c r="AO16" s="134">
        <f>'ADJ DETAIL INPUT'!AP15</f>
        <v>0</v>
      </c>
      <c r="AP16" s="134">
        <f>'ADJ DETAIL INPUT'!AQ15</f>
        <v>0</v>
      </c>
      <c r="AQ16" s="134">
        <f>'ADJ DETAIL INPUT'!AR15</f>
        <v>0</v>
      </c>
      <c r="AR16" s="134">
        <f>'ADJ DETAIL INPUT'!AS15</f>
        <v>0</v>
      </c>
      <c r="AS16" s="134">
        <f>'ADJ DETAIL INPUT'!AT15</f>
        <v>0</v>
      </c>
      <c r="AT16" s="134">
        <f>'ADJ DETAIL INPUT'!AU15</f>
        <v>0</v>
      </c>
      <c r="AU16" s="134">
        <f>'ADJ DETAIL INPUT'!AY15</f>
        <v>0</v>
      </c>
      <c r="AV16" s="134">
        <f>'ADJ DETAIL INPUT'!AZ15</f>
        <v>0</v>
      </c>
      <c r="AW16" s="134">
        <f>'ADJ DETAIL INPUT'!BA15</f>
        <v>0</v>
      </c>
      <c r="AX16" s="134">
        <f>'ADJ DETAIL INPUT'!BB15</f>
        <v>0</v>
      </c>
      <c r="AY16" s="134">
        <f>'ADJ DETAIL INPUT'!BC15</f>
        <v>0</v>
      </c>
      <c r="AZ16" s="134">
        <f>'ADJ DETAIL INPUT'!BD15</f>
        <v>0</v>
      </c>
      <c r="BA16" s="134">
        <f>'ADJ DETAIL INPUT'!BE15</f>
        <v>0</v>
      </c>
      <c r="BB16" s="134">
        <f>'ADJ DETAIL INPUT'!BF15</f>
        <v>0</v>
      </c>
      <c r="BC16" s="134">
        <f>'ADJ DETAIL INPUT'!BG15</f>
        <v>0</v>
      </c>
      <c r="BD16" s="134">
        <f>'ADJ DETAIL INPUT'!BH15</f>
        <v>0</v>
      </c>
    </row>
    <row r="17" spans="1:56">
      <c r="A17" s="116">
        <v>3</v>
      </c>
      <c r="B17" s="118" t="s">
        <v>34</v>
      </c>
      <c r="D17" s="118"/>
      <c r="E17" s="135">
        <f>'ADJ DETAIL INPUT'!E16</f>
        <v>37118</v>
      </c>
      <c r="F17" s="135">
        <f>'ADJ DETAIL INPUT'!F16</f>
        <v>0</v>
      </c>
      <c r="G17" s="135">
        <f>'ADJ DETAIL INPUT'!G16</f>
        <v>0</v>
      </c>
      <c r="H17" s="135">
        <f>'ADJ DETAIL INPUT'!H16</f>
        <v>0</v>
      </c>
      <c r="I17" s="135">
        <f>'ADJ DETAIL INPUT'!I16</f>
        <v>0</v>
      </c>
      <c r="J17" s="135">
        <f>'ADJ DETAIL INPUT'!J16</f>
        <v>0</v>
      </c>
      <c r="K17" s="135">
        <f>'ADJ DETAIL INPUT'!K16</f>
        <v>0</v>
      </c>
      <c r="L17" s="135">
        <f>'ADJ DETAIL INPUT'!L16</f>
        <v>0</v>
      </c>
      <c r="M17" s="135">
        <f>'ADJ DETAIL INPUT'!M16</f>
        <v>0</v>
      </c>
      <c r="N17" s="135">
        <f>'ADJ DETAIL INPUT'!N16</f>
        <v>0</v>
      </c>
      <c r="O17" s="135">
        <f>'ADJ DETAIL INPUT'!O16</f>
        <v>0</v>
      </c>
      <c r="P17" s="135">
        <f>'ADJ DETAIL INPUT'!P16</f>
        <v>0</v>
      </c>
      <c r="Q17" s="135">
        <f>'ADJ DETAIL INPUT'!Q16</f>
        <v>0</v>
      </c>
      <c r="R17" s="135">
        <f>'ADJ DETAIL INPUT'!R16</f>
        <v>-127</v>
      </c>
      <c r="S17" s="135">
        <f>'ADJ DETAIL INPUT'!S16</f>
        <v>-33904</v>
      </c>
      <c r="T17" s="135">
        <f>'ADJ DETAIL INPUT'!T16</f>
        <v>0</v>
      </c>
      <c r="U17" s="135">
        <f>'ADJ DETAIL INPUT'!U16</f>
        <v>0</v>
      </c>
      <c r="V17" s="135">
        <f>'ADJ DETAIL INPUT'!V16</f>
        <v>0</v>
      </c>
      <c r="W17" s="135">
        <f>'ADJ DETAIL INPUT'!W16</f>
        <v>0</v>
      </c>
      <c r="X17" s="135">
        <f>'ADJ DETAIL INPUT'!X16</f>
        <v>0</v>
      </c>
      <c r="Y17" s="135">
        <f>'ADJ DETAIL INPUT'!Z16</f>
        <v>-2714</v>
      </c>
      <c r="Z17" s="135">
        <f>'ADJ DETAIL INPUT'!AA16</f>
        <v>0</v>
      </c>
      <c r="AA17" s="135">
        <f>'ADJ DETAIL INPUT'!AB16</f>
        <v>0</v>
      </c>
      <c r="AB17" s="135">
        <f>'ADJ DETAIL INPUT'!AC16</f>
        <v>0</v>
      </c>
      <c r="AC17" s="135">
        <f>'ADJ DETAIL INPUT'!AD16</f>
        <v>0</v>
      </c>
      <c r="AD17" s="135">
        <f>'ADJ DETAIL INPUT'!AE16</f>
        <v>0</v>
      </c>
      <c r="AE17" s="135">
        <f>'ADJ DETAIL INPUT'!AF16</f>
        <v>0</v>
      </c>
      <c r="AF17" s="135">
        <f>'ADJ DETAIL INPUT'!AG16</f>
        <v>0</v>
      </c>
      <c r="AG17" s="135">
        <f>'ADJ DETAIL INPUT'!AH16</f>
        <v>0</v>
      </c>
      <c r="AH17" s="135">
        <f>'ADJ DETAIL INPUT'!AI16</f>
        <v>0</v>
      </c>
      <c r="AI17" s="135">
        <f>'ADJ DETAIL INPUT'!AJ16</f>
        <v>0</v>
      </c>
      <c r="AJ17" s="135">
        <f>'ADJ DETAIL INPUT'!AK16</f>
        <v>0</v>
      </c>
      <c r="AK17" s="135">
        <f>'ADJ DETAIL INPUT'!AL16</f>
        <v>0</v>
      </c>
      <c r="AL17" s="135">
        <f>'ADJ DETAIL INPUT'!AM16</f>
        <v>0</v>
      </c>
      <c r="AM17" s="135">
        <f>'ADJ DETAIL INPUT'!AN16</f>
        <v>0</v>
      </c>
      <c r="AN17" s="135">
        <f>'ADJ DETAIL INPUT'!AO16</f>
        <v>0</v>
      </c>
      <c r="AO17" s="135">
        <f>'ADJ DETAIL INPUT'!AP16</f>
        <v>0</v>
      </c>
      <c r="AP17" s="135">
        <f>'ADJ DETAIL INPUT'!AQ16</f>
        <v>0</v>
      </c>
      <c r="AQ17" s="135">
        <f>'ADJ DETAIL INPUT'!AR16</f>
        <v>0</v>
      </c>
      <c r="AR17" s="135">
        <f>'ADJ DETAIL INPUT'!AS16</f>
        <v>0</v>
      </c>
      <c r="AS17" s="135">
        <f>'ADJ DETAIL INPUT'!AT16</f>
        <v>0</v>
      </c>
      <c r="AT17" s="135">
        <f>'ADJ DETAIL INPUT'!AU16</f>
        <v>344</v>
      </c>
      <c r="AU17" s="135">
        <f>'ADJ DETAIL INPUT'!AY16</f>
        <v>0</v>
      </c>
      <c r="AV17" s="135">
        <f>'ADJ DETAIL INPUT'!AZ16</f>
        <v>0</v>
      </c>
      <c r="AW17" s="135">
        <f>'ADJ DETAIL INPUT'!BA16</f>
        <v>0</v>
      </c>
      <c r="AX17" s="135">
        <f>'ADJ DETAIL INPUT'!BB16</f>
        <v>0</v>
      </c>
      <c r="AY17" s="135">
        <f>'ADJ DETAIL INPUT'!BC16</f>
        <v>0</v>
      </c>
      <c r="AZ17" s="135">
        <f>'ADJ DETAIL INPUT'!BD16</f>
        <v>0</v>
      </c>
      <c r="BA17" s="135">
        <f>'ADJ DETAIL INPUT'!BE16</f>
        <v>0</v>
      </c>
      <c r="BB17" s="135">
        <f>'ADJ DETAIL INPUT'!BF16</f>
        <v>0</v>
      </c>
      <c r="BC17" s="135">
        <f>'ADJ DETAIL INPUT'!BG16</f>
        <v>39</v>
      </c>
      <c r="BD17" s="135">
        <f>'ADJ DETAIL INPUT'!BH16</f>
        <v>0</v>
      </c>
    </row>
    <row r="18" spans="1:56">
      <c r="A18" s="116">
        <v>4</v>
      </c>
      <c r="B18" s="92" t="s">
        <v>35</v>
      </c>
      <c r="C18" s="118"/>
      <c r="D18" s="118"/>
      <c r="E18" s="134">
        <f>SUM(E15:E17)</f>
        <v>288839</v>
      </c>
      <c r="F18" s="134">
        <f t="shared" ref="F18:R18" si="0">SUM(F15:F17)</f>
        <v>0</v>
      </c>
      <c r="G18" s="134">
        <f t="shared" si="0"/>
        <v>0</v>
      </c>
      <c r="H18" s="134">
        <f t="shared" si="0"/>
        <v>0</v>
      </c>
      <c r="I18" s="134">
        <f t="shared" si="0"/>
        <v>-8646</v>
      </c>
      <c r="J18" s="134">
        <f t="shared" si="0"/>
        <v>0</v>
      </c>
      <c r="K18" s="134">
        <f t="shared" si="0"/>
        <v>0</v>
      </c>
      <c r="L18" s="134">
        <f t="shared" si="0"/>
        <v>0</v>
      </c>
      <c r="M18" s="134">
        <f t="shared" si="0"/>
        <v>0</v>
      </c>
      <c r="N18" s="134">
        <f t="shared" si="0"/>
        <v>0</v>
      </c>
      <c r="O18" s="134">
        <f t="shared" si="0"/>
        <v>0</v>
      </c>
      <c r="P18" s="134">
        <f t="shared" si="0"/>
        <v>0</v>
      </c>
      <c r="Q18" s="134">
        <f t="shared" si="0"/>
        <v>0</v>
      </c>
      <c r="R18" s="134">
        <f t="shared" si="0"/>
        <v>-99</v>
      </c>
      <c r="S18" s="134">
        <f t="shared" ref="S18:T18" si="1">SUM(S15:S17)</f>
        <v>-60578</v>
      </c>
      <c r="T18" s="134">
        <f t="shared" si="1"/>
        <v>0</v>
      </c>
      <c r="U18" s="134">
        <f t="shared" ref="U18" si="2">SUM(U15:U17)</f>
        <v>0</v>
      </c>
      <c r="V18" s="134">
        <f>SUM(V15:V17)</f>
        <v>0</v>
      </c>
      <c r="W18" s="134">
        <f>SUM(W15:W17)</f>
        <v>0</v>
      </c>
      <c r="X18" s="134">
        <f>SUM(X15:X17)</f>
        <v>0</v>
      </c>
      <c r="Y18" s="134">
        <f>SUM(Y15:Y17)</f>
        <v>-92167</v>
      </c>
      <c r="Z18" s="134">
        <f t="shared" ref="Z18:BD18" si="3">SUM(Z15:Z17)</f>
        <v>0</v>
      </c>
      <c r="AA18" s="134">
        <f t="shared" si="3"/>
        <v>0</v>
      </c>
      <c r="AB18" s="134">
        <f t="shared" si="3"/>
        <v>0</v>
      </c>
      <c r="AC18" s="134">
        <f t="shared" si="3"/>
        <v>0</v>
      </c>
      <c r="AD18" s="134">
        <f t="shared" si="3"/>
        <v>0</v>
      </c>
      <c r="AE18" s="134">
        <f t="shared" si="3"/>
        <v>0</v>
      </c>
      <c r="AF18" s="134">
        <f t="shared" ref="AF18" si="4">SUM(AF15:AF17)</f>
        <v>0</v>
      </c>
      <c r="AG18" s="134">
        <f t="shared" si="3"/>
        <v>0</v>
      </c>
      <c r="AH18" s="134">
        <f t="shared" si="3"/>
        <v>0</v>
      </c>
      <c r="AI18" s="134">
        <f t="shared" si="3"/>
        <v>0</v>
      </c>
      <c r="AJ18" s="134">
        <f t="shared" si="3"/>
        <v>0</v>
      </c>
      <c r="AK18" s="134">
        <f t="shared" si="3"/>
        <v>0</v>
      </c>
      <c r="AL18" s="134">
        <f t="shared" si="3"/>
        <v>0</v>
      </c>
      <c r="AM18" s="134">
        <f t="shared" si="3"/>
        <v>0</v>
      </c>
      <c r="AN18" s="134">
        <f t="shared" ref="AN18:AO18" si="5">SUM(AN15:AN17)</f>
        <v>0</v>
      </c>
      <c r="AO18" s="134">
        <f t="shared" si="5"/>
        <v>0</v>
      </c>
      <c r="AP18" s="134">
        <f t="shared" ref="AP18" si="6">SUM(AP15:AP17)</f>
        <v>0</v>
      </c>
      <c r="AQ18" s="134">
        <f t="shared" si="3"/>
        <v>0</v>
      </c>
      <c r="AR18" s="134">
        <f t="shared" si="3"/>
        <v>0</v>
      </c>
      <c r="AS18" s="134">
        <f t="shared" si="3"/>
        <v>0</v>
      </c>
      <c r="AT18" s="134">
        <f t="shared" si="3"/>
        <v>344</v>
      </c>
      <c r="AU18" s="134">
        <f t="shared" ref="AU18" si="7">SUM(AU15:AU17)</f>
        <v>0</v>
      </c>
      <c r="AV18" s="134">
        <f t="shared" si="3"/>
        <v>0</v>
      </c>
      <c r="AW18" s="134">
        <f t="shared" si="3"/>
        <v>0</v>
      </c>
      <c r="AX18" s="134">
        <f t="shared" si="3"/>
        <v>0</v>
      </c>
      <c r="AY18" s="134">
        <f t="shared" si="3"/>
        <v>0</v>
      </c>
      <c r="AZ18" s="134">
        <f t="shared" si="3"/>
        <v>0</v>
      </c>
      <c r="BA18" s="134">
        <f t="shared" si="3"/>
        <v>0</v>
      </c>
      <c r="BB18" s="134">
        <f t="shared" si="3"/>
        <v>0</v>
      </c>
      <c r="BC18" s="134">
        <f t="shared" si="3"/>
        <v>39</v>
      </c>
      <c r="BD18" s="134">
        <f t="shared" si="3"/>
        <v>0</v>
      </c>
    </row>
    <row r="19" spans="1:56">
      <c r="C19" s="118"/>
      <c r="D19" s="118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</row>
    <row r="20" spans="1:56">
      <c r="B20" s="92" t="s">
        <v>36</v>
      </c>
      <c r="C20" s="118"/>
      <c r="D20" s="118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</row>
    <row r="21" spans="1:56">
      <c r="B21" s="118" t="s">
        <v>192</v>
      </c>
      <c r="D21" s="118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</row>
    <row r="22" spans="1:56">
      <c r="A22" s="116">
        <v>5</v>
      </c>
      <c r="C22" s="118" t="s">
        <v>37</v>
      </c>
      <c r="D22" s="118"/>
      <c r="E22" s="134">
        <f>'ADJ DETAIL INPUT'!E21</f>
        <v>139821</v>
      </c>
      <c r="F22" s="134">
        <f>'ADJ DETAIL INPUT'!F21</f>
        <v>0</v>
      </c>
      <c r="G22" s="134">
        <f>'ADJ DETAIL INPUT'!G21</f>
        <v>0</v>
      </c>
      <c r="H22" s="134">
        <f>'ADJ DETAIL INPUT'!H21</f>
        <v>0</v>
      </c>
      <c r="I22" s="134">
        <f>'ADJ DETAIL INPUT'!I21</f>
        <v>0</v>
      </c>
      <c r="J22" s="134">
        <f>'ADJ DETAIL INPUT'!J21</f>
        <v>0</v>
      </c>
      <c r="K22" s="134">
        <f>'ADJ DETAIL INPUT'!K21</f>
        <v>0</v>
      </c>
      <c r="L22" s="134">
        <f>'ADJ DETAIL INPUT'!L21</f>
        <v>0</v>
      </c>
      <c r="M22" s="134">
        <f>'ADJ DETAIL INPUT'!M21</f>
        <v>0</v>
      </c>
      <c r="N22" s="134">
        <f>'ADJ DETAIL INPUT'!N21</f>
        <v>0</v>
      </c>
      <c r="O22" s="134">
        <f>'ADJ DETAIL INPUT'!O21</f>
        <v>0</v>
      </c>
      <c r="P22" s="134">
        <f>'ADJ DETAIL INPUT'!P21</f>
        <v>0</v>
      </c>
      <c r="Q22" s="134">
        <f>'ADJ DETAIL INPUT'!Q21</f>
        <v>0</v>
      </c>
      <c r="R22" s="134">
        <f>'ADJ DETAIL INPUT'!R21</f>
        <v>-57</v>
      </c>
      <c r="S22" s="134">
        <f>'ADJ DETAIL INPUT'!S21</f>
        <v>-49394</v>
      </c>
      <c r="T22" s="134">
        <f>'ADJ DETAIL INPUT'!T21</f>
        <v>0</v>
      </c>
      <c r="U22" s="134">
        <f>'ADJ DETAIL INPUT'!U21</f>
        <v>0</v>
      </c>
      <c r="V22" s="134">
        <f>'ADJ DETAIL INPUT'!V21</f>
        <v>0</v>
      </c>
      <c r="W22" s="134">
        <f>'ADJ DETAIL INPUT'!W21</f>
        <v>0</v>
      </c>
      <c r="X22" s="134">
        <f>'ADJ DETAIL INPUT'!X21</f>
        <v>0</v>
      </c>
      <c r="Y22" s="134">
        <f>'ADJ DETAIL INPUT'!Z21</f>
        <v>-90370</v>
      </c>
      <c r="Z22" s="134">
        <f>'ADJ DETAIL INPUT'!AA21</f>
        <v>0</v>
      </c>
      <c r="AA22" s="134">
        <f>'ADJ DETAIL INPUT'!AB21</f>
        <v>0</v>
      </c>
      <c r="AB22" s="134">
        <f>'ADJ DETAIL INPUT'!AC21</f>
        <v>0</v>
      </c>
      <c r="AC22" s="134">
        <f>'ADJ DETAIL INPUT'!AD21</f>
        <v>0</v>
      </c>
      <c r="AD22" s="134">
        <f>'ADJ DETAIL INPUT'!AE21</f>
        <v>0</v>
      </c>
      <c r="AE22" s="134">
        <f>'ADJ DETAIL INPUT'!AF21</f>
        <v>0</v>
      </c>
      <c r="AF22" s="134">
        <f>'ADJ DETAIL INPUT'!AG21</f>
        <v>0</v>
      </c>
      <c r="AG22" s="134">
        <f>'ADJ DETAIL INPUT'!AH21</f>
        <v>0</v>
      </c>
      <c r="AH22" s="134">
        <f>'ADJ DETAIL INPUT'!AI21</f>
        <v>0</v>
      </c>
      <c r="AI22" s="134">
        <f>'ADJ DETAIL INPUT'!AJ21</f>
        <v>0</v>
      </c>
      <c r="AJ22" s="134">
        <f>'ADJ DETAIL INPUT'!AK21</f>
        <v>0</v>
      </c>
      <c r="AK22" s="134">
        <f>'ADJ DETAIL INPUT'!AL21</f>
        <v>0</v>
      </c>
      <c r="AL22" s="134">
        <f>'ADJ DETAIL INPUT'!AM21</f>
        <v>0</v>
      </c>
      <c r="AM22" s="134">
        <f>'ADJ DETAIL INPUT'!AN21</f>
        <v>0</v>
      </c>
      <c r="AN22" s="134">
        <f>'ADJ DETAIL INPUT'!AO21</f>
        <v>0</v>
      </c>
      <c r="AO22" s="134">
        <f>'ADJ DETAIL INPUT'!AP21</f>
        <v>0</v>
      </c>
      <c r="AP22" s="134">
        <f>'ADJ DETAIL INPUT'!AQ21</f>
        <v>0</v>
      </c>
      <c r="AQ22" s="134">
        <f>'ADJ DETAIL INPUT'!AR21</f>
        <v>0</v>
      </c>
      <c r="AR22" s="134">
        <f>'ADJ DETAIL INPUT'!AS21</f>
        <v>0</v>
      </c>
      <c r="AS22" s="134">
        <f>'ADJ DETAIL INPUT'!AT21</f>
        <v>0</v>
      </c>
      <c r="AT22" s="134">
        <f>'ADJ DETAIL INPUT'!AU21</f>
        <v>0</v>
      </c>
      <c r="AU22" s="134">
        <f>'ADJ DETAIL INPUT'!AY21</f>
        <v>0</v>
      </c>
      <c r="AV22" s="134">
        <f>'ADJ DETAIL INPUT'!AZ21</f>
        <v>0</v>
      </c>
      <c r="AW22" s="134">
        <f>'ADJ DETAIL INPUT'!BA21</f>
        <v>0</v>
      </c>
      <c r="AX22" s="134">
        <f>'ADJ DETAIL INPUT'!BB21</f>
        <v>0</v>
      </c>
      <c r="AY22" s="134">
        <f>'ADJ DETAIL INPUT'!BC21</f>
        <v>0</v>
      </c>
      <c r="AZ22" s="134">
        <f>'ADJ DETAIL INPUT'!BD21</f>
        <v>0</v>
      </c>
      <c r="BA22" s="134">
        <f>'ADJ DETAIL INPUT'!BE21</f>
        <v>0</v>
      </c>
      <c r="BB22" s="134">
        <f>'ADJ DETAIL INPUT'!BF21</f>
        <v>0</v>
      </c>
      <c r="BC22" s="134">
        <f>'ADJ DETAIL INPUT'!BG21</f>
        <v>0</v>
      </c>
      <c r="BD22" s="134">
        <f>'ADJ DETAIL INPUT'!BH21</f>
        <v>0</v>
      </c>
    </row>
    <row r="23" spans="1:56">
      <c r="A23" s="116">
        <v>6</v>
      </c>
      <c r="C23" s="118" t="s">
        <v>38</v>
      </c>
      <c r="D23" s="118"/>
      <c r="E23" s="134">
        <f>'ADJ DETAIL INPUT'!E22</f>
        <v>869</v>
      </c>
      <c r="F23" s="134">
        <f>'ADJ DETAIL INPUT'!F22</f>
        <v>0</v>
      </c>
      <c r="G23" s="134">
        <f>'ADJ DETAIL INPUT'!G22</f>
        <v>0</v>
      </c>
      <c r="H23" s="134">
        <f>'ADJ DETAIL INPUT'!H22</f>
        <v>0</v>
      </c>
      <c r="I23" s="134">
        <f>'ADJ DETAIL INPUT'!I22</f>
        <v>0</v>
      </c>
      <c r="J23" s="134">
        <f>'ADJ DETAIL INPUT'!J22</f>
        <v>0</v>
      </c>
      <c r="K23" s="134">
        <f>'ADJ DETAIL INPUT'!K22</f>
        <v>0</v>
      </c>
      <c r="L23" s="134">
        <f>'ADJ DETAIL INPUT'!L22</f>
        <v>0</v>
      </c>
      <c r="M23" s="134">
        <f>'ADJ DETAIL INPUT'!M22</f>
        <v>0</v>
      </c>
      <c r="N23" s="134">
        <f>'ADJ DETAIL INPUT'!N22</f>
        <v>0</v>
      </c>
      <c r="O23" s="134">
        <f>'ADJ DETAIL INPUT'!O22</f>
        <v>0</v>
      </c>
      <c r="P23" s="134">
        <f>'ADJ DETAIL INPUT'!P22</f>
        <v>0</v>
      </c>
      <c r="Q23" s="134">
        <f>'ADJ DETAIL INPUT'!Q22</f>
        <v>0</v>
      </c>
      <c r="R23" s="134">
        <f>'ADJ DETAIL INPUT'!R22</f>
        <v>0</v>
      </c>
      <c r="S23" s="134">
        <f>'ADJ DETAIL INPUT'!S22</f>
        <v>0</v>
      </c>
      <c r="T23" s="134">
        <f>'ADJ DETAIL INPUT'!T22</f>
        <v>0</v>
      </c>
      <c r="U23" s="134">
        <f>'ADJ DETAIL INPUT'!U22</f>
        <v>0</v>
      </c>
      <c r="V23" s="134">
        <f>'ADJ DETAIL INPUT'!V22</f>
        <v>0</v>
      </c>
      <c r="W23" s="134">
        <f>'ADJ DETAIL INPUT'!W22</f>
        <v>0</v>
      </c>
      <c r="X23" s="134">
        <f>'ADJ DETAIL INPUT'!X22</f>
        <v>0</v>
      </c>
      <c r="Y23" s="134">
        <f>'ADJ DETAIL INPUT'!Z22</f>
        <v>0</v>
      </c>
      <c r="Z23" s="134">
        <f>'ADJ DETAIL INPUT'!AA22</f>
        <v>0</v>
      </c>
      <c r="AA23" s="134">
        <f>'ADJ DETAIL INPUT'!AB22</f>
        <v>0</v>
      </c>
      <c r="AB23" s="134">
        <f>'ADJ DETAIL INPUT'!AC22</f>
        <v>0</v>
      </c>
      <c r="AC23" s="134">
        <f>'ADJ DETAIL INPUT'!AD22</f>
        <v>68.5</v>
      </c>
      <c r="AD23" s="134">
        <f>'ADJ DETAIL INPUT'!AE22</f>
        <v>0</v>
      </c>
      <c r="AE23" s="134">
        <f>'ADJ DETAIL INPUT'!AF22</f>
        <v>1.7</v>
      </c>
      <c r="AF23" s="134">
        <f>'ADJ DETAIL INPUT'!AG22</f>
        <v>0</v>
      </c>
      <c r="AG23" s="134">
        <f>'ADJ DETAIL INPUT'!AH22</f>
        <v>0</v>
      </c>
      <c r="AH23" s="134">
        <f>'ADJ DETAIL INPUT'!AI22</f>
        <v>0</v>
      </c>
      <c r="AI23" s="134">
        <f>'ADJ DETAIL INPUT'!AJ22</f>
        <v>0</v>
      </c>
      <c r="AJ23" s="134">
        <f>'ADJ DETAIL INPUT'!AK22</f>
        <v>0</v>
      </c>
      <c r="AK23" s="134">
        <f>'ADJ DETAIL INPUT'!AL22</f>
        <v>0</v>
      </c>
      <c r="AL23" s="134">
        <f>'ADJ DETAIL INPUT'!AM22</f>
        <v>12.583</v>
      </c>
      <c r="AM23" s="134">
        <f>'ADJ DETAIL INPUT'!AN22</f>
        <v>0</v>
      </c>
      <c r="AN23" s="134">
        <f>'ADJ DETAIL INPUT'!AO22</f>
        <v>0</v>
      </c>
      <c r="AO23" s="134">
        <f>'ADJ DETAIL INPUT'!AP22</f>
        <v>0</v>
      </c>
      <c r="AP23" s="134">
        <f>'ADJ DETAIL INPUT'!AQ22</f>
        <v>0</v>
      </c>
      <c r="AQ23" s="134">
        <f>'ADJ DETAIL INPUT'!AR22</f>
        <v>0</v>
      </c>
      <c r="AR23" s="134">
        <f>'ADJ DETAIL INPUT'!AS22</f>
        <v>0</v>
      </c>
      <c r="AS23" s="134">
        <f>'ADJ DETAIL INPUT'!AT22</f>
        <v>0</v>
      </c>
      <c r="AT23" s="134">
        <f>'ADJ DETAIL INPUT'!AU22</f>
        <v>0</v>
      </c>
      <c r="AU23" s="134">
        <f>'ADJ DETAIL INPUT'!AY22</f>
        <v>0</v>
      </c>
      <c r="AV23" s="134">
        <f>'ADJ DETAIL INPUT'!AZ22</f>
        <v>0</v>
      </c>
      <c r="AW23" s="134">
        <f>'ADJ DETAIL INPUT'!BA22</f>
        <v>26</v>
      </c>
      <c r="AX23" s="134">
        <f>'ADJ DETAIL INPUT'!BB22</f>
        <v>5.9</v>
      </c>
      <c r="AY23" s="134">
        <f>'ADJ DETAIL INPUT'!BC22</f>
        <v>0</v>
      </c>
      <c r="AZ23" s="134">
        <f>'ADJ DETAIL INPUT'!BD22</f>
        <v>0</v>
      </c>
      <c r="BA23" s="134">
        <f>'ADJ DETAIL INPUT'!BE22</f>
        <v>5.0330000000000004</v>
      </c>
      <c r="BB23" s="134">
        <f>'ADJ DETAIL INPUT'!BF22</f>
        <v>0</v>
      </c>
      <c r="BC23" s="134">
        <f>'ADJ DETAIL INPUT'!BG22</f>
        <v>0</v>
      </c>
      <c r="BD23" s="134">
        <f>'ADJ DETAIL INPUT'!BH22</f>
        <v>0</v>
      </c>
    </row>
    <row r="24" spans="1:56">
      <c r="A24" s="116">
        <v>7</v>
      </c>
      <c r="C24" s="118" t="s">
        <v>39</v>
      </c>
      <c r="D24" s="118"/>
      <c r="E24" s="135">
        <f>'ADJ DETAIL INPUT'!E23</f>
        <v>8789</v>
      </c>
      <c r="F24" s="135">
        <f>'ADJ DETAIL INPUT'!F23</f>
        <v>0</v>
      </c>
      <c r="G24" s="135">
        <f>'ADJ DETAIL INPUT'!G23</f>
        <v>0</v>
      </c>
      <c r="H24" s="135">
        <f>'ADJ DETAIL INPUT'!H23</f>
        <v>0</v>
      </c>
      <c r="I24" s="135">
        <f>'ADJ DETAIL INPUT'!I23</f>
        <v>0</v>
      </c>
      <c r="J24" s="135">
        <f>'ADJ DETAIL INPUT'!J23</f>
        <v>0</v>
      </c>
      <c r="K24" s="135">
        <f>'ADJ DETAIL INPUT'!K23</f>
        <v>0</v>
      </c>
      <c r="L24" s="135">
        <f>'ADJ DETAIL INPUT'!L23</f>
        <v>0</v>
      </c>
      <c r="M24" s="135">
        <f>'ADJ DETAIL INPUT'!M23</f>
        <v>0</v>
      </c>
      <c r="N24" s="135">
        <f>'ADJ DETAIL INPUT'!N23</f>
        <v>0</v>
      </c>
      <c r="O24" s="135">
        <f>'ADJ DETAIL INPUT'!O23</f>
        <v>0</v>
      </c>
      <c r="P24" s="135">
        <f>'ADJ DETAIL INPUT'!P23</f>
        <v>0</v>
      </c>
      <c r="Q24" s="135">
        <f>'ADJ DETAIL INPUT'!Q23</f>
        <v>0</v>
      </c>
      <c r="R24" s="135">
        <f>'ADJ DETAIL INPUT'!R23</f>
        <v>0</v>
      </c>
      <c r="S24" s="135">
        <f>'ADJ DETAIL INPUT'!S23</f>
        <v>-8789</v>
      </c>
      <c r="T24" s="135">
        <f>'ADJ DETAIL INPUT'!T23</f>
        <v>0</v>
      </c>
      <c r="U24" s="135">
        <f>'ADJ DETAIL INPUT'!U23</f>
        <v>0</v>
      </c>
      <c r="V24" s="135">
        <f>'ADJ DETAIL INPUT'!V23</f>
        <v>0</v>
      </c>
      <c r="W24" s="135">
        <f>'ADJ DETAIL INPUT'!W23</f>
        <v>0</v>
      </c>
      <c r="X24" s="135">
        <f>'ADJ DETAIL INPUT'!X23</f>
        <v>0</v>
      </c>
      <c r="Y24" s="135">
        <f>'ADJ DETAIL INPUT'!Z23</f>
        <v>0</v>
      </c>
      <c r="Z24" s="135">
        <f>'ADJ DETAIL INPUT'!AA23</f>
        <v>0</v>
      </c>
      <c r="AA24" s="135">
        <f>'ADJ DETAIL INPUT'!AB23</f>
        <v>0</v>
      </c>
      <c r="AB24" s="135">
        <f>'ADJ DETAIL INPUT'!AC23</f>
        <v>0</v>
      </c>
      <c r="AC24" s="135">
        <f>'ADJ DETAIL INPUT'!AD23</f>
        <v>0</v>
      </c>
      <c r="AD24" s="135">
        <f>'ADJ DETAIL INPUT'!AE23</f>
        <v>0</v>
      </c>
      <c r="AE24" s="135">
        <f>'ADJ DETAIL INPUT'!AF23</f>
        <v>0</v>
      </c>
      <c r="AF24" s="135">
        <f>'ADJ DETAIL INPUT'!AG23</f>
        <v>0</v>
      </c>
      <c r="AG24" s="135">
        <f>'ADJ DETAIL INPUT'!AH23</f>
        <v>0</v>
      </c>
      <c r="AH24" s="135">
        <f>'ADJ DETAIL INPUT'!AI23</f>
        <v>0</v>
      </c>
      <c r="AI24" s="135">
        <f>'ADJ DETAIL INPUT'!AJ23</f>
        <v>0</v>
      </c>
      <c r="AJ24" s="135">
        <f>'ADJ DETAIL INPUT'!AK23</f>
        <v>0</v>
      </c>
      <c r="AK24" s="135">
        <f>'ADJ DETAIL INPUT'!AL23</f>
        <v>0</v>
      </c>
      <c r="AL24" s="135">
        <f>'ADJ DETAIL INPUT'!AM23</f>
        <v>0</v>
      </c>
      <c r="AM24" s="135">
        <f>'ADJ DETAIL INPUT'!AN23</f>
        <v>0</v>
      </c>
      <c r="AN24" s="135">
        <f>'ADJ DETAIL INPUT'!AO23</f>
        <v>0</v>
      </c>
      <c r="AO24" s="135">
        <f>'ADJ DETAIL INPUT'!AP23</f>
        <v>0</v>
      </c>
      <c r="AP24" s="135">
        <f>'ADJ DETAIL INPUT'!AQ23</f>
        <v>0</v>
      </c>
      <c r="AQ24" s="135">
        <f>'ADJ DETAIL INPUT'!AR23</f>
        <v>0</v>
      </c>
      <c r="AR24" s="135">
        <f>'ADJ DETAIL INPUT'!AS23</f>
        <v>0</v>
      </c>
      <c r="AS24" s="135">
        <f>'ADJ DETAIL INPUT'!AT23</f>
        <v>0</v>
      </c>
      <c r="AT24" s="135">
        <f>'ADJ DETAIL INPUT'!AU23</f>
        <v>0</v>
      </c>
      <c r="AU24" s="135">
        <f>'ADJ DETAIL INPUT'!AY23</f>
        <v>0</v>
      </c>
      <c r="AV24" s="135">
        <f>'ADJ DETAIL INPUT'!AZ23</f>
        <v>0</v>
      </c>
      <c r="AW24" s="135">
        <f>'ADJ DETAIL INPUT'!BA23</f>
        <v>0</v>
      </c>
      <c r="AX24" s="135">
        <f>'ADJ DETAIL INPUT'!BB23</f>
        <v>0</v>
      </c>
      <c r="AY24" s="135">
        <f>'ADJ DETAIL INPUT'!BC23</f>
        <v>0</v>
      </c>
      <c r="AZ24" s="135">
        <f>'ADJ DETAIL INPUT'!BD23</f>
        <v>0</v>
      </c>
      <c r="BA24" s="135">
        <f>'ADJ DETAIL INPUT'!BE23</f>
        <v>0</v>
      </c>
      <c r="BB24" s="135">
        <f>'ADJ DETAIL INPUT'!BF23</f>
        <v>0</v>
      </c>
      <c r="BC24" s="135">
        <f>'ADJ DETAIL INPUT'!BG23</f>
        <v>0</v>
      </c>
      <c r="BD24" s="135">
        <f>'ADJ DETAIL INPUT'!BH23</f>
        <v>0</v>
      </c>
    </row>
    <row r="25" spans="1:56">
      <c r="A25" s="116">
        <v>8</v>
      </c>
      <c r="B25" s="118" t="s">
        <v>40</v>
      </c>
      <c r="C25" s="118"/>
      <c r="E25" s="136">
        <f>SUM(E22:E24)</f>
        <v>149479</v>
      </c>
      <c r="F25" s="136">
        <f t="shared" ref="F25:R25" si="8">SUM(F22:F24)</f>
        <v>0</v>
      </c>
      <c r="G25" s="136">
        <f t="shared" si="8"/>
        <v>0</v>
      </c>
      <c r="H25" s="136">
        <f t="shared" si="8"/>
        <v>0</v>
      </c>
      <c r="I25" s="136">
        <f t="shared" si="8"/>
        <v>0</v>
      </c>
      <c r="J25" s="136">
        <f t="shared" si="8"/>
        <v>0</v>
      </c>
      <c r="K25" s="136">
        <f t="shared" si="8"/>
        <v>0</v>
      </c>
      <c r="L25" s="136">
        <f t="shared" si="8"/>
        <v>0</v>
      </c>
      <c r="M25" s="136">
        <f t="shared" si="8"/>
        <v>0</v>
      </c>
      <c r="N25" s="136">
        <f t="shared" si="8"/>
        <v>0</v>
      </c>
      <c r="O25" s="136">
        <f t="shared" si="8"/>
        <v>0</v>
      </c>
      <c r="P25" s="136">
        <f t="shared" si="8"/>
        <v>0</v>
      </c>
      <c r="Q25" s="136">
        <f t="shared" si="8"/>
        <v>0</v>
      </c>
      <c r="R25" s="136">
        <f t="shared" si="8"/>
        <v>-57</v>
      </c>
      <c r="S25" s="136">
        <f t="shared" ref="S25:T25" si="9">SUM(S22:S24)</f>
        <v>-58183</v>
      </c>
      <c r="T25" s="136">
        <f t="shared" si="9"/>
        <v>0</v>
      </c>
      <c r="U25" s="136">
        <f t="shared" ref="U25" si="10">SUM(U22:U24)</f>
        <v>0</v>
      </c>
      <c r="V25" s="136">
        <f>SUM(V22:V24)</f>
        <v>0</v>
      </c>
      <c r="W25" s="136">
        <f>SUM(W22:W24)</f>
        <v>0</v>
      </c>
      <c r="X25" s="136">
        <f>SUM(X22:X24)</f>
        <v>0</v>
      </c>
      <c r="Y25" s="136">
        <f>SUM(Y22:Y24)</f>
        <v>-90370</v>
      </c>
      <c r="Z25" s="136">
        <f t="shared" ref="Z25:BD25" si="11">SUM(Z22:Z24)</f>
        <v>0</v>
      </c>
      <c r="AA25" s="136">
        <f t="shared" si="11"/>
        <v>0</v>
      </c>
      <c r="AB25" s="136">
        <f t="shared" si="11"/>
        <v>0</v>
      </c>
      <c r="AC25" s="136">
        <f t="shared" si="11"/>
        <v>68.5</v>
      </c>
      <c r="AD25" s="136">
        <f t="shared" si="11"/>
        <v>0</v>
      </c>
      <c r="AE25" s="136">
        <f t="shared" si="11"/>
        <v>1.7</v>
      </c>
      <c r="AF25" s="136">
        <f t="shared" ref="AF25" si="12">SUM(AF22:AF24)</f>
        <v>0</v>
      </c>
      <c r="AG25" s="136">
        <f t="shared" si="11"/>
        <v>0</v>
      </c>
      <c r="AH25" s="136">
        <f t="shared" si="11"/>
        <v>0</v>
      </c>
      <c r="AI25" s="136">
        <f t="shared" si="11"/>
        <v>0</v>
      </c>
      <c r="AJ25" s="136">
        <f t="shared" si="11"/>
        <v>0</v>
      </c>
      <c r="AK25" s="136">
        <f t="shared" si="11"/>
        <v>0</v>
      </c>
      <c r="AL25" s="136">
        <f t="shared" si="11"/>
        <v>12.583</v>
      </c>
      <c r="AM25" s="136">
        <f t="shared" si="11"/>
        <v>0</v>
      </c>
      <c r="AN25" s="136">
        <f t="shared" ref="AN25:AO25" si="13">SUM(AN22:AN24)</f>
        <v>0</v>
      </c>
      <c r="AO25" s="136">
        <f t="shared" si="13"/>
        <v>0</v>
      </c>
      <c r="AP25" s="136">
        <f t="shared" ref="AP25" si="14">SUM(AP22:AP24)</f>
        <v>0</v>
      </c>
      <c r="AQ25" s="136">
        <f t="shared" si="11"/>
        <v>0</v>
      </c>
      <c r="AR25" s="136">
        <f t="shared" si="11"/>
        <v>0</v>
      </c>
      <c r="AS25" s="136">
        <f t="shared" si="11"/>
        <v>0</v>
      </c>
      <c r="AT25" s="136">
        <f t="shared" si="11"/>
        <v>0</v>
      </c>
      <c r="AU25" s="136">
        <f t="shared" ref="AU25" si="15">SUM(AU22:AU24)</f>
        <v>0</v>
      </c>
      <c r="AV25" s="136">
        <f t="shared" si="11"/>
        <v>0</v>
      </c>
      <c r="AW25" s="136">
        <f t="shared" si="11"/>
        <v>26</v>
      </c>
      <c r="AX25" s="136">
        <f t="shared" si="11"/>
        <v>5.9</v>
      </c>
      <c r="AY25" s="136">
        <f t="shared" si="11"/>
        <v>0</v>
      </c>
      <c r="AZ25" s="136">
        <f t="shared" si="11"/>
        <v>0</v>
      </c>
      <c r="BA25" s="136">
        <f t="shared" si="11"/>
        <v>5.0330000000000004</v>
      </c>
      <c r="BB25" s="136">
        <f t="shared" si="11"/>
        <v>0</v>
      </c>
      <c r="BC25" s="136">
        <f t="shared" si="11"/>
        <v>0</v>
      </c>
      <c r="BD25" s="136">
        <f t="shared" si="11"/>
        <v>0</v>
      </c>
    </row>
    <row r="26" spans="1:56">
      <c r="B26" s="118"/>
      <c r="C26" s="118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</row>
    <row r="27" spans="1:56">
      <c r="B27" s="118" t="s">
        <v>41</v>
      </c>
      <c r="D27" s="118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</row>
    <row r="28" spans="1:56">
      <c r="A28" s="116">
        <v>9</v>
      </c>
      <c r="C28" s="118" t="s">
        <v>42</v>
      </c>
      <c r="D28" s="118"/>
      <c r="E28" s="134">
        <f>'ADJ DETAIL INPUT'!E27</f>
        <v>2062</v>
      </c>
      <c r="F28" s="134">
        <f>'ADJ DETAIL INPUT'!F27</f>
        <v>0</v>
      </c>
      <c r="G28" s="134">
        <f>'ADJ DETAIL INPUT'!G27</f>
        <v>0</v>
      </c>
      <c r="H28" s="134">
        <f>'ADJ DETAIL INPUT'!H27</f>
        <v>0</v>
      </c>
      <c r="I28" s="134">
        <f>'ADJ DETAIL INPUT'!I27</f>
        <v>0</v>
      </c>
      <c r="J28" s="134">
        <f>'ADJ DETAIL INPUT'!J27</f>
        <v>0</v>
      </c>
      <c r="K28" s="134">
        <f>'ADJ DETAIL INPUT'!K27</f>
        <v>0</v>
      </c>
      <c r="L28" s="134">
        <f>'ADJ DETAIL INPUT'!L27</f>
        <v>0</v>
      </c>
      <c r="M28" s="134">
        <f>'ADJ DETAIL INPUT'!M27</f>
        <v>0</v>
      </c>
      <c r="N28" s="134">
        <f>'ADJ DETAIL INPUT'!N27</f>
        <v>0</v>
      </c>
      <c r="O28" s="134">
        <f>'ADJ DETAIL INPUT'!O27</f>
        <v>0</v>
      </c>
      <c r="P28" s="134">
        <f>'ADJ DETAIL INPUT'!P27</f>
        <v>0</v>
      </c>
      <c r="Q28" s="134">
        <f>'ADJ DETAIL INPUT'!Q27</f>
        <v>0</v>
      </c>
      <c r="R28" s="134">
        <f>'ADJ DETAIL INPUT'!R27</f>
        <v>0</v>
      </c>
      <c r="S28" s="134">
        <f>'ADJ DETAIL INPUT'!S27</f>
        <v>0</v>
      </c>
      <c r="T28" s="134">
        <f>'ADJ DETAIL INPUT'!T27</f>
        <v>0</v>
      </c>
      <c r="U28" s="134">
        <f>'ADJ DETAIL INPUT'!U27</f>
        <v>0</v>
      </c>
      <c r="V28" s="134">
        <f>'ADJ DETAIL INPUT'!V27</f>
        <v>0</v>
      </c>
      <c r="W28" s="134">
        <f>'ADJ DETAIL INPUT'!W27</f>
        <v>0</v>
      </c>
      <c r="X28" s="134">
        <f>'ADJ DETAIL INPUT'!X27</f>
        <v>0</v>
      </c>
      <c r="Y28" s="134">
        <f>'ADJ DETAIL INPUT'!Z27</f>
        <v>0</v>
      </c>
      <c r="Z28" s="134">
        <f>'ADJ DETAIL INPUT'!AA27</f>
        <v>0</v>
      </c>
      <c r="AA28" s="134">
        <f>'ADJ DETAIL INPUT'!AB27</f>
        <v>0</v>
      </c>
      <c r="AB28" s="134">
        <f>'ADJ DETAIL INPUT'!AC27</f>
        <v>0</v>
      </c>
      <c r="AC28" s="134">
        <f>'ADJ DETAIL INPUT'!AD27</f>
        <v>0.3</v>
      </c>
      <c r="AD28" s="134">
        <f>'ADJ DETAIL INPUT'!AE27</f>
        <v>0</v>
      </c>
      <c r="AE28" s="134">
        <f>'ADJ DETAIL INPUT'!AF27</f>
        <v>0</v>
      </c>
      <c r="AF28" s="134">
        <f>'ADJ DETAIL INPUT'!AG27</f>
        <v>0</v>
      </c>
      <c r="AG28" s="134">
        <f>'ADJ DETAIL INPUT'!AH27</f>
        <v>0</v>
      </c>
      <c r="AH28" s="134">
        <f>'ADJ DETAIL INPUT'!AI27</f>
        <v>0</v>
      </c>
      <c r="AI28" s="134">
        <f>'ADJ DETAIL INPUT'!AJ27</f>
        <v>0</v>
      </c>
      <c r="AJ28" s="134">
        <f>'ADJ DETAIL INPUT'!AK27</f>
        <v>0</v>
      </c>
      <c r="AK28" s="134">
        <f>'ADJ DETAIL INPUT'!AL27</f>
        <v>0</v>
      </c>
      <c r="AL28" s="134">
        <f>'ADJ DETAIL INPUT'!AM27</f>
        <v>235.834</v>
      </c>
      <c r="AM28" s="134">
        <f>'ADJ DETAIL INPUT'!AN27</f>
        <v>0</v>
      </c>
      <c r="AN28" s="134">
        <f>'ADJ DETAIL INPUT'!AO27</f>
        <v>0</v>
      </c>
      <c r="AO28" s="134">
        <f>'ADJ DETAIL INPUT'!AP27</f>
        <v>0</v>
      </c>
      <c r="AP28" s="134">
        <f>'ADJ DETAIL INPUT'!AQ27</f>
        <v>0</v>
      </c>
      <c r="AQ28" s="134">
        <f>'ADJ DETAIL INPUT'!AR27</f>
        <v>0</v>
      </c>
      <c r="AR28" s="134">
        <f>'ADJ DETAIL INPUT'!AS27</f>
        <v>0</v>
      </c>
      <c r="AS28" s="134">
        <f>'ADJ DETAIL INPUT'!AT27</f>
        <v>0</v>
      </c>
      <c r="AT28" s="134">
        <f>'ADJ DETAIL INPUT'!AU27</f>
        <v>0</v>
      </c>
      <c r="AU28" s="134">
        <f>'ADJ DETAIL INPUT'!AY27</f>
        <v>0</v>
      </c>
      <c r="AV28" s="134">
        <f>'ADJ DETAIL INPUT'!AZ27</f>
        <v>0</v>
      </c>
      <c r="AW28" s="134">
        <f>'ADJ DETAIL INPUT'!BA27</f>
        <v>0</v>
      </c>
      <c r="AX28" s="134">
        <f>'ADJ DETAIL INPUT'!BB27</f>
        <v>0</v>
      </c>
      <c r="AY28" s="134">
        <f>'ADJ DETAIL INPUT'!BC27</f>
        <v>0</v>
      </c>
      <c r="AZ28" s="134">
        <f>'ADJ DETAIL INPUT'!BD27</f>
        <v>0</v>
      </c>
      <c r="BA28" s="134">
        <f>'ADJ DETAIL INPUT'!BE27</f>
        <v>94.334000000000003</v>
      </c>
      <c r="BB28" s="134">
        <f>'ADJ DETAIL INPUT'!BF27</f>
        <v>0</v>
      </c>
      <c r="BC28" s="134">
        <f>'ADJ DETAIL INPUT'!BG27</f>
        <v>0</v>
      </c>
      <c r="BD28" s="134">
        <f>'ADJ DETAIL INPUT'!BH27</f>
        <v>0</v>
      </c>
    </row>
    <row r="29" spans="1:56">
      <c r="A29" s="116">
        <v>10</v>
      </c>
      <c r="C29" s="118" t="s">
        <v>188</v>
      </c>
      <c r="D29" s="118"/>
      <c r="E29" s="134">
        <f>'ADJ DETAIL INPUT'!E28</f>
        <v>512</v>
      </c>
      <c r="F29" s="134">
        <f>'ADJ DETAIL INPUT'!F28</f>
        <v>0</v>
      </c>
      <c r="G29" s="134">
        <f>'ADJ DETAIL INPUT'!G28</f>
        <v>0</v>
      </c>
      <c r="H29" s="134">
        <f>'ADJ DETAIL INPUT'!H28</f>
        <v>0</v>
      </c>
      <c r="I29" s="134">
        <f>'ADJ DETAIL INPUT'!I28</f>
        <v>0</v>
      </c>
      <c r="J29" s="134">
        <f>'ADJ DETAIL INPUT'!J28</f>
        <v>0</v>
      </c>
      <c r="K29" s="134">
        <f>'ADJ DETAIL INPUT'!K28</f>
        <v>0</v>
      </c>
      <c r="L29" s="134">
        <f>'ADJ DETAIL INPUT'!L28</f>
        <v>0</v>
      </c>
      <c r="M29" s="134">
        <f>'ADJ DETAIL INPUT'!M28</f>
        <v>0</v>
      </c>
      <c r="N29" s="134">
        <f>'ADJ DETAIL INPUT'!N28</f>
        <v>0</v>
      </c>
      <c r="O29" s="134">
        <f>'ADJ DETAIL INPUT'!O28</f>
        <v>0</v>
      </c>
      <c r="P29" s="134">
        <f>'ADJ DETAIL INPUT'!P28</f>
        <v>0</v>
      </c>
      <c r="Q29" s="134">
        <f>'ADJ DETAIL INPUT'!Q28</f>
        <v>0</v>
      </c>
      <c r="R29" s="134">
        <f>'ADJ DETAIL INPUT'!R28</f>
        <v>0</v>
      </c>
      <c r="S29" s="134">
        <f>'ADJ DETAIL INPUT'!S28</f>
        <v>0</v>
      </c>
      <c r="T29" s="134">
        <f>'ADJ DETAIL INPUT'!T28</f>
        <v>0</v>
      </c>
      <c r="U29" s="134">
        <f>'ADJ DETAIL INPUT'!U28</f>
        <v>0</v>
      </c>
      <c r="V29" s="134">
        <f>'ADJ DETAIL INPUT'!V28</f>
        <v>0</v>
      </c>
      <c r="W29" s="134">
        <f>'ADJ DETAIL INPUT'!W28</f>
        <v>0</v>
      </c>
      <c r="X29" s="134">
        <f>'ADJ DETAIL INPUT'!X28</f>
        <v>0</v>
      </c>
      <c r="Y29" s="134">
        <f>'ADJ DETAIL INPUT'!Z28</f>
        <v>0</v>
      </c>
      <c r="Z29" s="134">
        <f>'ADJ DETAIL INPUT'!AA28</f>
        <v>0</v>
      </c>
      <c r="AA29" s="134">
        <f>'ADJ DETAIL INPUT'!AB28</f>
        <v>0</v>
      </c>
      <c r="AB29" s="134">
        <f>'ADJ DETAIL INPUT'!AC28</f>
        <v>0</v>
      </c>
      <c r="AC29" s="134">
        <f>'ADJ DETAIL INPUT'!AD28</f>
        <v>0</v>
      </c>
      <c r="AD29" s="134">
        <f>'ADJ DETAIL INPUT'!AE28</f>
        <v>0</v>
      </c>
      <c r="AE29" s="134">
        <f>'ADJ DETAIL INPUT'!AF28</f>
        <v>0</v>
      </c>
      <c r="AF29" s="134">
        <f>'ADJ DETAIL INPUT'!AG28</f>
        <v>0</v>
      </c>
      <c r="AG29" s="134">
        <f>'ADJ DETAIL INPUT'!AH28</f>
        <v>0</v>
      </c>
      <c r="AH29" s="134">
        <f>'ADJ DETAIL INPUT'!AI28</f>
        <v>0</v>
      </c>
      <c r="AI29" s="134">
        <f>'ADJ DETAIL INPUT'!AJ28</f>
        <v>0</v>
      </c>
      <c r="AJ29" s="134">
        <f>'ADJ DETAIL INPUT'!AK28</f>
        <v>0</v>
      </c>
      <c r="AK29" s="134">
        <f>'ADJ DETAIL INPUT'!AL28</f>
        <v>0</v>
      </c>
      <c r="AL29" s="134">
        <f>'ADJ DETAIL INPUT'!AM28</f>
        <v>0</v>
      </c>
      <c r="AM29" s="134">
        <f>'ADJ DETAIL INPUT'!AN28</f>
        <v>12</v>
      </c>
      <c r="AN29" s="134">
        <f>'ADJ DETAIL INPUT'!AO28</f>
        <v>-6.8</v>
      </c>
      <c r="AO29" s="134">
        <f>'ADJ DETAIL INPUT'!AP28</f>
        <v>27</v>
      </c>
      <c r="AP29" s="134">
        <f>'ADJ DETAIL INPUT'!AQ28</f>
        <v>0</v>
      </c>
      <c r="AQ29" s="134">
        <f>'ADJ DETAIL INPUT'!AR28</f>
        <v>0</v>
      </c>
      <c r="AR29" s="134">
        <f>'ADJ DETAIL INPUT'!AS28</f>
        <v>0</v>
      </c>
      <c r="AS29" s="134">
        <f>'ADJ DETAIL INPUT'!AT28</f>
        <v>22</v>
      </c>
      <c r="AT29" s="134">
        <f>'ADJ DETAIL INPUT'!AU28</f>
        <v>0</v>
      </c>
      <c r="AU29" s="134">
        <f>'ADJ DETAIL INPUT'!AY28</f>
        <v>0</v>
      </c>
      <c r="AV29" s="134">
        <f>'ADJ DETAIL INPUT'!AZ28</f>
        <v>0</v>
      </c>
      <c r="AW29" s="134">
        <f>'ADJ DETAIL INPUT'!BA28</f>
        <v>0</v>
      </c>
      <c r="AX29" s="134">
        <f>'ADJ DETAIL INPUT'!BB28</f>
        <v>0</v>
      </c>
      <c r="AY29" s="134">
        <f>'ADJ DETAIL INPUT'!BC28</f>
        <v>0</v>
      </c>
      <c r="AZ29" s="134">
        <f>'ADJ DETAIL INPUT'!BD28</f>
        <v>0</v>
      </c>
      <c r="BA29" s="134">
        <f>'ADJ DETAIL INPUT'!BE28</f>
        <v>0</v>
      </c>
      <c r="BB29" s="134">
        <f>'ADJ DETAIL INPUT'!BF28</f>
        <v>22</v>
      </c>
      <c r="BC29" s="134">
        <f>'ADJ DETAIL INPUT'!BG28</f>
        <v>0</v>
      </c>
      <c r="BD29" s="134">
        <f>'ADJ DETAIL INPUT'!BH28</f>
        <v>0</v>
      </c>
    </row>
    <row r="30" spans="1:56">
      <c r="A30" s="116">
        <v>11</v>
      </c>
      <c r="C30" s="118" t="s">
        <v>20</v>
      </c>
      <c r="D30" s="118"/>
      <c r="E30" s="135">
        <f>'ADJ DETAIL INPUT'!E29</f>
        <v>161</v>
      </c>
      <c r="F30" s="135">
        <f>'ADJ DETAIL INPUT'!F29</f>
        <v>0</v>
      </c>
      <c r="G30" s="135">
        <f>'ADJ DETAIL INPUT'!G29</f>
        <v>0</v>
      </c>
      <c r="H30" s="135">
        <f>'ADJ DETAIL INPUT'!H29</f>
        <v>0</v>
      </c>
      <c r="I30" s="135">
        <f>'ADJ DETAIL INPUT'!I29</f>
        <v>0</v>
      </c>
      <c r="J30" s="135">
        <f>'ADJ DETAIL INPUT'!J29</f>
        <v>32</v>
      </c>
      <c r="K30" s="135">
        <f>'ADJ DETAIL INPUT'!K29</f>
        <v>0</v>
      </c>
      <c r="L30" s="135">
        <f>'ADJ DETAIL INPUT'!L29</f>
        <v>0</v>
      </c>
      <c r="M30" s="135">
        <f>'ADJ DETAIL INPUT'!M29</f>
        <v>0</v>
      </c>
      <c r="N30" s="135">
        <f>'ADJ DETAIL INPUT'!N29</f>
        <v>0</v>
      </c>
      <c r="O30" s="135">
        <f>'ADJ DETAIL INPUT'!O29</f>
        <v>0</v>
      </c>
      <c r="P30" s="135">
        <f>'ADJ DETAIL INPUT'!P29</f>
        <v>0</v>
      </c>
      <c r="Q30" s="135">
        <f>'ADJ DETAIL INPUT'!Q29</f>
        <v>0</v>
      </c>
      <c r="R30" s="135">
        <f>'ADJ DETAIL INPUT'!R29</f>
        <v>0</v>
      </c>
      <c r="S30" s="135">
        <f>'ADJ DETAIL INPUT'!S29</f>
        <v>0</v>
      </c>
      <c r="T30" s="135">
        <f>'ADJ DETAIL INPUT'!T29</f>
        <v>0</v>
      </c>
      <c r="U30" s="135">
        <f>'ADJ DETAIL INPUT'!U29</f>
        <v>0</v>
      </c>
      <c r="V30" s="135">
        <f>'ADJ DETAIL INPUT'!V29</f>
        <v>0</v>
      </c>
      <c r="W30" s="135">
        <f>'ADJ DETAIL INPUT'!W29</f>
        <v>0</v>
      </c>
      <c r="X30" s="135">
        <f>'ADJ DETAIL INPUT'!X29</f>
        <v>0</v>
      </c>
      <c r="Y30" s="135">
        <f>'ADJ DETAIL INPUT'!Z29</f>
        <v>0</v>
      </c>
      <c r="Z30" s="135">
        <f>'ADJ DETAIL INPUT'!AA29</f>
        <v>0</v>
      </c>
      <c r="AA30" s="135">
        <f>'ADJ DETAIL INPUT'!AB29</f>
        <v>0</v>
      </c>
      <c r="AB30" s="135">
        <f>'ADJ DETAIL INPUT'!AC29</f>
        <v>0</v>
      </c>
      <c r="AC30" s="135">
        <f>'ADJ DETAIL INPUT'!AD29</f>
        <v>0</v>
      </c>
      <c r="AD30" s="135">
        <f>'ADJ DETAIL INPUT'!AE29</f>
        <v>0</v>
      </c>
      <c r="AE30" s="135">
        <f>'ADJ DETAIL INPUT'!AF29</f>
        <v>0</v>
      </c>
      <c r="AF30" s="135">
        <f>'ADJ DETAIL INPUT'!AG29</f>
        <v>0</v>
      </c>
      <c r="AG30" s="135">
        <f>'ADJ DETAIL INPUT'!AH29</f>
        <v>0</v>
      </c>
      <c r="AH30" s="135">
        <f>'ADJ DETAIL INPUT'!AI29</f>
        <v>0</v>
      </c>
      <c r="AI30" s="135">
        <f>'ADJ DETAIL INPUT'!AJ29</f>
        <v>57</v>
      </c>
      <c r="AJ30" s="135">
        <f>'ADJ DETAIL INPUT'!AK29</f>
        <v>0</v>
      </c>
      <c r="AK30" s="135">
        <f>'ADJ DETAIL INPUT'!AL29</f>
        <v>0</v>
      </c>
      <c r="AL30" s="135">
        <f>'ADJ DETAIL INPUT'!AM29</f>
        <v>0</v>
      </c>
      <c r="AM30" s="135">
        <f>'ADJ DETAIL INPUT'!AN29</f>
        <v>0</v>
      </c>
      <c r="AN30" s="135">
        <f>'ADJ DETAIL INPUT'!AO29</f>
        <v>0</v>
      </c>
      <c r="AO30" s="135">
        <f>'ADJ DETAIL INPUT'!AP29</f>
        <v>0</v>
      </c>
      <c r="AP30" s="135">
        <f>'ADJ DETAIL INPUT'!AQ29</f>
        <v>0</v>
      </c>
      <c r="AQ30" s="135">
        <f>'ADJ DETAIL INPUT'!AR29</f>
        <v>0</v>
      </c>
      <c r="AR30" s="135">
        <f>'ADJ DETAIL INPUT'!AS29</f>
        <v>0</v>
      </c>
      <c r="AS30" s="135">
        <f>'ADJ DETAIL INPUT'!AT29</f>
        <v>0</v>
      </c>
      <c r="AT30" s="135">
        <f>'ADJ DETAIL INPUT'!AU29</f>
        <v>0</v>
      </c>
      <c r="AU30" s="135">
        <f>'ADJ DETAIL INPUT'!AY29</f>
        <v>0</v>
      </c>
      <c r="AV30" s="135">
        <f>'ADJ DETAIL INPUT'!AZ29</f>
        <v>0</v>
      </c>
      <c r="AW30" s="135">
        <f>'ADJ DETAIL INPUT'!BA29</f>
        <v>0</v>
      </c>
      <c r="AX30" s="135">
        <f>'ADJ DETAIL INPUT'!BB29</f>
        <v>0</v>
      </c>
      <c r="AY30" s="135">
        <f>'ADJ DETAIL INPUT'!BC29</f>
        <v>2</v>
      </c>
      <c r="AZ30" s="135">
        <f>'ADJ DETAIL INPUT'!BD29</f>
        <v>0</v>
      </c>
      <c r="BA30" s="135">
        <f>'ADJ DETAIL INPUT'!BE29</f>
        <v>0</v>
      </c>
      <c r="BB30" s="135">
        <f>'ADJ DETAIL INPUT'!BF29</f>
        <v>0</v>
      </c>
      <c r="BC30" s="135">
        <f>'ADJ DETAIL INPUT'!BG29</f>
        <v>0</v>
      </c>
      <c r="BD30" s="135">
        <f>'ADJ DETAIL INPUT'!BH29</f>
        <v>0</v>
      </c>
    </row>
    <row r="31" spans="1:56">
      <c r="A31" s="116">
        <v>12</v>
      </c>
      <c r="B31" s="118" t="s">
        <v>44</v>
      </c>
      <c r="C31" s="118"/>
      <c r="E31" s="134">
        <f t="shared" ref="E31" si="16">SUM(E28:E30)</f>
        <v>2735</v>
      </c>
      <c r="F31" s="134">
        <f t="shared" ref="F31:R31" si="17">SUM(F28:F30)</f>
        <v>0</v>
      </c>
      <c r="G31" s="134">
        <f t="shared" si="17"/>
        <v>0</v>
      </c>
      <c r="H31" s="134">
        <f t="shared" si="17"/>
        <v>0</v>
      </c>
      <c r="I31" s="134">
        <f t="shared" si="17"/>
        <v>0</v>
      </c>
      <c r="J31" s="134">
        <f t="shared" si="17"/>
        <v>32</v>
      </c>
      <c r="K31" s="134">
        <f t="shared" si="17"/>
        <v>0</v>
      </c>
      <c r="L31" s="134">
        <f t="shared" si="17"/>
        <v>0</v>
      </c>
      <c r="M31" s="134">
        <f t="shared" si="17"/>
        <v>0</v>
      </c>
      <c r="N31" s="134">
        <f t="shared" si="17"/>
        <v>0</v>
      </c>
      <c r="O31" s="134">
        <f t="shared" si="17"/>
        <v>0</v>
      </c>
      <c r="P31" s="134">
        <f t="shared" si="17"/>
        <v>0</v>
      </c>
      <c r="Q31" s="134">
        <f t="shared" si="17"/>
        <v>0</v>
      </c>
      <c r="R31" s="134">
        <f t="shared" si="17"/>
        <v>0</v>
      </c>
      <c r="S31" s="134">
        <f t="shared" ref="S31:T31" si="18">SUM(S28:S30)</f>
        <v>0</v>
      </c>
      <c r="T31" s="134">
        <f t="shared" si="18"/>
        <v>0</v>
      </c>
      <c r="U31" s="134">
        <f t="shared" ref="U31" si="19">SUM(U28:U30)</f>
        <v>0</v>
      </c>
      <c r="V31" s="134">
        <f>SUM(V28:V30)</f>
        <v>0</v>
      </c>
      <c r="W31" s="134">
        <f>SUM(W28:W30)</f>
        <v>0</v>
      </c>
      <c r="X31" s="134">
        <f>SUM(X28:X30)</f>
        <v>0</v>
      </c>
      <c r="Y31" s="134">
        <f>SUM(Y28:Y30)</f>
        <v>0</v>
      </c>
      <c r="Z31" s="134">
        <f t="shared" ref="Z31:BD31" si="20">SUM(Z28:Z30)</f>
        <v>0</v>
      </c>
      <c r="AA31" s="134">
        <f t="shared" si="20"/>
        <v>0</v>
      </c>
      <c r="AB31" s="134">
        <f t="shared" si="20"/>
        <v>0</v>
      </c>
      <c r="AC31" s="134">
        <f t="shared" si="20"/>
        <v>0.3</v>
      </c>
      <c r="AD31" s="134">
        <f t="shared" si="20"/>
        <v>0</v>
      </c>
      <c r="AE31" s="134">
        <f t="shared" si="20"/>
        <v>0</v>
      </c>
      <c r="AF31" s="134">
        <f t="shared" ref="AF31" si="21">SUM(AF28:AF30)</f>
        <v>0</v>
      </c>
      <c r="AG31" s="134">
        <f t="shared" si="20"/>
        <v>0</v>
      </c>
      <c r="AH31" s="134">
        <f t="shared" si="20"/>
        <v>0</v>
      </c>
      <c r="AI31" s="134">
        <f t="shared" si="20"/>
        <v>57</v>
      </c>
      <c r="AJ31" s="134">
        <f t="shared" si="20"/>
        <v>0</v>
      </c>
      <c r="AK31" s="134">
        <f t="shared" si="20"/>
        <v>0</v>
      </c>
      <c r="AL31" s="134">
        <f t="shared" si="20"/>
        <v>235.834</v>
      </c>
      <c r="AM31" s="134">
        <f t="shared" si="20"/>
        <v>12</v>
      </c>
      <c r="AN31" s="134">
        <f t="shared" ref="AN31:AO31" si="22">SUM(AN28:AN30)</f>
        <v>-6.8</v>
      </c>
      <c r="AO31" s="134">
        <f t="shared" si="22"/>
        <v>27</v>
      </c>
      <c r="AP31" s="134">
        <f t="shared" ref="AP31" si="23">SUM(AP28:AP30)</f>
        <v>0</v>
      </c>
      <c r="AQ31" s="134">
        <f t="shared" si="20"/>
        <v>0</v>
      </c>
      <c r="AR31" s="134">
        <f t="shared" si="20"/>
        <v>0</v>
      </c>
      <c r="AS31" s="134">
        <f t="shared" si="20"/>
        <v>22</v>
      </c>
      <c r="AT31" s="134">
        <f t="shared" si="20"/>
        <v>0</v>
      </c>
      <c r="AU31" s="134">
        <f t="shared" ref="AU31" si="24">SUM(AU28:AU30)</f>
        <v>0</v>
      </c>
      <c r="AV31" s="134">
        <f t="shared" si="20"/>
        <v>0</v>
      </c>
      <c r="AW31" s="134">
        <f t="shared" si="20"/>
        <v>0</v>
      </c>
      <c r="AX31" s="134">
        <f t="shared" si="20"/>
        <v>0</v>
      </c>
      <c r="AY31" s="134">
        <f t="shared" si="20"/>
        <v>2</v>
      </c>
      <c r="AZ31" s="134">
        <f t="shared" si="20"/>
        <v>0</v>
      </c>
      <c r="BA31" s="134">
        <f t="shared" si="20"/>
        <v>94.334000000000003</v>
      </c>
      <c r="BB31" s="134">
        <f t="shared" si="20"/>
        <v>22</v>
      </c>
      <c r="BC31" s="134">
        <f t="shared" si="20"/>
        <v>0</v>
      </c>
      <c r="BD31" s="134">
        <f t="shared" si="20"/>
        <v>0</v>
      </c>
    </row>
    <row r="32" spans="1:56">
      <c r="B32" s="118"/>
      <c r="C32" s="118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</row>
    <row r="33" spans="1:56">
      <c r="B33" s="118" t="s">
        <v>45</v>
      </c>
      <c r="D33" s="118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</row>
    <row r="34" spans="1:56">
      <c r="A34" s="116">
        <v>13</v>
      </c>
      <c r="C34" s="118" t="s">
        <v>42</v>
      </c>
      <c r="D34" s="118"/>
      <c r="E34" s="134">
        <f>'ADJ DETAIL INPUT'!E33</f>
        <v>12916</v>
      </c>
      <c r="F34" s="134">
        <f>'ADJ DETAIL INPUT'!F33</f>
        <v>0</v>
      </c>
      <c r="G34" s="134">
        <f>'ADJ DETAIL INPUT'!G33</f>
        <v>0</v>
      </c>
      <c r="H34" s="134">
        <f>'ADJ DETAIL INPUT'!H33</f>
        <v>0</v>
      </c>
      <c r="I34" s="134">
        <f>'ADJ DETAIL INPUT'!I33</f>
        <v>0</v>
      </c>
      <c r="J34" s="134">
        <f>'ADJ DETAIL INPUT'!J33</f>
        <v>0</v>
      </c>
      <c r="K34" s="134">
        <f>'ADJ DETAIL INPUT'!K33</f>
        <v>0</v>
      </c>
      <c r="L34" s="134">
        <f>'ADJ DETAIL INPUT'!L33</f>
        <v>0</v>
      </c>
      <c r="M34" s="134">
        <f>'ADJ DETAIL INPUT'!M33</f>
        <v>0</v>
      </c>
      <c r="N34" s="134">
        <f>'ADJ DETAIL INPUT'!N33</f>
        <v>0</v>
      </c>
      <c r="O34" s="134">
        <f>'ADJ DETAIL INPUT'!O33</f>
        <v>0</v>
      </c>
      <c r="P34" s="134">
        <f>'ADJ DETAIL INPUT'!P33</f>
        <v>0</v>
      </c>
      <c r="Q34" s="134">
        <f>'ADJ DETAIL INPUT'!Q33</f>
        <v>0</v>
      </c>
      <c r="R34" s="134">
        <f>'ADJ DETAIL INPUT'!R33</f>
        <v>0</v>
      </c>
      <c r="S34" s="134">
        <f>'ADJ DETAIL INPUT'!S33</f>
        <v>0</v>
      </c>
      <c r="T34" s="134">
        <f>'ADJ DETAIL INPUT'!T33</f>
        <v>-5</v>
      </c>
      <c r="U34" s="134">
        <f>'ADJ DETAIL INPUT'!U33</f>
        <v>0</v>
      </c>
      <c r="V34" s="134">
        <f>'ADJ DETAIL INPUT'!V33</f>
        <v>0</v>
      </c>
      <c r="W34" s="134">
        <f>'ADJ DETAIL INPUT'!W33</f>
        <v>0</v>
      </c>
      <c r="X34" s="134">
        <f>'ADJ DETAIL INPUT'!X33</f>
        <v>0</v>
      </c>
      <c r="Y34" s="134">
        <f>'ADJ DETAIL INPUT'!Z33</f>
        <v>0</v>
      </c>
      <c r="Z34" s="134">
        <f>'ADJ DETAIL INPUT'!AA33</f>
        <v>0</v>
      </c>
      <c r="AA34" s="134">
        <f>'ADJ DETAIL INPUT'!AB33</f>
        <v>0</v>
      </c>
      <c r="AB34" s="134">
        <f>'ADJ DETAIL INPUT'!AC33</f>
        <v>-691</v>
      </c>
      <c r="AC34" s="134">
        <f>'ADJ DETAIL INPUT'!AD33</f>
        <v>815.1</v>
      </c>
      <c r="AD34" s="134">
        <f>'ADJ DETAIL INPUT'!AE33</f>
        <v>0</v>
      </c>
      <c r="AE34" s="134">
        <f>'ADJ DETAIL INPUT'!AF33</f>
        <v>18.399999999999999</v>
      </c>
      <c r="AF34" s="134">
        <f>'ADJ DETAIL INPUT'!AG33</f>
        <v>0</v>
      </c>
      <c r="AG34" s="134">
        <f>'ADJ DETAIL INPUT'!AH33</f>
        <v>0</v>
      </c>
      <c r="AH34" s="134">
        <f>'ADJ DETAIL INPUT'!AI33</f>
        <v>0</v>
      </c>
      <c r="AI34" s="134">
        <f>'ADJ DETAIL INPUT'!AJ33</f>
        <v>0</v>
      </c>
      <c r="AJ34" s="134">
        <f>'ADJ DETAIL INPUT'!AK33</f>
        <v>0</v>
      </c>
      <c r="AK34" s="134">
        <f>'ADJ DETAIL INPUT'!AL33</f>
        <v>0</v>
      </c>
      <c r="AL34" s="134">
        <f>'ADJ DETAIL INPUT'!AM33</f>
        <v>580.36699999999996</v>
      </c>
      <c r="AM34" s="134">
        <f>'ADJ DETAIL INPUT'!AN33</f>
        <v>0</v>
      </c>
      <c r="AN34" s="134">
        <f>'ADJ DETAIL INPUT'!AO33</f>
        <v>0</v>
      </c>
      <c r="AO34" s="134">
        <f>'ADJ DETAIL INPUT'!AP33</f>
        <v>0</v>
      </c>
      <c r="AP34" s="134">
        <f>'ADJ DETAIL INPUT'!AQ33</f>
        <v>0</v>
      </c>
      <c r="AQ34" s="134">
        <f>'ADJ DETAIL INPUT'!AR33</f>
        <v>0</v>
      </c>
      <c r="AR34" s="134">
        <f>'ADJ DETAIL INPUT'!AS33</f>
        <v>0</v>
      </c>
      <c r="AS34" s="134">
        <f>'ADJ DETAIL INPUT'!AT33</f>
        <v>0</v>
      </c>
      <c r="AT34" s="134">
        <f>'ADJ DETAIL INPUT'!AU33</f>
        <v>-190.31200000000001</v>
      </c>
      <c r="AU34" s="134">
        <f>'ADJ DETAIL INPUT'!AY33</f>
        <v>0</v>
      </c>
      <c r="AV34" s="134">
        <f>'ADJ DETAIL INPUT'!AZ33</f>
        <v>-105</v>
      </c>
      <c r="AW34" s="134">
        <f>'ADJ DETAIL INPUT'!BA33</f>
        <v>345.2</v>
      </c>
      <c r="AX34" s="134">
        <f>'ADJ DETAIL INPUT'!BB33</f>
        <v>64.599999999999994</v>
      </c>
      <c r="AY34" s="134">
        <f>'ADJ DETAIL INPUT'!BC33</f>
        <v>0</v>
      </c>
      <c r="AZ34" s="134">
        <f>'ADJ DETAIL INPUT'!BD33</f>
        <v>0</v>
      </c>
      <c r="BA34" s="134">
        <f>'ADJ DETAIL INPUT'!BE33</f>
        <v>232.14699999999999</v>
      </c>
      <c r="BB34" s="134">
        <f>'ADJ DETAIL INPUT'!BF33</f>
        <v>0</v>
      </c>
      <c r="BC34" s="134">
        <f>'ADJ DETAIL INPUT'!BG33</f>
        <v>-70.043999999999997</v>
      </c>
      <c r="BD34" s="134">
        <f>'ADJ DETAIL INPUT'!BH33</f>
        <v>0</v>
      </c>
    </row>
    <row r="35" spans="1:56">
      <c r="A35" s="116">
        <v>14</v>
      </c>
      <c r="C35" s="118" t="s">
        <v>188</v>
      </c>
      <c r="D35" s="118"/>
      <c r="E35" s="136">
        <f>'ADJ DETAIL INPUT'!E34</f>
        <v>16440</v>
      </c>
      <c r="F35" s="136">
        <f>'ADJ DETAIL INPUT'!F34</f>
        <v>0</v>
      </c>
      <c r="G35" s="136">
        <f>'ADJ DETAIL INPUT'!G34</f>
        <v>0</v>
      </c>
      <c r="H35" s="136">
        <f>'ADJ DETAIL INPUT'!H34</f>
        <v>0</v>
      </c>
      <c r="I35" s="136">
        <f>'ADJ DETAIL INPUT'!I34</f>
        <v>0</v>
      </c>
      <c r="J35" s="136">
        <f>'ADJ DETAIL INPUT'!J34</f>
        <v>0</v>
      </c>
      <c r="K35" s="136">
        <f>'ADJ DETAIL INPUT'!K34</f>
        <v>0</v>
      </c>
      <c r="L35" s="136">
        <f>'ADJ DETAIL INPUT'!L34</f>
        <v>0</v>
      </c>
      <c r="M35" s="136">
        <f>'ADJ DETAIL INPUT'!M34</f>
        <v>0</v>
      </c>
      <c r="N35" s="136">
        <f>'ADJ DETAIL INPUT'!N34</f>
        <v>0</v>
      </c>
      <c r="O35" s="136">
        <f>'ADJ DETAIL INPUT'!O34</f>
        <v>0</v>
      </c>
      <c r="P35" s="136">
        <f>'ADJ DETAIL INPUT'!P34</f>
        <v>0</v>
      </c>
      <c r="Q35" s="136">
        <f>'ADJ DETAIL INPUT'!Q34</f>
        <v>-11</v>
      </c>
      <c r="R35" s="136">
        <f>'ADJ DETAIL INPUT'!R34</f>
        <v>0</v>
      </c>
      <c r="S35" s="136">
        <f>'ADJ DETAIL INPUT'!S34</f>
        <v>0</v>
      </c>
      <c r="T35" s="136">
        <f>'ADJ DETAIL INPUT'!T34</f>
        <v>0</v>
      </c>
      <c r="U35" s="136">
        <f>'ADJ DETAIL INPUT'!U34</f>
        <v>0</v>
      </c>
      <c r="V35" s="136">
        <f>'ADJ DETAIL INPUT'!V34</f>
        <v>0</v>
      </c>
      <c r="W35" s="136">
        <f>'ADJ DETAIL INPUT'!W34</f>
        <v>0</v>
      </c>
      <c r="X35" s="136">
        <f>'ADJ DETAIL INPUT'!X34</f>
        <v>0</v>
      </c>
      <c r="Y35" s="136">
        <f>'ADJ DETAIL INPUT'!Z34</f>
        <v>0</v>
      </c>
      <c r="Z35" s="136">
        <f>'ADJ DETAIL INPUT'!AA34</f>
        <v>0</v>
      </c>
      <c r="AA35" s="136">
        <f>'ADJ DETAIL INPUT'!AB34</f>
        <v>0</v>
      </c>
      <c r="AB35" s="136">
        <f>'ADJ DETAIL INPUT'!AC34</f>
        <v>0</v>
      </c>
      <c r="AC35" s="136">
        <f>'ADJ DETAIL INPUT'!AD34</f>
        <v>0</v>
      </c>
      <c r="AD35" s="136">
        <f>'ADJ DETAIL INPUT'!AE34</f>
        <v>0</v>
      </c>
      <c r="AE35" s="136">
        <f>'ADJ DETAIL INPUT'!AF34</f>
        <v>0</v>
      </c>
      <c r="AF35" s="136">
        <f>'ADJ DETAIL INPUT'!AG34</f>
        <v>0</v>
      </c>
      <c r="AG35" s="136">
        <f>'ADJ DETAIL INPUT'!AH34</f>
        <v>0</v>
      </c>
      <c r="AH35" s="136">
        <f>'ADJ DETAIL INPUT'!AI34</f>
        <v>0</v>
      </c>
      <c r="AI35" s="136">
        <f>'ADJ DETAIL INPUT'!AJ34</f>
        <v>0</v>
      </c>
      <c r="AJ35" s="136">
        <f>'ADJ DETAIL INPUT'!AK34</f>
        <v>0</v>
      </c>
      <c r="AK35" s="136">
        <f>'ADJ DETAIL INPUT'!AL34</f>
        <v>0</v>
      </c>
      <c r="AL35" s="136">
        <f>'ADJ DETAIL INPUT'!AM34</f>
        <v>0</v>
      </c>
      <c r="AM35" s="136">
        <f>'ADJ DETAIL INPUT'!AN34</f>
        <v>633</v>
      </c>
      <c r="AN35" s="136">
        <f>'ADJ DETAIL INPUT'!AO34</f>
        <v>-433.7</v>
      </c>
      <c r="AO35" s="136">
        <f>'ADJ DETAIL INPUT'!AP34</f>
        <v>963</v>
      </c>
      <c r="AP35" s="136">
        <f>'ADJ DETAIL INPUT'!AQ34</f>
        <v>0</v>
      </c>
      <c r="AQ35" s="136">
        <f>'ADJ DETAIL INPUT'!AR34</f>
        <v>0</v>
      </c>
      <c r="AR35" s="136">
        <f>'ADJ DETAIL INPUT'!AS34</f>
        <v>0</v>
      </c>
      <c r="AS35" s="136">
        <f>'ADJ DETAIL INPUT'!AT34</f>
        <v>903</v>
      </c>
      <c r="AT35" s="136">
        <f>'ADJ DETAIL INPUT'!AU34</f>
        <v>0</v>
      </c>
      <c r="AU35" s="136">
        <f>'ADJ DETAIL INPUT'!AY34</f>
        <v>0</v>
      </c>
      <c r="AV35" s="136">
        <f>'ADJ DETAIL INPUT'!AZ34</f>
        <v>0</v>
      </c>
      <c r="AW35" s="136">
        <f>'ADJ DETAIL INPUT'!BA34</f>
        <v>0</v>
      </c>
      <c r="AX35" s="136">
        <f>'ADJ DETAIL INPUT'!BB34</f>
        <v>0</v>
      </c>
      <c r="AY35" s="136">
        <f>'ADJ DETAIL INPUT'!BC34</f>
        <v>0</v>
      </c>
      <c r="AZ35" s="136">
        <f>'ADJ DETAIL INPUT'!BD34</f>
        <v>0</v>
      </c>
      <c r="BA35" s="136">
        <f>'ADJ DETAIL INPUT'!BE34</f>
        <v>0</v>
      </c>
      <c r="BB35" s="136">
        <f>'ADJ DETAIL INPUT'!BF34</f>
        <v>823</v>
      </c>
      <c r="BC35" s="136">
        <f>'ADJ DETAIL INPUT'!BG34</f>
        <v>0</v>
      </c>
      <c r="BD35" s="136">
        <f>'ADJ DETAIL INPUT'!BH34</f>
        <v>0</v>
      </c>
    </row>
    <row r="36" spans="1:56">
      <c r="A36" s="116">
        <v>15</v>
      </c>
      <c r="C36" s="118" t="s">
        <v>20</v>
      </c>
      <c r="D36" s="118"/>
      <c r="E36" s="135">
        <f>'ADJ DETAIL INPUT'!E35</f>
        <v>21003</v>
      </c>
      <c r="F36" s="135">
        <f>'ADJ DETAIL INPUT'!F35</f>
        <v>0</v>
      </c>
      <c r="G36" s="135">
        <f>'ADJ DETAIL INPUT'!G35</f>
        <v>0</v>
      </c>
      <c r="H36" s="135">
        <f>'ADJ DETAIL INPUT'!H35</f>
        <v>0</v>
      </c>
      <c r="I36" s="135">
        <f>'ADJ DETAIL INPUT'!I35</f>
        <v>-8688</v>
      </c>
      <c r="J36" s="135">
        <f>'ADJ DETAIL INPUT'!J35</f>
        <v>256</v>
      </c>
      <c r="K36" s="135">
        <f>'ADJ DETAIL INPUT'!K35</f>
        <v>0</v>
      </c>
      <c r="L36" s="135">
        <f>'ADJ DETAIL INPUT'!L35</f>
        <v>0</v>
      </c>
      <c r="M36" s="135">
        <f>'ADJ DETAIL INPUT'!M35</f>
        <v>0</v>
      </c>
      <c r="N36" s="135">
        <f>'ADJ DETAIL INPUT'!N35</f>
        <v>0</v>
      </c>
      <c r="O36" s="135">
        <f>'ADJ DETAIL INPUT'!O35</f>
        <v>0</v>
      </c>
      <c r="P36" s="135">
        <f>'ADJ DETAIL INPUT'!P35</f>
        <v>-4</v>
      </c>
      <c r="Q36" s="135">
        <f>'ADJ DETAIL INPUT'!Q35</f>
        <v>0</v>
      </c>
      <c r="R36" s="135">
        <f>'ADJ DETAIL INPUT'!R35</f>
        <v>1</v>
      </c>
      <c r="S36" s="135">
        <f>'ADJ DETAIL INPUT'!S35</f>
        <v>-1022</v>
      </c>
      <c r="T36" s="135">
        <f>'ADJ DETAIL INPUT'!T35</f>
        <v>0</v>
      </c>
      <c r="U36" s="135">
        <f>'ADJ DETAIL INPUT'!U35</f>
        <v>0</v>
      </c>
      <c r="V36" s="135">
        <f>'ADJ DETAIL INPUT'!V35</f>
        <v>0</v>
      </c>
      <c r="W36" s="135">
        <f>'ADJ DETAIL INPUT'!W35</f>
        <v>0</v>
      </c>
      <c r="X36" s="135">
        <f>'ADJ DETAIL INPUT'!X35</f>
        <v>0</v>
      </c>
      <c r="Y36" s="135">
        <f>'ADJ DETAIL INPUT'!Z35</f>
        <v>-3429</v>
      </c>
      <c r="Z36" s="135">
        <f>'ADJ DETAIL INPUT'!AA35</f>
        <v>0</v>
      </c>
      <c r="AA36" s="135">
        <f>'ADJ DETAIL INPUT'!AB35</f>
        <v>0</v>
      </c>
      <c r="AB36" s="135">
        <f>'ADJ DETAIL INPUT'!AC35</f>
        <v>0</v>
      </c>
      <c r="AC36" s="135">
        <f>'ADJ DETAIL INPUT'!AD35</f>
        <v>0</v>
      </c>
      <c r="AD36" s="135">
        <f>'ADJ DETAIL INPUT'!AE35</f>
        <v>0</v>
      </c>
      <c r="AE36" s="135">
        <f>'ADJ DETAIL INPUT'!AF35</f>
        <v>0</v>
      </c>
      <c r="AF36" s="135">
        <f>'ADJ DETAIL INPUT'!AG35</f>
        <v>0</v>
      </c>
      <c r="AG36" s="135">
        <f>'ADJ DETAIL INPUT'!AH35</f>
        <v>0</v>
      </c>
      <c r="AH36" s="135">
        <f>'ADJ DETAIL INPUT'!AI35</f>
        <v>0</v>
      </c>
      <c r="AI36" s="135">
        <f>'ADJ DETAIL INPUT'!AJ35</f>
        <v>889</v>
      </c>
      <c r="AJ36" s="135">
        <f>'ADJ DETAIL INPUT'!AK35</f>
        <v>0</v>
      </c>
      <c r="AK36" s="135">
        <f>'ADJ DETAIL INPUT'!AL35</f>
        <v>0</v>
      </c>
      <c r="AL36" s="135">
        <f>'ADJ DETAIL INPUT'!AM35</f>
        <v>0</v>
      </c>
      <c r="AM36" s="135">
        <f>'ADJ DETAIL INPUT'!AN35</f>
        <v>0</v>
      </c>
      <c r="AN36" s="135">
        <f>'ADJ DETAIL INPUT'!AO35</f>
        <v>0</v>
      </c>
      <c r="AO36" s="135">
        <f>'ADJ DETAIL INPUT'!AP35</f>
        <v>0</v>
      </c>
      <c r="AP36" s="135">
        <f>'ADJ DETAIL INPUT'!AQ35</f>
        <v>0</v>
      </c>
      <c r="AQ36" s="135">
        <f>'ADJ DETAIL INPUT'!AR35</f>
        <v>0</v>
      </c>
      <c r="AR36" s="135">
        <f>'ADJ DETAIL INPUT'!AS35</f>
        <v>0</v>
      </c>
      <c r="AS36" s="135">
        <f>'ADJ DETAIL INPUT'!AT35</f>
        <v>0</v>
      </c>
      <c r="AT36" s="135">
        <f>'ADJ DETAIL INPUT'!AU35</f>
        <v>0</v>
      </c>
      <c r="AU36" s="135">
        <f>'ADJ DETAIL INPUT'!AY35</f>
        <v>0</v>
      </c>
      <c r="AV36" s="135">
        <f>'ADJ DETAIL INPUT'!AZ35</f>
        <v>0</v>
      </c>
      <c r="AW36" s="135">
        <f>'ADJ DETAIL INPUT'!BA35</f>
        <v>0</v>
      </c>
      <c r="AX36" s="135">
        <f>'ADJ DETAIL INPUT'!BB35</f>
        <v>0</v>
      </c>
      <c r="AY36" s="135">
        <f>'ADJ DETAIL INPUT'!BC35</f>
        <v>28</v>
      </c>
      <c r="AZ36" s="135">
        <f>'ADJ DETAIL INPUT'!BD35</f>
        <v>0</v>
      </c>
      <c r="BA36" s="135">
        <f>'ADJ DETAIL INPUT'!BE35</f>
        <v>0</v>
      </c>
      <c r="BB36" s="135">
        <f>'ADJ DETAIL INPUT'!BF35</f>
        <v>0</v>
      </c>
      <c r="BC36" s="135">
        <f>'ADJ DETAIL INPUT'!BG35</f>
        <v>0</v>
      </c>
      <c r="BD36" s="135">
        <f>'ADJ DETAIL INPUT'!BH35</f>
        <v>0</v>
      </c>
    </row>
    <row r="37" spans="1:56" ht="13.2" customHeight="1">
      <c r="A37" s="116">
        <v>16</v>
      </c>
      <c r="B37" s="118" t="s">
        <v>46</v>
      </c>
      <c r="C37" s="118"/>
      <c r="E37" s="134">
        <f t="shared" ref="E37" si="25">SUM(E34:E36)</f>
        <v>50359</v>
      </c>
      <c r="F37" s="134">
        <f t="shared" ref="F37:R37" si="26">SUM(F34:F36)</f>
        <v>0</v>
      </c>
      <c r="G37" s="134">
        <f t="shared" si="26"/>
        <v>0</v>
      </c>
      <c r="H37" s="134">
        <f t="shared" si="26"/>
        <v>0</v>
      </c>
      <c r="I37" s="134">
        <f t="shared" si="26"/>
        <v>-8688</v>
      </c>
      <c r="J37" s="134">
        <f t="shared" si="26"/>
        <v>256</v>
      </c>
      <c r="K37" s="134">
        <f t="shared" si="26"/>
        <v>0</v>
      </c>
      <c r="L37" s="134">
        <f t="shared" si="26"/>
        <v>0</v>
      </c>
      <c r="M37" s="134">
        <f t="shared" si="26"/>
        <v>0</v>
      </c>
      <c r="N37" s="134">
        <f t="shared" si="26"/>
        <v>0</v>
      </c>
      <c r="O37" s="134">
        <f t="shared" si="26"/>
        <v>0</v>
      </c>
      <c r="P37" s="134">
        <f t="shared" si="26"/>
        <v>-4</v>
      </c>
      <c r="Q37" s="134">
        <f t="shared" si="26"/>
        <v>-11</v>
      </c>
      <c r="R37" s="134">
        <f t="shared" si="26"/>
        <v>1</v>
      </c>
      <c r="S37" s="134">
        <f t="shared" ref="S37:T37" si="27">SUM(S34:S36)</f>
        <v>-1022</v>
      </c>
      <c r="T37" s="134">
        <f t="shared" si="27"/>
        <v>-5</v>
      </c>
      <c r="U37" s="134">
        <f t="shared" ref="U37" si="28">SUM(U34:U36)</f>
        <v>0</v>
      </c>
      <c r="V37" s="134">
        <f>SUM(V34:V36)</f>
        <v>0</v>
      </c>
      <c r="W37" s="134">
        <f>SUM(W34:W36)</f>
        <v>0</v>
      </c>
      <c r="X37" s="134">
        <f>SUM(X34:X36)</f>
        <v>0</v>
      </c>
      <c r="Y37" s="134">
        <f>SUM(Y34:Y36)</f>
        <v>-3429</v>
      </c>
      <c r="Z37" s="134">
        <f t="shared" ref="Z37:BD37" si="29">SUM(Z34:Z36)</f>
        <v>0</v>
      </c>
      <c r="AA37" s="134">
        <f t="shared" si="29"/>
        <v>0</v>
      </c>
      <c r="AB37" s="134">
        <f t="shared" si="29"/>
        <v>-691</v>
      </c>
      <c r="AC37" s="134">
        <f t="shared" si="29"/>
        <v>815.1</v>
      </c>
      <c r="AD37" s="134">
        <f t="shared" si="29"/>
        <v>0</v>
      </c>
      <c r="AE37" s="134">
        <f t="shared" si="29"/>
        <v>18.399999999999999</v>
      </c>
      <c r="AF37" s="134">
        <f t="shared" ref="AF37" si="30">SUM(AF34:AF36)</f>
        <v>0</v>
      </c>
      <c r="AG37" s="134">
        <f t="shared" si="29"/>
        <v>0</v>
      </c>
      <c r="AH37" s="134">
        <f t="shared" si="29"/>
        <v>0</v>
      </c>
      <c r="AI37" s="134">
        <f t="shared" si="29"/>
        <v>889</v>
      </c>
      <c r="AJ37" s="134">
        <f t="shared" si="29"/>
        <v>0</v>
      </c>
      <c r="AK37" s="134">
        <f t="shared" si="29"/>
        <v>0</v>
      </c>
      <c r="AL37" s="134">
        <f t="shared" si="29"/>
        <v>580.36699999999996</v>
      </c>
      <c r="AM37" s="134">
        <f t="shared" si="29"/>
        <v>633</v>
      </c>
      <c r="AN37" s="134">
        <f t="shared" ref="AN37:AO37" si="31">SUM(AN34:AN36)</f>
        <v>-433.7</v>
      </c>
      <c r="AO37" s="134">
        <f t="shared" si="31"/>
        <v>963</v>
      </c>
      <c r="AP37" s="134">
        <f t="shared" ref="AP37" si="32">SUM(AP34:AP36)</f>
        <v>0</v>
      </c>
      <c r="AQ37" s="134">
        <f t="shared" si="29"/>
        <v>0</v>
      </c>
      <c r="AR37" s="134">
        <f t="shared" si="29"/>
        <v>0</v>
      </c>
      <c r="AS37" s="134">
        <f t="shared" si="29"/>
        <v>903</v>
      </c>
      <c r="AT37" s="134">
        <f t="shared" si="29"/>
        <v>-190.31200000000001</v>
      </c>
      <c r="AU37" s="134">
        <f t="shared" ref="AU37" si="33">SUM(AU34:AU36)</f>
        <v>0</v>
      </c>
      <c r="AV37" s="134">
        <f t="shared" si="29"/>
        <v>-105</v>
      </c>
      <c r="AW37" s="134">
        <f t="shared" si="29"/>
        <v>345.2</v>
      </c>
      <c r="AX37" s="134">
        <f t="shared" si="29"/>
        <v>64.599999999999994</v>
      </c>
      <c r="AY37" s="134">
        <f t="shared" si="29"/>
        <v>28</v>
      </c>
      <c r="AZ37" s="134">
        <f t="shared" si="29"/>
        <v>0</v>
      </c>
      <c r="BA37" s="134">
        <f t="shared" si="29"/>
        <v>232.14699999999999</v>
      </c>
      <c r="BB37" s="134">
        <f t="shared" si="29"/>
        <v>823</v>
      </c>
      <c r="BC37" s="134">
        <f t="shared" si="29"/>
        <v>-70.043999999999997</v>
      </c>
      <c r="BD37" s="134">
        <f t="shared" si="29"/>
        <v>0</v>
      </c>
    </row>
    <row r="38" spans="1:56" ht="13.2" customHeight="1">
      <c r="C38" s="118"/>
      <c r="D38" s="118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</row>
    <row r="39" spans="1:56" ht="13.2" customHeight="1">
      <c r="A39" s="116">
        <v>17</v>
      </c>
      <c r="B39" s="92" t="s">
        <v>47</v>
      </c>
      <c r="C39" s="118"/>
      <c r="D39" s="118"/>
      <c r="E39" s="134">
        <f>'ADJ DETAIL INPUT'!E38</f>
        <v>3993</v>
      </c>
      <c r="F39" s="134">
        <f>'ADJ DETAIL INPUT'!F38</f>
        <v>0</v>
      </c>
      <c r="G39" s="134">
        <f>'ADJ DETAIL INPUT'!G38</f>
        <v>0</v>
      </c>
      <c r="H39" s="134">
        <f>'ADJ DETAIL INPUT'!H38</f>
        <v>0</v>
      </c>
      <c r="I39" s="134">
        <f>'ADJ DETAIL INPUT'!I38</f>
        <v>0</v>
      </c>
      <c r="J39" s="134">
        <f>'ADJ DETAIL INPUT'!J38</f>
        <v>0</v>
      </c>
      <c r="K39" s="134">
        <f>'ADJ DETAIL INPUT'!K38</f>
        <v>927</v>
      </c>
      <c r="L39" s="134">
        <f>'ADJ DETAIL INPUT'!L38</f>
        <v>0</v>
      </c>
      <c r="M39" s="134">
        <f>'ADJ DETAIL INPUT'!M38</f>
        <v>0</v>
      </c>
      <c r="N39" s="134">
        <f>'ADJ DETAIL INPUT'!N38</f>
        <v>0</v>
      </c>
      <c r="O39" s="134">
        <f>'ADJ DETAIL INPUT'!O38</f>
        <v>0</v>
      </c>
      <c r="P39" s="134">
        <f>'ADJ DETAIL INPUT'!P38</f>
        <v>0</v>
      </c>
      <c r="Q39" s="134">
        <f>'ADJ DETAIL INPUT'!Q38</f>
        <v>0</v>
      </c>
      <c r="R39" s="134">
        <f>'ADJ DETAIL INPUT'!R38</f>
        <v>0</v>
      </c>
      <c r="S39" s="134">
        <f>'ADJ DETAIL INPUT'!S38</f>
        <v>-132</v>
      </c>
      <c r="T39" s="134">
        <f>'ADJ DETAIL INPUT'!T38</f>
        <v>0</v>
      </c>
      <c r="U39" s="134">
        <f>'ADJ DETAIL INPUT'!U38</f>
        <v>0</v>
      </c>
      <c r="V39" s="134">
        <f>'ADJ DETAIL INPUT'!V38</f>
        <v>0</v>
      </c>
      <c r="W39" s="134">
        <f>'ADJ DETAIL INPUT'!W38</f>
        <v>0</v>
      </c>
      <c r="X39" s="134">
        <f>'ADJ DETAIL INPUT'!X38</f>
        <v>0</v>
      </c>
      <c r="Y39" s="134">
        <f>'ADJ DETAIL INPUT'!Z38</f>
        <v>-443</v>
      </c>
      <c r="Z39" s="134">
        <f>'ADJ DETAIL INPUT'!AA38</f>
        <v>0</v>
      </c>
      <c r="AA39" s="134">
        <f>'ADJ DETAIL INPUT'!AB38</f>
        <v>0</v>
      </c>
      <c r="AB39" s="134">
        <f>'ADJ DETAIL INPUT'!AC38</f>
        <v>0</v>
      </c>
      <c r="AC39" s="134">
        <f>'ADJ DETAIL INPUT'!AD38</f>
        <v>273.7</v>
      </c>
      <c r="AD39" s="134">
        <f>'ADJ DETAIL INPUT'!AE38</f>
        <v>0</v>
      </c>
      <c r="AE39" s="134">
        <f>'ADJ DETAIL INPUT'!AF38</f>
        <v>6.3</v>
      </c>
      <c r="AF39" s="134">
        <f>'ADJ DETAIL INPUT'!AG38</f>
        <v>0</v>
      </c>
      <c r="AG39" s="134">
        <f>'ADJ DETAIL INPUT'!AH38</f>
        <v>0</v>
      </c>
      <c r="AH39" s="134">
        <f>'ADJ DETAIL INPUT'!AI38</f>
        <v>0</v>
      </c>
      <c r="AI39" s="134">
        <f>'ADJ DETAIL INPUT'!AJ38</f>
        <v>0</v>
      </c>
      <c r="AJ39" s="134">
        <f>'ADJ DETAIL INPUT'!AK38</f>
        <v>0</v>
      </c>
      <c r="AK39" s="134">
        <f>'ADJ DETAIL INPUT'!AL38</f>
        <v>0</v>
      </c>
      <c r="AL39" s="134">
        <f>'ADJ DETAIL INPUT'!AM38</f>
        <v>183.53399999999999</v>
      </c>
      <c r="AM39" s="134">
        <f>'ADJ DETAIL INPUT'!AN38</f>
        <v>0</v>
      </c>
      <c r="AN39" s="134">
        <f>'ADJ DETAIL INPUT'!AO38</f>
        <v>0</v>
      </c>
      <c r="AO39" s="134">
        <f>'ADJ DETAIL INPUT'!AP38</f>
        <v>0</v>
      </c>
      <c r="AP39" s="134">
        <f>'ADJ DETAIL INPUT'!AQ38</f>
        <v>0</v>
      </c>
      <c r="AQ39" s="134">
        <f>'ADJ DETAIL INPUT'!AR38</f>
        <v>0</v>
      </c>
      <c r="AR39" s="134">
        <f>'ADJ DETAIL INPUT'!AS38</f>
        <v>0</v>
      </c>
      <c r="AS39" s="134">
        <f>'ADJ DETAIL INPUT'!AT38</f>
        <v>0</v>
      </c>
      <c r="AT39" s="134">
        <f>'ADJ DETAIL INPUT'!AU38</f>
        <v>0</v>
      </c>
      <c r="AU39" s="134">
        <f>'ADJ DETAIL INPUT'!AY38</f>
        <v>0</v>
      </c>
      <c r="AV39" s="134">
        <f>'ADJ DETAIL INPUT'!AZ38</f>
        <v>0</v>
      </c>
      <c r="AW39" s="134">
        <f>'ADJ DETAIL INPUT'!BA38</f>
        <v>105.8</v>
      </c>
      <c r="AX39" s="134">
        <f>'ADJ DETAIL INPUT'!BB38</f>
        <v>22</v>
      </c>
      <c r="AY39" s="134">
        <f>'ADJ DETAIL INPUT'!BC38</f>
        <v>0</v>
      </c>
      <c r="AZ39" s="134">
        <f>'ADJ DETAIL INPUT'!BD38</f>
        <v>0</v>
      </c>
      <c r="BA39" s="134">
        <f>'ADJ DETAIL INPUT'!BE38</f>
        <v>73.414000000000001</v>
      </c>
      <c r="BB39" s="134">
        <f>'ADJ DETAIL INPUT'!BF38</f>
        <v>0</v>
      </c>
      <c r="BC39" s="134">
        <f>'ADJ DETAIL INPUT'!BG38</f>
        <v>0</v>
      </c>
      <c r="BD39" s="134">
        <f>'ADJ DETAIL INPUT'!BH38</f>
        <v>0</v>
      </c>
    </row>
    <row r="40" spans="1:56">
      <c r="A40" s="116">
        <v>18</v>
      </c>
      <c r="B40" s="92" t="s">
        <v>48</v>
      </c>
      <c r="C40" s="118"/>
      <c r="D40" s="118"/>
      <c r="E40" s="134">
        <f>'ADJ DETAIL INPUT'!E39</f>
        <v>14067</v>
      </c>
      <c r="F40" s="134">
        <f>'ADJ DETAIL INPUT'!F39</f>
        <v>0</v>
      </c>
      <c r="G40" s="134">
        <f>'ADJ DETAIL INPUT'!G39</f>
        <v>0</v>
      </c>
      <c r="H40" s="134">
        <f>'ADJ DETAIL INPUT'!H39</f>
        <v>0</v>
      </c>
      <c r="I40" s="134">
        <f>'ADJ DETAIL INPUT'!I39</f>
        <v>0</v>
      </c>
      <c r="J40" s="134">
        <f>'ADJ DETAIL INPUT'!J39</f>
        <v>0</v>
      </c>
      <c r="K40" s="134">
        <f>'ADJ DETAIL INPUT'!K39</f>
        <v>0</v>
      </c>
      <c r="L40" s="134">
        <f>'ADJ DETAIL INPUT'!L39</f>
        <v>0</v>
      </c>
      <c r="M40" s="134">
        <f>'ADJ DETAIL INPUT'!M39</f>
        <v>0</v>
      </c>
      <c r="N40" s="134">
        <f>'ADJ DETAIL INPUT'!N39</f>
        <v>0</v>
      </c>
      <c r="O40" s="134">
        <f>'ADJ DETAIL INPUT'!O39</f>
        <v>0</v>
      </c>
      <c r="P40" s="134">
        <f>'ADJ DETAIL INPUT'!P39</f>
        <v>0</v>
      </c>
      <c r="Q40" s="134">
        <f>'ADJ DETAIL INPUT'!Q39</f>
        <v>0</v>
      </c>
      <c r="R40" s="134">
        <f>'ADJ DETAIL INPUT'!R39</f>
        <v>0</v>
      </c>
      <c r="S40" s="134">
        <f>'ADJ DETAIL INPUT'!S39</f>
        <v>-13330</v>
      </c>
      <c r="T40" s="134">
        <f>'ADJ DETAIL INPUT'!T39</f>
        <v>-1</v>
      </c>
      <c r="U40" s="134">
        <f>'ADJ DETAIL INPUT'!U39</f>
        <v>0</v>
      </c>
      <c r="V40" s="134">
        <f>'ADJ DETAIL INPUT'!V39</f>
        <v>0</v>
      </c>
      <c r="W40" s="134">
        <f>'ADJ DETAIL INPUT'!W39</f>
        <v>0</v>
      </c>
      <c r="X40" s="134">
        <f>'ADJ DETAIL INPUT'!X39</f>
        <v>0</v>
      </c>
      <c r="Y40" s="134">
        <f>'ADJ DETAIL INPUT'!Z39</f>
        <v>0</v>
      </c>
      <c r="Z40" s="134">
        <f>'ADJ DETAIL INPUT'!AA39</f>
        <v>0</v>
      </c>
      <c r="AA40" s="134">
        <f>'ADJ DETAIL INPUT'!AB39</f>
        <v>0</v>
      </c>
      <c r="AB40" s="134">
        <f>'ADJ DETAIL INPUT'!AC39</f>
        <v>0</v>
      </c>
      <c r="AC40" s="134">
        <f>'ADJ DETAIL INPUT'!AD39</f>
        <v>19.7</v>
      </c>
      <c r="AD40" s="134">
        <f>'ADJ DETAIL INPUT'!AE39</f>
        <v>0</v>
      </c>
      <c r="AE40" s="134">
        <f>'ADJ DETAIL INPUT'!AF39</f>
        <v>0.4</v>
      </c>
      <c r="AF40" s="134">
        <f>'ADJ DETAIL INPUT'!AG39</f>
        <v>0.4</v>
      </c>
      <c r="AG40" s="134">
        <f>'ADJ DETAIL INPUT'!AH39</f>
        <v>78</v>
      </c>
      <c r="AH40" s="134">
        <f>'ADJ DETAIL INPUT'!AI39</f>
        <v>0</v>
      </c>
      <c r="AI40" s="134">
        <f>'ADJ DETAIL INPUT'!AJ39</f>
        <v>0</v>
      </c>
      <c r="AJ40" s="134">
        <f>'ADJ DETAIL INPUT'!AK39</f>
        <v>0</v>
      </c>
      <c r="AK40" s="134">
        <f>'ADJ DETAIL INPUT'!AL39</f>
        <v>0</v>
      </c>
      <c r="AL40" s="134">
        <f>'ADJ DETAIL INPUT'!AM39</f>
        <v>64.974999999999994</v>
      </c>
      <c r="AM40" s="134">
        <f>'ADJ DETAIL INPUT'!AN39</f>
        <v>0</v>
      </c>
      <c r="AN40" s="134">
        <f>'ADJ DETAIL INPUT'!AO39</f>
        <v>0</v>
      </c>
      <c r="AO40" s="134">
        <f>'ADJ DETAIL INPUT'!AP39</f>
        <v>0</v>
      </c>
      <c r="AP40" s="134">
        <f>'ADJ DETAIL INPUT'!AQ39</f>
        <v>0</v>
      </c>
      <c r="AQ40" s="134">
        <f>'ADJ DETAIL INPUT'!AR39</f>
        <v>0</v>
      </c>
      <c r="AR40" s="134">
        <f>'ADJ DETAIL INPUT'!AS39</f>
        <v>0</v>
      </c>
      <c r="AS40" s="134">
        <f>'ADJ DETAIL INPUT'!AT39</f>
        <v>0</v>
      </c>
      <c r="AT40" s="134">
        <f>'ADJ DETAIL INPUT'!AU39</f>
        <v>0</v>
      </c>
      <c r="AU40" s="134">
        <f>'ADJ DETAIL INPUT'!AY39</f>
        <v>0</v>
      </c>
      <c r="AV40" s="134">
        <f>'ADJ DETAIL INPUT'!AZ39</f>
        <v>0</v>
      </c>
      <c r="AW40" s="134">
        <f>'ADJ DETAIL INPUT'!BA39</f>
        <v>7.5</v>
      </c>
      <c r="AX40" s="134">
        <f>'ADJ DETAIL INPUT'!BB39</f>
        <v>1.5</v>
      </c>
      <c r="AY40" s="134">
        <f>'ADJ DETAIL INPUT'!BC39</f>
        <v>0</v>
      </c>
      <c r="AZ40" s="134">
        <f>'ADJ DETAIL INPUT'!BD39</f>
        <v>0</v>
      </c>
      <c r="BA40" s="134">
        <f>'ADJ DETAIL INPUT'!BE39</f>
        <v>25.99</v>
      </c>
      <c r="BB40" s="134">
        <f>'ADJ DETAIL INPUT'!BF39</f>
        <v>0</v>
      </c>
      <c r="BC40" s="134">
        <f>'ADJ DETAIL INPUT'!BG39</f>
        <v>0</v>
      </c>
      <c r="BD40" s="134">
        <f>'ADJ DETAIL INPUT'!BH39</f>
        <v>0</v>
      </c>
    </row>
    <row r="41" spans="1:56">
      <c r="A41" s="116">
        <v>19</v>
      </c>
      <c r="B41" s="92" t="s">
        <v>49</v>
      </c>
      <c r="C41" s="118"/>
      <c r="D41" s="118"/>
      <c r="E41" s="134">
        <f>'ADJ DETAIL INPUT'!E40</f>
        <v>0</v>
      </c>
      <c r="F41" s="134">
        <f>'ADJ DETAIL INPUT'!F40</f>
        <v>0</v>
      </c>
      <c r="G41" s="134">
        <f>'ADJ DETAIL INPUT'!G40</f>
        <v>0</v>
      </c>
      <c r="H41" s="134">
        <f>'ADJ DETAIL INPUT'!H40</f>
        <v>0</v>
      </c>
      <c r="I41" s="134">
        <f>'ADJ DETAIL INPUT'!I40</f>
        <v>0</v>
      </c>
      <c r="J41" s="134">
        <f>'ADJ DETAIL INPUT'!J40</f>
        <v>0</v>
      </c>
      <c r="K41" s="134">
        <f>'ADJ DETAIL INPUT'!K40</f>
        <v>0</v>
      </c>
      <c r="L41" s="134">
        <f>'ADJ DETAIL INPUT'!L40</f>
        <v>0</v>
      </c>
      <c r="M41" s="134">
        <f>'ADJ DETAIL INPUT'!M40</f>
        <v>0</v>
      </c>
      <c r="N41" s="134">
        <f>'ADJ DETAIL INPUT'!N40</f>
        <v>0</v>
      </c>
      <c r="O41" s="134">
        <f>'ADJ DETAIL INPUT'!O40</f>
        <v>0</v>
      </c>
      <c r="P41" s="134">
        <f>'ADJ DETAIL INPUT'!P40</f>
        <v>0</v>
      </c>
      <c r="Q41" s="134">
        <f>'ADJ DETAIL INPUT'!Q40</f>
        <v>0</v>
      </c>
      <c r="R41" s="134">
        <f>'ADJ DETAIL INPUT'!R40</f>
        <v>0</v>
      </c>
      <c r="S41" s="134">
        <f>'ADJ DETAIL INPUT'!S40</f>
        <v>0</v>
      </c>
      <c r="T41" s="134">
        <f>'ADJ DETAIL INPUT'!T40</f>
        <v>0</v>
      </c>
      <c r="U41" s="134">
        <f>'ADJ DETAIL INPUT'!U40</f>
        <v>0</v>
      </c>
      <c r="V41" s="134">
        <f>'ADJ DETAIL INPUT'!V40</f>
        <v>0</v>
      </c>
      <c r="W41" s="134">
        <f>'ADJ DETAIL INPUT'!W40</f>
        <v>0</v>
      </c>
      <c r="X41" s="134">
        <f>'ADJ DETAIL INPUT'!X40</f>
        <v>0</v>
      </c>
      <c r="Y41" s="134">
        <f>'ADJ DETAIL INPUT'!Z40</f>
        <v>0</v>
      </c>
      <c r="Z41" s="134">
        <f>'ADJ DETAIL INPUT'!AA40</f>
        <v>0</v>
      </c>
      <c r="AA41" s="134">
        <f>'ADJ DETAIL INPUT'!AB40</f>
        <v>0</v>
      </c>
      <c r="AB41" s="134">
        <f>'ADJ DETAIL INPUT'!AC40</f>
        <v>0</v>
      </c>
      <c r="AC41" s="134">
        <f>'ADJ DETAIL INPUT'!AD40</f>
        <v>0</v>
      </c>
      <c r="AD41" s="134">
        <f>'ADJ DETAIL INPUT'!AE40</f>
        <v>0</v>
      </c>
      <c r="AE41" s="134">
        <f>'ADJ DETAIL INPUT'!AF40</f>
        <v>0</v>
      </c>
      <c r="AF41" s="134">
        <f>'ADJ DETAIL INPUT'!AG40</f>
        <v>0</v>
      </c>
      <c r="AG41" s="134">
        <f>'ADJ DETAIL INPUT'!AH40</f>
        <v>0</v>
      </c>
      <c r="AH41" s="134">
        <f>'ADJ DETAIL INPUT'!AI40</f>
        <v>0</v>
      </c>
      <c r="AI41" s="134">
        <f>'ADJ DETAIL INPUT'!AJ40</f>
        <v>0</v>
      </c>
      <c r="AJ41" s="134">
        <f>'ADJ DETAIL INPUT'!AK40</f>
        <v>0</v>
      </c>
      <c r="AK41" s="134">
        <f>'ADJ DETAIL INPUT'!AL40</f>
        <v>0</v>
      </c>
      <c r="AL41" s="134">
        <f>'ADJ DETAIL INPUT'!AM40</f>
        <v>0</v>
      </c>
      <c r="AM41" s="134">
        <f>'ADJ DETAIL INPUT'!AN40</f>
        <v>0</v>
      </c>
      <c r="AN41" s="134">
        <f>'ADJ DETAIL INPUT'!AO40</f>
        <v>0</v>
      </c>
      <c r="AO41" s="134">
        <f>'ADJ DETAIL INPUT'!AP40</f>
        <v>0</v>
      </c>
      <c r="AP41" s="134">
        <f>'ADJ DETAIL INPUT'!AQ40</f>
        <v>0</v>
      </c>
      <c r="AQ41" s="134">
        <f>'ADJ DETAIL INPUT'!AR40</f>
        <v>0</v>
      </c>
      <c r="AR41" s="134">
        <f>'ADJ DETAIL INPUT'!AS40</f>
        <v>0</v>
      </c>
      <c r="AS41" s="134">
        <f>'ADJ DETAIL INPUT'!AT40</f>
        <v>0</v>
      </c>
      <c r="AT41" s="134">
        <f>'ADJ DETAIL INPUT'!AU40</f>
        <v>0</v>
      </c>
      <c r="AU41" s="134">
        <f>'ADJ DETAIL INPUT'!AY40</f>
        <v>0</v>
      </c>
      <c r="AV41" s="134">
        <f>'ADJ DETAIL INPUT'!AZ40</f>
        <v>0</v>
      </c>
      <c r="AW41" s="134">
        <f>'ADJ DETAIL INPUT'!BA40</f>
        <v>0</v>
      </c>
      <c r="AX41" s="134">
        <f>'ADJ DETAIL INPUT'!BB40</f>
        <v>0</v>
      </c>
      <c r="AY41" s="134">
        <f>'ADJ DETAIL INPUT'!BC40</f>
        <v>0</v>
      </c>
      <c r="AZ41" s="134">
        <f>'ADJ DETAIL INPUT'!BD40</f>
        <v>0</v>
      </c>
      <c r="BA41" s="134">
        <f>'ADJ DETAIL INPUT'!BE40</f>
        <v>0</v>
      </c>
      <c r="BB41" s="134">
        <f>'ADJ DETAIL INPUT'!BF40</f>
        <v>0</v>
      </c>
      <c r="BC41" s="134">
        <f>'ADJ DETAIL INPUT'!BG40</f>
        <v>0</v>
      </c>
      <c r="BD41" s="134">
        <f>'ADJ DETAIL INPUT'!BH40</f>
        <v>0</v>
      </c>
    </row>
    <row r="42" spans="1:56">
      <c r="C42" s="118"/>
      <c r="D42" s="118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</row>
    <row r="43" spans="1:56">
      <c r="B43" s="92" t="s">
        <v>50</v>
      </c>
      <c r="C43" s="118"/>
      <c r="D43" s="118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</row>
    <row r="44" spans="1:56">
      <c r="A44" s="116">
        <v>20</v>
      </c>
      <c r="C44" s="118" t="s">
        <v>42</v>
      </c>
      <c r="D44" s="118"/>
      <c r="E44" s="134">
        <f>'ADJ DETAIL INPUT'!E43</f>
        <v>24398</v>
      </c>
      <c r="F44" s="134">
        <f>'ADJ DETAIL INPUT'!F43</f>
        <v>0</v>
      </c>
      <c r="G44" s="134">
        <f>'ADJ DETAIL INPUT'!G43</f>
        <v>0</v>
      </c>
      <c r="H44" s="134">
        <f>'ADJ DETAIL INPUT'!H43</f>
        <v>0</v>
      </c>
      <c r="I44" s="134">
        <f>'ADJ DETAIL INPUT'!I43</f>
        <v>0</v>
      </c>
      <c r="J44" s="134">
        <f>'ADJ DETAIL INPUT'!J43</f>
        <v>0</v>
      </c>
      <c r="K44" s="134">
        <f>'ADJ DETAIL INPUT'!K43</f>
        <v>0</v>
      </c>
      <c r="L44" s="134">
        <f>'ADJ DETAIL INPUT'!L43</f>
        <v>398</v>
      </c>
      <c r="M44" s="134">
        <f>'ADJ DETAIL INPUT'!M43</f>
        <v>-18</v>
      </c>
      <c r="N44" s="134">
        <f>'ADJ DETAIL INPUT'!N43</f>
        <v>0</v>
      </c>
      <c r="O44" s="134">
        <f>'ADJ DETAIL INPUT'!O43</f>
        <v>-10</v>
      </c>
      <c r="P44" s="134">
        <f>'ADJ DETAIL INPUT'!P43</f>
        <v>0</v>
      </c>
      <c r="Q44" s="134">
        <f>'ADJ DETAIL INPUT'!Q43</f>
        <v>0</v>
      </c>
      <c r="R44" s="134">
        <f>'ADJ DETAIL INPUT'!R43</f>
        <v>0</v>
      </c>
      <c r="S44" s="134">
        <f>'ADJ DETAIL INPUT'!S43</f>
        <v>-107</v>
      </c>
      <c r="T44" s="134">
        <f>'ADJ DETAIL INPUT'!T43</f>
        <v>-409.2</v>
      </c>
      <c r="U44" s="134">
        <f>'ADJ DETAIL INPUT'!U43</f>
        <v>250.28299999999999</v>
      </c>
      <c r="V44" s="134">
        <f>'ADJ DETAIL INPUT'!V43</f>
        <v>0</v>
      </c>
      <c r="W44" s="134">
        <f>'ADJ DETAIL INPUT'!W43</f>
        <v>0</v>
      </c>
      <c r="X44" s="134">
        <f>'ADJ DETAIL INPUT'!X43</f>
        <v>0</v>
      </c>
      <c r="Y44" s="134">
        <f>'ADJ DETAIL INPUT'!Z43</f>
        <v>-358</v>
      </c>
      <c r="Z44" s="134">
        <f>'ADJ DETAIL INPUT'!AA43</f>
        <v>0</v>
      </c>
      <c r="AA44" s="134">
        <f>'ADJ DETAIL INPUT'!AB43</f>
        <v>0</v>
      </c>
      <c r="AB44" s="134">
        <f>'ADJ DETAIL INPUT'!AC43</f>
        <v>0</v>
      </c>
      <c r="AC44" s="134">
        <f>'ADJ DETAIL INPUT'!AD43</f>
        <v>648</v>
      </c>
      <c r="AD44" s="134">
        <f>'ADJ DETAIL INPUT'!AE43</f>
        <v>19.004999999999999</v>
      </c>
      <c r="AE44" s="134">
        <f>'ADJ DETAIL INPUT'!AF43</f>
        <v>15</v>
      </c>
      <c r="AF44" s="134">
        <f>'ADJ DETAIL INPUT'!AG43</f>
        <v>368.4</v>
      </c>
      <c r="AG44" s="134">
        <f>'ADJ DETAIL INPUT'!AH43</f>
        <v>0</v>
      </c>
      <c r="AH44" s="134">
        <f>'ADJ DETAIL INPUT'!AI43</f>
        <v>112.90900000000001</v>
      </c>
      <c r="AI44" s="134">
        <f>'ADJ DETAIL INPUT'!AJ43</f>
        <v>0</v>
      </c>
      <c r="AJ44" s="134">
        <f>'ADJ DETAIL INPUT'!AK43</f>
        <v>598</v>
      </c>
      <c r="AK44" s="134">
        <f>'ADJ DETAIL INPUT'!AL43</f>
        <v>20.6</v>
      </c>
      <c r="AL44" s="134">
        <f>'ADJ DETAIL INPUT'!AM43</f>
        <v>556.36900000000003</v>
      </c>
      <c r="AM44" s="134">
        <f>'ADJ DETAIL INPUT'!AN43</f>
        <v>0</v>
      </c>
      <c r="AN44" s="134">
        <f>'ADJ DETAIL INPUT'!AO43</f>
        <v>0</v>
      </c>
      <c r="AO44" s="134">
        <f>'ADJ DETAIL INPUT'!AP43</f>
        <v>0</v>
      </c>
      <c r="AP44" s="134">
        <f>'ADJ DETAIL INPUT'!AQ43</f>
        <v>0</v>
      </c>
      <c r="AQ44" s="134">
        <f>'ADJ DETAIL INPUT'!AR43</f>
        <v>178</v>
      </c>
      <c r="AR44" s="134">
        <f>'ADJ DETAIL INPUT'!AS43</f>
        <v>150</v>
      </c>
      <c r="AS44" s="134">
        <f>'ADJ DETAIL INPUT'!AT43</f>
        <v>0</v>
      </c>
      <c r="AT44" s="134">
        <f>'ADJ DETAIL INPUT'!AU43</f>
        <v>-88.394999999999996</v>
      </c>
      <c r="AU44" s="134">
        <f>'ADJ DETAIL INPUT'!AY43</f>
        <v>0</v>
      </c>
      <c r="AV44" s="134">
        <f>'ADJ DETAIL INPUT'!AZ43</f>
        <v>0</v>
      </c>
      <c r="AW44" s="134">
        <f>'ADJ DETAIL INPUT'!BA43</f>
        <v>250.4</v>
      </c>
      <c r="AX44" s="134">
        <f>'ADJ DETAIL INPUT'!BB43</f>
        <v>52.8</v>
      </c>
      <c r="AY44" s="134">
        <f>'ADJ DETAIL INPUT'!BC43</f>
        <v>0</v>
      </c>
      <c r="AZ44" s="134">
        <f>'ADJ DETAIL INPUT'!BD43</f>
        <v>-65</v>
      </c>
      <c r="BA44" s="134">
        <f>'ADJ DETAIL INPUT'!BE43</f>
        <v>222.548</v>
      </c>
      <c r="BB44" s="134">
        <f>'ADJ DETAIL INPUT'!BF43</f>
        <v>0</v>
      </c>
      <c r="BC44" s="134">
        <f>'ADJ DETAIL INPUT'!BG43</f>
        <v>-130.83500000000001</v>
      </c>
      <c r="BD44" s="134">
        <f>'ADJ DETAIL INPUT'!BH43</f>
        <v>0</v>
      </c>
    </row>
    <row r="45" spans="1:56">
      <c r="A45" s="116">
        <v>21</v>
      </c>
      <c r="C45" s="118" t="s">
        <v>188</v>
      </c>
      <c r="D45" s="118"/>
      <c r="E45" s="134">
        <f>'ADJ DETAIL INPUT'!E44</f>
        <v>12802</v>
      </c>
      <c r="F45" s="134">
        <f>'ADJ DETAIL INPUT'!F44</f>
        <v>0</v>
      </c>
      <c r="G45" s="134">
        <f>'ADJ DETAIL INPUT'!G44</f>
        <v>0</v>
      </c>
      <c r="H45" s="134">
        <f>'ADJ DETAIL INPUT'!H44</f>
        <v>0</v>
      </c>
      <c r="I45" s="134">
        <f>'ADJ DETAIL INPUT'!I44</f>
        <v>0</v>
      </c>
      <c r="J45" s="134">
        <f>'ADJ DETAIL INPUT'!J44</f>
        <v>0</v>
      </c>
      <c r="K45" s="134">
        <f>'ADJ DETAIL INPUT'!K44</f>
        <v>0</v>
      </c>
      <c r="L45" s="134">
        <f>'ADJ DETAIL INPUT'!L44</f>
        <v>0</v>
      </c>
      <c r="M45" s="134">
        <f>'ADJ DETAIL INPUT'!M44</f>
        <v>0</v>
      </c>
      <c r="N45" s="134">
        <f>'ADJ DETAIL INPUT'!N44</f>
        <v>0</v>
      </c>
      <c r="O45" s="134">
        <f>'ADJ DETAIL INPUT'!O44</f>
        <v>0</v>
      </c>
      <c r="P45" s="134">
        <f>'ADJ DETAIL INPUT'!P44</f>
        <v>0</v>
      </c>
      <c r="Q45" s="134">
        <f>'ADJ DETAIL INPUT'!Q44</f>
        <v>0</v>
      </c>
      <c r="R45" s="134">
        <f>'ADJ DETAIL INPUT'!R44</f>
        <v>0</v>
      </c>
      <c r="S45" s="134">
        <f>'ADJ DETAIL INPUT'!S44</f>
        <v>0</v>
      </c>
      <c r="T45" s="134">
        <f>'ADJ DETAIL INPUT'!T44</f>
        <v>0</v>
      </c>
      <c r="U45" s="134">
        <f>'ADJ DETAIL INPUT'!U44</f>
        <v>0</v>
      </c>
      <c r="V45" s="134">
        <f>'ADJ DETAIL INPUT'!V44</f>
        <v>0</v>
      </c>
      <c r="W45" s="134">
        <f>'ADJ DETAIL INPUT'!W44</f>
        <v>0</v>
      </c>
      <c r="X45" s="134">
        <f>'ADJ DETAIL INPUT'!X44</f>
        <v>0</v>
      </c>
      <c r="Y45" s="134">
        <f>'ADJ DETAIL INPUT'!Z44</f>
        <v>0</v>
      </c>
      <c r="Z45" s="134">
        <f>'ADJ DETAIL INPUT'!AA44</f>
        <v>0</v>
      </c>
      <c r="AA45" s="134">
        <f>'ADJ DETAIL INPUT'!AB44</f>
        <v>0</v>
      </c>
      <c r="AB45" s="134">
        <f>'ADJ DETAIL INPUT'!AC44</f>
        <v>0</v>
      </c>
      <c r="AC45" s="134">
        <f>'ADJ DETAIL INPUT'!AD44</f>
        <v>0</v>
      </c>
      <c r="AD45" s="134">
        <f>'ADJ DETAIL INPUT'!AE44</f>
        <v>0</v>
      </c>
      <c r="AE45" s="134">
        <f>'ADJ DETAIL INPUT'!AF44</f>
        <v>0</v>
      </c>
      <c r="AF45" s="134">
        <f>'ADJ DETAIL INPUT'!AG44</f>
        <v>0</v>
      </c>
      <c r="AG45" s="134">
        <f>'ADJ DETAIL INPUT'!AH44</f>
        <v>0</v>
      </c>
      <c r="AH45" s="134">
        <f>'ADJ DETAIL INPUT'!AI44</f>
        <v>0</v>
      </c>
      <c r="AI45" s="134">
        <f>'ADJ DETAIL INPUT'!AJ44</f>
        <v>0</v>
      </c>
      <c r="AJ45" s="134">
        <f>'ADJ DETAIL INPUT'!AK44</f>
        <v>0</v>
      </c>
      <c r="AK45" s="134">
        <f>'ADJ DETAIL INPUT'!AL44</f>
        <v>0</v>
      </c>
      <c r="AL45" s="134">
        <f>'ADJ DETAIL INPUT'!AM44</f>
        <v>0</v>
      </c>
      <c r="AM45" s="134">
        <f>'ADJ DETAIL INPUT'!AN44</f>
        <v>625</v>
      </c>
      <c r="AN45" s="134">
        <f>'ADJ DETAIL INPUT'!AO44</f>
        <v>-463.7</v>
      </c>
      <c r="AO45" s="134">
        <f>'ADJ DETAIL INPUT'!AP44</f>
        <v>967</v>
      </c>
      <c r="AP45" s="134">
        <f>'ADJ DETAIL INPUT'!AQ44</f>
        <v>0</v>
      </c>
      <c r="AQ45" s="134">
        <f>'ADJ DETAIL INPUT'!AR44</f>
        <v>0</v>
      </c>
      <c r="AR45" s="134">
        <f>'ADJ DETAIL INPUT'!AS44</f>
        <v>0</v>
      </c>
      <c r="AS45" s="134">
        <f>'ADJ DETAIL INPUT'!AT44</f>
        <v>1245</v>
      </c>
      <c r="AT45" s="134">
        <f>'ADJ DETAIL INPUT'!AU44</f>
        <v>0</v>
      </c>
      <c r="AU45" s="134">
        <f>'ADJ DETAIL INPUT'!AY44</f>
        <v>0</v>
      </c>
      <c r="AV45" s="134">
        <f>'ADJ DETAIL INPUT'!AZ44</f>
        <v>0</v>
      </c>
      <c r="AW45" s="134">
        <f>'ADJ DETAIL INPUT'!BA44</f>
        <v>0</v>
      </c>
      <c r="AX45" s="134">
        <f>'ADJ DETAIL INPUT'!BB44</f>
        <v>0</v>
      </c>
      <c r="AY45" s="134">
        <f>'ADJ DETAIL INPUT'!BC44</f>
        <v>0</v>
      </c>
      <c r="AZ45" s="134">
        <f>'ADJ DETAIL INPUT'!BD44</f>
        <v>0</v>
      </c>
      <c r="BA45" s="134">
        <f>'ADJ DETAIL INPUT'!BE44</f>
        <v>0</v>
      </c>
      <c r="BB45" s="134">
        <f>'ADJ DETAIL INPUT'!BF44</f>
        <v>895</v>
      </c>
      <c r="BC45" s="134">
        <f>'ADJ DETAIL INPUT'!BG44</f>
        <v>0</v>
      </c>
      <c r="BD45" s="134">
        <f>'ADJ DETAIL INPUT'!BH44</f>
        <v>0</v>
      </c>
    </row>
    <row r="46" spans="1:56">
      <c r="A46" s="116">
        <v>22</v>
      </c>
      <c r="C46" s="7" t="s">
        <v>370</v>
      </c>
      <c r="D46" s="118"/>
      <c r="E46" s="134">
        <f>'ADJ DETAIL INPUT'!E45</f>
        <v>1612</v>
      </c>
      <c r="F46" s="134">
        <f>'ADJ DETAIL INPUT'!F45</f>
        <v>0</v>
      </c>
      <c r="G46" s="134">
        <f>'ADJ DETAIL INPUT'!G45</f>
        <v>0</v>
      </c>
      <c r="H46" s="134">
        <f>'ADJ DETAIL INPUT'!H45</f>
        <v>0</v>
      </c>
      <c r="I46" s="134">
        <f>'ADJ DETAIL INPUT'!I45</f>
        <v>0</v>
      </c>
      <c r="J46" s="134">
        <f>'ADJ DETAIL INPUT'!J45</f>
        <v>0</v>
      </c>
      <c r="K46" s="134">
        <f>'ADJ DETAIL INPUT'!K45</f>
        <v>0</v>
      </c>
      <c r="L46" s="134">
        <f>'ADJ DETAIL INPUT'!L45</f>
        <v>0</v>
      </c>
      <c r="M46" s="134">
        <f>'ADJ DETAIL INPUT'!M45</f>
        <v>0</v>
      </c>
      <c r="N46" s="134">
        <f>'ADJ DETAIL INPUT'!N45</f>
        <v>0</v>
      </c>
      <c r="O46" s="134">
        <f>'ADJ DETAIL INPUT'!O45</f>
        <v>0</v>
      </c>
      <c r="P46" s="134">
        <f>'ADJ DETAIL INPUT'!P45</f>
        <v>0</v>
      </c>
      <c r="Q46" s="134">
        <f>'ADJ DETAIL INPUT'!Q45</f>
        <v>0</v>
      </c>
      <c r="R46" s="134">
        <f>'ADJ DETAIL INPUT'!R45</f>
        <v>0</v>
      </c>
      <c r="S46" s="134">
        <f>'ADJ DETAIL INPUT'!S45</f>
        <v>1</v>
      </c>
      <c r="T46" s="134">
        <f>'ADJ DETAIL INPUT'!T45</f>
        <v>0</v>
      </c>
      <c r="U46" s="134">
        <f>'ADJ DETAIL INPUT'!U45</f>
        <v>0</v>
      </c>
      <c r="V46" s="134">
        <f>'ADJ DETAIL INPUT'!V45</f>
        <v>0</v>
      </c>
      <c r="W46" s="134">
        <f>'ADJ DETAIL INPUT'!W45</f>
        <v>0</v>
      </c>
      <c r="X46" s="134">
        <f>'ADJ DETAIL INPUT'!X45</f>
        <v>0</v>
      </c>
      <c r="Y46" s="134">
        <f>'ADJ DETAIL INPUT'!Z45</f>
        <v>0</v>
      </c>
      <c r="Z46" s="134">
        <f>'ADJ DETAIL INPUT'!AA45</f>
        <v>-244</v>
      </c>
      <c r="AA46" s="134">
        <f>'ADJ DETAIL INPUT'!AB45</f>
        <v>0</v>
      </c>
      <c r="AB46" s="134">
        <f>'ADJ DETAIL INPUT'!AC45</f>
        <v>-112</v>
      </c>
      <c r="AC46" s="134">
        <f>'ADJ DETAIL INPUT'!AD45</f>
        <v>0</v>
      </c>
      <c r="AD46" s="134">
        <f>'ADJ DETAIL INPUT'!AE45</f>
        <v>0</v>
      </c>
      <c r="AE46" s="134">
        <f>'ADJ DETAIL INPUT'!AF45</f>
        <v>-1731</v>
      </c>
      <c r="AF46" s="134">
        <f>'ADJ DETAIL INPUT'!AG45</f>
        <v>0</v>
      </c>
      <c r="AG46" s="134">
        <f>'ADJ DETAIL INPUT'!AH45</f>
        <v>0</v>
      </c>
      <c r="AH46" s="134">
        <f>'ADJ DETAIL INPUT'!AI45</f>
        <v>0</v>
      </c>
      <c r="AI46" s="134">
        <f>'ADJ DETAIL INPUT'!AJ45</f>
        <v>0</v>
      </c>
      <c r="AJ46" s="134">
        <f>'ADJ DETAIL INPUT'!AK45</f>
        <v>0</v>
      </c>
      <c r="AK46" s="134">
        <f>'ADJ DETAIL INPUT'!AL45</f>
        <v>0</v>
      </c>
      <c r="AL46" s="134">
        <f>'ADJ DETAIL INPUT'!AM45</f>
        <v>0</v>
      </c>
      <c r="AM46" s="134">
        <f>'ADJ DETAIL INPUT'!AN45</f>
        <v>0</v>
      </c>
      <c r="AN46" s="134">
        <f>'ADJ DETAIL INPUT'!AO45</f>
        <v>0</v>
      </c>
      <c r="AO46" s="134">
        <f>'ADJ DETAIL INPUT'!AP45</f>
        <v>0</v>
      </c>
      <c r="AP46" s="134">
        <f>'ADJ DETAIL INPUT'!AQ45</f>
        <v>300</v>
      </c>
      <c r="AQ46" s="134">
        <f>'ADJ DETAIL INPUT'!AR45</f>
        <v>0</v>
      </c>
      <c r="AR46" s="134">
        <f>'ADJ DETAIL INPUT'!AS45</f>
        <v>0</v>
      </c>
      <c r="AS46" s="134">
        <f>'ADJ DETAIL INPUT'!AT45</f>
        <v>0</v>
      </c>
      <c r="AT46" s="134">
        <f>'ADJ DETAIL INPUT'!AU45</f>
        <v>0</v>
      </c>
      <c r="AU46" s="134">
        <f>'ADJ DETAIL INPUT'!AY45</f>
        <v>0</v>
      </c>
      <c r="AV46" s="134">
        <f>'ADJ DETAIL INPUT'!AZ45</f>
        <v>0</v>
      </c>
      <c r="AW46" s="134">
        <f>'ADJ DETAIL INPUT'!BA45</f>
        <v>0</v>
      </c>
      <c r="AX46" s="134">
        <f>'ADJ DETAIL INPUT'!BB45</f>
        <v>0</v>
      </c>
      <c r="AY46" s="134">
        <f>'ADJ DETAIL INPUT'!BC45</f>
        <v>0</v>
      </c>
      <c r="AZ46" s="134">
        <f>'ADJ DETAIL INPUT'!BD45</f>
        <v>0</v>
      </c>
      <c r="BA46" s="134">
        <f>'ADJ DETAIL INPUT'!BE45</f>
        <v>0</v>
      </c>
      <c r="BB46" s="134">
        <f>'ADJ DETAIL INPUT'!BF45</f>
        <v>0</v>
      </c>
      <c r="BC46" s="134">
        <f>'ADJ DETAIL INPUT'!BG45</f>
        <v>0</v>
      </c>
      <c r="BD46" s="134">
        <f>'ADJ DETAIL INPUT'!BH45</f>
        <v>0</v>
      </c>
    </row>
    <row r="47" spans="1:56">
      <c r="A47" s="116">
        <v>23</v>
      </c>
      <c r="C47" s="118" t="s">
        <v>20</v>
      </c>
      <c r="D47" s="118"/>
      <c r="E47" s="135">
        <f>'ADJ DETAIL INPUT'!E46</f>
        <v>1132</v>
      </c>
      <c r="F47" s="135">
        <f>'ADJ DETAIL INPUT'!F46</f>
        <v>0</v>
      </c>
      <c r="G47" s="135">
        <f>'ADJ DETAIL INPUT'!G46</f>
        <v>0</v>
      </c>
      <c r="H47" s="135">
        <f>'ADJ DETAIL INPUT'!H46</f>
        <v>0</v>
      </c>
      <c r="I47" s="135">
        <f>'ADJ DETAIL INPUT'!I46</f>
        <v>0</v>
      </c>
      <c r="J47" s="135">
        <f>'ADJ DETAIL INPUT'!J46</f>
        <v>0</v>
      </c>
      <c r="K47" s="135">
        <f>'ADJ DETAIL INPUT'!K46</f>
        <v>0</v>
      </c>
      <c r="L47" s="135">
        <f>'ADJ DETAIL INPUT'!L46</f>
        <v>0</v>
      </c>
      <c r="M47" s="135">
        <f>'ADJ DETAIL INPUT'!M46</f>
        <v>0</v>
      </c>
      <c r="N47" s="135">
        <f>'ADJ DETAIL INPUT'!N46</f>
        <v>0</v>
      </c>
      <c r="O47" s="135">
        <f>'ADJ DETAIL INPUT'!O46</f>
        <v>0</v>
      </c>
      <c r="P47" s="135">
        <f>'ADJ DETAIL INPUT'!P46</f>
        <v>0</v>
      </c>
      <c r="Q47" s="135">
        <f>'ADJ DETAIL INPUT'!Q46</f>
        <v>0</v>
      </c>
      <c r="R47" s="135">
        <f>'ADJ DETAIL INPUT'!R46</f>
        <v>0</v>
      </c>
      <c r="S47" s="135">
        <f>'ADJ DETAIL INPUT'!S46</f>
        <v>0</v>
      </c>
      <c r="T47" s="135">
        <f>'ADJ DETAIL INPUT'!T46</f>
        <v>0</v>
      </c>
      <c r="U47" s="135">
        <f>'ADJ DETAIL INPUT'!U46</f>
        <v>0</v>
      </c>
      <c r="V47" s="135">
        <f>'ADJ DETAIL INPUT'!V46</f>
        <v>0</v>
      </c>
      <c r="W47" s="135">
        <f>'ADJ DETAIL INPUT'!W46</f>
        <v>0</v>
      </c>
      <c r="X47" s="135">
        <f>'ADJ DETAIL INPUT'!X46</f>
        <v>0</v>
      </c>
      <c r="Y47" s="135">
        <f>'ADJ DETAIL INPUT'!Z46</f>
        <v>0</v>
      </c>
      <c r="Z47" s="135">
        <f>'ADJ DETAIL INPUT'!AA46</f>
        <v>0</v>
      </c>
      <c r="AA47" s="135">
        <f>'ADJ DETAIL INPUT'!AB46</f>
        <v>0</v>
      </c>
      <c r="AB47" s="135">
        <f>'ADJ DETAIL INPUT'!AC46</f>
        <v>0</v>
      </c>
      <c r="AC47" s="135">
        <f>'ADJ DETAIL INPUT'!AD46</f>
        <v>0</v>
      </c>
      <c r="AD47" s="135">
        <f>'ADJ DETAIL INPUT'!AE46</f>
        <v>0</v>
      </c>
      <c r="AE47" s="135">
        <f>'ADJ DETAIL INPUT'!AF46</f>
        <v>0</v>
      </c>
      <c r="AF47" s="135">
        <f>'ADJ DETAIL INPUT'!AG46</f>
        <v>0</v>
      </c>
      <c r="AG47" s="135">
        <f>'ADJ DETAIL INPUT'!AH46</f>
        <v>0</v>
      </c>
      <c r="AH47" s="135">
        <f>'ADJ DETAIL INPUT'!AI46</f>
        <v>0</v>
      </c>
      <c r="AI47" s="135">
        <f>'ADJ DETAIL INPUT'!AJ46</f>
        <v>0</v>
      </c>
      <c r="AJ47" s="135">
        <f>'ADJ DETAIL INPUT'!AK46</f>
        <v>0</v>
      </c>
      <c r="AK47" s="135">
        <f>'ADJ DETAIL INPUT'!AL46</f>
        <v>0</v>
      </c>
      <c r="AL47" s="135">
        <f>'ADJ DETAIL INPUT'!AM46</f>
        <v>0</v>
      </c>
      <c r="AM47" s="135">
        <f>'ADJ DETAIL INPUT'!AN46</f>
        <v>0</v>
      </c>
      <c r="AN47" s="135">
        <f>'ADJ DETAIL INPUT'!AO46</f>
        <v>0</v>
      </c>
      <c r="AO47" s="135">
        <f>'ADJ DETAIL INPUT'!AP46</f>
        <v>0</v>
      </c>
      <c r="AP47" s="135">
        <f>'ADJ DETAIL INPUT'!AQ46</f>
        <v>0</v>
      </c>
      <c r="AQ47" s="135">
        <f>'ADJ DETAIL INPUT'!AR46</f>
        <v>0</v>
      </c>
      <c r="AR47" s="135">
        <f>'ADJ DETAIL INPUT'!AS46</f>
        <v>0</v>
      </c>
      <c r="AS47" s="135">
        <f>'ADJ DETAIL INPUT'!AT46</f>
        <v>0</v>
      </c>
      <c r="AT47" s="135">
        <f>'ADJ DETAIL INPUT'!AU46</f>
        <v>0</v>
      </c>
      <c r="AU47" s="135">
        <f>'ADJ DETAIL INPUT'!AY46</f>
        <v>0</v>
      </c>
      <c r="AV47" s="135">
        <f>'ADJ DETAIL INPUT'!AZ46</f>
        <v>0</v>
      </c>
      <c r="AW47" s="135">
        <f>'ADJ DETAIL INPUT'!BA46</f>
        <v>0</v>
      </c>
      <c r="AX47" s="135">
        <f>'ADJ DETAIL INPUT'!BB46</f>
        <v>0</v>
      </c>
      <c r="AY47" s="135">
        <f>'ADJ DETAIL INPUT'!BC46</f>
        <v>0</v>
      </c>
      <c r="AZ47" s="135">
        <f>'ADJ DETAIL INPUT'!BD46</f>
        <v>0</v>
      </c>
      <c r="BA47" s="135">
        <f>'ADJ DETAIL INPUT'!BE46</f>
        <v>0</v>
      </c>
      <c r="BB47" s="135">
        <f>'ADJ DETAIL INPUT'!BF46</f>
        <v>0</v>
      </c>
      <c r="BC47" s="135">
        <f>'ADJ DETAIL INPUT'!BG46</f>
        <v>0</v>
      </c>
      <c r="BD47" s="135">
        <f>'ADJ DETAIL INPUT'!BH46</f>
        <v>0</v>
      </c>
    </row>
    <row r="48" spans="1:56">
      <c r="A48" s="116">
        <v>24</v>
      </c>
      <c r="B48" s="118" t="s">
        <v>51</v>
      </c>
      <c r="C48" s="118"/>
      <c r="E48" s="135">
        <f>SUM(E44:E47)</f>
        <v>39944</v>
      </c>
      <c r="F48" s="135">
        <f t="shared" ref="F48:R48" si="34">SUM(F44:F47)</f>
        <v>0</v>
      </c>
      <c r="G48" s="135">
        <f t="shared" si="34"/>
        <v>0</v>
      </c>
      <c r="H48" s="135">
        <f t="shared" si="34"/>
        <v>0</v>
      </c>
      <c r="I48" s="135">
        <f t="shared" si="34"/>
        <v>0</v>
      </c>
      <c r="J48" s="135">
        <f t="shared" si="34"/>
        <v>0</v>
      </c>
      <c r="K48" s="135">
        <f t="shared" si="34"/>
        <v>0</v>
      </c>
      <c r="L48" s="135">
        <f t="shared" si="34"/>
        <v>398</v>
      </c>
      <c r="M48" s="135">
        <f t="shared" si="34"/>
        <v>-18</v>
      </c>
      <c r="N48" s="135">
        <f t="shared" si="34"/>
        <v>0</v>
      </c>
      <c r="O48" s="135">
        <f t="shared" si="34"/>
        <v>-10</v>
      </c>
      <c r="P48" s="135">
        <f t="shared" si="34"/>
        <v>0</v>
      </c>
      <c r="Q48" s="135">
        <f t="shared" si="34"/>
        <v>0</v>
      </c>
      <c r="R48" s="135">
        <f t="shared" si="34"/>
        <v>0</v>
      </c>
      <c r="S48" s="135">
        <f t="shared" ref="S48:T48" si="35">SUM(S44:S47)</f>
        <v>-106</v>
      </c>
      <c r="T48" s="135">
        <f t="shared" si="35"/>
        <v>-409.2</v>
      </c>
      <c r="U48" s="135">
        <f t="shared" ref="U48" si="36">SUM(U44:U47)</f>
        <v>250.28299999999999</v>
      </c>
      <c r="V48" s="135">
        <f>SUM(V44:V47)</f>
        <v>0</v>
      </c>
      <c r="W48" s="135">
        <f>SUM(W44:W47)</f>
        <v>0</v>
      </c>
      <c r="X48" s="135">
        <f>SUM(X44:X47)</f>
        <v>0</v>
      </c>
      <c r="Y48" s="135">
        <f>SUM(Y44:Y47)</f>
        <v>-358</v>
      </c>
      <c r="Z48" s="135">
        <f t="shared" ref="Z48:BD48" si="37">SUM(Z44:Z47)</f>
        <v>-244</v>
      </c>
      <c r="AA48" s="135">
        <f t="shared" si="37"/>
        <v>0</v>
      </c>
      <c r="AB48" s="135">
        <f t="shared" si="37"/>
        <v>-112</v>
      </c>
      <c r="AC48" s="135">
        <f t="shared" si="37"/>
        <v>648</v>
      </c>
      <c r="AD48" s="135">
        <f t="shared" si="37"/>
        <v>19.004999999999999</v>
      </c>
      <c r="AE48" s="135">
        <f t="shared" si="37"/>
        <v>-1716</v>
      </c>
      <c r="AF48" s="135">
        <f t="shared" ref="AF48" si="38">SUM(AF44:AF47)</f>
        <v>368.4</v>
      </c>
      <c r="AG48" s="135">
        <f t="shared" si="37"/>
        <v>0</v>
      </c>
      <c r="AH48" s="135">
        <f t="shared" si="37"/>
        <v>112.90900000000001</v>
      </c>
      <c r="AI48" s="135">
        <f t="shared" si="37"/>
        <v>0</v>
      </c>
      <c r="AJ48" s="135">
        <f t="shared" si="37"/>
        <v>598</v>
      </c>
      <c r="AK48" s="135">
        <f t="shared" si="37"/>
        <v>20.6</v>
      </c>
      <c r="AL48" s="135">
        <f t="shared" si="37"/>
        <v>556.36900000000003</v>
      </c>
      <c r="AM48" s="135">
        <f t="shared" si="37"/>
        <v>625</v>
      </c>
      <c r="AN48" s="135">
        <f t="shared" ref="AN48:AO48" si="39">SUM(AN44:AN47)</f>
        <v>-463.7</v>
      </c>
      <c r="AO48" s="135">
        <f t="shared" si="39"/>
        <v>967</v>
      </c>
      <c r="AP48" s="135">
        <f t="shared" ref="AP48" si="40">SUM(AP44:AP47)</f>
        <v>300</v>
      </c>
      <c r="AQ48" s="135">
        <f t="shared" si="37"/>
        <v>178</v>
      </c>
      <c r="AR48" s="135">
        <f t="shared" si="37"/>
        <v>150</v>
      </c>
      <c r="AS48" s="135">
        <f t="shared" si="37"/>
        <v>1245</v>
      </c>
      <c r="AT48" s="135">
        <f t="shared" si="37"/>
        <v>-88.394999999999996</v>
      </c>
      <c r="AU48" s="135">
        <f t="shared" ref="AU48" si="41">SUM(AU44:AU47)</f>
        <v>0</v>
      </c>
      <c r="AV48" s="135">
        <f t="shared" si="37"/>
        <v>0</v>
      </c>
      <c r="AW48" s="135">
        <f t="shared" si="37"/>
        <v>250.4</v>
      </c>
      <c r="AX48" s="135">
        <f t="shared" si="37"/>
        <v>52.8</v>
      </c>
      <c r="AY48" s="135">
        <f t="shared" si="37"/>
        <v>0</v>
      </c>
      <c r="AZ48" s="135">
        <f t="shared" si="37"/>
        <v>-65</v>
      </c>
      <c r="BA48" s="135">
        <f t="shared" si="37"/>
        <v>222.548</v>
      </c>
      <c r="BB48" s="135">
        <f t="shared" si="37"/>
        <v>895</v>
      </c>
      <c r="BC48" s="135">
        <f t="shared" si="37"/>
        <v>-130.83500000000001</v>
      </c>
      <c r="BD48" s="135">
        <f t="shared" si="37"/>
        <v>0</v>
      </c>
    </row>
    <row r="49" spans="1:56" ht="19.5" customHeight="1">
      <c r="A49" s="116">
        <v>25</v>
      </c>
      <c r="B49" s="92" t="s">
        <v>52</v>
      </c>
      <c r="C49" s="118"/>
      <c r="D49" s="118"/>
      <c r="E49" s="135">
        <f t="shared" ref="E49" si="42">E21+E25+E31+E37+E39+E40+E41+E48</f>
        <v>260577</v>
      </c>
      <c r="F49" s="135">
        <f t="shared" ref="F49:R49" si="43">F21+F25+F31+F37+F39+F40+F41+F48</f>
        <v>0</v>
      </c>
      <c r="G49" s="135">
        <f t="shared" si="43"/>
        <v>0</v>
      </c>
      <c r="H49" s="135">
        <f t="shared" si="43"/>
        <v>0</v>
      </c>
      <c r="I49" s="135">
        <f t="shared" si="43"/>
        <v>-8688</v>
      </c>
      <c r="J49" s="135">
        <f t="shared" si="43"/>
        <v>288</v>
      </c>
      <c r="K49" s="135">
        <f t="shared" si="43"/>
        <v>927</v>
      </c>
      <c r="L49" s="135">
        <f t="shared" si="43"/>
        <v>398</v>
      </c>
      <c r="M49" s="135">
        <f t="shared" si="43"/>
        <v>-18</v>
      </c>
      <c r="N49" s="135">
        <f t="shared" si="43"/>
        <v>0</v>
      </c>
      <c r="O49" s="135">
        <f t="shared" si="43"/>
        <v>-10</v>
      </c>
      <c r="P49" s="135">
        <f t="shared" si="43"/>
        <v>-4</v>
      </c>
      <c r="Q49" s="135">
        <f t="shared" si="43"/>
        <v>-11</v>
      </c>
      <c r="R49" s="135">
        <f t="shared" si="43"/>
        <v>-56</v>
      </c>
      <c r="S49" s="135">
        <f t="shared" ref="S49:T49" si="44">S21+S25+S31+S37+S39+S40+S41+S48</f>
        <v>-72773</v>
      </c>
      <c r="T49" s="135">
        <f t="shared" si="44"/>
        <v>-415.2</v>
      </c>
      <c r="U49" s="135">
        <f t="shared" ref="U49" si="45">U21+U25+U31+U37+U39+U40+U41+U48</f>
        <v>250.28299999999999</v>
      </c>
      <c r="V49" s="135">
        <f>V21+V25+V31+V37+V39+V40+V41+V48</f>
        <v>0</v>
      </c>
      <c r="W49" s="135">
        <f>W21+W25+W31+W37+W39+W40+W41+W48</f>
        <v>0</v>
      </c>
      <c r="X49" s="135">
        <f>X21+X25+X31+X37+X39+X40+X41+X48</f>
        <v>0</v>
      </c>
      <c r="Y49" s="135">
        <f>Y21+Y25+Y31+Y37+Y39+Y40+Y41+Y48</f>
        <v>-94600</v>
      </c>
      <c r="Z49" s="135">
        <f t="shared" ref="Z49:BD49" si="46">Z21+Z25+Z31+Z37+Z39+Z40+Z41+Z48</f>
        <v>-244</v>
      </c>
      <c r="AA49" s="135">
        <f t="shared" si="46"/>
        <v>0</v>
      </c>
      <c r="AB49" s="135">
        <f t="shared" si="46"/>
        <v>-803</v>
      </c>
      <c r="AC49" s="135">
        <f t="shared" si="46"/>
        <v>1825.3</v>
      </c>
      <c r="AD49" s="135">
        <f t="shared" si="46"/>
        <v>19.004999999999999</v>
      </c>
      <c r="AE49" s="135">
        <f t="shared" si="46"/>
        <v>-1689.2</v>
      </c>
      <c r="AF49" s="135">
        <f t="shared" ref="AF49" si="47">AF21+AF25+AF31+AF37+AF39+AF40+AF41+AF48</f>
        <v>368.79999999999995</v>
      </c>
      <c r="AG49" s="135">
        <f t="shared" si="46"/>
        <v>78</v>
      </c>
      <c r="AH49" s="135">
        <f t="shared" si="46"/>
        <v>112.90900000000001</v>
      </c>
      <c r="AI49" s="135">
        <f t="shared" si="46"/>
        <v>946</v>
      </c>
      <c r="AJ49" s="135">
        <f t="shared" si="46"/>
        <v>598</v>
      </c>
      <c r="AK49" s="135">
        <f t="shared" si="46"/>
        <v>20.6</v>
      </c>
      <c r="AL49" s="135">
        <f t="shared" si="46"/>
        <v>1633.6619999999998</v>
      </c>
      <c r="AM49" s="135">
        <f t="shared" si="46"/>
        <v>1270</v>
      </c>
      <c r="AN49" s="135">
        <f t="shared" ref="AN49:AO49" si="48">AN21+AN25+AN31+AN37+AN39+AN40+AN41+AN48</f>
        <v>-904.2</v>
      </c>
      <c r="AO49" s="135">
        <f t="shared" si="48"/>
        <v>1957</v>
      </c>
      <c r="AP49" s="135">
        <f t="shared" ref="AP49" si="49">AP21+AP25+AP31+AP37+AP39+AP40+AP41+AP48</f>
        <v>300</v>
      </c>
      <c r="AQ49" s="135">
        <f t="shared" si="46"/>
        <v>178</v>
      </c>
      <c r="AR49" s="135">
        <f t="shared" si="46"/>
        <v>150</v>
      </c>
      <c r="AS49" s="135">
        <f t="shared" si="46"/>
        <v>2170</v>
      </c>
      <c r="AT49" s="135">
        <f t="shared" si="46"/>
        <v>-278.70699999999999</v>
      </c>
      <c r="AU49" s="135">
        <f t="shared" ref="AU49" si="50">AU21+AU25+AU31+AU37+AU39+AU40+AU41+AU48</f>
        <v>0</v>
      </c>
      <c r="AV49" s="135">
        <f t="shared" si="46"/>
        <v>-105</v>
      </c>
      <c r="AW49" s="135">
        <f t="shared" si="46"/>
        <v>734.9</v>
      </c>
      <c r="AX49" s="135">
        <f t="shared" si="46"/>
        <v>146.80000000000001</v>
      </c>
      <c r="AY49" s="135">
        <f t="shared" si="46"/>
        <v>30</v>
      </c>
      <c r="AZ49" s="135">
        <f t="shared" si="46"/>
        <v>-65</v>
      </c>
      <c r="BA49" s="135">
        <f t="shared" si="46"/>
        <v>653.46600000000001</v>
      </c>
      <c r="BB49" s="135">
        <f t="shared" si="46"/>
        <v>1740</v>
      </c>
      <c r="BC49" s="135">
        <f t="shared" si="46"/>
        <v>-200.87900000000002</v>
      </c>
      <c r="BD49" s="135">
        <f t="shared" si="46"/>
        <v>0</v>
      </c>
    </row>
    <row r="50" spans="1:56">
      <c r="C50" s="118"/>
      <c r="D50" s="118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</row>
    <row r="51" spans="1:56" ht="13.2" customHeight="1">
      <c r="A51" s="116">
        <v>26</v>
      </c>
      <c r="B51" s="92" t="s">
        <v>53</v>
      </c>
      <c r="C51" s="118"/>
      <c r="D51" s="118"/>
      <c r="E51" s="134">
        <f>E18-E49</f>
        <v>28262</v>
      </c>
      <c r="F51" s="134">
        <f t="shared" ref="F51:R51" si="51">F18-F49</f>
        <v>0</v>
      </c>
      <c r="G51" s="134">
        <f t="shared" si="51"/>
        <v>0</v>
      </c>
      <c r="H51" s="134">
        <f t="shared" si="51"/>
        <v>0</v>
      </c>
      <c r="I51" s="134">
        <f t="shared" si="51"/>
        <v>42</v>
      </c>
      <c r="J51" s="134">
        <f t="shared" si="51"/>
        <v>-288</v>
      </c>
      <c r="K51" s="134">
        <f t="shared" si="51"/>
        <v>-927</v>
      </c>
      <c r="L51" s="134">
        <f t="shared" si="51"/>
        <v>-398</v>
      </c>
      <c r="M51" s="134">
        <f t="shared" si="51"/>
        <v>18</v>
      </c>
      <c r="N51" s="134">
        <f t="shared" si="51"/>
        <v>0</v>
      </c>
      <c r="O51" s="134">
        <f t="shared" si="51"/>
        <v>10</v>
      </c>
      <c r="P51" s="134">
        <f t="shared" si="51"/>
        <v>4</v>
      </c>
      <c r="Q51" s="134">
        <f t="shared" si="51"/>
        <v>11</v>
      </c>
      <c r="R51" s="134">
        <f t="shared" si="51"/>
        <v>-43</v>
      </c>
      <c r="S51" s="134">
        <f t="shared" ref="S51:T51" si="52">S18-S49</f>
        <v>12195</v>
      </c>
      <c r="T51" s="134">
        <f t="shared" si="52"/>
        <v>415.2</v>
      </c>
      <c r="U51" s="134">
        <f t="shared" ref="U51" si="53">U18-U49</f>
        <v>-250.28299999999999</v>
      </c>
      <c r="V51" s="134">
        <f>V18-V49</f>
        <v>0</v>
      </c>
      <c r="W51" s="134">
        <f>W18-W49</f>
        <v>0</v>
      </c>
      <c r="X51" s="134">
        <f>X18-X49</f>
        <v>0</v>
      </c>
      <c r="Y51" s="134">
        <f>Y18-Y49</f>
        <v>2433</v>
      </c>
      <c r="Z51" s="134">
        <f t="shared" ref="Z51:BD51" si="54">Z18-Z49</f>
        <v>244</v>
      </c>
      <c r="AA51" s="134">
        <f t="shared" si="54"/>
        <v>0</v>
      </c>
      <c r="AB51" s="134">
        <f t="shared" si="54"/>
        <v>803</v>
      </c>
      <c r="AC51" s="134">
        <f t="shared" si="54"/>
        <v>-1825.3</v>
      </c>
      <c r="AD51" s="134">
        <f t="shared" si="54"/>
        <v>-19.004999999999999</v>
      </c>
      <c r="AE51" s="134">
        <f t="shared" si="54"/>
        <v>1689.2</v>
      </c>
      <c r="AF51" s="134">
        <f t="shared" ref="AF51" si="55">AF18-AF49</f>
        <v>-368.79999999999995</v>
      </c>
      <c r="AG51" s="134">
        <f t="shared" si="54"/>
        <v>-78</v>
      </c>
      <c r="AH51" s="134">
        <f t="shared" si="54"/>
        <v>-112.90900000000001</v>
      </c>
      <c r="AI51" s="134">
        <f t="shared" si="54"/>
        <v>-946</v>
      </c>
      <c r="AJ51" s="134">
        <f t="shared" si="54"/>
        <v>-598</v>
      </c>
      <c r="AK51" s="134">
        <f t="shared" si="54"/>
        <v>-20.6</v>
      </c>
      <c r="AL51" s="134">
        <f t="shared" si="54"/>
        <v>-1633.6619999999998</v>
      </c>
      <c r="AM51" s="134">
        <f t="shared" si="54"/>
        <v>-1270</v>
      </c>
      <c r="AN51" s="134">
        <f t="shared" ref="AN51:AO51" si="56">AN18-AN49</f>
        <v>904.2</v>
      </c>
      <c r="AO51" s="134">
        <f t="shared" si="56"/>
        <v>-1957</v>
      </c>
      <c r="AP51" s="134">
        <f t="shared" ref="AP51" si="57">AP18-AP49</f>
        <v>-300</v>
      </c>
      <c r="AQ51" s="134">
        <f t="shared" si="54"/>
        <v>-178</v>
      </c>
      <c r="AR51" s="134">
        <f t="shared" si="54"/>
        <v>-150</v>
      </c>
      <c r="AS51" s="134">
        <f t="shared" si="54"/>
        <v>-2170</v>
      </c>
      <c r="AT51" s="134">
        <f t="shared" si="54"/>
        <v>622.70699999999999</v>
      </c>
      <c r="AU51" s="134">
        <f t="shared" ref="AU51" si="58">AU18-AU49</f>
        <v>0</v>
      </c>
      <c r="AV51" s="134">
        <f t="shared" si="54"/>
        <v>105</v>
      </c>
      <c r="AW51" s="134">
        <f t="shared" si="54"/>
        <v>-734.9</v>
      </c>
      <c r="AX51" s="134">
        <f t="shared" si="54"/>
        <v>-146.80000000000001</v>
      </c>
      <c r="AY51" s="134">
        <f t="shared" si="54"/>
        <v>-30</v>
      </c>
      <c r="AZ51" s="134">
        <f t="shared" si="54"/>
        <v>65</v>
      </c>
      <c r="BA51" s="134">
        <f t="shared" si="54"/>
        <v>-653.46600000000001</v>
      </c>
      <c r="BB51" s="134">
        <f t="shared" si="54"/>
        <v>-1740</v>
      </c>
      <c r="BC51" s="134">
        <f t="shared" si="54"/>
        <v>239.87900000000002</v>
      </c>
      <c r="BD51" s="134">
        <f t="shared" si="54"/>
        <v>0</v>
      </c>
    </row>
    <row r="52" spans="1:56" ht="13.2" customHeight="1">
      <c r="C52" s="118"/>
      <c r="D52" s="118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</row>
    <row r="53" spans="1:56" ht="13.2" customHeight="1">
      <c r="B53" s="92" t="s">
        <v>54</v>
      </c>
      <c r="C53" s="118"/>
      <c r="D53" s="118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</row>
    <row r="54" spans="1:56">
      <c r="A54" s="116">
        <v>27</v>
      </c>
      <c r="B54" s="118" t="s">
        <v>55</v>
      </c>
      <c r="D54" s="118"/>
      <c r="E54" s="134">
        <f>'ADJ DETAIL INPUT'!E53</f>
        <v>-4387</v>
      </c>
      <c r="F54" s="134">
        <f>'ADJ DETAIL INPUT'!F53</f>
        <v>0</v>
      </c>
      <c r="G54" s="134">
        <f>'ADJ DETAIL INPUT'!G53</f>
        <v>0</v>
      </c>
      <c r="H54" s="134">
        <f>'ADJ DETAIL INPUT'!H53</f>
        <v>0</v>
      </c>
      <c r="I54" s="134">
        <f>'ADJ DETAIL INPUT'!I53</f>
        <v>8.82</v>
      </c>
      <c r="J54" s="134">
        <f>'ADJ DETAIL INPUT'!J53</f>
        <v>-60.48</v>
      </c>
      <c r="K54" s="134">
        <f>'ADJ DETAIL INPUT'!K53</f>
        <v>-194.67</v>
      </c>
      <c r="L54" s="134">
        <f>'ADJ DETAIL INPUT'!L53</f>
        <v>-83.58</v>
      </c>
      <c r="M54" s="134">
        <f>'ADJ DETAIL INPUT'!M53</f>
        <v>3.78</v>
      </c>
      <c r="N54" s="134">
        <f>'ADJ DETAIL INPUT'!N53</f>
        <v>0</v>
      </c>
      <c r="O54" s="134">
        <f>'ADJ DETAIL INPUT'!O53</f>
        <v>2.1</v>
      </c>
      <c r="P54" s="134">
        <f>'ADJ DETAIL INPUT'!P53</f>
        <v>0.84</v>
      </c>
      <c r="Q54" s="134">
        <f>'ADJ DETAIL INPUT'!Q53</f>
        <v>2.31</v>
      </c>
      <c r="R54" s="134">
        <f>'ADJ DETAIL INPUT'!R53</f>
        <v>-9.0299999999999994</v>
      </c>
      <c r="S54" s="134">
        <f>'ADJ DETAIL INPUT'!S53</f>
        <v>2560.9499999999998</v>
      </c>
      <c r="T54" s="134">
        <f>'ADJ DETAIL INPUT'!T53</f>
        <v>87.191999999999993</v>
      </c>
      <c r="U54" s="134">
        <f>'ADJ DETAIL INPUT'!U53</f>
        <v>-52.559429999999992</v>
      </c>
      <c r="V54" s="134">
        <f>'ADJ DETAIL INPUT'!V53</f>
        <v>57</v>
      </c>
      <c r="W54" s="134">
        <f>'ADJ DETAIL INPUT'!W53</f>
        <v>0</v>
      </c>
      <c r="X54" s="134">
        <f>'ADJ DETAIL INPUT'!X53</f>
        <v>0</v>
      </c>
      <c r="Y54" s="134">
        <f>'ADJ DETAIL INPUT'!Z53</f>
        <v>510.93</v>
      </c>
      <c r="Z54" s="134">
        <f>'ADJ DETAIL INPUT'!AA53</f>
        <v>51.239999999999995</v>
      </c>
      <c r="AA54" s="134">
        <f>'ADJ DETAIL INPUT'!AB53</f>
        <v>0</v>
      </c>
      <c r="AB54" s="134">
        <f>'ADJ DETAIL INPUT'!AC53</f>
        <v>168.63</v>
      </c>
      <c r="AC54" s="134">
        <f>'ADJ DETAIL INPUT'!AD53</f>
        <v>-383.31299999999999</v>
      </c>
      <c r="AD54" s="134">
        <f>'ADJ DETAIL INPUT'!AE53</f>
        <v>-3.9910499999999995</v>
      </c>
      <c r="AE54" s="134">
        <f>'ADJ DETAIL INPUT'!AF53</f>
        <v>354.73199999999997</v>
      </c>
      <c r="AF54" s="134">
        <f>'ADJ DETAIL INPUT'!AG53</f>
        <v>-77.447999999999993</v>
      </c>
      <c r="AG54" s="134">
        <f>'ADJ DETAIL INPUT'!AH53</f>
        <v>-16.38</v>
      </c>
      <c r="AH54" s="134">
        <f>'ADJ DETAIL INPUT'!AI53</f>
        <v>-23.710889999999999</v>
      </c>
      <c r="AI54" s="134">
        <f>'ADJ DETAIL INPUT'!AJ53</f>
        <v>-198.66</v>
      </c>
      <c r="AJ54" s="134">
        <f>'ADJ DETAIL INPUT'!AK53</f>
        <v>-125.58</v>
      </c>
      <c r="AK54" s="134">
        <f>'ADJ DETAIL INPUT'!AL53</f>
        <v>-4.3260000000000005</v>
      </c>
      <c r="AL54" s="134">
        <f>'ADJ DETAIL INPUT'!AM53</f>
        <v>-343.06901999999997</v>
      </c>
      <c r="AM54" s="134">
        <f>'ADJ DETAIL INPUT'!AN53</f>
        <v>-266.7</v>
      </c>
      <c r="AN54" s="134">
        <f>'ADJ DETAIL INPUT'!AO53</f>
        <v>189.88200000000001</v>
      </c>
      <c r="AO54" s="134">
        <f>'ADJ DETAIL INPUT'!AP53</f>
        <v>-410.96999999999997</v>
      </c>
      <c r="AP54" s="134">
        <f>'ADJ DETAIL INPUT'!AQ53</f>
        <v>-63</v>
      </c>
      <c r="AQ54" s="134">
        <f>'ADJ DETAIL INPUT'!AR53</f>
        <v>-37.379999999999995</v>
      </c>
      <c r="AR54" s="134">
        <f>'ADJ DETAIL INPUT'!AS53</f>
        <v>-31.5</v>
      </c>
      <c r="AS54" s="134">
        <f>'ADJ DETAIL INPUT'!AT53</f>
        <v>-455.7</v>
      </c>
      <c r="AT54" s="134">
        <f>'ADJ DETAIL INPUT'!AU53</f>
        <v>130.76847000000001</v>
      </c>
      <c r="AU54" s="134">
        <f>'ADJ DETAIL INPUT'!AY53</f>
        <v>0</v>
      </c>
      <c r="AV54" s="134">
        <f>'ADJ DETAIL INPUT'!AZ53</f>
        <v>22.05</v>
      </c>
      <c r="AW54" s="134">
        <f>'ADJ DETAIL INPUT'!BA53</f>
        <v>-154.32899999999998</v>
      </c>
      <c r="AX54" s="134">
        <f>'ADJ DETAIL INPUT'!BB53</f>
        <v>-30.828000000000003</v>
      </c>
      <c r="AY54" s="134">
        <f>'ADJ DETAIL INPUT'!BC53</f>
        <v>-6.3</v>
      </c>
      <c r="AZ54" s="134">
        <f>'ADJ DETAIL INPUT'!BD53</f>
        <v>13.65</v>
      </c>
      <c r="BA54" s="134">
        <f>'ADJ DETAIL INPUT'!BE53</f>
        <v>-137.22785999999999</v>
      </c>
      <c r="BB54" s="134">
        <f>'ADJ DETAIL INPUT'!BF53</f>
        <v>-365.4</v>
      </c>
      <c r="BC54" s="134">
        <f>'ADJ DETAIL INPUT'!BG53</f>
        <v>50.374590000000005</v>
      </c>
      <c r="BD54" s="134">
        <f>'ADJ DETAIL INPUT'!BH53</f>
        <v>0</v>
      </c>
    </row>
    <row r="55" spans="1:56">
      <c r="A55" s="116">
        <v>28</v>
      </c>
      <c r="B55" s="118" t="s">
        <v>170</v>
      </c>
      <c r="D55" s="118"/>
      <c r="E55" s="134">
        <f>'ADJ DETAIL INPUT'!E54</f>
        <v>0</v>
      </c>
      <c r="F55" s="134">
        <f>'ADJ DETAIL INPUT'!F54</f>
        <v>1.208928</v>
      </c>
      <c r="G55" s="134">
        <f>'ADJ DETAIL INPUT'!G54</f>
        <v>0</v>
      </c>
      <c r="H55" s="134">
        <f>'ADJ DETAIL INPUT'!H54</f>
        <v>3.4972560000000001</v>
      </c>
      <c r="I55" s="134">
        <f>'ADJ DETAIL INPUT'!I54</f>
        <v>0</v>
      </c>
      <c r="J55" s="134">
        <f>'ADJ DETAIL INPUT'!J54</f>
        <v>0</v>
      </c>
      <c r="K55" s="134">
        <f>'ADJ DETAIL INPUT'!K54</f>
        <v>0</v>
      </c>
      <c r="L55" s="134">
        <f>'ADJ DETAIL INPUT'!L54</f>
        <v>0</v>
      </c>
      <c r="M55" s="134">
        <f>'ADJ DETAIL INPUT'!M54</f>
        <v>0</v>
      </c>
      <c r="N55" s="134">
        <f>'ADJ DETAIL INPUT'!N54</f>
        <v>0</v>
      </c>
      <c r="O55" s="134">
        <f>'ADJ DETAIL INPUT'!O54</f>
        <v>0</v>
      </c>
      <c r="P55" s="134">
        <f>'ADJ DETAIL INPUT'!P54</f>
        <v>0</v>
      </c>
      <c r="Q55" s="134">
        <f>'ADJ DETAIL INPUT'!Q54</f>
        <v>0</v>
      </c>
      <c r="R55" s="134">
        <f>'ADJ DETAIL INPUT'!R54</f>
        <v>0</v>
      </c>
      <c r="S55" s="134">
        <f>'ADJ DETAIL INPUT'!S54</f>
        <v>0</v>
      </c>
      <c r="T55" s="134">
        <f>'ADJ DETAIL INPUT'!T54</f>
        <v>0</v>
      </c>
      <c r="U55" s="134">
        <f>'ADJ DETAIL INPUT'!U54</f>
        <v>0</v>
      </c>
      <c r="V55" s="134">
        <f>'ADJ DETAIL INPUT'!V54</f>
        <v>0</v>
      </c>
      <c r="W55" s="134">
        <f>'ADJ DETAIL INPUT'!W54</f>
        <v>-66.965975999999998</v>
      </c>
      <c r="X55" s="134">
        <f>'ADJ DETAIL INPUT'!X54</f>
        <v>0</v>
      </c>
      <c r="Y55" s="134">
        <f>'ADJ DETAIL INPUT'!Z54</f>
        <v>0</v>
      </c>
      <c r="Z55" s="134">
        <f>'ADJ DETAIL INPUT'!AA54</f>
        <v>0</v>
      </c>
      <c r="AA55" s="134">
        <f>'ADJ DETAIL INPUT'!AB54</f>
        <v>0</v>
      </c>
      <c r="AB55" s="134">
        <f>'ADJ DETAIL INPUT'!AC54</f>
        <v>11.554976999999999</v>
      </c>
      <c r="AC55" s="134">
        <f>'ADJ DETAIL INPUT'!AD54</f>
        <v>0</v>
      </c>
      <c r="AD55" s="134">
        <f>'ADJ DETAIL INPUT'!AE54</f>
        <v>0</v>
      </c>
      <c r="AE55" s="134">
        <f>'ADJ DETAIL INPUT'!AF54</f>
        <v>0</v>
      </c>
      <c r="AF55" s="134">
        <f>'ADJ DETAIL INPUT'!AG54</f>
        <v>0</v>
      </c>
      <c r="AG55" s="134">
        <f>'ADJ DETAIL INPUT'!AH54</f>
        <v>0</v>
      </c>
      <c r="AH55" s="134">
        <f>'ADJ DETAIL INPUT'!AI54</f>
        <v>0</v>
      </c>
      <c r="AI55" s="134">
        <f>'ADJ DETAIL INPUT'!AJ54</f>
        <v>0</v>
      </c>
      <c r="AJ55" s="134">
        <f>'ADJ DETAIL INPUT'!AK54</f>
        <v>0</v>
      </c>
      <c r="AK55" s="134">
        <f>'ADJ DETAIL INPUT'!AL54</f>
        <v>0</v>
      </c>
      <c r="AL55" s="134">
        <f>'ADJ DETAIL INPUT'!AM54</f>
        <v>0</v>
      </c>
      <c r="AM55" s="134">
        <f>'ADJ DETAIL INPUT'!AN54</f>
        <v>-105.1761963</v>
      </c>
      <c r="AN55" s="134">
        <f>'ADJ DETAIL INPUT'!AO54</f>
        <v>0</v>
      </c>
      <c r="AO55" s="134">
        <f>'ADJ DETAIL INPUT'!AP54</f>
        <v>-111.00549600000001</v>
      </c>
      <c r="AP55" s="134">
        <f>'ADJ DETAIL INPUT'!AQ54</f>
        <v>0</v>
      </c>
      <c r="AQ55" s="134">
        <f>'ADJ DETAIL INPUT'!AR54</f>
        <v>0</v>
      </c>
      <c r="AR55" s="134">
        <f>'ADJ DETAIL INPUT'!AS54</f>
        <v>0</v>
      </c>
      <c r="AS55" s="134">
        <f>'ADJ DETAIL INPUT'!AT54</f>
        <v>-17.291448300000006</v>
      </c>
      <c r="AT55" s="134">
        <f>'ADJ DETAIL INPUT'!AU54</f>
        <v>0</v>
      </c>
      <c r="AU55" s="134">
        <f>'ADJ DETAIL INPUT'!AY54</f>
        <v>0</v>
      </c>
      <c r="AV55" s="134">
        <f>'ADJ DETAIL INPUT'!AZ54</f>
        <v>4.5766559999999998</v>
      </c>
      <c r="AW55" s="134">
        <f>'ADJ DETAIL INPUT'!BA54</f>
        <v>0</v>
      </c>
      <c r="AX55" s="134">
        <f>'ADJ DETAIL INPUT'!BB54</f>
        <v>0</v>
      </c>
      <c r="AY55" s="134">
        <f>'ADJ DETAIL INPUT'!BC54</f>
        <v>0</v>
      </c>
      <c r="AZ55" s="134">
        <f>'ADJ DETAIL INPUT'!BD54</f>
        <v>0</v>
      </c>
      <c r="BA55" s="134">
        <f>'ADJ DETAIL INPUT'!BE54</f>
        <v>0</v>
      </c>
      <c r="BB55" s="134">
        <f>'ADJ DETAIL INPUT'!BF54</f>
        <v>-92.228793300000007</v>
      </c>
      <c r="BC55" s="134">
        <f>'ADJ DETAIL INPUT'!BG54</f>
        <v>0</v>
      </c>
      <c r="BD55" s="134">
        <f>'ADJ DETAIL INPUT'!BH54</f>
        <v>0</v>
      </c>
    </row>
    <row r="56" spans="1:56">
      <c r="A56" s="116">
        <v>29</v>
      </c>
      <c r="B56" s="118" t="s">
        <v>56</v>
      </c>
      <c r="D56" s="118"/>
      <c r="E56" s="134">
        <f>'ADJ DETAIL INPUT'!E55</f>
        <v>-3743</v>
      </c>
      <c r="F56" s="134">
        <f>'ADJ DETAIL INPUT'!F55</f>
        <v>0</v>
      </c>
      <c r="G56" s="134">
        <f>'ADJ DETAIL INPUT'!G55</f>
        <v>0</v>
      </c>
      <c r="H56" s="134">
        <f>'ADJ DETAIL INPUT'!H55</f>
        <v>0</v>
      </c>
      <c r="I56" s="134">
        <f>'ADJ DETAIL INPUT'!I55</f>
        <v>0</v>
      </c>
      <c r="J56" s="134">
        <f>'ADJ DETAIL INPUT'!J55</f>
        <v>0</v>
      </c>
      <c r="K56" s="134">
        <f>'ADJ DETAIL INPUT'!K55</f>
        <v>0</v>
      </c>
      <c r="L56" s="134">
        <f>'ADJ DETAIL INPUT'!L55</f>
        <v>0</v>
      </c>
      <c r="M56" s="134">
        <f>'ADJ DETAIL INPUT'!M55</f>
        <v>0</v>
      </c>
      <c r="N56" s="134">
        <f>'ADJ DETAIL INPUT'!N55</f>
        <v>-101</v>
      </c>
      <c r="O56" s="134">
        <f>'ADJ DETAIL INPUT'!O55</f>
        <v>0</v>
      </c>
      <c r="P56" s="134">
        <f>'ADJ DETAIL INPUT'!P55</f>
        <v>0</v>
      </c>
      <c r="Q56" s="134">
        <f>'ADJ DETAIL INPUT'!Q55</f>
        <v>0</v>
      </c>
      <c r="R56" s="134">
        <f>'ADJ DETAIL INPUT'!R55</f>
        <v>0</v>
      </c>
      <c r="S56" s="134">
        <f>'ADJ DETAIL INPUT'!S55</f>
        <v>0</v>
      </c>
      <c r="T56" s="134">
        <f>'ADJ DETAIL INPUT'!T55</f>
        <v>0</v>
      </c>
      <c r="U56" s="134">
        <f>'ADJ DETAIL INPUT'!U55</f>
        <v>0</v>
      </c>
      <c r="V56" s="134">
        <f>'ADJ DETAIL INPUT'!V55</f>
        <v>0</v>
      </c>
      <c r="W56" s="134">
        <f>'ADJ DETAIL INPUT'!W55</f>
        <v>0</v>
      </c>
      <c r="X56" s="134">
        <f>'ADJ DETAIL INPUT'!X55</f>
        <v>0</v>
      </c>
      <c r="Y56" s="134">
        <f>'ADJ DETAIL INPUT'!Z55</f>
        <v>0</v>
      </c>
      <c r="Z56" s="134">
        <f>'ADJ DETAIL INPUT'!AA55</f>
        <v>0</v>
      </c>
      <c r="AA56" s="134">
        <f>'ADJ DETAIL INPUT'!AB55</f>
        <v>136</v>
      </c>
      <c r="AB56" s="134">
        <f>'ADJ DETAIL INPUT'!AC55</f>
        <v>0</v>
      </c>
      <c r="AC56" s="134">
        <f>'ADJ DETAIL INPUT'!AD55</f>
        <v>0</v>
      </c>
      <c r="AD56" s="134">
        <f>'ADJ DETAIL INPUT'!AE55</f>
        <v>0</v>
      </c>
      <c r="AE56" s="134">
        <f>'ADJ DETAIL INPUT'!AF55</f>
        <v>0</v>
      </c>
      <c r="AF56" s="134">
        <f>'ADJ DETAIL INPUT'!AG55</f>
        <v>0</v>
      </c>
      <c r="AG56" s="134">
        <f>'ADJ DETAIL INPUT'!AH55</f>
        <v>0</v>
      </c>
      <c r="AH56" s="134">
        <f>'ADJ DETAIL INPUT'!AI55</f>
        <v>0</v>
      </c>
      <c r="AI56" s="134">
        <f>'ADJ DETAIL INPUT'!AJ55</f>
        <v>0</v>
      </c>
      <c r="AJ56" s="134">
        <f>'ADJ DETAIL INPUT'!AK55</f>
        <v>0</v>
      </c>
      <c r="AK56" s="134">
        <f>'ADJ DETAIL INPUT'!AL55</f>
        <v>0</v>
      </c>
      <c r="AL56" s="134">
        <f>'ADJ DETAIL INPUT'!AM55</f>
        <v>0</v>
      </c>
      <c r="AM56" s="134">
        <f>'ADJ DETAIL INPUT'!AN55</f>
        <v>0</v>
      </c>
      <c r="AN56" s="134">
        <f>'ADJ DETAIL INPUT'!AO55</f>
        <v>0</v>
      </c>
      <c r="AO56" s="134">
        <f>'ADJ DETAIL INPUT'!AP55</f>
        <v>0</v>
      </c>
      <c r="AP56" s="134">
        <f>'ADJ DETAIL INPUT'!AQ55</f>
        <v>0</v>
      </c>
      <c r="AQ56" s="134">
        <f>'ADJ DETAIL INPUT'!AR55</f>
        <v>0</v>
      </c>
      <c r="AR56" s="134">
        <f>'ADJ DETAIL INPUT'!AS55</f>
        <v>0</v>
      </c>
      <c r="AS56" s="134">
        <f>'ADJ DETAIL INPUT'!AT55</f>
        <v>0</v>
      </c>
      <c r="AT56" s="134">
        <f>'ADJ DETAIL INPUT'!AU55</f>
        <v>0</v>
      </c>
      <c r="AU56" s="134">
        <f>'ADJ DETAIL INPUT'!AY55</f>
        <v>0</v>
      </c>
      <c r="AV56" s="134">
        <f>'ADJ DETAIL INPUT'!AZ55</f>
        <v>0</v>
      </c>
      <c r="AW56" s="134">
        <f>'ADJ DETAIL INPUT'!BA55</f>
        <v>0</v>
      </c>
      <c r="AX56" s="134">
        <f>'ADJ DETAIL INPUT'!BB55</f>
        <v>0</v>
      </c>
      <c r="AY56" s="134">
        <f>'ADJ DETAIL INPUT'!BC55</f>
        <v>0</v>
      </c>
      <c r="AZ56" s="134">
        <f>'ADJ DETAIL INPUT'!BD55</f>
        <v>0</v>
      </c>
      <c r="BA56" s="134">
        <f>'ADJ DETAIL INPUT'!BE55</f>
        <v>0</v>
      </c>
      <c r="BB56" s="134">
        <f>'ADJ DETAIL INPUT'!BF55</f>
        <v>0</v>
      </c>
      <c r="BC56" s="134">
        <f>'ADJ DETAIL INPUT'!BG55</f>
        <v>0</v>
      </c>
      <c r="BD56" s="134">
        <f>'ADJ DETAIL INPUT'!BH55</f>
        <v>0</v>
      </c>
    </row>
    <row r="57" spans="1:56">
      <c r="A57" s="116">
        <v>30</v>
      </c>
      <c r="B57" s="118" t="s">
        <v>57</v>
      </c>
      <c r="D57" s="118"/>
      <c r="E57" s="135">
        <f>'ADJ DETAIL INPUT'!E56</f>
        <v>0</v>
      </c>
      <c r="F57" s="135">
        <f>'ADJ DETAIL INPUT'!F56</f>
        <v>0</v>
      </c>
      <c r="G57" s="135">
        <f>'ADJ DETAIL INPUT'!G56</f>
        <v>0</v>
      </c>
      <c r="H57" s="135">
        <f>'ADJ DETAIL INPUT'!H56</f>
        <v>0</v>
      </c>
      <c r="I57" s="135">
        <f>'ADJ DETAIL INPUT'!I56</f>
        <v>0</v>
      </c>
      <c r="J57" s="135">
        <f>'ADJ DETAIL INPUT'!J56</f>
        <v>0</v>
      </c>
      <c r="K57" s="135">
        <f>'ADJ DETAIL INPUT'!K56</f>
        <v>0</v>
      </c>
      <c r="L57" s="135">
        <f>'ADJ DETAIL INPUT'!L56</f>
        <v>0</v>
      </c>
      <c r="M57" s="135">
        <f>'ADJ DETAIL INPUT'!M56</f>
        <v>0</v>
      </c>
      <c r="N57" s="135">
        <f>'ADJ DETAIL INPUT'!N56</f>
        <v>0</v>
      </c>
      <c r="O57" s="135">
        <f>'ADJ DETAIL INPUT'!O56</f>
        <v>0</v>
      </c>
      <c r="P57" s="135">
        <f>'ADJ DETAIL INPUT'!P56</f>
        <v>0</v>
      </c>
      <c r="Q57" s="135">
        <f>'ADJ DETAIL INPUT'!Q56</f>
        <v>0</v>
      </c>
      <c r="R57" s="135">
        <f>'ADJ DETAIL INPUT'!R56</f>
        <v>0</v>
      </c>
      <c r="S57" s="135">
        <f>'ADJ DETAIL INPUT'!S56</f>
        <v>9626</v>
      </c>
      <c r="T57" s="135">
        <f>'ADJ DETAIL INPUT'!T56</f>
        <v>0</v>
      </c>
      <c r="U57" s="135">
        <f>'ADJ DETAIL INPUT'!U56</f>
        <v>0</v>
      </c>
      <c r="V57" s="135">
        <f>'ADJ DETAIL INPUT'!V56</f>
        <v>0</v>
      </c>
      <c r="W57" s="135">
        <f>'ADJ DETAIL INPUT'!W56</f>
        <v>0</v>
      </c>
      <c r="X57" s="135">
        <f>'ADJ DETAIL INPUT'!X56</f>
        <v>0</v>
      </c>
      <c r="Y57" s="135">
        <f>'ADJ DETAIL INPUT'!Z56</f>
        <v>0</v>
      </c>
      <c r="Z57" s="135">
        <f>'ADJ DETAIL INPUT'!AA56</f>
        <v>0</v>
      </c>
      <c r="AA57" s="135">
        <f>'ADJ DETAIL INPUT'!AB56</f>
        <v>0</v>
      </c>
      <c r="AB57" s="135">
        <f>'ADJ DETAIL INPUT'!AC56</f>
        <v>0</v>
      </c>
      <c r="AC57" s="135">
        <f>'ADJ DETAIL INPUT'!AD56</f>
        <v>0</v>
      </c>
      <c r="AD57" s="135">
        <f>'ADJ DETAIL INPUT'!AE56</f>
        <v>0</v>
      </c>
      <c r="AE57" s="135">
        <f>'ADJ DETAIL INPUT'!AF56</f>
        <v>0</v>
      </c>
      <c r="AF57" s="135">
        <f>'ADJ DETAIL INPUT'!AG56</f>
        <v>0</v>
      </c>
      <c r="AG57" s="135">
        <f>'ADJ DETAIL INPUT'!AH56</f>
        <v>0</v>
      </c>
      <c r="AH57" s="135">
        <f>'ADJ DETAIL INPUT'!AI56</f>
        <v>0</v>
      </c>
      <c r="AI57" s="135">
        <f>'ADJ DETAIL INPUT'!AJ56</f>
        <v>0</v>
      </c>
      <c r="AJ57" s="135">
        <f>'ADJ DETAIL INPUT'!AK56</f>
        <v>0</v>
      </c>
      <c r="AK57" s="135">
        <f>'ADJ DETAIL INPUT'!AL56</f>
        <v>0</v>
      </c>
      <c r="AL57" s="135">
        <f>'ADJ DETAIL INPUT'!AM56</f>
        <v>0</v>
      </c>
      <c r="AM57" s="135">
        <f>'ADJ DETAIL INPUT'!AN56</f>
        <v>0</v>
      </c>
      <c r="AN57" s="135">
        <f>'ADJ DETAIL INPUT'!AO56</f>
        <v>0</v>
      </c>
      <c r="AO57" s="135">
        <f>'ADJ DETAIL INPUT'!AP56</f>
        <v>0</v>
      </c>
      <c r="AP57" s="135">
        <f>'ADJ DETAIL INPUT'!AQ56</f>
        <v>0</v>
      </c>
      <c r="AQ57" s="135">
        <f>'ADJ DETAIL INPUT'!AR56</f>
        <v>0</v>
      </c>
      <c r="AR57" s="135">
        <f>'ADJ DETAIL INPUT'!AS56</f>
        <v>0</v>
      </c>
      <c r="AS57" s="135">
        <f>'ADJ DETAIL INPUT'!AT56</f>
        <v>0</v>
      </c>
      <c r="AT57" s="135">
        <f>'ADJ DETAIL INPUT'!AU56</f>
        <v>0</v>
      </c>
      <c r="AU57" s="135">
        <f>'ADJ DETAIL INPUT'!AY56</f>
        <v>0</v>
      </c>
      <c r="AV57" s="135">
        <f>'ADJ DETAIL INPUT'!AZ56</f>
        <v>0</v>
      </c>
      <c r="AW57" s="135">
        <f>'ADJ DETAIL INPUT'!BA56</f>
        <v>0</v>
      </c>
      <c r="AX57" s="135">
        <f>'ADJ DETAIL INPUT'!BB56</f>
        <v>0</v>
      </c>
      <c r="AY57" s="135">
        <f>'ADJ DETAIL INPUT'!BC56</f>
        <v>0</v>
      </c>
      <c r="AZ57" s="135">
        <f>'ADJ DETAIL INPUT'!BD56</f>
        <v>0</v>
      </c>
      <c r="BA57" s="135">
        <f>'ADJ DETAIL INPUT'!BE56</f>
        <v>0</v>
      </c>
      <c r="BB57" s="135">
        <f>'ADJ DETAIL INPUT'!BF56</f>
        <v>0</v>
      </c>
      <c r="BC57" s="135">
        <f>'ADJ DETAIL INPUT'!BG56</f>
        <v>0</v>
      </c>
      <c r="BD57" s="135">
        <f>'ADJ DETAIL INPUT'!BH56</f>
        <v>0</v>
      </c>
    </row>
    <row r="58" spans="1:56"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</row>
    <row r="59" spans="1:56" s="117" customFormat="1" ht="12.6" thickBot="1">
      <c r="A59" s="116">
        <v>31</v>
      </c>
      <c r="B59" s="117" t="s">
        <v>58</v>
      </c>
      <c r="E59" s="203">
        <f>E51-SUM(E54:E57)</f>
        <v>36392</v>
      </c>
      <c r="F59" s="203">
        <f t="shared" ref="F59:R59" si="59">F51-SUM(F54:F57)</f>
        <v>-1.208928</v>
      </c>
      <c r="G59" s="203">
        <f t="shared" si="59"/>
        <v>0</v>
      </c>
      <c r="H59" s="203">
        <f t="shared" si="59"/>
        <v>-3.4972560000000001</v>
      </c>
      <c r="I59" s="203">
        <f t="shared" si="59"/>
        <v>33.18</v>
      </c>
      <c r="J59" s="203">
        <f t="shared" si="59"/>
        <v>-227.52</v>
      </c>
      <c r="K59" s="203">
        <f t="shared" si="59"/>
        <v>-732.33</v>
      </c>
      <c r="L59" s="203">
        <f t="shared" si="59"/>
        <v>-314.42</v>
      </c>
      <c r="M59" s="203">
        <f t="shared" si="59"/>
        <v>14.22</v>
      </c>
      <c r="N59" s="203">
        <f t="shared" si="59"/>
        <v>101</v>
      </c>
      <c r="O59" s="203">
        <f t="shared" si="59"/>
        <v>7.9</v>
      </c>
      <c r="P59" s="203">
        <f t="shared" si="59"/>
        <v>3.16</v>
      </c>
      <c r="Q59" s="203">
        <f t="shared" si="59"/>
        <v>8.69</v>
      </c>
      <c r="R59" s="203">
        <f t="shared" si="59"/>
        <v>-33.97</v>
      </c>
      <c r="S59" s="203">
        <f t="shared" ref="S59:T59" si="60">S51-SUM(S54:S57)</f>
        <v>8.0499999999992724</v>
      </c>
      <c r="T59" s="203">
        <f t="shared" si="60"/>
        <v>328.00799999999998</v>
      </c>
      <c r="U59" s="203">
        <f t="shared" ref="U59" si="61">U51-SUM(U54:U57)</f>
        <v>-197.72357</v>
      </c>
      <c r="V59" s="203">
        <f>V51-SUM(V54:V57)</f>
        <v>-57</v>
      </c>
      <c r="W59" s="203">
        <f>W51-SUM(W54:W57)</f>
        <v>66.965975999999998</v>
      </c>
      <c r="X59" s="203">
        <f>X51-SUM(X54:X57)</f>
        <v>0</v>
      </c>
      <c r="Y59" s="203">
        <f>Y51-SUM(Y54:Y57)</f>
        <v>1922.07</v>
      </c>
      <c r="Z59" s="203">
        <f t="shared" ref="Z59:BD59" si="62">Z51-SUM(Z54:Z57)</f>
        <v>192.76</v>
      </c>
      <c r="AA59" s="203">
        <f t="shared" si="62"/>
        <v>-136</v>
      </c>
      <c r="AB59" s="203">
        <f t="shared" si="62"/>
        <v>622.815023</v>
      </c>
      <c r="AC59" s="203">
        <f t="shared" si="62"/>
        <v>-1441.9870000000001</v>
      </c>
      <c r="AD59" s="203">
        <f t="shared" si="62"/>
        <v>-15.013949999999999</v>
      </c>
      <c r="AE59" s="203">
        <f t="shared" si="62"/>
        <v>1334.4680000000001</v>
      </c>
      <c r="AF59" s="203">
        <f t="shared" ref="AF59" si="63">AF51-SUM(AF54:AF57)</f>
        <v>-291.35199999999998</v>
      </c>
      <c r="AG59" s="203">
        <f t="shared" si="62"/>
        <v>-61.620000000000005</v>
      </c>
      <c r="AH59" s="203">
        <f t="shared" si="62"/>
        <v>-89.198110000000014</v>
      </c>
      <c r="AI59" s="203">
        <f t="shared" si="62"/>
        <v>-747.34</v>
      </c>
      <c r="AJ59" s="203">
        <f t="shared" si="62"/>
        <v>-472.42</v>
      </c>
      <c r="AK59" s="203">
        <f t="shared" si="62"/>
        <v>-16.274000000000001</v>
      </c>
      <c r="AL59" s="203">
        <f t="shared" si="62"/>
        <v>-1290.5929799999999</v>
      </c>
      <c r="AM59" s="203">
        <f t="shared" si="62"/>
        <v>-898.12380370000005</v>
      </c>
      <c r="AN59" s="203">
        <f t="shared" ref="AN59:AO59" si="64">AN51-SUM(AN54:AN57)</f>
        <v>714.31799999999998</v>
      </c>
      <c r="AO59" s="203">
        <f t="shared" si="64"/>
        <v>-1435.024504</v>
      </c>
      <c r="AP59" s="203">
        <f t="shared" ref="AP59" si="65">AP51-SUM(AP54:AP57)</f>
        <v>-237</v>
      </c>
      <c r="AQ59" s="203">
        <f t="shared" si="62"/>
        <v>-140.62</v>
      </c>
      <c r="AR59" s="203">
        <f t="shared" si="62"/>
        <v>-118.5</v>
      </c>
      <c r="AS59" s="203">
        <f t="shared" si="62"/>
        <v>-1697.0085517</v>
      </c>
      <c r="AT59" s="203">
        <f t="shared" si="62"/>
        <v>491.93853000000001</v>
      </c>
      <c r="AU59" s="203">
        <f t="shared" ref="AU59" si="66">AU51-SUM(AU54:AU57)</f>
        <v>0</v>
      </c>
      <c r="AV59" s="203">
        <f t="shared" si="62"/>
        <v>78.373344000000003</v>
      </c>
      <c r="AW59" s="203">
        <f t="shared" si="62"/>
        <v>-580.57100000000003</v>
      </c>
      <c r="AX59" s="203">
        <f t="shared" si="62"/>
        <v>-115.97200000000001</v>
      </c>
      <c r="AY59" s="203">
        <f t="shared" si="62"/>
        <v>-23.7</v>
      </c>
      <c r="AZ59" s="203">
        <f t="shared" si="62"/>
        <v>51.35</v>
      </c>
      <c r="BA59" s="203">
        <f t="shared" si="62"/>
        <v>-516.23814000000004</v>
      </c>
      <c r="BB59" s="203">
        <f t="shared" si="62"/>
        <v>-1282.3712067000001</v>
      </c>
      <c r="BC59" s="203">
        <f t="shared" si="62"/>
        <v>189.50441000000001</v>
      </c>
      <c r="BD59" s="203">
        <f t="shared" si="62"/>
        <v>0</v>
      </c>
    </row>
    <row r="60" spans="1:56" ht="12.6" thickTop="1"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</row>
    <row r="61" spans="1:56">
      <c r="B61" s="92" t="s">
        <v>103</v>
      </c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1:56">
      <c r="B62" s="92" t="s">
        <v>104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1:56">
      <c r="A63" s="116">
        <v>32</v>
      </c>
      <c r="B63" s="118"/>
      <c r="C63" s="118" t="s">
        <v>41</v>
      </c>
      <c r="D63" s="118"/>
      <c r="E63" s="171">
        <f>'ADJ DETAIL INPUT'!E62</f>
        <v>34499.699999999997</v>
      </c>
      <c r="F63" s="171">
        <f>'ADJ DETAIL INPUT'!F62</f>
        <v>0</v>
      </c>
      <c r="G63" s="171">
        <f>'ADJ DETAIL INPUT'!G62</f>
        <v>0</v>
      </c>
      <c r="H63" s="171">
        <f>'ADJ DETAIL INPUT'!H62</f>
        <v>0</v>
      </c>
      <c r="I63" s="171">
        <f>'ADJ DETAIL INPUT'!I62</f>
        <v>0</v>
      </c>
      <c r="J63" s="171">
        <f>'ADJ DETAIL INPUT'!J62</f>
        <v>0</v>
      </c>
      <c r="K63" s="171">
        <f>'ADJ DETAIL INPUT'!K62</f>
        <v>0</v>
      </c>
      <c r="L63" s="171">
        <f>'ADJ DETAIL INPUT'!L62</f>
        <v>0</v>
      </c>
      <c r="M63" s="171">
        <f>'ADJ DETAIL INPUT'!M62</f>
        <v>0</v>
      </c>
      <c r="N63" s="171">
        <f>'ADJ DETAIL INPUT'!N62</f>
        <v>0</v>
      </c>
      <c r="O63" s="171">
        <f>'ADJ DETAIL INPUT'!O62</f>
        <v>0</v>
      </c>
      <c r="P63" s="171">
        <f>'ADJ DETAIL INPUT'!P62</f>
        <v>0</v>
      </c>
      <c r="Q63" s="171">
        <f>'ADJ DETAIL INPUT'!Q62</f>
        <v>0</v>
      </c>
      <c r="R63" s="171">
        <f>'ADJ DETAIL INPUT'!R62</f>
        <v>0</v>
      </c>
      <c r="S63" s="171">
        <f>'ADJ DETAIL INPUT'!S62</f>
        <v>0</v>
      </c>
      <c r="T63" s="171">
        <f>'ADJ DETAIL INPUT'!T62</f>
        <v>0</v>
      </c>
      <c r="U63" s="171">
        <f>'ADJ DETAIL INPUT'!U62</f>
        <v>0</v>
      </c>
      <c r="V63" s="171">
        <f>'ADJ DETAIL INPUT'!V62</f>
        <v>0</v>
      </c>
      <c r="W63" s="171">
        <f>'ADJ DETAIL INPUT'!W62</f>
        <v>550</v>
      </c>
      <c r="X63" s="171">
        <f>'ADJ DETAIL INPUT'!X62</f>
        <v>0</v>
      </c>
      <c r="Y63" s="171">
        <f>'ADJ DETAIL INPUT'!Z62</f>
        <v>0</v>
      </c>
      <c r="Z63" s="171">
        <f>'ADJ DETAIL INPUT'!AA62</f>
        <v>0</v>
      </c>
      <c r="AA63" s="171">
        <f>'ADJ DETAIL INPUT'!AB62</f>
        <v>0</v>
      </c>
      <c r="AB63" s="171">
        <f>'ADJ DETAIL INPUT'!AC62</f>
        <v>0</v>
      </c>
      <c r="AC63" s="171">
        <f>'ADJ DETAIL INPUT'!AD62</f>
        <v>0</v>
      </c>
      <c r="AD63" s="171">
        <f>'ADJ DETAIL INPUT'!AE62</f>
        <v>0</v>
      </c>
      <c r="AE63" s="171">
        <f>'ADJ DETAIL INPUT'!AF62</f>
        <v>0</v>
      </c>
      <c r="AF63" s="171">
        <f>'ADJ DETAIL INPUT'!AG62</f>
        <v>0</v>
      </c>
      <c r="AG63" s="171">
        <f>'ADJ DETAIL INPUT'!AH62</f>
        <v>0</v>
      </c>
      <c r="AH63" s="171">
        <f>'ADJ DETAIL INPUT'!AI62</f>
        <v>0</v>
      </c>
      <c r="AI63" s="171">
        <f>'ADJ DETAIL INPUT'!AJ62</f>
        <v>0</v>
      </c>
      <c r="AJ63" s="171">
        <f>'ADJ DETAIL INPUT'!AK62</f>
        <v>0</v>
      </c>
      <c r="AK63" s="171">
        <f>'ADJ DETAIL INPUT'!AL62</f>
        <v>0</v>
      </c>
      <c r="AL63" s="171">
        <f>'ADJ DETAIL INPUT'!AM62</f>
        <v>0</v>
      </c>
      <c r="AM63" s="171">
        <f>'ADJ DETAIL INPUT'!AN62</f>
        <v>1129</v>
      </c>
      <c r="AN63" s="171">
        <f>'ADJ DETAIL INPUT'!AO62</f>
        <v>0</v>
      </c>
      <c r="AO63" s="171">
        <f>'ADJ DETAIL INPUT'!AP62</f>
        <v>1507</v>
      </c>
      <c r="AP63" s="171">
        <f>'ADJ DETAIL INPUT'!AQ62</f>
        <v>0</v>
      </c>
      <c r="AQ63" s="171">
        <f>'ADJ DETAIL INPUT'!AR62</f>
        <v>0</v>
      </c>
      <c r="AR63" s="171">
        <f>'ADJ DETAIL INPUT'!AS62</f>
        <v>0</v>
      </c>
      <c r="AS63" s="171">
        <f>'ADJ DETAIL INPUT'!AT62</f>
        <v>753</v>
      </c>
      <c r="AT63" s="171">
        <f>'ADJ DETAIL INPUT'!AU62</f>
        <v>0</v>
      </c>
      <c r="AU63" s="171">
        <f>'ADJ DETAIL INPUT'!AY62</f>
        <v>0</v>
      </c>
      <c r="AV63" s="171">
        <f>'ADJ DETAIL INPUT'!AZ62</f>
        <v>0</v>
      </c>
      <c r="AW63" s="171">
        <f>'ADJ DETAIL INPUT'!BA62</f>
        <v>0</v>
      </c>
      <c r="AX63" s="171">
        <f>'ADJ DETAIL INPUT'!BB62</f>
        <v>0</v>
      </c>
      <c r="AY63" s="171">
        <f>'ADJ DETAIL INPUT'!BC62</f>
        <v>0</v>
      </c>
      <c r="AZ63" s="171">
        <f>'ADJ DETAIL INPUT'!BD62</f>
        <v>0</v>
      </c>
      <c r="BA63" s="171">
        <f>'ADJ DETAIL INPUT'!BE62</f>
        <v>0</v>
      </c>
      <c r="BB63" s="171">
        <f>'ADJ DETAIL INPUT'!BF62</f>
        <v>1506</v>
      </c>
      <c r="BC63" s="171">
        <f>'ADJ DETAIL INPUT'!BG62</f>
        <v>0</v>
      </c>
      <c r="BD63" s="171">
        <f>'ADJ DETAIL INPUT'!BH62</f>
        <v>0</v>
      </c>
    </row>
    <row r="64" spans="1:56">
      <c r="A64" s="116">
        <v>33</v>
      </c>
      <c r="B64" s="118"/>
      <c r="C64" s="118" t="s">
        <v>60</v>
      </c>
      <c r="D64" s="118"/>
      <c r="E64" s="134">
        <f>'ADJ DETAIL INPUT'!E63</f>
        <v>650522.69999999995</v>
      </c>
      <c r="F64" s="134">
        <f>'ADJ DETAIL INPUT'!F63</f>
        <v>0</v>
      </c>
      <c r="G64" s="134">
        <f>'ADJ DETAIL INPUT'!G63</f>
        <v>0</v>
      </c>
      <c r="H64" s="134">
        <f>'ADJ DETAIL INPUT'!H63</f>
        <v>0</v>
      </c>
      <c r="I64" s="134">
        <f>'ADJ DETAIL INPUT'!I63</f>
        <v>0</v>
      </c>
      <c r="J64" s="134">
        <f>'ADJ DETAIL INPUT'!J63</f>
        <v>0</v>
      </c>
      <c r="K64" s="134">
        <f>'ADJ DETAIL INPUT'!K63</f>
        <v>0</v>
      </c>
      <c r="L64" s="134">
        <f>'ADJ DETAIL INPUT'!L63</f>
        <v>0</v>
      </c>
      <c r="M64" s="134">
        <f>'ADJ DETAIL INPUT'!M63</f>
        <v>0</v>
      </c>
      <c r="N64" s="134">
        <f>'ADJ DETAIL INPUT'!N63</f>
        <v>0</v>
      </c>
      <c r="O64" s="134">
        <f>'ADJ DETAIL INPUT'!O63</f>
        <v>0</v>
      </c>
      <c r="P64" s="134">
        <f>'ADJ DETAIL INPUT'!P63</f>
        <v>0</v>
      </c>
      <c r="Q64" s="134">
        <f>'ADJ DETAIL INPUT'!Q63</f>
        <v>0</v>
      </c>
      <c r="R64" s="134">
        <f>'ADJ DETAIL INPUT'!R63</f>
        <v>0</v>
      </c>
      <c r="S64" s="134">
        <f>'ADJ DETAIL INPUT'!S63</f>
        <v>0</v>
      </c>
      <c r="T64" s="134">
        <f>'ADJ DETAIL INPUT'!T63</f>
        <v>0</v>
      </c>
      <c r="U64" s="134">
        <f>'ADJ DETAIL INPUT'!U63</f>
        <v>0</v>
      </c>
      <c r="V64" s="134">
        <f>'ADJ DETAIL INPUT'!V63</f>
        <v>0</v>
      </c>
      <c r="W64" s="134">
        <f>'ADJ DETAIL INPUT'!W63</f>
        <v>21260</v>
      </c>
      <c r="X64" s="134">
        <f>'ADJ DETAIL INPUT'!X63</f>
        <v>0</v>
      </c>
      <c r="Y64" s="134">
        <f>'ADJ DETAIL INPUT'!Z63</f>
        <v>0</v>
      </c>
      <c r="Z64" s="134">
        <f>'ADJ DETAIL INPUT'!AA63</f>
        <v>0</v>
      </c>
      <c r="AA64" s="134">
        <f>'ADJ DETAIL INPUT'!AB63</f>
        <v>0</v>
      </c>
      <c r="AB64" s="134">
        <f>'ADJ DETAIL INPUT'!AC63</f>
        <v>0</v>
      </c>
      <c r="AC64" s="134">
        <f>'ADJ DETAIL INPUT'!AD63</f>
        <v>0</v>
      </c>
      <c r="AD64" s="134">
        <f>'ADJ DETAIL INPUT'!AE63</f>
        <v>0</v>
      </c>
      <c r="AE64" s="134">
        <f>'ADJ DETAIL INPUT'!AF63</f>
        <v>0</v>
      </c>
      <c r="AF64" s="134">
        <f>'ADJ DETAIL INPUT'!AG63</f>
        <v>0</v>
      </c>
      <c r="AG64" s="134">
        <f>'ADJ DETAIL INPUT'!AH63</f>
        <v>0</v>
      </c>
      <c r="AH64" s="134">
        <f>'ADJ DETAIL INPUT'!AI63</f>
        <v>0</v>
      </c>
      <c r="AI64" s="134">
        <f>'ADJ DETAIL INPUT'!AJ63</f>
        <v>0</v>
      </c>
      <c r="AJ64" s="134">
        <f>'ADJ DETAIL INPUT'!AK63</f>
        <v>0</v>
      </c>
      <c r="AK64" s="134">
        <f>'ADJ DETAIL INPUT'!AL63</f>
        <v>0</v>
      </c>
      <c r="AL64" s="134">
        <f>'ADJ DETAIL INPUT'!AM63</f>
        <v>0</v>
      </c>
      <c r="AM64" s="134">
        <f>'ADJ DETAIL INPUT'!AN63</f>
        <v>21680</v>
      </c>
      <c r="AN64" s="134">
        <f>'ADJ DETAIL INPUT'!AO63</f>
        <v>0</v>
      </c>
      <c r="AO64" s="134">
        <f>'ADJ DETAIL INPUT'!AP63</f>
        <v>36106</v>
      </c>
      <c r="AP64" s="134">
        <f>'ADJ DETAIL INPUT'!AQ63</f>
        <v>0</v>
      </c>
      <c r="AQ64" s="134">
        <f>'ADJ DETAIL INPUT'!AR63</f>
        <v>0</v>
      </c>
      <c r="AR64" s="134">
        <f>'ADJ DETAIL INPUT'!AS63</f>
        <v>0</v>
      </c>
      <c r="AS64" s="134">
        <f>'ADJ DETAIL INPUT'!AT63</f>
        <v>14747</v>
      </c>
      <c r="AT64" s="134">
        <f>'ADJ DETAIL INPUT'!AU63</f>
        <v>0</v>
      </c>
      <c r="AU64" s="134">
        <f>'ADJ DETAIL INPUT'!AY63</f>
        <v>0</v>
      </c>
      <c r="AV64" s="134">
        <f>'ADJ DETAIL INPUT'!AZ63</f>
        <v>0</v>
      </c>
      <c r="AW64" s="134">
        <f>'ADJ DETAIL INPUT'!BA63</f>
        <v>0</v>
      </c>
      <c r="AX64" s="134">
        <f>'ADJ DETAIL INPUT'!BB63</f>
        <v>0</v>
      </c>
      <c r="AY64" s="134">
        <f>'ADJ DETAIL INPUT'!BC63</f>
        <v>0</v>
      </c>
      <c r="AZ64" s="134">
        <f>'ADJ DETAIL INPUT'!BD63</f>
        <v>0</v>
      </c>
      <c r="BA64" s="134">
        <f>'ADJ DETAIL INPUT'!BE63</f>
        <v>0</v>
      </c>
      <c r="BB64" s="134">
        <f>'ADJ DETAIL INPUT'!BF63</f>
        <v>32043</v>
      </c>
      <c r="BC64" s="134">
        <f>'ADJ DETAIL INPUT'!BG63</f>
        <v>0</v>
      </c>
      <c r="BD64" s="134">
        <f>'ADJ DETAIL INPUT'!BH63</f>
        <v>0</v>
      </c>
    </row>
    <row r="65" spans="1:56">
      <c r="A65" s="116">
        <v>34</v>
      </c>
      <c r="B65" s="118"/>
      <c r="C65" s="118" t="s">
        <v>61</v>
      </c>
      <c r="D65" s="118"/>
      <c r="E65" s="135">
        <f>'ADJ DETAIL INPUT'!E64</f>
        <v>161473</v>
      </c>
      <c r="F65" s="135">
        <f>'ADJ DETAIL INPUT'!F64</f>
        <v>0</v>
      </c>
      <c r="G65" s="135">
        <f>'ADJ DETAIL INPUT'!G64</f>
        <v>0</v>
      </c>
      <c r="H65" s="135">
        <f>'ADJ DETAIL INPUT'!H64</f>
        <v>0</v>
      </c>
      <c r="I65" s="135">
        <f>'ADJ DETAIL INPUT'!I64</f>
        <v>0</v>
      </c>
      <c r="J65" s="135">
        <f>'ADJ DETAIL INPUT'!J64</f>
        <v>0</v>
      </c>
      <c r="K65" s="135">
        <f>'ADJ DETAIL INPUT'!K64</f>
        <v>0</v>
      </c>
      <c r="L65" s="135">
        <f>'ADJ DETAIL INPUT'!L64</f>
        <v>0</v>
      </c>
      <c r="M65" s="135">
        <f>'ADJ DETAIL INPUT'!M64</f>
        <v>0</v>
      </c>
      <c r="N65" s="135">
        <f>'ADJ DETAIL INPUT'!N64</f>
        <v>0</v>
      </c>
      <c r="O65" s="135">
        <f>'ADJ DETAIL INPUT'!O64</f>
        <v>0</v>
      </c>
      <c r="P65" s="135">
        <f>'ADJ DETAIL INPUT'!P64</f>
        <v>0</v>
      </c>
      <c r="Q65" s="135">
        <f>'ADJ DETAIL INPUT'!Q64</f>
        <v>0</v>
      </c>
      <c r="R65" s="135">
        <f>'ADJ DETAIL INPUT'!R64</f>
        <v>0</v>
      </c>
      <c r="S65" s="135">
        <f>'ADJ DETAIL INPUT'!S64</f>
        <v>0</v>
      </c>
      <c r="T65" s="135">
        <f>'ADJ DETAIL INPUT'!T64</f>
        <v>0</v>
      </c>
      <c r="U65" s="135">
        <f>'ADJ DETAIL INPUT'!U64</f>
        <v>0</v>
      </c>
      <c r="V65" s="135">
        <f>'ADJ DETAIL INPUT'!V64</f>
        <v>0</v>
      </c>
      <c r="W65" s="135">
        <f>'ADJ DETAIL INPUT'!W64</f>
        <v>2797</v>
      </c>
      <c r="X65" s="135">
        <f>'ADJ DETAIL INPUT'!X64</f>
        <v>0</v>
      </c>
      <c r="Y65" s="135">
        <f>'ADJ DETAIL INPUT'!Z64</f>
        <v>0</v>
      </c>
      <c r="Z65" s="135">
        <f>'ADJ DETAIL INPUT'!AA64</f>
        <v>0</v>
      </c>
      <c r="AA65" s="135">
        <f>'ADJ DETAIL INPUT'!AB64</f>
        <v>0</v>
      </c>
      <c r="AB65" s="135">
        <f>'ADJ DETAIL INPUT'!AC64</f>
        <v>0</v>
      </c>
      <c r="AC65" s="135">
        <f>'ADJ DETAIL INPUT'!AD64</f>
        <v>0</v>
      </c>
      <c r="AD65" s="135">
        <f>'ADJ DETAIL INPUT'!AE64</f>
        <v>0</v>
      </c>
      <c r="AE65" s="135">
        <f>'ADJ DETAIL INPUT'!AF64</f>
        <v>0</v>
      </c>
      <c r="AF65" s="135">
        <f>'ADJ DETAIL INPUT'!AG64</f>
        <v>0</v>
      </c>
      <c r="AG65" s="135">
        <f>'ADJ DETAIL INPUT'!AH64</f>
        <v>0</v>
      </c>
      <c r="AH65" s="135">
        <f>'ADJ DETAIL INPUT'!AI64</f>
        <v>0</v>
      </c>
      <c r="AI65" s="135">
        <f>'ADJ DETAIL INPUT'!AJ64</f>
        <v>0</v>
      </c>
      <c r="AJ65" s="135">
        <f>'ADJ DETAIL INPUT'!AK64</f>
        <v>0</v>
      </c>
      <c r="AK65" s="135">
        <f>'ADJ DETAIL INPUT'!AL64</f>
        <v>0</v>
      </c>
      <c r="AL65" s="135">
        <f>'ADJ DETAIL INPUT'!AM64</f>
        <v>0</v>
      </c>
      <c r="AM65" s="135">
        <f>'ADJ DETAIL INPUT'!AN64</f>
        <v>1859</v>
      </c>
      <c r="AN65" s="135">
        <f>'ADJ DETAIL INPUT'!AO64</f>
        <v>0</v>
      </c>
      <c r="AO65" s="135">
        <f>'ADJ DETAIL INPUT'!AP64</f>
        <v>2150</v>
      </c>
      <c r="AP65" s="135">
        <f>'ADJ DETAIL INPUT'!AQ64</f>
        <v>0</v>
      </c>
      <c r="AQ65" s="135">
        <f>'ADJ DETAIL INPUT'!AR64</f>
        <v>0</v>
      </c>
      <c r="AR65" s="135">
        <f>'ADJ DETAIL INPUT'!AS64</f>
        <v>0</v>
      </c>
      <c r="AS65" s="135">
        <f>'ADJ DETAIL INPUT'!AT64</f>
        <v>1141</v>
      </c>
      <c r="AT65" s="135">
        <f>'ADJ DETAIL INPUT'!AU64</f>
        <v>0</v>
      </c>
      <c r="AU65" s="135">
        <f>'ADJ DETAIL INPUT'!AY64</f>
        <v>0</v>
      </c>
      <c r="AV65" s="135">
        <f>'ADJ DETAIL INPUT'!AZ64</f>
        <v>0</v>
      </c>
      <c r="AW65" s="135">
        <f>'ADJ DETAIL INPUT'!BA64</f>
        <v>0</v>
      </c>
      <c r="AX65" s="135">
        <f>'ADJ DETAIL INPUT'!BB64</f>
        <v>0</v>
      </c>
      <c r="AY65" s="135">
        <f>'ADJ DETAIL INPUT'!BC64</f>
        <v>0</v>
      </c>
      <c r="AZ65" s="135">
        <f>'ADJ DETAIL INPUT'!BD64</f>
        <v>0</v>
      </c>
      <c r="BA65" s="135">
        <f>'ADJ DETAIL INPUT'!BE64</f>
        <v>0</v>
      </c>
      <c r="BB65" s="135">
        <f>'ADJ DETAIL INPUT'!BF64</f>
        <v>2293</v>
      </c>
      <c r="BC65" s="135">
        <f>'ADJ DETAIL INPUT'!BG64</f>
        <v>0</v>
      </c>
      <c r="BD65" s="135">
        <f>'ADJ DETAIL INPUT'!BH64</f>
        <v>0</v>
      </c>
    </row>
    <row r="66" spans="1:56" ht="18" customHeight="1">
      <c r="A66" s="116">
        <v>35</v>
      </c>
      <c r="B66" s="118" t="s">
        <v>62</v>
      </c>
      <c r="C66" s="118"/>
      <c r="E66" s="134">
        <f>SUM(E63:E65)</f>
        <v>846495.39999999991</v>
      </c>
      <c r="F66" s="134">
        <f t="shared" ref="F66:R66" si="67">SUM(F63:F65)</f>
        <v>0</v>
      </c>
      <c r="G66" s="134">
        <f t="shared" si="67"/>
        <v>0</v>
      </c>
      <c r="H66" s="134">
        <f t="shared" si="67"/>
        <v>0</v>
      </c>
      <c r="I66" s="134">
        <f t="shared" si="67"/>
        <v>0</v>
      </c>
      <c r="J66" s="134">
        <f t="shared" si="67"/>
        <v>0</v>
      </c>
      <c r="K66" s="134">
        <f t="shared" si="67"/>
        <v>0</v>
      </c>
      <c r="L66" s="134">
        <f t="shared" si="67"/>
        <v>0</v>
      </c>
      <c r="M66" s="134">
        <f t="shared" si="67"/>
        <v>0</v>
      </c>
      <c r="N66" s="134">
        <f t="shared" si="67"/>
        <v>0</v>
      </c>
      <c r="O66" s="134">
        <f t="shared" si="67"/>
        <v>0</v>
      </c>
      <c r="P66" s="134">
        <f t="shared" si="67"/>
        <v>0</v>
      </c>
      <c r="Q66" s="134">
        <f t="shared" si="67"/>
        <v>0</v>
      </c>
      <c r="R66" s="134">
        <f t="shared" si="67"/>
        <v>0</v>
      </c>
      <c r="S66" s="134">
        <f t="shared" ref="S66:T66" si="68">SUM(S63:S65)</f>
        <v>0</v>
      </c>
      <c r="T66" s="134">
        <f t="shared" si="68"/>
        <v>0</v>
      </c>
      <c r="U66" s="134">
        <f t="shared" ref="U66" si="69">SUM(U63:U65)</f>
        <v>0</v>
      </c>
      <c r="V66" s="134">
        <f>SUM(V63:V65)</f>
        <v>0</v>
      </c>
      <c r="W66" s="134">
        <f>SUM(W63:W65)</f>
        <v>24607</v>
      </c>
      <c r="X66" s="134">
        <f>SUM(X63:X65)</f>
        <v>0</v>
      </c>
      <c r="Y66" s="134">
        <f>SUM(Y63:Y65)</f>
        <v>0</v>
      </c>
      <c r="Z66" s="134">
        <f t="shared" ref="Z66:BD66" si="70">SUM(Z63:Z65)</f>
        <v>0</v>
      </c>
      <c r="AA66" s="134">
        <f t="shared" si="70"/>
        <v>0</v>
      </c>
      <c r="AB66" s="134">
        <f t="shared" si="70"/>
        <v>0</v>
      </c>
      <c r="AC66" s="134">
        <f t="shared" si="70"/>
        <v>0</v>
      </c>
      <c r="AD66" s="134">
        <f t="shared" si="70"/>
        <v>0</v>
      </c>
      <c r="AE66" s="134">
        <f t="shared" si="70"/>
        <v>0</v>
      </c>
      <c r="AF66" s="134">
        <f t="shared" ref="AF66" si="71">SUM(AF63:AF65)</f>
        <v>0</v>
      </c>
      <c r="AG66" s="134">
        <f t="shared" si="70"/>
        <v>0</v>
      </c>
      <c r="AH66" s="134">
        <f t="shared" si="70"/>
        <v>0</v>
      </c>
      <c r="AI66" s="134">
        <f t="shared" si="70"/>
        <v>0</v>
      </c>
      <c r="AJ66" s="134">
        <f t="shared" si="70"/>
        <v>0</v>
      </c>
      <c r="AK66" s="134">
        <f t="shared" si="70"/>
        <v>0</v>
      </c>
      <c r="AL66" s="134">
        <f t="shared" si="70"/>
        <v>0</v>
      </c>
      <c r="AM66" s="134">
        <f t="shared" si="70"/>
        <v>24668</v>
      </c>
      <c r="AN66" s="134">
        <f t="shared" ref="AN66:AO66" si="72">SUM(AN63:AN65)</f>
        <v>0</v>
      </c>
      <c r="AO66" s="134">
        <f t="shared" si="72"/>
        <v>39763</v>
      </c>
      <c r="AP66" s="134">
        <f t="shared" ref="AP66" si="73">SUM(AP63:AP65)</f>
        <v>0</v>
      </c>
      <c r="AQ66" s="134">
        <f t="shared" si="70"/>
        <v>0</v>
      </c>
      <c r="AR66" s="134">
        <f t="shared" si="70"/>
        <v>0</v>
      </c>
      <c r="AS66" s="134">
        <f t="shared" si="70"/>
        <v>16641</v>
      </c>
      <c r="AT66" s="134">
        <f t="shared" si="70"/>
        <v>0</v>
      </c>
      <c r="AU66" s="134">
        <f t="shared" ref="AU66" si="74">SUM(AU63:AU65)</f>
        <v>0</v>
      </c>
      <c r="AV66" s="134">
        <f t="shared" si="70"/>
        <v>0</v>
      </c>
      <c r="AW66" s="134">
        <f t="shared" si="70"/>
        <v>0</v>
      </c>
      <c r="AX66" s="134">
        <f t="shared" si="70"/>
        <v>0</v>
      </c>
      <c r="AY66" s="134">
        <f t="shared" si="70"/>
        <v>0</v>
      </c>
      <c r="AZ66" s="134">
        <f t="shared" si="70"/>
        <v>0</v>
      </c>
      <c r="BA66" s="134">
        <f t="shared" si="70"/>
        <v>0</v>
      </c>
      <c r="BB66" s="134">
        <f t="shared" si="70"/>
        <v>35842</v>
      </c>
      <c r="BC66" s="134">
        <f t="shared" si="70"/>
        <v>0</v>
      </c>
      <c r="BD66" s="134">
        <f t="shared" si="70"/>
        <v>0</v>
      </c>
    </row>
    <row r="67" spans="1:56" ht="12.75" customHeight="1">
      <c r="B67" s="118"/>
      <c r="C67" s="118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</row>
    <row r="68" spans="1:56">
      <c r="B68" s="118" t="s">
        <v>190</v>
      </c>
      <c r="C68" s="118"/>
      <c r="D68" s="118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</row>
    <row r="69" spans="1:56">
      <c r="A69" s="116">
        <v>36</v>
      </c>
      <c r="B69" s="118"/>
      <c r="C69" s="118" t="s">
        <v>41</v>
      </c>
      <c r="D69" s="118"/>
      <c r="E69" s="134">
        <f>'ADJ DETAIL INPUT'!E68</f>
        <v>-13149</v>
      </c>
      <c r="F69" s="134">
        <f>'ADJ DETAIL INPUT'!F68</f>
        <v>0</v>
      </c>
      <c r="G69" s="134">
        <f>'ADJ DETAIL INPUT'!G68</f>
        <v>0</v>
      </c>
      <c r="H69" s="134">
        <f>'ADJ DETAIL INPUT'!H68</f>
        <v>0</v>
      </c>
      <c r="I69" s="134">
        <f>'ADJ DETAIL INPUT'!I68</f>
        <v>0</v>
      </c>
      <c r="J69" s="134">
        <f>'ADJ DETAIL INPUT'!J68</f>
        <v>0</v>
      </c>
      <c r="K69" s="134">
        <f>'ADJ DETAIL INPUT'!K68</f>
        <v>0</v>
      </c>
      <c r="L69" s="134">
        <f>'ADJ DETAIL INPUT'!L68</f>
        <v>0</v>
      </c>
      <c r="M69" s="134">
        <f>'ADJ DETAIL INPUT'!M68</f>
        <v>0</v>
      </c>
      <c r="N69" s="134">
        <f>'ADJ DETAIL INPUT'!N68</f>
        <v>0</v>
      </c>
      <c r="O69" s="134">
        <f>'ADJ DETAIL INPUT'!O68</f>
        <v>0</v>
      </c>
      <c r="P69" s="134">
        <f>'ADJ DETAIL INPUT'!P68</f>
        <v>0</v>
      </c>
      <c r="Q69" s="134">
        <f>'ADJ DETAIL INPUT'!Q68</f>
        <v>0</v>
      </c>
      <c r="R69" s="134">
        <f>'ADJ DETAIL INPUT'!R68</f>
        <v>0</v>
      </c>
      <c r="S69" s="134">
        <f>'ADJ DETAIL INPUT'!S68</f>
        <v>0</v>
      </c>
      <c r="T69" s="134">
        <f>'ADJ DETAIL INPUT'!T68</f>
        <v>0</v>
      </c>
      <c r="U69" s="134">
        <f>'ADJ DETAIL INPUT'!U68</f>
        <v>0</v>
      </c>
      <c r="V69" s="134">
        <f>'ADJ DETAIL INPUT'!V68</f>
        <v>0</v>
      </c>
      <c r="W69" s="134">
        <f>'ADJ DETAIL INPUT'!W68</f>
        <v>-258</v>
      </c>
      <c r="X69" s="134">
        <f>'ADJ DETAIL INPUT'!X68</f>
        <v>0</v>
      </c>
      <c r="Y69" s="134">
        <f>'ADJ DETAIL INPUT'!Z68</f>
        <v>0</v>
      </c>
      <c r="Z69" s="134">
        <f>'ADJ DETAIL INPUT'!AA68</f>
        <v>0</v>
      </c>
      <c r="AA69" s="134">
        <f>'ADJ DETAIL INPUT'!AB68</f>
        <v>0</v>
      </c>
      <c r="AB69" s="134">
        <f>'ADJ DETAIL INPUT'!AC68</f>
        <v>0</v>
      </c>
      <c r="AC69" s="134">
        <f>'ADJ DETAIL INPUT'!AD68</f>
        <v>0</v>
      </c>
      <c r="AD69" s="134">
        <f>'ADJ DETAIL INPUT'!AE68</f>
        <v>0</v>
      </c>
      <c r="AE69" s="134">
        <f>'ADJ DETAIL INPUT'!AF68</f>
        <v>0</v>
      </c>
      <c r="AF69" s="134">
        <f>'ADJ DETAIL INPUT'!AG68</f>
        <v>0</v>
      </c>
      <c r="AG69" s="134">
        <f>'ADJ DETAIL INPUT'!AH68</f>
        <v>0</v>
      </c>
      <c r="AH69" s="134">
        <f>'ADJ DETAIL INPUT'!AI68</f>
        <v>0</v>
      </c>
      <c r="AI69" s="134">
        <f>'ADJ DETAIL INPUT'!AJ68</f>
        <v>0</v>
      </c>
      <c r="AJ69" s="134">
        <f>'ADJ DETAIL INPUT'!AK68</f>
        <v>0</v>
      </c>
      <c r="AK69" s="134">
        <f>'ADJ DETAIL INPUT'!AL68</f>
        <v>0</v>
      </c>
      <c r="AL69" s="134">
        <f>'ADJ DETAIL INPUT'!AM68</f>
        <v>0</v>
      </c>
      <c r="AM69" s="134">
        <f>'ADJ DETAIL INPUT'!AN68</f>
        <v>-263.5</v>
      </c>
      <c r="AN69" s="134">
        <f>'ADJ DETAIL INPUT'!AO68</f>
        <v>0</v>
      </c>
      <c r="AO69" s="134">
        <f>'ADJ DETAIL INPUT'!AP68</f>
        <v>-542</v>
      </c>
      <c r="AP69" s="134">
        <f>'ADJ DETAIL INPUT'!AQ68</f>
        <v>0</v>
      </c>
      <c r="AQ69" s="134">
        <f>'ADJ DETAIL INPUT'!AR68</f>
        <v>0</v>
      </c>
      <c r="AR69" s="134">
        <f>'ADJ DETAIL INPUT'!AS68</f>
        <v>0</v>
      </c>
      <c r="AS69" s="134">
        <f>'ADJ DETAIL INPUT'!AT68</f>
        <v>-280</v>
      </c>
      <c r="AT69" s="134">
        <f>'ADJ DETAIL INPUT'!AU68</f>
        <v>0</v>
      </c>
      <c r="AU69" s="134">
        <f>'ADJ DETAIL INPUT'!AY68</f>
        <v>0</v>
      </c>
      <c r="AV69" s="134">
        <f>'ADJ DETAIL INPUT'!AZ68</f>
        <v>0</v>
      </c>
      <c r="AW69" s="134">
        <f>'ADJ DETAIL INPUT'!BA68</f>
        <v>0</v>
      </c>
      <c r="AX69" s="134">
        <f>'ADJ DETAIL INPUT'!BB68</f>
        <v>0</v>
      </c>
      <c r="AY69" s="134">
        <f>'ADJ DETAIL INPUT'!BC68</f>
        <v>0</v>
      </c>
      <c r="AZ69" s="134">
        <f>'ADJ DETAIL INPUT'!BD68</f>
        <v>0</v>
      </c>
      <c r="BA69" s="134">
        <f>'ADJ DETAIL INPUT'!BE68</f>
        <v>0</v>
      </c>
      <c r="BB69" s="134">
        <f>'ADJ DETAIL INPUT'!BF68</f>
        <v>-574</v>
      </c>
      <c r="BC69" s="134">
        <f>'ADJ DETAIL INPUT'!BG68</f>
        <v>0</v>
      </c>
      <c r="BD69" s="134">
        <f>'ADJ DETAIL INPUT'!BH68</f>
        <v>0</v>
      </c>
    </row>
    <row r="70" spans="1:56">
      <c r="A70" s="116">
        <v>37</v>
      </c>
      <c r="B70" s="118"/>
      <c r="C70" s="118" t="s">
        <v>60</v>
      </c>
      <c r="D70" s="118"/>
      <c r="E70" s="134">
        <f>'ADJ DETAIL INPUT'!E69</f>
        <v>-188334</v>
      </c>
      <c r="F70" s="134">
        <f>'ADJ DETAIL INPUT'!F69</f>
        <v>0</v>
      </c>
      <c r="G70" s="134">
        <f>'ADJ DETAIL INPUT'!G69</f>
        <v>0</v>
      </c>
      <c r="H70" s="134">
        <f>'ADJ DETAIL INPUT'!H69</f>
        <v>0</v>
      </c>
      <c r="I70" s="134">
        <f>'ADJ DETAIL INPUT'!I69</f>
        <v>0</v>
      </c>
      <c r="J70" s="134">
        <f>'ADJ DETAIL INPUT'!J69</f>
        <v>0</v>
      </c>
      <c r="K70" s="134">
        <f>'ADJ DETAIL INPUT'!K69</f>
        <v>0</v>
      </c>
      <c r="L70" s="134">
        <f>'ADJ DETAIL INPUT'!L69</f>
        <v>0</v>
      </c>
      <c r="M70" s="134">
        <f>'ADJ DETAIL INPUT'!M69</f>
        <v>0</v>
      </c>
      <c r="N70" s="134">
        <f>'ADJ DETAIL INPUT'!N69</f>
        <v>0</v>
      </c>
      <c r="O70" s="134">
        <f>'ADJ DETAIL INPUT'!O69</f>
        <v>0</v>
      </c>
      <c r="P70" s="134">
        <f>'ADJ DETAIL INPUT'!P69</f>
        <v>0</v>
      </c>
      <c r="Q70" s="134">
        <f>'ADJ DETAIL INPUT'!Q69</f>
        <v>0</v>
      </c>
      <c r="R70" s="134">
        <f>'ADJ DETAIL INPUT'!R69</f>
        <v>0</v>
      </c>
      <c r="S70" s="134">
        <f>'ADJ DETAIL INPUT'!S69</f>
        <v>0</v>
      </c>
      <c r="T70" s="134">
        <f>'ADJ DETAIL INPUT'!T69</f>
        <v>0</v>
      </c>
      <c r="U70" s="134">
        <f>'ADJ DETAIL INPUT'!U69</f>
        <v>0</v>
      </c>
      <c r="V70" s="134">
        <f>'ADJ DETAIL INPUT'!V69</f>
        <v>0</v>
      </c>
      <c r="W70" s="134">
        <f>'ADJ DETAIL INPUT'!W69</f>
        <v>-7739</v>
      </c>
      <c r="X70" s="134">
        <f>'ADJ DETAIL INPUT'!X69</f>
        <v>0</v>
      </c>
      <c r="Y70" s="134">
        <f>'ADJ DETAIL INPUT'!Z69</f>
        <v>0</v>
      </c>
      <c r="Z70" s="134">
        <f>'ADJ DETAIL INPUT'!AA69</f>
        <v>0</v>
      </c>
      <c r="AA70" s="134">
        <f>'ADJ DETAIL INPUT'!AB69</f>
        <v>0</v>
      </c>
      <c r="AB70" s="134">
        <f>'ADJ DETAIL INPUT'!AC69</f>
        <v>0</v>
      </c>
      <c r="AC70" s="134">
        <f>'ADJ DETAIL INPUT'!AD69</f>
        <v>0</v>
      </c>
      <c r="AD70" s="134">
        <f>'ADJ DETAIL INPUT'!AE69</f>
        <v>0</v>
      </c>
      <c r="AE70" s="134">
        <f>'ADJ DETAIL INPUT'!AF69</f>
        <v>0</v>
      </c>
      <c r="AF70" s="134">
        <f>'ADJ DETAIL INPUT'!AG69</f>
        <v>0</v>
      </c>
      <c r="AG70" s="134">
        <f>'ADJ DETAIL INPUT'!AH69</f>
        <v>0</v>
      </c>
      <c r="AH70" s="134">
        <f>'ADJ DETAIL INPUT'!AI69</f>
        <v>0</v>
      </c>
      <c r="AI70" s="134">
        <f>'ADJ DETAIL INPUT'!AJ69</f>
        <v>0</v>
      </c>
      <c r="AJ70" s="134">
        <f>'ADJ DETAIL INPUT'!AK69</f>
        <v>0</v>
      </c>
      <c r="AK70" s="134">
        <f>'ADJ DETAIL INPUT'!AL69</f>
        <v>0</v>
      </c>
      <c r="AL70" s="134">
        <f>'ADJ DETAIL INPUT'!AM69</f>
        <v>0</v>
      </c>
      <c r="AM70" s="134">
        <f>'ADJ DETAIL INPUT'!AN69</f>
        <v>-7160.6</v>
      </c>
      <c r="AN70" s="134">
        <f>'ADJ DETAIL INPUT'!AO69</f>
        <v>0</v>
      </c>
      <c r="AO70" s="134">
        <f>'ADJ DETAIL INPUT'!AP69</f>
        <v>-15082</v>
      </c>
      <c r="AP70" s="134">
        <f>'ADJ DETAIL INPUT'!AQ69</f>
        <v>0</v>
      </c>
      <c r="AQ70" s="134">
        <f>'ADJ DETAIL INPUT'!AR69</f>
        <v>0</v>
      </c>
      <c r="AR70" s="134">
        <f>'ADJ DETAIL INPUT'!AS69</f>
        <v>0</v>
      </c>
      <c r="AS70" s="134">
        <f>'ADJ DETAIL INPUT'!AT69</f>
        <v>-8157.8</v>
      </c>
      <c r="AT70" s="134">
        <f>'ADJ DETAIL INPUT'!AU69</f>
        <v>0</v>
      </c>
      <c r="AU70" s="134">
        <f>'ADJ DETAIL INPUT'!AY69</f>
        <v>0</v>
      </c>
      <c r="AV70" s="134">
        <f>'ADJ DETAIL INPUT'!AZ69</f>
        <v>0</v>
      </c>
      <c r="AW70" s="134">
        <f>'ADJ DETAIL INPUT'!BA69</f>
        <v>0</v>
      </c>
      <c r="AX70" s="134">
        <f>'ADJ DETAIL INPUT'!BB69</f>
        <v>0</v>
      </c>
      <c r="AY70" s="134">
        <f>'ADJ DETAIL INPUT'!BC69</f>
        <v>0</v>
      </c>
      <c r="AZ70" s="134">
        <f>'ADJ DETAIL INPUT'!BD69</f>
        <v>0</v>
      </c>
      <c r="BA70" s="134">
        <f>'ADJ DETAIL INPUT'!BE69</f>
        <v>0</v>
      </c>
      <c r="BB70" s="134">
        <f>'ADJ DETAIL INPUT'!BF69</f>
        <v>-16739</v>
      </c>
      <c r="BC70" s="134">
        <f>'ADJ DETAIL INPUT'!BG69</f>
        <v>0</v>
      </c>
      <c r="BD70" s="134">
        <f>'ADJ DETAIL INPUT'!BH69</f>
        <v>0</v>
      </c>
    </row>
    <row r="71" spans="1:56">
      <c r="A71" s="116">
        <v>38</v>
      </c>
      <c r="B71" s="118"/>
      <c r="C71" s="118" t="s">
        <v>61</v>
      </c>
      <c r="D71" s="118"/>
      <c r="E71" s="135">
        <f>'ADJ DETAIL INPUT'!E70</f>
        <v>-62353</v>
      </c>
      <c r="F71" s="135">
        <f>'ADJ DETAIL INPUT'!F70</f>
        <v>0</v>
      </c>
      <c r="G71" s="135">
        <f>'ADJ DETAIL INPUT'!G70</f>
        <v>0</v>
      </c>
      <c r="H71" s="135">
        <f>'ADJ DETAIL INPUT'!H70</f>
        <v>0</v>
      </c>
      <c r="I71" s="135">
        <f>'ADJ DETAIL INPUT'!I70</f>
        <v>0</v>
      </c>
      <c r="J71" s="135">
        <f>'ADJ DETAIL INPUT'!J70</f>
        <v>0</v>
      </c>
      <c r="K71" s="135">
        <f>'ADJ DETAIL INPUT'!K70</f>
        <v>0</v>
      </c>
      <c r="L71" s="135">
        <f>'ADJ DETAIL INPUT'!L70</f>
        <v>0</v>
      </c>
      <c r="M71" s="135">
        <f>'ADJ DETAIL INPUT'!M70</f>
        <v>0</v>
      </c>
      <c r="N71" s="135">
        <f>'ADJ DETAIL INPUT'!N70</f>
        <v>0</v>
      </c>
      <c r="O71" s="135">
        <f>'ADJ DETAIL INPUT'!O70</f>
        <v>0</v>
      </c>
      <c r="P71" s="135">
        <f>'ADJ DETAIL INPUT'!P70</f>
        <v>0</v>
      </c>
      <c r="Q71" s="135">
        <f>'ADJ DETAIL INPUT'!Q70</f>
        <v>0</v>
      </c>
      <c r="R71" s="135">
        <f>'ADJ DETAIL INPUT'!R70</f>
        <v>0</v>
      </c>
      <c r="S71" s="135">
        <f>'ADJ DETAIL INPUT'!S70</f>
        <v>0</v>
      </c>
      <c r="T71" s="135">
        <f>'ADJ DETAIL INPUT'!T70</f>
        <v>0</v>
      </c>
      <c r="U71" s="135">
        <f>'ADJ DETAIL INPUT'!U70</f>
        <v>0</v>
      </c>
      <c r="V71" s="135">
        <f>'ADJ DETAIL INPUT'!V70</f>
        <v>0</v>
      </c>
      <c r="W71" s="135">
        <f>'ADJ DETAIL INPUT'!W70</f>
        <v>-4319</v>
      </c>
      <c r="X71" s="135">
        <f>'ADJ DETAIL INPUT'!X70</f>
        <v>0</v>
      </c>
      <c r="Y71" s="135">
        <f>'ADJ DETAIL INPUT'!Z70</f>
        <v>0</v>
      </c>
      <c r="Z71" s="135">
        <f>'ADJ DETAIL INPUT'!AA70</f>
        <v>0</v>
      </c>
      <c r="AA71" s="135">
        <f>'ADJ DETAIL INPUT'!AB70</f>
        <v>0</v>
      </c>
      <c r="AB71" s="135">
        <f>'ADJ DETAIL INPUT'!AC70</f>
        <v>0</v>
      </c>
      <c r="AC71" s="135">
        <f>'ADJ DETAIL INPUT'!AD70</f>
        <v>0</v>
      </c>
      <c r="AD71" s="135">
        <f>'ADJ DETAIL INPUT'!AE70</f>
        <v>0</v>
      </c>
      <c r="AE71" s="135">
        <f>'ADJ DETAIL INPUT'!AF70</f>
        <v>0</v>
      </c>
      <c r="AF71" s="135">
        <f>'ADJ DETAIL INPUT'!AG70</f>
        <v>0</v>
      </c>
      <c r="AG71" s="135">
        <f>'ADJ DETAIL INPUT'!AH70</f>
        <v>0</v>
      </c>
      <c r="AH71" s="135">
        <f>'ADJ DETAIL INPUT'!AI70</f>
        <v>0</v>
      </c>
      <c r="AI71" s="135">
        <f>'ADJ DETAIL INPUT'!AJ70</f>
        <v>0</v>
      </c>
      <c r="AJ71" s="135">
        <f>'ADJ DETAIL INPUT'!AK70</f>
        <v>0</v>
      </c>
      <c r="AK71" s="135">
        <f>'ADJ DETAIL INPUT'!AL70</f>
        <v>0</v>
      </c>
      <c r="AL71" s="135">
        <f>'ADJ DETAIL INPUT'!AM70</f>
        <v>0</v>
      </c>
      <c r="AM71" s="135">
        <f>'ADJ DETAIL INPUT'!AN70</f>
        <v>2015</v>
      </c>
      <c r="AN71" s="135">
        <f>'ADJ DETAIL INPUT'!AO70</f>
        <v>0</v>
      </c>
      <c r="AO71" s="135">
        <f>'ADJ DETAIL INPUT'!AP70</f>
        <v>-3656</v>
      </c>
      <c r="AP71" s="135">
        <f>'ADJ DETAIL INPUT'!AQ70</f>
        <v>0</v>
      </c>
      <c r="AQ71" s="135">
        <f>'ADJ DETAIL INPUT'!AR70</f>
        <v>0</v>
      </c>
      <c r="AR71" s="135">
        <f>'ADJ DETAIL INPUT'!AS70</f>
        <v>0</v>
      </c>
      <c r="AS71" s="135">
        <f>'ADJ DETAIL INPUT'!AT70</f>
        <v>-3603.3</v>
      </c>
      <c r="AT71" s="135">
        <f>'ADJ DETAIL INPUT'!AU70</f>
        <v>0</v>
      </c>
      <c r="AU71" s="135">
        <f>'ADJ DETAIL INPUT'!AY70</f>
        <v>0</v>
      </c>
      <c r="AV71" s="135">
        <f>'ADJ DETAIL INPUT'!AZ70</f>
        <v>0</v>
      </c>
      <c r="AW71" s="135">
        <f>'ADJ DETAIL INPUT'!BA70</f>
        <v>0</v>
      </c>
      <c r="AX71" s="135">
        <f>'ADJ DETAIL INPUT'!BB70</f>
        <v>0</v>
      </c>
      <c r="AY71" s="135">
        <f>'ADJ DETAIL INPUT'!BC70</f>
        <v>0</v>
      </c>
      <c r="AZ71" s="135">
        <f>'ADJ DETAIL INPUT'!BD70</f>
        <v>0</v>
      </c>
      <c r="BA71" s="135">
        <f>'ADJ DETAIL INPUT'!BE70</f>
        <v>0</v>
      </c>
      <c r="BB71" s="135">
        <f>'ADJ DETAIL INPUT'!BF70</f>
        <v>-1513.1</v>
      </c>
      <c r="BC71" s="135">
        <f>'ADJ DETAIL INPUT'!BG70</f>
        <v>0</v>
      </c>
      <c r="BD71" s="135">
        <f>'ADJ DETAIL INPUT'!BH70</f>
        <v>0</v>
      </c>
    </row>
    <row r="72" spans="1:56">
      <c r="A72" s="116">
        <v>39</v>
      </c>
      <c r="B72" s="118" t="s">
        <v>374</v>
      </c>
      <c r="C72" s="118"/>
      <c r="E72" s="137">
        <f>SUM(E69:E71)</f>
        <v>-263836</v>
      </c>
      <c r="F72" s="137">
        <f t="shared" ref="F72:R72" si="75">SUM(F69:F71)</f>
        <v>0</v>
      </c>
      <c r="G72" s="137">
        <f t="shared" si="75"/>
        <v>0</v>
      </c>
      <c r="H72" s="137">
        <f t="shared" si="75"/>
        <v>0</v>
      </c>
      <c r="I72" s="137">
        <f t="shared" si="75"/>
        <v>0</v>
      </c>
      <c r="J72" s="137">
        <f t="shared" si="75"/>
        <v>0</v>
      </c>
      <c r="K72" s="137">
        <f t="shared" si="75"/>
        <v>0</v>
      </c>
      <c r="L72" s="137">
        <f t="shared" si="75"/>
        <v>0</v>
      </c>
      <c r="M72" s="137">
        <f t="shared" si="75"/>
        <v>0</v>
      </c>
      <c r="N72" s="137">
        <f t="shared" si="75"/>
        <v>0</v>
      </c>
      <c r="O72" s="137">
        <f t="shared" si="75"/>
        <v>0</v>
      </c>
      <c r="P72" s="137">
        <f t="shared" si="75"/>
        <v>0</v>
      </c>
      <c r="Q72" s="137">
        <f t="shared" si="75"/>
        <v>0</v>
      </c>
      <c r="R72" s="137">
        <f t="shared" si="75"/>
        <v>0</v>
      </c>
      <c r="S72" s="137">
        <f t="shared" ref="S72:T72" si="76">SUM(S69:S71)</f>
        <v>0</v>
      </c>
      <c r="T72" s="137">
        <f t="shared" si="76"/>
        <v>0</v>
      </c>
      <c r="U72" s="137">
        <f t="shared" ref="U72" si="77">SUM(U69:U71)</f>
        <v>0</v>
      </c>
      <c r="V72" s="137">
        <f>SUM(V69:V71)</f>
        <v>0</v>
      </c>
      <c r="W72" s="137">
        <f>SUM(W69:W71)</f>
        <v>-12316</v>
      </c>
      <c r="X72" s="137">
        <f>SUM(X69:X71)</f>
        <v>0</v>
      </c>
      <c r="Y72" s="137">
        <f>SUM(Y69:Y71)</f>
        <v>0</v>
      </c>
      <c r="Z72" s="137">
        <f t="shared" ref="Z72:BD72" si="78">SUM(Z69:Z71)</f>
        <v>0</v>
      </c>
      <c r="AA72" s="137">
        <f t="shared" si="78"/>
        <v>0</v>
      </c>
      <c r="AB72" s="137">
        <f t="shared" si="78"/>
        <v>0</v>
      </c>
      <c r="AC72" s="137">
        <f t="shared" si="78"/>
        <v>0</v>
      </c>
      <c r="AD72" s="137">
        <f t="shared" si="78"/>
        <v>0</v>
      </c>
      <c r="AE72" s="137">
        <f t="shared" si="78"/>
        <v>0</v>
      </c>
      <c r="AF72" s="137">
        <f t="shared" ref="AF72" si="79">SUM(AF69:AF71)</f>
        <v>0</v>
      </c>
      <c r="AG72" s="137">
        <f t="shared" si="78"/>
        <v>0</v>
      </c>
      <c r="AH72" s="137">
        <f t="shared" si="78"/>
        <v>0</v>
      </c>
      <c r="AI72" s="137">
        <f t="shared" si="78"/>
        <v>0</v>
      </c>
      <c r="AJ72" s="137">
        <f t="shared" si="78"/>
        <v>0</v>
      </c>
      <c r="AK72" s="137">
        <f t="shared" si="78"/>
        <v>0</v>
      </c>
      <c r="AL72" s="137">
        <f t="shared" si="78"/>
        <v>0</v>
      </c>
      <c r="AM72" s="137">
        <f t="shared" si="78"/>
        <v>-5409.1</v>
      </c>
      <c r="AN72" s="137">
        <f t="shared" ref="AN72:AO72" si="80">SUM(AN69:AN71)</f>
        <v>0</v>
      </c>
      <c r="AO72" s="137">
        <f t="shared" si="80"/>
        <v>-19280</v>
      </c>
      <c r="AP72" s="137">
        <f t="shared" ref="AP72" si="81">SUM(AP69:AP71)</f>
        <v>0</v>
      </c>
      <c r="AQ72" s="137">
        <f t="shared" si="78"/>
        <v>0</v>
      </c>
      <c r="AR72" s="137">
        <f t="shared" si="78"/>
        <v>0</v>
      </c>
      <c r="AS72" s="137">
        <f t="shared" si="78"/>
        <v>-12041.099999999999</v>
      </c>
      <c r="AT72" s="137">
        <f t="shared" si="78"/>
        <v>0</v>
      </c>
      <c r="AU72" s="137">
        <f t="shared" ref="AU72" si="82">SUM(AU69:AU71)</f>
        <v>0</v>
      </c>
      <c r="AV72" s="137">
        <f t="shared" si="78"/>
        <v>0</v>
      </c>
      <c r="AW72" s="137">
        <f t="shared" si="78"/>
        <v>0</v>
      </c>
      <c r="AX72" s="137">
        <f t="shared" si="78"/>
        <v>0</v>
      </c>
      <c r="AY72" s="137">
        <f t="shared" si="78"/>
        <v>0</v>
      </c>
      <c r="AZ72" s="137">
        <f t="shared" si="78"/>
        <v>0</v>
      </c>
      <c r="BA72" s="137">
        <f t="shared" si="78"/>
        <v>0</v>
      </c>
      <c r="BB72" s="137">
        <f t="shared" si="78"/>
        <v>-18826.099999999999</v>
      </c>
      <c r="BC72" s="137">
        <f t="shared" si="78"/>
        <v>0</v>
      </c>
      <c r="BD72" s="137">
        <f t="shared" si="78"/>
        <v>0</v>
      </c>
    </row>
    <row r="73" spans="1:56">
      <c r="A73" s="116">
        <v>40</v>
      </c>
      <c r="B73" s="118" t="s">
        <v>164</v>
      </c>
      <c r="C73" s="118"/>
      <c r="D73" s="118"/>
      <c r="E73" s="138">
        <f>E66+E72</f>
        <v>582659.39999999991</v>
      </c>
      <c r="F73" s="138">
        <f t="shared" ref="F73:R73" si="83">F66+F72</f>
        <v>0</v>
      </c>
      <c r="G73" s="138">
        <f t="shared" si="83"/>
        <v>0</v>
      </c>
      <c r="H73" s="138">
        <f t="shared" si="83"/>
        <v>0</v>
      </c>
      <c r="I73" s="138">
        <f t="shared" si="83"/>
        <v>0</v>
      </c>
      <c r="J73" s="138">
        <f t="shared" si="83"/>
        <v>0</v>
      </c>
      <c r="K73" s="138">
        <f t="shared" si="83"/>
        <v>0</v>
      </c>
      <c r="L73" s="138">
        <f t="shared" si="83"/>
        <v>0</v>
      </c>
      <c r="M73" s="138">
        <f t="shared" si="83"/>
        <v>0</v>
      </c>
      <c r="N73" s="138">
        <f t="shared" si="83"/>
        <v>0</v>
      </c>
      <c r="O73" s="138">
        <f t="shared" si="83"/>
        <v>0</v>
      </c>
      <c r="P73" s="138">
        <f t="shared" si="83"/>
        <v>0</v>
      </c>
      <c r="Q73" s="138">
        <f t="shared" si="83"/>
        <v>0</v>
      </c>
      <c r="R73" s="138">
        <f t="shared" si="83"/>
        <v>0</v>
      </c>
      <c r="S73" s="138">
        <f t="shared" ref="S73:T73" si="84">S66+S72</f>
        <v>0</v>
      </c>
      <c r="T73" s="138">
        <f t="shared" si="84"/>
        <v>0</v>
      </c>
      <c r="U73" s="138">
        <f t="shared" ref="U73" si="85">U66+U72</f>
        <v>0</v>
      </c>
      <c r="V73" s="138">
        <f>V66+V72</f>
        <v>0</v>
      </c>
      <c r="W73" s="138">
        <f>W66+W72</f>
        <v>12291</v>
      </c>
      <c r="X73" s="138">
        <f>X66+X72</f>
        <v>0</v>
      </c>
      <c r="Y73" s="138">
        <f>Y66+Y72</f>
        <v>0</v>
      </c>
      <c r="Z73" s="138">
        <f t="shared" ref="Z73:BD73" si="86">Z66+Z72</f>
        <v>0</v>
      </c>
      <c r="AA73" s="138">
        <f t="shared" si="86"/>
        <v>0</v>
      </c>
      <c r="AB73" s="138">
        <f t="shared" si="86"/>
        <v>0</v>
      </c>
      <c r="AC73" s="138">
        <f t="shared" si="86"/>
        <v>0</v>
      </c>
      <c r="AD73" s="138">
        <f t="shared" si="86"/>
        <v>0</v>
      </c>
      <c r="AE73" s="138">
        <f t="shared" si="86"/>
        <v>0</v>
      </c>
      <c r="AF73" s="138">
        <f t="shared" ref="AF73" si="87">AF66+AF72</f>
        <v>0</v>
      </c>
      <c r="AG73" s="138">
        <f t="shared" si="86"/>
        <v>0</v>
      </c>
      <c r="AH73" s="138">
        <f t="shared" si="86"/>
        <v>0</v>
      </c>
      <c r="AI73" s="138">
        <f t="shared" si="86"/>
        <v>0</v>
      </c>
      <c r="AJ73" s="138">
        <f t="shared" si="86"/>
        <v>0</v>
      </c>
      <c r="AK73" s="138">
        <f t="shared" si="86"/>
        <v>0</v>
      </c>
      <c r="AL73" s="138">
        <f t="shared" si="86"/>
        <v>0</v>
      </c>
      <c r="AM73" s="138">
        <f t="shared" si="86"/>
        <v>19258.900000000001</v>
      </c>
      <c r="AN73" s="138">
        <f t="shared" ref="AN73:AO73" si="88">AN66+AN72</f>
        <v>0</v>
      </c>
      <c r="AO73" s="138">
        <f t="shared" si="88"/>
        <v>20483</v>
      </c>
      <c r="AP73" s="138">
        <f t="shared" ref="AP73" si="89">AP66+AP72</f>
        <v>0</v>
      </c>
      <c r="AQ73" s="138">
        <f t="shared" si="86"/>
        <v>0</v>
      </c>
      <c r="AR73" s="138">
        <f t="shared" si="86"/>
        <v>0</v>
      </c>
      <c r="AS73" s="138">
        <f t="shared" si="86"/>
        <v>4599.9000000000015</v>
      </c>
      <c r="AT73" s="138">
        <f t="shared" si="86"/>
        <v>0</v>
      </c>
      <c r="AU73" s="138">
        <f t="shared" ref="AU73" si="90">AU66+AU72</f>
        <v>0</v>
      </c>
      <c r="AV73" s="138">
        <f t="shared" si="86"/>
        <v>0</v>
      </c>
      <c r="AW73" s="138">
        <f t="shared" si="86"/>
        <v>0</v>
      </c>
      <c r="AX73" s="138">
        <f t="shared" si="86"/>
        <v>0</v>
      </c>
      <c r="AY73" s="138">
        <f t="shared" si="86"/>
        <v>0</v>
      </c>
      <c r="AZ73" s="138">
        <f t="shared" si="86"/>
        <v>0</v>
      </c>
      <c r="BA73" s="138">
        <f t="shared" si="86"/>
        <v>0</v>
      </c>
      <c r="BB73" s="138">
        <f t="shared" si="86"/>
        <v>17015.900000000001</v>
      </c>
      <c r="BC73" s="138">
        <f t="shared" si="86"/>
        <v>0</v>
      </c>
      <c r="BD73" s="138">
        <f t="shared" si="86"/>
        <v>0</v>
      </c>
    </row>
    <row r="74" spans="1:56" s="121" customFormat="1" ht="19.2" customHeight="1">
      <c r="A74" s="119">
        <v>41</v>
      </c>
      <c r="B74" s="120" t="s">
        <v>193</v>
      </c>
      <c r="C74" s="120"/>
      <c r="D74" s="120"/>
      <c r="E74" s="135">
        <f>'ADJ DETAIL INPUT'!E73</f>
        <v>-84772</v>
      </c>
      <c r="F74" s="135">
        <f>'ADJ DETAIL INPUT'!F73</f>
        <v>-224</v>
      </c>
      <c r="G74" s="135">
        <f>'ADJ DETAIL INPUT'!G73</f>
        <v>0</v>
      </c>
      <c r="H74" s="135">
        <f>'ADJ DETAIL INPUT'!H73</f>
        <v>0</v>
      </c>
      <c r="I74" s="135">
        <f>'ADJ DETAIL INPUT'!I73</f>
        <v>0</v>
      </c>
      <c r="J74" s="135">
        <f>'ADJ DETAIL INPUT'!J73</f>
        <v>0</v>
      </c>
      <c r="K74" s="135">
        <f>'ADJ DETAIL INPUT'!K73</f>
        <v>0</v>
      </c>
      <c r="L74" s="135">
        <f>'ADJ DETAIL INPUT'!L73</f>
        <v>0</v>
      </c>
      <c r="M74" s="135">
        <f>'ADJ DETAIL INPUT'!M73</f>
        <v>0</v>
      </c>
      <c r="N74" s="135">
        <f>'ADJ DETAIL INPUT'!N73</f>
        <v>0</v>
      </c>
      <c r="O74" s="135">
        <f>'ADJ DETAIL INPUT'!O73</f>
        <v>0</v>
      </c>
      <c r="P74" s="135">
        <f>'ADJ DETAIL INPUT'!P73</f>
        <v>0</v>
      </c>
      <c r="Q74" s="135">
        <f>'ADJ DETAIL INPUT'!Q73</f>
        <v>0</v>
      </c>
      <c r="R74" s="135">
        <f>'ADJ DETAIL INPUT'!R73</f>
        <v>0</v>
      </c>
      <c r="S74" s="135">
        <f>'ADJ DETAIL INPUT'!S73</f>
        <v>0</v>
      </c>
      <c r="T74" s="135">
        <f>'ADJ DETAIL INPUT'!T73</f>
        <v>0</v>
      </c>
      <c r="U74" s="135">
        <f>'ADJ DETAIL INPUT'!U73</f>
        <v>0</v>
      </c>
      <c r="V74" s="135">
        <f>'ADJ DETAIL INPUT'!V73</f>
        <v>0</v>
      </c>
      <c r="W74" s="135">
        <f>'ADJ DETAIL INPUT'!W73</f>
        <v>117</v>
      </c>
      <c r="X74" s="135">
        <f>'ADJ DETAIL INPUT'!X73</f>
        <v>0</v>
      </c>
      <c r="Y74" s="135">
        <f>'ADJ DETAIL INPUT'!Z73</f>
        <v>0</v>
      </c>
      <c r="Z74" s="135">
        <f>'ADJ DETAIL INPUT'!AA73</f>
        <v>0</v>
      </c>
      <c r="AA74" s="135">
        <f>'ADJ DETAIL INPUT'!AB73</f>
        <v>0</v>
      </c>
      <c r="AB74" s="135">
        <f>'ADJ DETAIL INPUT'!AC73</f>
        <v>0</v>
      </c>
      <c r="AC74" s="135">
        <f>'ADJ DETAIL INPUT'!AD73</f>
        <v>0</v>
      </c>
      <c r="AD74" s="135">
        <f>'ADJ DETAIL INPUT'!AE73</f>
        <v>0</v>
      </c>
      <c r="AE74" s="135">
        <f>'ADJ DETAIL INPUT'!AF73</f>
        <v>0</v>
      </c>
      <c r="AF74" s="135">
        <f>'ADJ DETAIL INPUT'!AG73</f>
        <v>0</v>
      </c>
      <c r="AG74" s="135">
        <f>'ADJ DETAIL INPUT'!AH73</f>
        <v>0</v>
      </c>
      <c r="AH74" s="135">
        <f>'ADJ DETAIL INPUT'!AI73</f>
        <v>0</v>
      </c>
      <c r="AI74" s="135">
        <f>'ADJ DETAIL INPUT'!AJ73</f>
        <v>0</v>
      </c>
      <c r="AJ74" s="135">
        <f>'ADJ DETAIL INPUT'!AK73</f>
        <v>0</v>
      </c>
      <c r="AK74" s="135">
        <f>'ADJ DETAIL INPUT'!AL73</f>
        <v>0</v>
      </c>
      <c r="AL74" s="135">
        <f>'ADJ DETAIL INPUT'!AM73</f>
        <v>0</v>
      </c>
      <c r="AM74" s="135">
        <f>'ADJ DETAIL INPUT'!AN73</f>
        <v>229</v>
      </c>
      <c r="AN74" s="135">
        <f>'ADJ DETAIL INPUT'!AO73</f>
        <v>0</v>
      </c>
      <c r="AO74" s="135">
        <f>'ADJ DETAIL INPUT'!AP73</f>
        <v>85</v>
      </c>
      <c r="AP74" s="135">
        <f>'ADJ DETAIL INPUT'!AQ73</f>
        <v>0</v>
      </c>
      <c r="AQ74" s="135">
        <f>'ADJ DETAIL INPUT'!AR73</f>
        <v>0</v>
      </c>
      <c r="AR74" s="135">
        <f>'ADJ DETAIL INPUT'!AS73</f>
        <v>0</v>
      </c>
      <c r="AS74" s="135">
        <f>'ADJ DETAIL INPUT'!AT73</f>
        <v>-1396</v>
      </c>
      <c r="AT74" s="135">
        <f>'ADJ DETAIL INPUT'!AU73</f>
        <v>0</v>
      </c>
      <c r="AU74" s="135">
        <f>'ADJ DETAIL INPUT'!AY73</f>
        <v>0</v>
      </c>
      <c r="AV74" s="135">
        <f>'ADJ DETAIL INPUT'!AZ73</f>
        <v>0</v>
      </c>
      <c r="AW74" s="135">
        <f>'ADJ DETAIL INPUT'!BA73</f>
        <v>0</v>
      </c>
      <c r="AX74" s="135">
        <f>'ADJ DETAIL INPUT'!BB73</f>
        <v>0</v>
      </c>
      <c r="AY74" s="135">
        <f>'ADJ DETAIL INPUT'!BC73</f>
        <v>0</v>
      </c>
      <c r="AZ74" s="135">
        <f>'ADJ DETAIL INPUT'!BD73</f>
        <v>0</v>
      </c>
      <c r="BA74" s="135">
        <f>'ADJ DETAIL INPUT'!BE73</f>
        <v>0</v>
      </c>
      <c r="BB74" s="135">
        <f>'ADJ DETAIL INPUT'!BF73</f>
        <v>73</v>
      </c>
      <c r="BC74" s="135">
        <f>'ADJ DETAIL INPUT'!BG73</f>
        <v>0</v>
      </c>
      <c r="BD74" s="135">
        <f>'ADJ DETAIL INPUT'!BH73</f>
        <v>0</v>
      </c>
    </row>
    <row r="75" spans="1:56" s="121" customFormat="1" ht="19.2" customHeight="1">
      <c r="A75" s="119">
        <v>42</v>
      </c>
      <c r="B75" s="120" t="s">
        <v>191</v>
      </c>
      <c r="C75" s="120"/>
      <c r="D75" s="120"/>
      <c r="E75" s="138">
        <f>E73+E74</f>
        <v>497887.39999999991</v>
      </c>
      <c r="F75" s="138">
        <f t="shared" ref="F75:R75" si="91">F73+F74</f>
        <v>-224</v>
      </c>
      <c r="G75" s="138">
        <f t="shared" si="91"/>
        <v>0</v>
      </c>
      <c r="H75" s="138">
        <f t="shared" si="91"/>
        <v>0</v>
      </c>
      <c r="I75" s="138">
        <f t="shared" si="91"/>
        <v>0</v>
      </c>
      <c r="J75" s="138">
        <f t="shared" si="91"/>
        <v>0</v>
      </c>
      <c r="K75" s="138">
        <f t="shared" si="91"/>
        <v>0</v>
      </c>
      <c r="L75" s="138">
        <f t="shared" si="91"/>
        <v>0</v>
      </c>
      <c r="M75" s="138">
        <f t="shared" si="91"/>
        <v>0</v>
      </c>
      <c r="N75" s="138">
        <f t="shared" si="91"/>
        <v>0</v>
      </c>
      <c r="O75" s="138">
        <f t="shared" si="91"/>
        <v>0</v>
      </c>
      <c r="P75" s="138">
        <f t="shared" si="91"/>
        <v>0</v>
      </c>
      <c r="Q75" s="138">
        <f t="shared" si="91"/>
        <v>0</v>
      </c>
      <c r="R75" s="138">
        <f t="shared" si="91"/>
        <v>0</v>
      </c>
      <c r="S75" s="138">
        <f t="shared" ref="S75:T75" si="92">S73+S74</f>
        <v>0</v>
      </c>
      <c r="T75" s="138">
        <f t="shared" si="92"/>
        <v>0</v>
      </c>
      <c r="U75" s="138">
        <f t="shared" ref="U75" si="93">U73+U74</f>
        <v>0</v>
      </c>
      <c r="V75" s="138">
        <f>V73+V74</f>
        <v>0</v>
      </c>
      <c r="W75" s="138">
        <f>W73+W74</f>
        <v>12408</v>
      </c>
      <c r="X75" s="138">
        <f>X73+X74</f>
        <v>0</v>
      </c>
      <c r="Y75" s="138">
        <f>Y73+Y74</f>
        <v>0</v>
      </c>
      <c r="Z75" s="138">
        <f t="shared" ref="Z75:BD75" si="94">Z73+Z74</f>
        <v>0</v>
      </c>
      <c r="AA75" s="138">
        <f t="shared" si="94"/>
        <v>0</v>
      </c>
      <c r="AB75" s="138">
        <f t="shared" si="94"/>
        <v>0</v>
      </c>
      <c r="AC75" s="138">
        <f t="shared" si="94"/>
        <v>0</v>
      </c>
      <c r="AD75" s="138">
        <f t="shared" si="94"/>
        <v>0</v>
      </c>
      <c r="AE75" s="138">
        <f t="shared" si="94"/>
        <v>0</v>
      </c>
      <c r="AF75" s="138">
        <f t="shared" ref="AF75" si="95">AF73+AF74</f>
        <v>0</v>
      </c>
      <c r="AG75" s="138">
        <f t="shared" si="94"/>
        <v>0</v>
      </c>
      <c r="AH75" s="138">
        <f t="shared" si="94"/>
        <v>0</v>
      </c>
      <c r="AI75" s="138">
        <f t="shared" si="94"/>
        <v>0</v>
      </c>
      <c r="AJ75" s="138">
        <f t="shared" si="94"/>
        <v>0</v>
      </c>
      <c r="AK75" s="138">
        <f t="shared" si="94"/>
        <v>0</v>
      </c>
      <c r="AL75" s="138">
        <f t="shared" si="94"/>
        <v>0</v>
      </c>
      <c r="AM75" s="138">
        <f t="shared" si="94"/>
        <v>19487.900000000001</v>
      </c>
      <c r="AN75" s="138">
        <f t="shared" ref="AN75:AO75" si="96">AN73+AN74</f>
        <v>0</v>
      </c>
      <c r="AO75" s="138">
        <f t="shared" si="96"/>
        <v>20568</v>
      </c>
      <c r="AP75" s="138">
        <f t="shared" ref="AP75" si="97">AP73+AP74</f>
        <v>0</v>
      </c>
      <c r="AQ75" s="138">
        <f t="shared" si="94"/>
        <v>0</v>
      </c>
      <c r="AR75" s="138">
        <f t="shared" si="94"/>
        <v>0</v>
      </c>
      <c r="AS75" s="138">
        <f t="shared" si="94"/>
        <v>3203.9000000000015</v>
      </c>
      <c r="AT75" s="138">
        <f t="shared" si="94"/>
        <v>0</v>
      </c>
      <c r="AU75" s="138">
        <f t="shared" ref="AU75" si="98">AU73+AU74</f>
        <v>0</v>
      </c>
      <c r="AV75" s="138">
        <f t="shared" si="94"/>
        <v>0</v>
      </c>
      <c r="AW75" s="138">
        <f t="shared" si="94"/>
        <v>0</v>
      </c>
      <c r="AX75" s="138">
        <f t="shared" si="94"/>
        <v>0</v>
      </c>
      <c r="AY75" s="138">
        <f t="shared" si="94"/>
        <v>0</v>
      </c>
      <c r="AZ75" s="138">
        <f t="shared" si="94"/>
        <v>0</v>
      </c>
      <c r="BA75" s="138">
        <f t="shared" si="94"/>
        <v>0</v>
      </c>
      <c r="BB75" s="138">
        <f t="shared" si="94"/>
        <v>17088.900000000001</v>
      </c>
      <c r="BC75" s="138">
        <f t="shared" si="94"/>
        <v>0</v>
      </c>
      <c r="BD75" s="138">
        <f t="shared" si="94"/>
        <v>0</v>
      </c>
    </row>
    <row r="76" spans="1:56">
      <c r="A76" s="116">
        <v>43</v>
      </c>
      <c r="B76" s="118" t="s">
        <v>65</v>
      </c>
      <c r="C76" s="118"/>
      <c r="D76" s="118"/>
      <c r="E76" s="134">
        <f>'ADJ DETAIL INPUT'!E75</f>
        <v>19552</v>
      </c>
      <c r="F76" s="134">
        <f>'ADJ DETAIL INPUT'!F75</f>
        <v>0</v>
      </c>
      <c r="G76" s="134">
        <f>'ADJ DETAIL INPUT'!G75</f>
        <v>0</v>
      </c>
      <c r="H76" s="134">
        <f>'ADJ DETAIL INPUT'!H75</f>
        <v>0</v>
      </c>
      <c r="I76" s="134">
        <f>'ADJ DETAIL INPUT'!I75</f>
        <v>0</v>
      </c>
      <c r="J76" s="134">
        <f>'ADJ DETAIL INPUT'!J75</f>
        <v>0</v>
      </c>
      <c r="K76" s="134">
        <f>'ADJ DETAIL INPUT'!K75</f>
        <v>0</v>
      </c>
      <c r="L76" s="134">
        <f>'ADJ DETAIL INPUT'!L75</f>
        <v>0</v>
      </c>
      <c r="M76" s="134">
        <f>'ADJ DETAIL INPUT'!M75</f>
        <v>0</v>
      </c>
      <c r="N76" s="134">
        <f>'ADJ DETAIL INPUT'!N75</f>
        <v>0</v>
      </c>
      <c r="O76" s="134">
        <f>'ADJ DETAIL INPUT'!O75</f>
        <v>0</v>
      </c>
      <c r="P76" s="134">
        <f>'ADJ DETAIL INPUT'!P75</f>
        <v>0</v>
      </c>
      <c r="Q76" s="134">
        <f>'ADJ DETAIL INPUT'!Q75</f>
        <v>0</v>
      </c>
      <c r="R76" s="134">
        <f>'ADJ DETAIL INPUT'!R75</f>
        <v>0</v>
      </c>
      <c r="S76" s="134">
        <f>'ADJ DETAIL INPUT'!S75</f>
        <v>0</v>
      </c>
      <c r="T76" s="134">
        <f>'ADJ DETAIL INPUT'!T75</f>
        <v>0</v>
      </c>
      <c r="U76" s="134">
        <f>'ADJ DETAIL INPUT'!U75</f>
        <v>0</v>
      </c>
      <c r="V76" s="134">
        <f>'ADJ DETAIL INPUT'!V75</f>
        <v>0</v>
      </c>
      <c r="W76" s="134">
        <f>'ADJ DETAIL INPUT'!W75</f>
        <v>0</v>
      </c>
      <c r="X76" s="134">
        <f>'ADJ DETAIL INPUT'!X75</f>
        <v>0</v>
      </c>
      <c r="Y76" s="134">
        <f>'ADJ DETAIL INPUT'!Z75</f>
        <v>0</v>
      </c>
      <c r="Z76" s="134">
        <f>'ADJ DETAIL INPUT'!AA75</f>
        <v>0</v>
      </c>
      <c r="AA76" s="134">
        <f>'ADJ DETAIL INPUT'!AB75</f>
        <v>0</v>
      </c>
      <c r="AB76" s="134">
        <f>'ADJ DETAIL INPUT'!AC75</f>
        <v>0</v>
      </c>
      <c r="AC76" s="134">
        <f>'ADJ DETAIL INPUT'!AD75</f>
        <v>0</v>
      </c>
      <c r="AD76" s="134">
        <f>'ADJ DETAIL INPUT'!AE75</f>
        <v>0</v>
      </c>
      <c r="AE76" s="134">
        <f>'ADJ DETAIL INPUT'!AF75</f>
        <v>0</v>
      </c>
      <c r="AF76" s="134">
        <f>'ADJ DETAIL INPUT'!AG75</f>
        <v>0</v>
      </c>
      <c r="AG76" s="134">
        <f>'ADJ DETAIL INPUT'!AH75</f>
        <v>0</v>
      </c>
      <c r="AH76" s="134">
        <f>'ADJ DETAIL INPUT'!AI75</f>
        <v>0</v>
      </c>
      <c r="AI76" s="134">
        <f>'ADJ DETAIL INPUT'!AJ75</f>
        <v>0</v>
      </c>
      <c r="AJ76" s="134">
        <f>'ADJ DETAIL INPUT'!AK75</f>
        <v>0</v>
      </c>
      <c r="AK76" s="134">
        <f>'ADJ DETAIL INPUT'!AL75</f>
        <v>0</v>
      </c>
      <c r="AL76" s="134">
        <f>'ADJ DETAIL INPUT'!AM75</f>
        <v>0</v>
      </c>
      <c r="AM76" s="134">
        <f>'ADJ DETAIL INPUT'!AN75</f>
        <v>0</v>
      </c>
      <c r="AN76" s="134">
        <f>'ADJ DETAIL INPUT'!AO75</f>
        <v>0</v>
      </c>
      <c r="AO76" s="134">
        <f>'ADJ DETAIL INPUT'!AP75</f>
        <v>0</v>
      </c>
      <c r="AP76" s="134">
        <f>'ADJ DETAIL INPUT'!AQ75</f>
        <v>0</v>
      </c>
      <c r="AQ76" s="134">
        <f>'ADJ DETAIL INPUT'!AR75</f>
        <v>0</v>
      </c>
      <c r="AR76" s="134">
        <f>'ADJ DETAIL INPUT'!AS75</f>
        <v>0</v>
      </c>
      <c r="AS76" s="134">
        <f>'ADJ DETAIL INPUT'!AT75</f>
        <v>0</v>
      </c>
      <c r="AT76" s="134">
        <f>'ADJ DETAIL INPUT'!AU75</f>
        <v>0</v>
      </c>
      <c r="AU76" s="134">
        <f>'ADJ DETAIL INPUT'!AY75</f>
        <v>0</v>
      </c>
      <c r="AV76" s="134">
        <f>'ADJ DETAIL INPUT'!AZ75</f>
        <v>0</v>
      </c>
      <c r="AW76" s="134">
        <f>'ADJ DETAIL INPUT'!BA75</f>
        <v>0</v>
      </c>
      <c r="AX76" s="134">
        <f>'ADJ DETAIL INPUT'!BB75</f>
        <v>0</v>
      </c>
      <c r="AY76" s="134">
        <f>'ADJ DETAIL INPUT'!BC75</f>
        <v>0</v>
      </c>
      <c r="AZ76" s="134">
        <f>'ADJ DETAIL INPUT'!BD75</f>
        <v>0</v>
      </c>
      <c r="BA76" s="134">
        <f>'ADJ DETAIL INPUT'!BE75</f>
        <v>0</v>
      </c>
      <c r="BB76" s="134">
        <f>'ADJ DETAIL INPUT'!BF75</f>
        <v>0</v>
      </c>
      <c r="BC76" s="134">
        <f>'ADJ DETAIL INPUT'!BG75</f>
        <v>0</v>
      </c>
      <c r="BD76" s="134">
        <f>'ADJ DETAIL INPUT'!BH75</f>
        <v>0</v>
      </c>
    </row>
    <row r="77" spans="1:56" s="121" customFormat="1">
      <c r="A77" s="119">
        <v>44</v>
      </c>
      <c r="B77" s="120" t="s">
        <v>66</v>
      </c>
      <c r="C77" s="120"/>
      <c r="D77" s="120"/>
      <c r="E77" s="134">
        <f>'ADJ DETAIL INPUT'!E76</f>
        <v>0</v>
      </c>
      <c r="F77" s="134">
        <f>'ADJ DETAIL INPUT'!F76</f>
        <v>0</v>
      </c>
      <c r="G77" s="134">
        <f>'ADJ DETAIL INPUT'!G76</f>
        <v>0</v>
      </c>
      <c r="H77" s="134">
        <f>'ADJ DETAIL INPUT'!H76</f>
        <v>0</v>
      </c>
      <c r="I77" s="134">
        <f>'ADJ DETAIL INPUT'!I76</f>
        <v>0</v>
      </c>
      <c r="J77" s="134">
        <f>'ADJ DETAIL INPUT'!J76</f>
        <v>0</v>
      </c>
      <c r="K77" s="134">
        <f>'ADJ DETAIL INPUT'!K76</f>
        <v>0</v>
      </c>
      <c r="L77" s="134">
        <f>'ADJ DETAIL INPUT'!L76</f>
        <v>0</v>
      </c>
      <c r="M77" s="134">
        <f>'ADJ DETAIL INPUT'!M76</f>
        <v>0</v>
      </c>
      <c r="N77" s="134">
        <f>'ADJ DETAIL INPUT'!N76</f>
        <v>0</v>
      </c>
      <c r="O77" s="134">
        <f>'ADJ DETAIL INPUT'!O76</f>
        <v>0</v>
      </c>
      <c r="P77" s="134">
        <f>'ADJ DETAIL INPUT'!P76</f>
        <v>0</v>
      </c>
      <c r="Q77" s="134">
        <f>'ADJ DETAIL INPUT'!Q76</f>
        <v>0</v>
      </c>
      <c r="R77" s="134">
        <f>'ADJ DETAIL INPUT'!R76</f>
        <v>0</v>
      </c>
      <c r="S77" s="134">
        <f>'ADJ DETAIL INPUT'!S76</f>
        <v>0</v>
      </c>
      <c r="T77" s="134">
        <f>'ADJ DETAIL INPUT'!T76</f>
        <v>0</v>
      </c>
      <c r="U77" s="134">
        <f>'ADJ DETAIL INPUT'!U76</f>
        <v>0</v>
      </c>
      <c r="V77" s="134">
        <f>'ADJ DETAIL INPUT'!V76</f>
        <v>0</v>
      </c>
      <c r="W77" s="134">
        <f>'ADJ DETAIL INPUT'!W76</f>
        <v>0</v>
      </c>
      <c r="X77" s="134">
        <f>'ADJ DETAIL INPUT'!X76</f>
        <v>0</v>
      </c>
      <c r="Y77" s="134">
        <f>'ADJ DETAIL INPUT'!Z76</f>
        <v>0</v>
      </c>
      <c r="Z77" s="134">
        <f>'ADJ DETAIL INPUT'!AA76</f>
        <v>0</v>
      </c>
      <c r="AA77" s="134">
        <f>'ADJ DETAIL INPUT'!AB76</f>
        <v>0</v>
      </c>
      <c r="AB77" s="134">
        <f>'ADJ DETAIL INPUT'!AC76</f>
        <v>0</v>
      </c>
      <c r="AC77" s="134">
        <f>'ADJ DETAIL INPUT'!AD76</f>
        <v>0</v>
      </c>
      <c r="AD77" s="134">
        <f>'ADJ DETAIL INPUT'!AE76</f>
        <v>0</v>
      </c>
      <c r="AE77" s="134">
        <f>'ADJ DETAIL INPUT'!AF76</f>
        <v>0</v>
      </c>
      <c r="AF77" s="134">
        <f>'ADJ DETAIL INPUT'!AG76</f>
        <v>0</v>
      </c>
      <c r="AG77" s="134">
        <f>'ADJ DETAIL INPUT'!AH76</f>
        <v>0</v>
      </c>
      <c r="AH77" s="134">
        <f>'ADJ DETAIL INPUT'!AI76</f>
        <v>0</v>
      </c>
      <c r="AI77" s="134">
        <f>'ADJ DETAIL INPUT'!AJ76</f>
        <v>0</v>
      </c>
      <c r="AJ77" s="134">
        <f>'ADJ DETAIL INPUT'!AK76</f>
        <v>0</v>
      </c>
      <c r="AK77" s="134">
        <f>'ADJ DETAIL INPUT'!AL76</f>
        <v>0</v>
      </c>
      <c r="AL77" s="134">
        <f>'ADJ DETAIL INPUT'!AM76</f>
        <v>0</v>
      </c>
      <c r="AM77" s="134">
        <f>'ADJ DETAIL INPUT'!AN76</f>
        <v>0</v>
      </c>
      <c r="AN77" s="134">
        <f>'ADJ DETAIL INPUT'!AO76</f>
        <v>0</v>
      </c>
      <c r="AO77" s="134">
        <f>'ADJ DETAIL INPUT'!AP76</f>
        <v>0</v>
      </c>
      <c r="AP77" s="134">
        <f>'ADJ DETAIL INPUT'!AQ76</f>
        <v>0</v>
      </c>
      <c r="AQ77" s="134">
        <f>'ADJ DETAIL INPUT'!AR76</f>
        <v>0</v>
      </c>
      <c r="AR77" s="134">
        <f>'ADJ DETAIL INPUT'!AS76</f>
        <v>0</v>
      </c>
      <c r="AS77" s="134">
        <f>'ADJ DETAIL INPUT'!AT76</f>
        <v>0</v>
      </c>
      <c r="AT77" s="134">
        <f>'ADJ DETAIL INPUT'!AU76</f>
        <v>0</v>
      </c>
      <c r="AU77" s="134">
        <f>'ADJ DETAIL INPUT'!AY76</f>
        <v>0</v>
      </c>
      <c r="AV77" s="134">
        <f>'ADJ DETAIL INPUT'!AZ76</f>
        <v>0</v>
      </c>
      <c r="AW77" s="134">
        <f>'ADJ DETAIL INPUT'!BA76</f>
        <v>0</v>
      </c>
      <c r="AX77" s="134">
        <f>'ADJ DETAIL INPUT'!BB76</f>
        <v>0</v>
      </c>
      <c r="AY77" s="134">
        <f>'ADJ DETAIL INPUT'!BC76</f>
        <v>0</v>
      </c>
      <c r="AZ77" s="134">
        <f>'ADJ DETAIL INPUT'!BD76</f>
        <v>0</v>
      </c>
      <c r="BA77" s="134">
        <f>'ADJ DETAIL INPUT'!BE76</f>
        <v>0</v>
      </c>
      <c r="BB77" s="134">
        <f>'ADJ DETAIL INPUT'!BF76</f>
        <v>0</v>
      </c>
      <c r="BC77" s="134">
        <f>'ADJ DETAIL INPUT'!BG76</f>
        <v>0</v>
      </c>
      <c r="BD77" s="134">
        <f>'ADJ DETAIL INPUT'!BH76</f>
        <v>0</v>
      </c>
    </row>
    <row r="78" spans="1:56" s="121" customFormat="1">
      <c r="A78" s="119">
        <v>45</v>
      </c>
      <c r="B78" s="120" t="s">
        <v>377</v>
      </c>
      <c r="C78" s="120"/>
      <c r="D78" s="120"/>
      <c r="E78" s="134">
        <f>'ADJ DETAIL INPUT'!E77</f>
        <v>943</v>
      </c>
      <c r="F78" s="134">
        <f>'ADJ DETAIL INPUT'!F77</f>
        <v>0</v>
      </c>
      <c r="G78" s="134">
        <f>'ADJ DETAIL INPUT'!G77</f>
        <v>0</v>
      </c>
      <c r="H78" s="134">
        <f>'ADJ DETAIL INPUT'!H77</f>
        <v>0</v>
      </c>
      <c r="I78" s="134">
        <f>'ADJ DETAIL INPUT'!I77</f>
        <v>0</v>
      </c>
      <c r="J78" s="134">
        <f>'ADJ DETAIL INPUT'!J77</f>
        <v>0</v>
      </c>
      <c r="K78" s="134">
        <f>'ADJ DETAIL INPUT'!K77</f>
        <v>0</v>
      </c>
      <c r="L78" s="134">
        <f>'ADJ DETAIL INPUT'!L77</f>
        <v>0</v>
      </c>
      <c r="M78" s="134">
        <f>'ADJ DETAIL INPUT'!M77</f>
        <v>0</v>
      </c>
      <c r="N78" s="134">
        <f>'ADJ DETAIL INPUT'!N77</f>
        <v>0</v>
      </c>
      <c r="O78" s="134">
        <f>'ADJ DETAIL INPUT'!O77</f>
        <v>0</v>
      </c>
      <c r="P78" s="134">
        <f>'ADJ DETAIL INPUT'!P77</f>
        <v>0</v>
      </c>
      <c r="Q78" s="134">
        <f>'ADJ DETAIL INPUT'!Q77</f>
        <v>0</v>
      </c>
      <c r="R78" s="134">
        <f>'ADJ DETAIL INPUT'!R77</f>
        <v>0</v>
      </c>
      <c r="S78" s="134">
        <f>'ADJ DETAIL INPUT'!S77</f>
        <v>0</v>
      </c>
      <c r="T78" s="134">
        <f>'ADJ DETAIL INPUT'!T77</f>
        <v>0</v>
      </c>
      <c r="U78" s="134">
        <f>'ADJ DETAIL INPUT'!U77</f>
        <v>0</v>
      </c>
      <c r="V78" s="134">
        <f>'ADJ DETAIL INPUT'!V77</f>
        <v>0</v>
      </c>
      <c r="W78" s="134">
        <f>'ADJ DETAIL INPUT'!W77</f>
        <v>0</v>
      </c>
      <c r="X78" s="134">
        <f>'ADJ DETAIL INPUT'!X77</f>
        <v>0</v>
      </c>
      <c r="Y78" s="134">
        <f>'ADJ DETAIL INPUT'!Z77</f>
        <v>0</v>
      </c>
      <c r="Z78" s="134">
        <f>'ADJ DETAIL INPUT'!AA77</f>
        <v>0</v>
      </c>
      <c r="AA78" s="134">
        <f>'ADJ DETAIL INPUT'!AB77</f>
        <v>0</v>
      </c>
      <c r="AB78" s="134">
        <f>'ADJ DETAIL INPUT'!AC77</f>
        <v>-2141</v>
      </c>
      <c r="AC78" s="134">
        <f>'ADJ DETAIL INPUT'!AD77</f>
        <v>0</v>
      </c>
      <c r="AD78" s="134">
        <f>'ADJ DETAIL INPUT'!AE77</f>
        <v>0</v>
      </c>
      <c r="AE78" s="134">
        <f>'ADJ DETAIL INPUT'!AF77</f>
        <v>0</v>
      </c>
      <c r="AF78" s="134">
        <f>'ADJ DETAIL INPUT'!AG77</f>
        <v>0</v>
      </c>
      <c r="AG78" s="134">
        <f>'ADJ DETAIL INPUT'!AH77</f>
        <v>0</v>
      </c>
      <c r="AH78" s="134">
        <f>'ADJ DETAIL INPUT'!AI77</f>
        <v>0</v>
      </c>
      <c r="AI78" s="134">
        <f>'ADJ DETAIL INPUT'!AJ77</f>
        <v>0</v>
      </c>
      <c r="AJ78" s="134">
        <f>'ADJ DETAIL INPUT'!AK77</f>
        <v>0</v>
      </c>
      <c r="AK78" s="134">
        <f>'ADJ DETAIL INPUT'!AL77</f>
        <v>0</v>
      </c>
      <c r="AL78" s="134">
        <f>'ADJ DETAIL INPUT'!AM77</f>
        <v>0</v>
      </c>
      <c r="AM78" s="134">
        <f>'ADJ DETAIL INPUT'!AN77</f>
        <v>0</v>
      </c>
      <c r="AN78" s="134">
        <f>'ADJ DETAIL INPUT'!AO77</f>
        <v>0</v>
      </c>
      <c r="AO78" s="134">
        <f>'ADJ DETAIL INPUT'!AP77</f>
        <v>0</v>
      </c>
      <c r="AP78" s="134">
        <f>'ADJ DETAIL INPUT'!AQ77</f>
        <v>0</v>
      </c>
      <c r="AQ78" s="134">
        <f>'ADJ DETAIL INPUT'!AR77</f>
        <v>0</v>
      </c>
      <c r="AR78" s="134">
        <f>'ADJ DETAIL INPUT'!AS77</f>
        <v>0</v>
      </c>
      <c r="AS78" s="134">
        <f>'ADJ DETAIL INPUT'!AT77</f>
        <v>0</v>
      </c>
      <c r="AT78" s="134">
        <f>'ADJ DETAIL INPUT'!AU77</f>
        <v>0</v>
      </c>
      <c r="AU78" s="134">
        <f>'ADJ DETAIL INPUT'!AY77</f>
        <v>0</v>
      </c>
      <c r="AV78" s="134">
        <f>'ADJ DETAIL INPUT'!AZ77</f>
        <v>-848</v>
      </c>
      <c r="AW78" s="134">
        <f>'ADJ DETAIL INPUT'!BA77</f>
        <v>0</v>
      </c>
      <c r="AX78" s="134">
        <f>'ADJ DETAIL INPUT'!BB77</f>
        <v>0</v>
      </c>
      <c r="AY78" s="134">
        <f>'ADJ DETAIL INPUT'!BC77</f>
        <v>0</v>
      </c>
      <c r="AZ78" s="134">
        <f>'ADJ DETAIL INPUT'!BD77</f>
        <v>0</v>
      </c>
      <c r="BA78" s="134">
        <f>'ADJ DETAIL INPUT'!BE77</f>
        <v>0</v>
      </c>
      <c r="BB78" s="134">
        <f>'ADJ DETAIL INPUT'!BF77</f>
        <v>0</v>
      </c>
      <c r="BC78" s="134">
        <f>'ADJ DETAIL INPUT'!BG77</f>
        <v>0</v>
      </c>
      <c r="BD78" s="134">
        <f>'ADJ DETAIL INPUT'!BH77</f>
        <v>0</v>
      </c>
    </row>
    <row r="79" spans="1:56">
      <c r="A79" s="116">
        <v>46</v>
      </c>
      <c r="B79" s="118" t="s">
        <v>165</v>
      </c>
      <c r="C79" s="118"/>
      <c r="D79" s="118"/>
      <c r="E79" s="135">
        <f>'ADJ DETAIL INPUT'!E78</f>
        <v>15047</v>
      </c>
      <c r="F79" s="135">
        <f>'ADJ DETAIL INPUT'!F78</f>
        <v>0</v>
      </c>
      <c r="G79" s="135">
        <f>'ADJ DETAIL INPUT'!G78</f>
        <v>0</v>
      </c>
      <c r="H79" s="135">
        <f>'ADJ DETAIL INPUT'!H78</f>
        <v>-648</v>
      </c>
      <c r="I79" s="135">
        <f>'ADJ DETAIL INPUT'!I78</f>
        <v>0</v>
      </c>
      <c r="J79" s="135">
        <f>'ADJ DETAIL INPUT'!J78</f>
        <v>0</v>
      </c>
      <c r="K79" s="135">
        <f>'ADJ DETAIL INPUT'!K78</f>
        <v>0</v>
      </c>
      <c r="L79" s="135">
        <f>'ADJ DETAIL INPUT'!L78</f>
        <v>0</v>
      </c>
      <c r="M79" s="135">
        <f>'ADJ DETAIL INPUT'!M78</f>
        <v>0</v>
      </c>
      <c r="N79" s="135">
        <f>'ADJ DETAIL INPUT'!N78</f>
        <v>0</v>
      </c>
      <c r="O79" s="135">
        <f>'ADJ DETAIL INPUT'!O78</f>
        <v>0</v>
      </c>
      <c r="P79" s="135">
        <f>'ADJ DETAIL INPUT'!P78</f>
        <v>0</v>
      </c>
      <c r="Q79" s="135">
        <f>'ADJ DETAIL INPUT'!Q78</f>
        <v>0</v>
      </c>
      <c r="R79" s="135">
        <f>'ADJ DETAIL INPUT'!R78</f>
        <v>0</v>
      </c>
      <c r="S79" s="135">
        <f>'ADJ DETAIL INPUT'!S78</f>
        <v>0</v>
      </c>
      <c r="T79" s="135">
        <f>'ADJ DETAIL INPUT'!T78</f>
        <v>0</v>
      </c>
      <c r="U79" s="135">
        <f>'ADJ DETAIL INPUT'!U78</f>
        <v>0</v>
      </c>
      <c r="V79" s="135">
        <f>'ADJ DETAIL INPUT'!V78</f>
        <v>0</v>
      </c>
      <c r="W79" s="135">
        <f>'ADJ DETAIL INPUT'!W78</f>
        <v>0</v>
      </c>
      <c r="X79" s="135">
        <f>'ADJ DETAIL INPUT'!X78</f>
        <v>0</v>
      </c>
      <c r="Y79" s="135">
        <f>'ADJ DETAIL INPUT'!Z78</f>
        <v>0</v>
      </c>
      <c r="Z79" s="135">
        <f>'ADJ DETAIL INPUT'!AA78</f>
        <v>0</v>
      </c>
      <c r="AA79" s="135">
        <f>'ADJ DETAIL INPUT'!AB78</f>
        <v>0</v>
      </c>
      <c r="AB79" s="135">
        <f>'ADJ DETAIL INPUT'!AC78</f>
        <v>0</v>
      </c>
      <c r="AC79" s="135">
        <f>'ADJ DETAIL INPUT'!AD78</f>
        <v>0</v>
      </c>
      <c r="AD79" s="135">
        <f>'ADJ DETAIL INPUT'!AE78</f>
        <v>0</v>
      </c>
      <c r="AE79" s="135">
        <f>'ADJ DETAIL INPUT'!AF78</f>
        <v>0</v>
      </c>
      <c r="AF79" s="135">
        <f>'ADJ DETAIL INPUT'!AG78</f>
        <v>0</v>
      </c>
      <c r="AG79" s="135">
        <f>'ADJ DETAIL INPUT'!AH78</f>
        <v>0</v>
      </c>
      <c r="AH79" s="135">
        <f>'ADJ DETAIL INPUT'!AI78</f>
        <v>0</v>
      </c>
      <c r="AI79" s="135">
        <f>'ADJ DETAIL INPUT'!AJ78</f>
        <v>0</v>
      </c>
      <c r="AJ79" s="135">
        <f>'ADJ DETAIL INPUT'!AK78</f>
        <v>0</v>
      </c>
      <c r="AK79" s="135">
        <f>'ADJ DETAIL INPUT'!AL78</f>
        <v>0</v>
      </c>
      <c r="AL79" s="135">
        <f>'ADJ DETAIL INPUT'!AM78</f>
        <v>0</v>
      </c>
      <c r="AM79" s="135">
        <f>'ADJ DETAIL INPUT'!AN78</f>
        <v>0</v>
      </c>
      <c r="AN79" s="135">
        <f>'ADJ DETAIL INPUT'!AO78</f>
        <v>0</v>
      </c>
      <c r="AO79" s="135">
        <f>'ADJ DETAIL INPUT'!AP78</f>
        <v>0</v>
      </c>
      <c r="AP79" s="135">
        <f>'ADJ DETAIL INPUT'!AQ78</f>
        <v>0</v>
      </c>
      <c r="AQ79" s="135">
        <f>'ADJ DETAIL INPUT'!AR78</f>
        <v>0</v>
      </c>
      <c r="AR79" s="135">
        <f>'ADJ DETAIL INPUT'!AS78</f>
        <v>0</v>
      </c>
      <c r="AS79" s="135">
        <f>'ADJ DETAIL INPUT'!AT78</f>
        <v>0</v>
      </c>
      <c r="AT79" s="135">
        <f>'ADJ DETAIL INPUT'!AU78</f>
        <v>0</v>
      </c>
      <c r="AU79" s="135">
        <f>'ADJ DETAIL INPUT'!AY78</f>
        <v>0</v>
      </c>
      <c r="AV79" s="135">
        <f>'ADJ DETAIL INPUT'!AZ78</f>
        <v>0</v>
      </c>
      <c r="AW79" s="135">
        <f>'ADJ DETAIL INPUT'!BA78</f>
        <v>0</v>
      </c>
      <c r="AX79" s="135">
        <f>'ADJ DETAIL INPUT'!BB78</f>
        <v>0</v>
      </c>
      <c r="AY79" s="135">
        <f>'ADJ DETAIL INPUT'!BC78</f>
        <v>0</v>
      </c>
      <c r="AZ79" s="135">
        <f>'ADJ DETAIL INPUT'!BD78</f>
        <v>0</v>
      </c>
      <c r="BA79" s="135">
        <f>'ADJ DETAIL INPUT'!BE78</f>
        <v>0</v>
      </c>
      <c r="BB79" s="135">
        <f>'ADJ DETAIL INPUT'!BF78</f>
        <v>0</v>
      </c>
      <c r="BC79" s="135">
        <f>'ADJ DETAIL INPUT'!BG78</f>
        <v>0</v>
      </c>
      <c r="BD79" s="135">
        <f>'ADJ DETAIL INPUT'!BH78</f>
        <v>0</v>
      </c>
    </row>
    <row r="81" spans="1:56"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</row>
    <row r="82" spans="1:56" s="202" customFormat="1" thickBot="1">
      <c r="A82" s="98">
        <v>47</v>
      </c>
      <c r="B82" s="202" t="s">
        <v>67</v>
      </c>
      <c r="E82" s="204">
        <f>E75+E76+E77+E79+E78</f>
        <v>533429.39999999991</v>
      </c>
      <c r="F82" s="204">
        <f t="shared" ref="F82:R82" si="99">F75+F76+F77+F79+F78</f>
        <v>-224</v>
      </c>
      <c r="G82" s="204">
        <f t="shared" si="99"/>
        <v>0</v>
      </c>
      <c r="H82" s="204">
        <f t="shared" si="99"/>
        <v>-648</v>
      </c>
      <c r="I82" s="204">
        <f t="shared" si="99"/>
        <v>0</v>
      </c>
      <c r="J82" s="204">
        <f t="shared" si="99"/>
        <v>0</v>
      </c>
      <c r="K82" s="204">
        <f t="shared" si="99"/>
        <v>0</v>
      </c>
      <c r="L82" s="204">
        <f t="shared" si="99"/>
        <v>0</v>
      </c>
      <c r="M82" s="204">
        <f t="shared" si="99"/>
        <v>0</v>
      </c>
      <c r="N82" s="204">
        <f t="shared" si="99"/>
        <v>0</v>
      </c>
      <c r="O82" s="204">
        <f t="shared" si="99"/>
        <v>0</v>
      </c>
      <c r="P82" s="204">
        <f t="shared" si="99"/>
        <v>0</v>
      </c>
      <c r="Q82" s="204">
        <f t="shared" si="99"/>
        <v>0</v>
      </c>
      <c r="R82" s="204">
        <f t="shared" si="99"/>
        <v>0</v>
      </c>
      <c r="S82" s="204">
        <f t="shared" ref="S82:T82" si="100">S75+S76+S77+S79+S78</f>
        <v>0</v>
      </c>
      <c r="T82" s="204">
        <f t="shared" si="100"/>
        <v>0</v>
      </c>
      <c r="U82" s="204">
        <f t="shared" ref="U82" si="101">U75+U76+U77+U79+U78</f>
        <v>0</v>
      </c>
      <c r="V82" s="204">
        <f>V75+V76+V77+V79+V78</f>
        <v>0</v>
      </c>
      <c r="W82" s="204">
        <f>W75+W76+W77+W79+W78</f>
        <v>12408</v>
      </c>
      <c r="X82" s="204">
        <f>X75+X76+X77+X79+X78</f>
        <v>0</v>
      </c>
      <c r="Y82" s="204">
        <f>Y75+Y76+Y77+Y79+Y78</f>
        <v>0</v>
      </c>
      <c r="Z82" s="204">
        <f t="shared" ref="Z82:BD82" si="102">Z75+Z76+Z77+Z79+Z78</f>
        <v>0</v>
      </c>
      <c r="AA82" s="204">
        <f t="shared" si="102"/>
        <v>0</v>
      </c>
      <c r="AB82" s="204">
        <f t="shared" si="102"/>
        <v>-2141</v>
      </c>
      <c r="AC82" s="204">
        <f t="shared" si="102"/>
        <v>0</v>
      </c>
      <c r="AD82" s="204">
        <f t="shared" si="102"/>
        <v>0</v>
      </c>
      <c r="AE82" s="204">
        <f t="shared" si="102"/>
        <v>0</v>
      </c>
      <c r="AF82" s="204">
        <f t="shared" ref="AF82" si="103">AF75+AF76+AF77+AF79+AF78</f>
        <v>0</v>
      </c>
      <c r="AG82" s="204">
        <f t="shared" si="102"/>
        <v>0</v>
      </c>
      <c r="AH82" s="204">
        <f t="shared" si="102"/>
        <v>0</v>
      </c>
      <c r="AI82" s="204">
        <f t="shared" si="102"/>
        <v>0</v>
      </c>
      <c r="AJ82" s="204">
        <f t="shared" si="102"/>
        <v>0</v>
      </c>
      <c r="AK82" s="204">
        <f t="shared" si="102"/>
        <v>0</v>
      </c>
      <c r="AL82" s="204">
        <f t="shared" si="102"/>
        <v>0</v>
      </c>
      <c r="AM82" s="204">
        <f t="shared" si="102"/>
        <v>19487.900000000001</v>
      </c>
      <c r="AN82" s="204">
        <f t="shared" ref="AN82:AO82" si="104">AN75+AN76+AN77+AN79+AN78</f>
        <v>0</v>
      </c>
      <c r="AO82" s="204">
        <f t="shared" si="104"/>
        <v>20568</v>
      </c>
      <c r="AP82" s="204">
        <f t="shared" ref="AP82" si="105">AP75+AP76+AP77+AP79+AP78</f>
        <v>0</v>
      </c>
      <c r="AQ82" s="204">
        <f t="shared" si="102"/>
        <v>0</v>
      </c>
      <c r="AR82" s="204">
        <f t="shared" si="102"/>
        <v>0</v>
      </c>
      <c r="AS82" s="204">
        <f t="shared" si="102"/>
        <v>3203.9000000000015</v>
      </c>
      <c r="AT82" s="204">
        <f t="shared" si="102"/>
        <v>0</v>
      </c>
      <c r="AU82" s="204">
        <f t="shared" ref="AU82" si="106">AU75+AU76+AU77+AU79+AU78</f>
        <v>0</v>
      </c>
      <c r="AV82" s="204">
        <f t="shared" si="102"/>
        <v>-848</v>
      </c>
      <c r="AW82" s="204">
        <f t="shared" si="102"/>
        <v>0</v>
      </c>
      <c r="AX82" s="204">
        <f t="shared" si="102"/>
        <v>0</v>
      </c>
      <c r="AY82" s="204">
        <f t="shared" si="102"/>
        <v>0</v>
      </c>
      <c r="AZ82" s="204">
        <f t="shared" si="102"/>
        <v>0</v>
      </c>
      <c r="BA82" s="204">
        <f t="shared" si="102"/>
        <v>0</v>
      </c>
      <c r="BB82" s="204">
        <f t="shared" si="102"/>
        <v>17088.900000000001</v>
      </c>
      <c r="BC82" s="204">
        <f t="shared" si="102"/>
        <v>0</v>
      </c>
      <c r="BD82" s="204">
        <f t="shared" si="102"/>
        <v>0</v>
      </c>
    </row>
    <row r="83" spans="1:56" ht="18" customHeight="1" thickTop="1">
      <c r="E83" s="170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</row>
    <row r="84" spans="1:56"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</row>
    <row r="85" spans="1:56"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</row>
    <row r="86" spans="1:56" s="123" customFormat="1">
      <c r="A86" s="122"/>
      <c r="D86" s="124"/>
      <c r="E86" s="210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</row>
    <row r="87" spans="1:56" s="123" customFormat="1">
      <c r="A87" s="126"/>
      <c r="D87" s="124"/>
      <c r="E87" s="209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</row>
    <row r="88" spans="1:56" s="123" customFormat="1">
      <c r="A88" s="126"/>
      <c r="D88" s="124"/>
      <c r="E88" s="139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</row>
    <row r="89" spans="1:56" s="123" customFormat="1">
      <c r="A89" s="126"/>
      <c r="D89" s="124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</row>
    <row r="90" spans="1:56" s="123" customFormat="1">
      <c r="A90" s="126"/>
      <c r="D90" s="124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</row>
    <row r="91" spans="1:56" s="123" customFormat="1">
      <c r="A91" s="126"/>
      <c r="D91" s="124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</row>
    <row r="92" spans="1:56" s="123" customFormat="1">
      <c r="A92" s="122"/>
      <c r="D92" s="124"/>
      <c r="E92" s="125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</row>
    <row r="93" spans="1:56" s="123" customFormat="1">
      <c r="A93" s="126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</row>
    <row r="94" spans="1:56" s="123" customFormat="1">
      <c r="A94" s="126"/>
      <c r="D94" s="124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</row>
    <row r="95" spans="1:56" s="123" customFormat="1">
      <c r="A95" s="126"/>
      <c r="D95" s="124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</row>
    <row r="96" spans="1:56" s="123" customFormat="1">
      <c r="A96" s="126"/>
      <c r="D96" s="127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</row>
    <row r="97" spans="1:56" s="123" customFormat="1">
      <c r="A97" s="126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</row>
    <row r="98" spans="1:56" s="123" customFormat="1">
      <c r="A98" s="126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51" manualBreakCount="51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  <brk id="30" max="1048575" man="1"/>
    <brk id="31" min="1" max="81" man="1"/>
    <brk id="32" min="1" max="81" man="1"/>
    <brk id="33" min="1" max="81" man="1"/>
    <brk id="34" min="1" max="81" man="1"/>
    <brk id="35" min="1" max="81" man="1"/>
    <brk id="36" min="1" max="81" man="1"/>
    <brk id="37" min="1" max="81" man="1"/>
    <brk id="38" min="1" max="81" man="1"/>
    <brk id="39" min="1" max="81" man="1"/>
    <brk id="40" min="1" max="81" man="1"/>
    <brk id="41" min="1" max="81" man="1"/>
    <brk id="42" min="1" max="81" man="1"/>
    <brk id="43" min="1" max="81" man="1"/>
    <brk id="44" min="1" max="81" man="1"/>
    <brk id="45" min="1" max="81" man="1"/>
    <brk id="46" max="1048575" man="1"/>
    <brk id="47" min="1" max="81" man="1"/>
    <brk id="48" min="1" max="81" man="1"/>
    <brk id="49" min="1" max="81" man="1"/>
    <brk id="50" min="1" max="81" man="1"/>
    <brk id="51" min="1" max="81" man="1"/>
    <brk id="52" min="1" max="81" man="1"/>
    <brk id="53" min="1" max="81" man="1"/>
    <brk id="54" min="1" max="81" man="1"/>
    <brk id="55" min="1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787C4-469A-4E5D-97EC-07973E46DC2A}">
  <sheetPr codeName="Sheet4"/>
  <dimension ref="A1:AH1048576"/>
  <sheetViews>
    <sheetView tabSelected="1" zoomScaleNormal="100" workbookViewId="0"/>
  </sheetViews>
  <sheetFormatPr defaultColWidth="9.33203125" defaultRowHeight="13.2"/>
  <cols>
    <col min="1" max="1" width="4.5546875" style="32" customWidth="1"/>
    <col min="2" max="3" width="1.5546875" style="31" customWidth="1"/>
    <col min="4" max="4" width="2.5546875" style="31" customWidth="1"/>
    <col min="5" max="5" width="22.5546875" style="78" customWidth="1"/>
    <col min="6" max="6" width="8.5546875" style="78" bestFit="1" customWidth="1"/>
    <col min="7" max="7" width="11.33203125" style="78" bestFit="1" customWidth="1"/>
    <col min="8" max="8" width="8.44140625" style="78" bestFit="1" customWidth="1"/>
    <col min="9" max="9" width="11.33203125" style="78" bestFit="1" customWidth="1"/>
    <col min="10" max="10" width="15.88671875" style="78" bestFit="1" customWidth="1"/>
    <col min="11" max="11" width="14.44140625" style="78" customWidth="1"/>
    <col min="12" max="12" width="14.44140625" style="247" customWidth="1"/>
    <col min="13" max="14" width="9" style="247" customWidth="1"/>
    <col min="15" max="17" width="9.33203125" style="247"/>
    <col min="18" max="18" width="11.33203125" style="247" bestFit="1" customWidth="1"/>
    <col min="19" max="16384" width="9.33203125" style="247"/>
  </cols>
  <sheetData>
    <row r="1" spans="1:34" ht="13.8">
      <c r="A1" s="271" t="str">
        <f>'ROO INPUT 1.00'!A3:C3</f>
        <v>AVISTA UTILITIES</v>
      </c>
      <c r="D1" s="32"/>
      <c r="F1" s="261"/>
      <c r="G1" s="261"/>
      <c r="I1" s="261"/>
    </row>
    <row r="2" spans="1:34" ht="15" customHeight="1">
      <c r="A2" s="271" t="str">
        <f>'ADJ DETAIL INPUT'!A3</f>
        <v>WASHINGTON NATURAL GAS</v>
      </c>
      <c r="D2" s="32"/>
      <c r="G2" s="63"/>
      <c r="H2" s="64"/>
      <c r="I2" s="63"/>
      <c r="J2" s="64"/>
      <c r="K2" s="64"/>
      <c r="L2" s="250"/>
      <c r="M2" s="250"/>
      <c r="N2" s="250"/>
      <c r="O2" s="250"/>
    </row>
    <row r="3" spans="1:34" ht="15" customHeight="1">
      <c r="A3" s="271" t="str">
        <f>'ROO INPUT 1.00'!A5:C5</f>
        <v>TWELVE MONTHS ENDED JUNE 30, 2023</v>
      </c>
      <c r="D3" s="32"/>
      <c r="G3" s="63"/>
      <c r="H3" s="64"/>
      <c r="I3" s="63"/>
      <c r="J3" s="64"/>
      <c r="K3" s="64"/>
      <c r="L3" s="250"/>
      <c r="M3" s="250"/>
      <c r="N3" s="250"/>
      <c r="O3" s="250"/>
    </row>
    <row r="4" spans="1:34" ht="13.8">
      <c r="A4" s="271" t="str">
        <f>'ROO INPUT 1.00'!A6:C6</f>
        <v xml:space="preserve">(000'S OF DOLLARS)   </v>
      </c>
      <c r="D4" s="32"/>
      <c r="G4" s="399"/>
      <c r="H4" s="399"/>
    </row>
    <row r="5" spans="1:34" ht="13.8">
      <c r="A5" s="271" t="s">
        <v>641</v>
      </c>
      <c r="D5" s="32"/>
    </row>
    <row r="6" spans="1:34" ht="13.8">
      <c r="D6" s="32"/>
      <c r="F6" s="881" t="s">
        <v>546</v>
      </c>
      <c r="G6" s="882"/>
      <c r="H6" s="882"/>
      <c r="I6" s="883"/>
      <c r="J6" s="883"/>
      <c r="K6" s="883"/>
      <c r="L6" s="884"/>
      <c r="AE6" s="250"/>
      <c r="AF6" s="250"/>
      <c r="AG6" s="250"/>
      <c r="AH6" s="250"/>
    </row>
    <row r="7" spans="1:34">
      <c r="A7" s="33"/>
      <c r="B7" s="33"/>
      <c r="C7" s="34"/>
      <c r="D7" s="34"/>
      <c r="E7" s="33"/>
      <c r="F7" s="887" t="s">
        <v>647</v>
      </c>
      <c r="G7" s="888"/>
      <c r="H7" s="888"/>
      <c r="I7" s="888"/>
      <c r="J7" s="889"/>
      <c r="K7" s="885" t="s">
        <v>547</v>
      </c>
      <c r="L7" s="886"/>
      <c r="Q7" s="250"/>
      <c r="Z7" s="250"/>
      <c r="AA7" s="250"/>
      <c r="AE7" s="250"/>
      <c r="AF7" s="250"/>
      <c r="AG7" s="250"/>
      <c r="AH7" s="250"/>
    </row>
    <row r="8" spans="1:34">
      <c r="A8" s="35"/>
      <c r="B8" s="36"/>
      <c r="C8" s="37"/>
      <c r="D8" s="38"/>
      <c r="E8" s="39"/>
      <c r="F8" s="13" t="s">
        <v>138</v>
      </c>
      <c r="G8" s="379" t="s">
        <v>24</v>
      </c>
      <c r="H8" s="400" t="s">
        <v>395</v>
      </c>
      <c r="I8" s="401" t="s">
        <v>24</v>
      </c>
      <c r="J8" s="442" t="s">
        <v>548</v>
      </c>
      <c r="K8" s="402" t="s">
        <v>139</v>
      </c>
      <c r="L8" s="442" t="s">
        <v>549</v>
      </c>
    </row>
    <row r="9" spans="1:34">
      <c r="A9" s="40" t="s">
        <v>6</v>
      </c>
      <c r="B9" s="41"/>
      <c r="C9" s="42"/>
      <c r="D9" s="43"/>
      <c r="E9" s="44"/>
      <c r="F9" s="14" t="s">
        <v>7</v>
      </c>
      <c r="G9" s="380" t="s">
        <v>472</v>
      </c>
      <c r="H9" s="403" t="s">
        <v>473</v>
      </c>
      <c r="I9" s="403" t="s">
        <v>14</v>
      </c>
      <c r="J9" s="403" t="s">
        <v>399</v>
      </c>
      <c r="K9" s="404" t="s">
        <v>140</v>
      </c>
      <c r="L9" s="14" t="s">
        <v>139</v>
      </c>
    </row>
    <row r="10" spans="1:34">
      <c r="A10" s="45" t="s">
        <v>15</v>
      </c>
      <c r="B10" s="46"/>
      <c r="C10" s="47"/>
      <c r="D10" s="48"/>
      <c r="E10" s="49" t="s">
        <v>16</v>
      </c>
      <c r="F10" s="15" t="s">
        <v>17</v>
      </c>
      <c r="G10" s="381" t="s">
        <v>116</v>
      </c>
      <c r="H10" s="405" t="s">
        <v>474</v>
      </c>
      <c r="I10" s="405" t="s">
        <v>116</v>
      </c>
      <c r="J10" s="405" t="s">
        <v>475</v>
      </c>
      <c r="K10" s="406" t="s">
        <v>141</v>
      </c>
      <c r="L10" s="15" t="s">
        <v>24</v>
      </c>
    </row>
    <row r="11" spans="1:34">
      <c r="A11" s="50"/>
      <c r="B11" s="50"/>
      <c r="C11" s="51"/>
      <c r="D11" s="51"/>
      <c r="E11" s="51" t="s">
        <v>25</v>
      </c>
      <c r="F11" s="16" t="s">
        <v>26</v>
      </c>
      <c r="G11" s="382" t="s">
        <v>27</v>
      </c>
      <c r="H11" s="382" t="s">
        <v>28</v>
      </c>
      <c r="I11" s="16" t="s">
        <v>29</v>
      </c>
      <c r="J11" s="16" t="s">
        <v>30</v>
      </c>
      <c r="K11" s="16" t="s">
        <v>529</v>
      </c>
      <c r="L11" s="16" t="s">
        <v>545</v>
      </c>
    </row>
    <row r="12" spans="1:34" ht="3.75" customHeight="1">
      <c r="A12" s="50"/>
      <c r="B12" s="50"/>
      <c r="C12" s="51"/>
      <c r="D12" s="51"/>
      <c r="E12" s="51"/>
      <c r="F12" s="16"/>
      <c r="G12" s="16"/>
      <c r="H12" s="16"/>
      <c r="I12" s="16"/>
      <c r="J12" s="16"/>
      <c r="K12" s="16"/>
      <c r="L12" s="16"/>
    </row>
    <row r="13" spans="1:34" ht="2.25" customHeight="1">
      <c r="A13" s="50"/>
      <c r="B13" s="50"/>
      <c r="C13" s="51"/>
      <c r="D13" s="51"/>
      <c r="E13" s="51"/>
      <c r="F13" s="16"/>
      <c r="G13" s="16"/>
      <c r="H13" s="16"/>
      <c r="I13" s="16"/>
      <c r="J13" s="16"/>
      <c r="K13" s="16"/>
      <c r="L13" s="16"/>
    </row>
    <row r="14" spans="1:34">
      <c r="A14" s="79"/>
      <c r="B14" s="1" t="s">
        <v>31</v>
      </c>
      <c r="C14" s="1"/>
      <c r="D14" s="1"/>
      <c r="E14" s="1"/>
      <c r="F14" s="28"/>
      <c r="G14" s="28"/>
      <c r="I14" s="28"/>
      <c r="L14" s="78"/>
      <c r="O14"/>
      <c r="P14"/>
    </row>
    <row r="15" spans="1:34">
      <c r="A15" s="79">
        <v>1</v>
      </c>
      <c r="B15" s="2"/>
      <c r="C15" s="2" t="s">
        <v>32</v>
      </c>
      <c r="D15" s="2"/>
      <c r="E15" s="2"/>
      <c r="F15" s="29">
        <f>'ADJ DETAIL INPUT'!E14</f>
        <v>246541</v>
      </c>
      <c r="G15" s="29">
        <f>H15-F15</f>
        <v>-35172</v>
      </c>
      <c r="H15" s="29">
        <f>'ADJ DETAIL INPUT'!Y14</f>
        <v>211369</v>
      </c>
      <c r="I15" s="29">
        <f>J15-H15</f>
        <v>-89786</v>
      </c>
      <c r="J15" s="29">
        <f>'ADJ DETAIL INPUT'!AW14</f>
        <v>121583</v>
      </c>
      <c r="K15" s="223">
        <f>CF!I12</f>
        <v>17293</v>
      </c>
      <c r="L15" s="29">
        <f>J15+K15</f>
        <v>138876</v>
      </c>
      <c r="O15"/>
      <c r="P15"/>
    </row>
    <row r="16" spans="1:34">
      <c r="A16" s="79">
        <v>2</v>
      </c>
      <c r="B16" s="1"/>
      <c r="C16" s="3" t="s">
        <v>33</v>
      </c>
      <c r="D16" s="3"/>
      <c r="E16" s="3"/>
      <c r="F16" s="172">
        <f>'ADJ DETAIL INPUT'!E15</f>
        <v>5180</v>
      </c>
      <c r="G16" s="172">
        <f>H16-F16</f>
        <v>-120</v>
      </c>
      <c r="H16" s="172">
        <f>'ADJ DETAIL INPUT'!Y15</f>
        <v>5060</v>
      </c>
      <c r="I16" s="172">
        <f>J16-H16</f>
        <v>333</v>
      </c>
      <c r="J16" s="172">
        <f>'ADJ DETAIL INPUT'!AW15</f>
        <v>5393</v>
      </c>
      <c r="K16" s="172"/>
      <c r="L16" s="172">
        <f>J16+K16</f>
        <v>5393</v>
      </c>
      <c r="O16"/>
      <c r="P16"/>
    </row>
    <row r="17" spans="1:16">
      <c r="A17" s="79">
        <v>3</v>
      </c>
      <c r="B17" s="1"/>
      <c r="C17" s="3" t="s">
        <v>34</v>
      </c>
      <c r="D17" s="3"/>
      <c r="E17" s="3"/>
      <c r="F17" s="174">
        <f>'ADJ DETAIL INPUT'!E16</f>
        <v>37118</v>
      </c>
      <c r="G17" s="174">
        <f>H17-F17</f>
        <v>-34031</v>
      </c>
      <c r="H17" s="174">
        <f>'ADJ DETAIL INPUT'!Y16</f>
        <v>3087</v>
      </c>
      <c r="I17" s="174">
        <f>J17-H17</f>
        <v>-2370</v>
      </c>
      <c r="J17" s="174">
        <f>'ADJ DETAIL INPUT'!AW16</f>
        <v>717</v>
      </c>
      <c r="K17" s="174"/>
      <c r="L17" s="174">
        <f>J17+K17</f>
        <v>717</v>
      </c>
      <c r="O17"/>
      <c r="P17"/>
    </row>
    <row r="18" spans="1:16">
      <c r="A18" s="79">
        <v>4</v>
      </c>
      <c r="B18" s="1" t="s">
        <v>35</v>
      </c>
      <c r="C18" s="3"/>
      <c r="D18" s="3"/>
      <c r="E18" s="3"/>
      <c r="F18" s="172">
        <f>SUM(F15:F17)</f>
        <v>288839</v>
      </c>
      <c r="G18" s="172">
        <f t="shared" ref="G18" si="0">SUM(G15:G17)</f>
        <v>-69323</v>
      </c>
      <c r="H18" s="172">
        <f t="shared" ref="H18" si="1">SUM(H15:H17)</f>
        <v>219516</v>
      </c>
      <c r="I18" s="172">
        <f t="shared" ref="I18:L18" si="2">SUM(I15:I17)</f>
        <v>-91823</v>
      </c>
      <c r="J18" s="172">
        <f t="shared" si="2"/>
        <v>127693</v>
      </c>
      <c r="K18" s="172">
        <f t="shared" si="2"/>
        <v>17293</v>
      </c>
      <c r="L18" s="172">
        <f t="shared" si="2"/>
        <v>144986</v>
      </c>
      <c r="O18"/>
      <c r="P18"/>
    </row>
    <row r="19" spans="1:16" ht="4.5" customHeight="1">
      <c r="A19" s="79"/>
      <c r="B19" s="1"/>
      <c r="C19" s="3"/>
      <c r="D19" s="3"/>
      <c r="E19" s="3"/>
      <c r="F19" s="172"/>
      <c r="G19" s="172"/>
      <c r="H19" s="172"/>
      <c r="I19" s="172"/>
      <c r="J19" s="172"/>
      <c r="K19" s="172"/>
      <c r="L19" s="172"/>
      <c r="O19"/>
      <c r="P19"/>
    </row>
    <row r="20" spans="1:16">
      <c r="A20" s="79"/>
      <c r="B20" s="1" t="s">
        <v>36</v>
      </c>
      <c r="C20" s="3"/>
      <c r="D20" s="3"/>
      <c r="E20" s="3"/>
      <c r="F20" s="172"/>
      <c r="G20" s="172"/>
      <c r="H20" s="172"/>
      <c r="I20" s="172"/>
      <c r="J20" s="172"/>
      <c r="K20" s="172"/>
      <c r="L20" s="172"/>
    </row>
    <row r="21" spans="1:16">
      <c r="A21" s="79"/>
      <c r="B21" s="1"/>
      <c r="C21" s="3" t="s">
        <v>203</v>
      </c>
      <c r="D21" s="3"/>
      <c r="E21" s="3"/>
      <c r="F21" s="172"/>
      <c r="G21" s="172"/>
      <c r="H21" s="172"/>
      <c r="I21" s="172"/>
      <c r="J21" s="172"/>
      <c r="K21" s="172"/>
      <c r="L21" s="172"/>
    </row>
    <row r="22" spans="1:16">
      <c r="A22" s="79">
        <v>5</v>
      </c>
      <c r="B22" s="1"/>
      <c r="C22" s="3"/>
      <c r="D22" s="3" t="s">
        <v>37</v>
      </c>
      <c r="E22" s="3"/>
      <c r="F22" s="172">
        <f>'ADJ DETAIL INPUT'!E21</f>
        <v>139821</v>
      </c>
      <c r="G22" s="172">
        <f>H22-F22</f>
        <v>-49451</v>
      </c>
      <c r="H22" s="172">
        <f>'ADJ DETAIL INPUT'!Y21</f>
        <v>90370</v>
      </c>
      <c r="I22" s="172">
        <f>J22-H22</f>
        <v>-90370</v>
      </c>
      <c r="J22" s="172">
        <f>'ADJ DETAIL INPUT'!AW21</f>
        <v>0</v>
      </c>
      <c r="K22" s="172"/>
      <c r="L22" s="172">
        <f>J22+K22</f>
        <v>0</v>
      </c>
    </row>
    <row r="23" spans="1:16">
      <c r="A23" s="79">
        <v>6</v>
      </c>
      <c r="B23" s="1"/>
      <c r="C23" s="3"/>
      <c r="D23" s="3" t="s">
        <v>38</v>
      </c>
      <c r="E23" s="3"/>
      <c r="F23" s="172">
        <f>'ADJ DETAIL INPUT'!E22</f>
        <v>869</v>
      </c>
      <c r="G23" s="172">
        <f>H23-F23</f>
        <v>0</v>
      </c>
      <c r="H23" s="172">
        <f>'ADJ DETAIL INPUT'!Y22</f>
        <v>869</v>
      </c>
      <c r="I23" s="172">
        <f>J23-H23</f>
        <v>82.783000000000015</v>
      </c>
      <c r="J23" s="172">
        <f>'ADJ DETAIL INPUT'!AW22</f>
        <v>951.78300000000002</v>
      </c>
      <c r="K23" s="172"/>
      <c r="L23" s="172">
        <f>J23+K23</f>
        <v>951.78300000000002</v>
      </c>
    </row>
    <row r="24" spans="1:16">
      <c r="A24" s="79">
        <v>7</v>
      </c>
      <c r="B24" s="1"/>
      <c r="C24" s="3"/>
      <c r="D24" s="3" t="s">
        <v>39</v>
      </c>
      <c r="E24" s="3"/>
      <c r="F24" s="174">
        <f>'ADJ DETAIL INPUT'!E23</f>
        <v>8789</v>
      </c>
      <c r="G24" s="174">
        <f>H24-F24</f>
        <v>-8789</v>
      </c>
      <c r="H24" s="174">
        <f>'ADJ DETAIL INPUT'!Y23</f>
        <v>0</v>
      </c>
      <c r="I24" s="174">
        <f>J24-H24</f>
        <v>0</v>
      </c>
      <c r="J24" s="174">
        <f>'ADJ DETAIL INPUT'!AW23</f>
        <v>0</v>
      </c>
      <c r="K24" s="174"/>
      <c r="L24" s="174">
        <f>J24+K24</f>
        <v>0</v>
      </c>
    </row>
    <row r="25" spans="1:16">
      <c r="A25" s="79">
        <v>8</v>
      </c>
      <c r="B25" s="1"/>
      <c r="C25" s="3"/>
      <c r="D25" s="3"/>
      <c r="E25" s="3" t="s">
        <v>40</v>
      </c>
      <c r="F25" s="172">
        <f>SUM(F22:F24)</f>
        <v>149479</v>
      </c>
      <c r="G25" s="172">
        <f t="shared" ref="G25" si="3">SUM(G22:G24)</f>
        <v>-58240</v>
      </c>
      <c r="H25" s="172">
        <f t="shared" ref="H25" si="4">SUM(H22:H24)</f>
        <v>91239</v>
      </c>
      <c r="I25" s="172">
        <f t="shared" ref="I25:L25" si="5">SUM(I22:I24)</f>
        <v>-90287.217000000004</v>
      </c>
      <c r="J25" s="172">
        <f t="shared" si="5"/>
        <v>951.78300000000002</v>
      </c>
      <c r="K25" s="172">
        <f t="shared" si="5"/>
        <v>0</v>
      </c>
      <c r="L25" s="172">
        <f t="shared" si="5"/>
        <v>951.78300000000002</v>
      </c>
    </row>
    <row r="26" spans="1:16" ht="5.25" customHeight="1">
      <c r="A26" s="79"/>
      <c r="B26" s="1"/>
      <c r="C26" s="3"/>
      <c r="D26" s="3"/>
      <c r="E26" s="3"/>
      <c r="F26" s="172"/>
      <c r="G26" s="172"/>
      <c r="H26" s="173"/>
      <c r="I26" s="172"/>
      <c r="J26" s="173"/>
      <c r="K26" s="172"/>
      <c r="L26" s="172"/>
    </row>
    <row r="27" spans="1:16">
      <c r="A27" s="79"/>
      <c r="B27" s="1"/>
      <c r="C27" s="3" t="s">
        <v>41</v>
      </c>
      <c r="D27" s="3"/>
      <c r="E27" s="3"/>
      <c r="F27" s="172"/>
      <c r="G27" s="172"/>
      <c r="H27" s="172"/>
      <c r="I27" s="172"/>
      <c r="J27" s="172"/>
      <c r="K27" s="172"/>
      <c r="L27" s="172"/>
    </row>
    <row r="28" spans="1:16">
      <c r="A28" s="79">
        <v>9</v>
      </c>
      <c r="B28" s="1"/>
      <c r="C28" s="3"/>
      <c r="D28" s="3" t="s">
        <v>42</v>
      </c>
      <c r="E28" s="3"/>
      <c r="F28" s="172">
        <f>'ADJ DETAIL INPUT'!E27</f>
        <v>2062</v>
      </c>
      <c r="G28" s="172">
        <f>H28-F28</f>
        <v>0</v>
      </c>
      <c r="H28" s="172">
        <f>'ADJ DETAIL INPUT'!Y27</f>
        <v>2062</v>
      </c>
      <c r="I28" s="172">
        <f>J28-H28</f>
        <v>236.13400000000001</v>
      </c>
      <c r="J28" s="172">
        <f>'ADJ DETAIL INPUT'!AW27</f>
        <v>2298.134</v>
      </c>
      <c r="K28" s="172"/>
      <c r="L28" s="172">
        <f>J28+K28</f>
        <v>2298.134</v>
      </c>
    </row>
    <row r="29" spans="1:16">
      <c r="A29" s="79">
        <v>10</v>
      </c>
      <c r="B29" s="1"/>
      <c r="C29" s="3"/>
      <c r="D29" s="3" t="s">
        <v>43</v>
      </c>
      <c r="E29" s="3"/>
      <c r="F29" s="172">
        <f>'ADJ DETAIL INPUT'!E28</f>
        <v>512</v>
      </c>
      <c r="G29" s="172">
        <f>H29-F29</f>
        <v>0</v>
      </c>
      <c r="H29" s="172">
        <f>'ADJ DETAIL INPUT'!Y28</f>
        <v>512</v>
      </c>
      <c r="I29" s="172">
        <f>J29-H29</f>
        <v>54.200000000000045</v>
      </c>
      <c r="J29" s="172">
        <f>'ADJ DETAIL INPUT'!AW28</f>
        <v>566.20000000000005</v>
      </c>
      <c r="K29" s="172"/>
      <c r="L29" s="172">
        <f>J29+K29</f>
        <v>566.20000000000005</v>
      </c>
    </row>
    <row r="30" spans="1:16">
      <c r="A30" s="201">
        <v>11</v>
      </c>
      <c r="B30" s="1"/>
      <c r="C30" s="3"/>
      <c r="D30" s="3" t="s">
        <v>20</v>
      </c>
      <c r="E30" s="3"/>
      <c r="F30" s="174">
        <f>'ADJ DETAIL INPUT'!E29</f>
        <v>161</v>
      </c>
      <c r="G30" s="174">
        <f>H30-F30</f>
        <v>32</v>
      </c>
      <c r="H30" s="174">
        <f>'ADJ DETAIL INPUT'!Y29</f>
        <v>193</v>
      </c>
      <c r="I30" s="174">
        <f>J30-H30</f>
        <v>57</v>
      </c>
      <c r="J30" s="174">
        <f>'ADJ DETAIL INPUT'!AW29</f>
        <v>250</v>
      </c>
      <c r="K30" s="174"/>
      <c r="L30" s="174">
        <f>J30+K30</f>
        <v>250</v>
      </c>
    </row>
    <row r="31" spans="1:16">
      <c r="A31" s="79">
        <v>12</v>
      </c>
      <c r="B31" s="1"/>
      <c r="C31" s="3"/>
      <c r="D31" s="3"/>
      <c r="E31" s="3" t="s">
        <v>44</v>
      </c>
      <c r="F31" s="172">
        <f t="shared" ref="F31:L31" si="6">SUM(F28:F30)</f>
        <v>2735</v>
      </c>
      <c r="G31" s="172">
        <f t="shared" si="6"/>
        <v>32</v>
      </c>
      <c r="H31" s="172">
        <f t="shared" si="6"/>
        <v>2767</v>
      </c>
      <c r="I31" s="172">
        <f t="shared" si="6"/>
        <v>347.33400000000006</v>
      </c>
      <c r="J31" s="172">
        <f t="shared" si="6"/>
        <v>3114.3339999999998</v>
      </c>
      <c r="K31" s="172">
        <f t="shared" si="6"/>
        <v>0</v>
      </c>
      <c r="L31" s="172">
        <f t="shared" si="6"/>
        <v>3114.3339999999998</v>
      </c>
    </row>
    <row r="32" spans="1:16" ht="3" customHeight="1">
      <c r="A32" s="79"/>
      <c r="B32" s="1"/>
      <c r="C32" s="3"/>
      <c r="D32" s="3"/>
      <c r="E32" s="3"/>
      <c r="F32" s="172"/>
      <c r="G32" s="172"/>
      <c r="H32" s="173"/>
      <c r="I32" s="172"/>
      <c r="J32" s="173"/>
      <c r="K32" s="172"/>
      <c r="L32" s="172"/>
    </row>
    <row r="33" spans="1:12">
      <c r="A33" s="79"/>
      <c r="B33" s="1"/>
      <c r="C33" s="3" t="s">
        <v>45</v>
      </c>
      <c r="D33" s="3"/>
      <c r="E33" s="3"/>
      <c r="F33" s="172"/>
      <c r="G33" s="172"/>
      <c r="H33" s="172"/>
      <c r="I33" s="172"/>
      <c r="J33" s="172"/>
      <c r="K33" s="172"/>
      <c r="L33" s="172"/>
    </row>
    <row r="34" spans="1:12">
      <c r="A34" s="79">
        <v>13</v>
      </c>
      <c r="B34" s="1"/>
      <c r="C34" s="3"/>
      <c r="D34" s="3" t="s">
        <v>42</v>
      </c>
      <c r="E34" s="3"/>
      <c r="F34" s="172">
        <f>'ADJ DETAIL INPUT'!E33</f>
        <v>12916</v>
      </c>
      <c r="G34" s="172">
        <f>H34-F34</f>
        <v>-5</v>
      </c>
      <c r="H34" s="172">
        <f>'ADJ DETAIL INPUT'!Y33</f>
        <v>12911</v>
      </c>
      <c r="I34" s="172">
        <f>J34-H34</f>
        <v>532.55500000000029</v>
      </c>
      <c r="J34" s="172">
        <f>'ADJ DETAIL INPUT'!AW33</f>
        <v>13443.555</v>
      </c>
      <c r="K34" s="172"/>
      <c r="L34" s="172">
        <f>J34+K34</f>
        <v>13443.555</v>
      </c>
    </row>
    <row r="35" spans="1:12">
      <c r="A35" s="79">
        <v>14</v>
      </c>
      <c r="B35" s="1"/>
      <c r="C35" s="3"/>
      <c r="D35" s="3" t="s">
        <v>43</v>
      </c>
      <c r="E35" s="3"/>
      <c r="F35" s="172">
        <f>'ADJ DETAIL INPUT'!E34</f>
        <v>16440</v>
      </c>
      <c r="G35" s="172">
        <f>H35-F35</f>
        <v>-11</v>
      </c>
      <c r="H35" s="172">
        <f>'ADJ DETAIL INPUT'!Y34</f>
        <v>16429</v>
      </c>
      <c r="I35" s="172">
        <f>J35-H35</f>
        <v>2065.2999999999993</v>
      </c>
      <c r="J35" s="172">
        <f>'ADJ DETAIL INPUT'!AW34</f>
        <v>18494.3</v>
      </c>
      <c r="K35" s="172"/>
      <c r="L35" s="172">
        <f>J35+K35</f>
        <v>18494.3</v>
      </c>
    </row>
    <row r="36" spans="1:12">
      <c r="A36" s="79">
        <v>15</v>
      </c>
      <c r="B36" s="1"/>
      <c r="C36" s="3"/>
      <c r="D36" s="3" t="s">
        <v>20</v>
      </c>
      <c r="E36" s="3"/>
      <c r="F36" s="175">
        <f>'ADJ DETAIL INPUT'!E35</f>
        <v>21003</v>
      </c>
      <c r="G36" s="174">
        <f>H36-F36</f>
        <v>-9457</v>
      </c>
      <c r="H36" s="174">
        <f>'ADJ DETAIL INPUT'!Y35</f>
        <v>11546</v>
      </c>
      <c r="I36" s="174">
        <f>J36-H36</f>
        <v>-2540</v>
      </c>
      <c r="J36" s="174">
        <f>'ADJ DETAIL INPUT'!AW35</f>
        <v>9006</v>
      </c>
      <c r="K36" s="174">
        <f>CF!I19</f>
        <v>663</v>
      </c>
      <c r="L36" s="174">
        <f>J36+K36</f>
        <v>9669</v>
      </c>
    </row>
    <row r="37" spans="1:12">
      <c r="A37" s="79">
        <v>16</v>
      </c>
      <c r="B37" s="1"/>
      <c r="C37" s="3"/>
      <c r="D37" s="3"/>
      <c r="E37" s="3" t="s">
        <v>46</v>
      </c>
      <c r="F37" s="172">
        <f>SUM(F34:F36)</f>
        <v>50359</v>
      </c>
      <c r="G37" s="172">
        <f t="shared" ref="G37" si="7">SUM(G34:G36)</f>
        <v>-9473</v>
      </c>
      <c r="H37" s="172">
        <f t="shared" ref="H37" si="8">SUM(H34:H36)</f>
        <v>40886</v>
      </c>
      <c r="I37" s="172">
        <f t="shared" ref="I37:L37" si="9">SUM(I34:I36)</f>
        <v>57.854999999999563</v>
      </c>
      <c r="J37" s="172">
        <f t="shared" si="9"/>
        <v>40943.854999999996</v>
      </c>
      <c r="K37" s="172">
        <f t="shared" si="9"/>
        <v>663</v>
      </c>
      <c r="L37" s="172">
        <f t="shared" si="9"/>
        <v>41606.854999999996</v>
      </c>
    </row>
    <row r="38" spans="1:12" ht="5.25" customHeight="1">
      <c r="A38" s="79"/>
      <c r="B38" s="1"/>
      <c r="C38" s="3"/>
      <c r="D38" s="3"/>
      <c r="E38" s="3"/>
      <c r="F38" s="172"/>
      <c r="G38" s="172"/>
      <c r="H38" s="172"/>
      <c r="I38" s="172"/>
      <c r="J38" s="172"/>
      <c r="K38" s="172"/>
      <c r="L38" s="172"/>
    </row>
    <row r="39" spans="1:12">
      <c r="A39" s="79">
        <v>17</v>
      </c>
      <c r="B39" s="1" t="s">
        <v>47</v>
      </c>
      <c r="C39" s="3"/>
      <c r="D39" s="3"/>
      <c r="E39" s="3"/>
      <c r="F39" s="172">
        <f>'ADJ DETAIL INPUT'!E38</f>
        <v>3993</v>
      </c>
      <c r="G39" s="172">
        <f>H39-F39</f>
        <v>795</v>
      </c>
      <c r="H39" s="172">
        <f>'ADJ DETAIL INPUT'!Y38</f>
        <v>4788</v>
      </c>
      <c r="I39" s="172">
        <f>J39-H39</f>
        <v>20.533999999999651</v>
      </c>
      <c r="J39" s="172">
        <f>'ADJ DETAIL INPUT'!AW38</f>
        <v>4808.5339999999997</v>
      </c>
      <c r="K39" s="172">
        <f>CF!I15</f>
        <v>86</v>
      </c>
      <c r="L39" s="172">
        <f>J39+K39</f>
        <v>4894.5339999999997</v>
      </c>
    </row>
    <row r="40" spans="1:12">
      <c r="A40" s="79">
        <v>18</v>
      </c>
      <c r="B40" s="1" t="s">
        <v>48</v>
      </c>
      <c r="C40" s="3"/>
      <c r="D40" s="3"/>
      <c r="E40" s="3"/>
      <c r="F40" s="172">
        <f>'ADJ DETAIL INPUT'!E39</f>
        <v>14067</v>
      </c>
      <c r="G40" s="172">
        <f>H40-F40</f>
        <v>-13331</v>
      </c>
      <c r="H40" s="172">
        <f>'ADJ DETAIL INPUT'!Y39</f>
        <v>736</v>
      </c>
      <c r="I40" s="172">
        <f>J40-H40</f>
        <v>163.47500000000002</v>
      </c>
      <c r="J40" s="172">
        <f>'ADJ DETAIL INPUT'!AW39</f>
        <v>899.47500000000002</v>
      </c>
      <c r="K40" s="172"/>
      <c r="L40" s="172">
        <f>J40+K40</f>
        <v>899.47500000000002</v>
      </c>
    </row>
    <row r="41" spans="1:12">
      <c r="A41" s="79">
        <v>19</v>
      </c>
      <c r="B41" s="1" t="s">
        <v>49</v>
      </c>
      <c r="C41" s="3"/>
      <c r="D41" s="3"/>
      <c r="E41" s="3"/>
      <c r="F41" s="172">
        <f>'ADJ DETAIL INPUT'!E40</f>
        <v>0</v>
      </c>
      <c r="G41" s="172">
        <f>H41-F41</f>
        <v>0</v>
      </c>
      <c r="H41" s="172">
        <f>'ADJ DETAIL INPUT'!Y40</f>
        <v>0</v>
      </c>
      <c r="I41" s="172">
        <f>J41-H41</f>
        <v>0</v>
      </c>
      <c r="J41" s="172">
        <f>'ADJ DETAIL INPUT'!AW40</f>
        <v>0</v>
      </c>
      <c r="K41" s="172"/>
      <c r="L41" s="172">
        <f>J41+K41</f>
        <v>0</v>
      </c>
    </row>
    <row r="42" spans="1:12" ht="4.5" customHeight="1">
      <c r="A42" s="79"/>
      <c r="B42" s="1"/>
      <c r="C42" s="3"/>
      <c r="D42" s="3"/>
      <c r="E42" s="3"/>
      <c r="F42" s="172"/>
      <c r="G42" s="172"/>
      <c r="H42" s="176"/>
      <c r="I42" s="172"/>
      <c r="J42" s="176"/>
      <c r="K42" s="172"/>
      <c r="L42" s="172"/>
    </row>
    <row r="43" spans="1:12">
      <c r="A43" s="79"/>
      <c r="B43" s="1" t="s">
        <v>50</v>
      </c>
      <c r="C43" s="3"/>
      <c r="D43" s="3"/>
      <c r="E43" s="3"/>
      <c r="F43" s="172"/>
      <c r="G43" s="172"/>
      <c r="H43" s="172"/>
      <c r="I43" s="172"/>
      <c r="J43" s="172"/>
      <c r="K43" s="172"/>
      <c r="L43" s="172"/>
    </row>
    <row r="44" spans="1:12">
      <c r="A44" s="79">
        <v>20</v>
      </c>
      <c r="B44" s="1"/>
      <c r="C44" s="3" t="s">
        <v>42</v>
      </c>
      <c r="D44" s="3"/>
      <c r="E44" s="3"/>
      <c r="F44" s="172">
        <f>'ADJ DETAIL INPUT'!E43</f>
        <v>24398</v>
      </c>
      <c r="G44" s="172">
        <f>H44-F44</f>
        <v>104.08299999999872</v>
      </c>
      <c r="H44" s="172">
        <f>'ADJ DETAIL INPUT'!Y43</f>
        <v>24502.082999999999</v>
      </c>
      <c r="I44" s="172">
        <f>J44-H44</f>
        <v>2219.887999999999</v>
      </c>
      <c r="J44" s="172">
        <f>'ADJ DETAIL INPUT'!AW43</f>
        <v>26721.970999999998</v>
      </c>
      <c r="K44" s="172">
        <f>CF!I17</f>
        <v>69</v>
      </c>
      <c r="L44" s="172">
        <f>J44+K44</f>
        <v>26790.970999999998</v>
      </c>
    </row>
    <row r="45" spans="1:12">
      <c r="A45" s="79">
        <v>21</v>
      </c>
      <c r="B45" s="1"/>
      <c r="C45" s="3" t="s">
        <v>188</v>
      </c>
      <c r="D45" s="3"/>
      <c r="E45" s="3"/>
      <c r="F45" s="172">
        <f>'ADJ DETAIL INPUT'!E44</f>
        <v>12802</v>
      </c>
      <c r="G45" s="172">
        <f>H45-F45</f>
        <v>0</v>
      </c>
      <c r="H45" s="172">
        <f>'ADJ DETAIL INPUT'!Y44</f>
        <v>12802</v>
      </c>
      <c r="I45" s="172">
        <f>J45-H45</f>
        <v>2373.2999999999993</v>
      </c>
      <c r="J45" s="172">
        <f>'ADJ DETAIL INPUT'!AW44</f>
        <v>15175.3</v>
      </c>
      <c r="K45" s="172"/>
      <c r="L45" s="172">
        <f>J45+K45</f>
        <v>15175.3</v>
      </c>
    </row>
    <row r="46" spans="1:12">
      <c r="A46" s="79">
        <v>22</v>
      </c>
      <c r="B46" s="1"/>
      <c r="C46" s="7" t="s">
        <v>370</v>
      </c>
      <c r="D46" s="3"/>
      <c r="E46" s="3"/>
      <c r="F46" s="172">
        <f>'ADJ DETAIL INPUT'!E45</f>
        <v>1612</v>
      </c>
      <c r="G46" s="172">
        <f>H46-F46</f>
        <v>1</v>
      </c>
      <c r="H46" s="172">
        <f>'ADJ DETAIL INPUT'!Y45</f>
        <v>1613</v>
      </c>
      <c r="I46" s="172">
        <f>J46-H46</f>
        <v>-1787</v>
      </c>
      <c r="J46" s="172">
        <f>'ADJ DETAIL INPUT'!AW45</f>
        <v>-174</v>
      </c>
      <c r="K46" s="172"/>
      <c r="L46" s="172">
        <f>J46+K46</f>
        <v>-174</v>
      </c>
    </row>
    <row r="47" spans="1:12">
      <c r="A47" s="79">
        <v>23</v>
      </c>
      <c r="B47" s="1"/>
      <c r="C47" s="3" t="s">
        <v>20</v>
      </c>
      <c r="D47" s="3"/>
      <c r="E47" s="3"/>
      <c r="F47" s="174">
        <f>'ADJ DETAIL INPUT'!E46</f>
        <v>1132</v>
      </c>
      <c r="G47" s="174">
        <f>H47-F47</f>
        <v>0</v>
      </c>
      <c r="H47" s="172">
        <f>'ADJ DETAIL INPUT'!Y46</f>
        <v>1132</v>
      </c>
      <c r="I47" s="174">
        <f>J47-H47</f>
        <v>0</v>
      </c>
      <c r="J47" s="172">
        <f>'ADJ DETAIL INPUT'!AW46</f>
        <v>1132</v>
      </c>
      <c r="K47" s="174"/>
      <c r="L47" s="174">
        <f>J47+K47</f>
        <v>1132</v>
      </c>
    </row>
    <row r="48" spans="1:12">
      <c r="A48" s="79">
        <v>24</v>
      </c>
      <c r="B48" s="1"/>
      <c r="C48" s="3"/>
      <c r="D48" s="3" t="s">
        <v>51</v>
      </c>
      <c r="E48" s="247"/>
      <c r="F48" s="177">
        <f>SUM(F44:F47)</f>
        <v>39944</v>
      </c>
      <c r="G48" s="177">
        <f t="shared" ref="G48" si="10">SUM(G44:G47)</f>
        <v>105.08299999999872</v>
      </c>
      <c r="H48" s="177">
        <f t="shared" ref="H48" si="11">SUM(H44:H47)</f>
        <v>40049.082999999999</v>
      </c>
      <c r="I48" s="177">
        <f t="shared" ref="I48:L48" si="12">SUM(I44:I47)</f>
        <v>2806.1879999999983</v>
      </c>
      <c r="J48" s="177">
        <f t="shared" si="12"/>
        <v>42855.270999999993</v>
      </c>
      <c r="K48" s="177">
        <f t="shared" si="12"/>
        <v>69</v>
      </c>
      <c r="L48" s="177">
        <f t="shared" si="12"/>
        <v>42924.270999999993</v>
      </c>
    </row>
    <row r="49" spans="1:18">
      <c r="A49" s="79">
        <v>25</v>
      </c>
      <c r="B49" s="1" t="s">
        <v>52</v>
      </c>
      <c r="C49" s="3"/>
      <c r="D49" s="3"/>
      <c r="E49" s="3"/>
      <c r="F49" s="174">
        <f t="shared" ref="F49:L49" si="13">F48+F37+F31+F25+F39+F40+F41</f>
        <v>260577</v>
      </c>
      <c r="G49" s="174">
        <f t="shared" si="13"/>
        <v>-80111.917000000001</v>
      </c>
      <c r="H49" s="174">
        <f t="shared" si="13"/>
        <v>180465.08299999998</v>
      </c>
      <c r="I49" s="174">
        <f t="shared" si="13"/>
        <v>-86891.831000000006</v>
      </c>
      <c r="J49" s="174">
        <f t="shared" si="13"/>
        <v>93573.251999999993</v>
      </c>
      <c r="K49" s="174">
        <f t="shared" si="13"/>
        <v>818</v>
      </c>
      <c r="L49" s="174">
        <f t="shared" si="13"/>
        <v>94391.251999999993</v>
      </c>
    </row>
    <row r="50" spans="1:18" ht="8.25" customHeight="1">
      <c r="A50" s="79"/>
      <c r="B50" s="1"/>
      <c r="C50" s="3"/>
      <c r="D50" s="3"/>
      <c r="E50" s="3"/>
      <c r="F50" s="172"/>
      <c r="G50" s="172"/>
      <c r="H50" s="172"/>
      <c r="I50" s="172"/>
      <c r="J50" s="172"/>
      <c r="K50" s="172"/>
      <c r="L50" s="172"/>
    </row>
    <row r="51" spans="1:18">
      <c r="A51" s="79">
        <v>26</v>
      </c>
      <c r="B51" s="1" t="s">
        <v>53</v>
      </c>
      <c r="C51" s="3"/>
      <c r="D51" s="3"/>
      <c r="E51" s="3"/>
      <c r="F51" s="172">
        <f t="shared" ref="F51:L51" si="14">F18-F49</f>
        <v>28262</v>
      </c>
      <c r="G51" s="172">
        <f t="shared" si="14"/>
        <v>10788.917000000001</v>
      </c>
      <c r="H51" s="172">
        <f t="shared" si="14"/>
        <v>39050.917000000016</v>
      </c>
      <c r="I51" s="172">
        <f t="shared" si="14"/>
        <v>-4931.1689999999944</v>
      </c>
      <c r="J51" s="172">
        <f t="shared" si="14"/>
        <v>34119.748000000007</v>
      </c>
      <c r="K51" s="172">
        <f t="shared" si="14"/>
        <v>16475</v>
      </c>
      <c r="L51" s="172">
        <f t="shared" si="14"/>
        <v>50594.748000000007</v>
      </c>
    </row>
    <row r="52" spans="1:18" ht="6.75" customHeight="1">
      <c r="A52" s="79"/>
      <c r="B52" s="1"/>
      <c r="C52" s="3"/>
      <c r="D52" s="3"/>
      <c r="E52" s="3"/>
      <c r="F52" s="172"/>
      <c r="G52" s="172"/>
      <c r="H52" s="172"/>
      <c r="I52" s="172"/>
      <c r="J52" s="172"/>
      <c r="K52" s="172"/>
      <c r="L52" s="172"/>
    </row>
    <row r="53" spans="1:18">
      <c r="A53" s="79"/>
      <c r="B53" s="1" t="s">
        <v>54</v>
      </c>
      <c r="C53" s="3"/>
      <c r="D53" s="3"/>
      <c r="E53" s="3"/>
      <c r="F53" s="172"/>
      <c r="G53" s="172"/>
      <c r="H53" s="172"/>
      <c r="I53" s="172"/>
      <c r="J53" s="172"/>
      <c r="K53" s="172"/>
      <c r="L53" s="172"/>
    </row>
    <row r="54" spans="1:18">
      <c r="A54" s="79">
        <v>27</v>
      </c>
      <c r="B54" s="1"/>
      <c r="C54" s="3" t="s">
        <v>55</v>
      </c>
      <c r="D54" s="3"/>
      <c r="E54" s="3"/>
      <c r="F54" s="172">
        <f>'ADJ DETAIL INPUT'!E53</f>
        <v>-4387</v>
      </c>
      <c r="G54" s="172">
        <f>H54-F54</f>
        <v>2322.6725700000011</v>
      </c>
      <c r="H54" s="172">
        <f>'ADJ DETAIL INPUT'!Y53</f>
        <v>-2064.3274299999989</v>
      </c>
      <c r="I54" s="172">
        <f>J54-H54</f>
        <v>-1035.54549</v>
      </c>
      <c r="J54" s="172">
        <f>'ADJ DETAIL INPUT'!AW53</f>
        <v>-3099.8729199999989</v>
      </c>
      <c r="K54" s="172">
        <f>CF!I25</f>
        <v>3460</v>
      </c>
      <c r="L54" s="172">
        <f>J54+K54</f>
        <v>360.12708000000111</v>
      </c>
      <c r="R54" s="57"/>
    </row>
    <row r="55" spans="1:18">
      <c r="A55" s="79">
        <v>28</v>
      </c>
      <c r="B55" s="1"/>
      <c r="C55" s="118" t="s">
        <v>170</v>
      </c>
      <c r="D55" s="3"/>
      <c r="E55" s="3"/>
      <c r="F55" s="172">
        <f>'ADJ DETAIL INPUT'!E54</f>
        <v>0</v>
      </c>
      <c r="G55" s="172">
        <f>H55-F55</f>
        <v>-62.259791999999997</v>
      </c>
      <c r="H55" s="172">
        <f>'ADJ DETAIL INPUT'!Y54</f>
        <v>-62.259791999999997</v>
      </c>
      <c r="I55" s="172">
        <f>J55-H55</f>
        <v>-221.91816360000001</v>
      </c>
      <c r="J55" s="172">
        <f>'ADJ DETAIL INPUT'!AW54</f>
        <v>-284.17795560000002</v>
      </c>
      <c r="K55" s="172"/>
      <c r="L55" s="172">
        <f>J55+K55</f>
        <v>-284.17795560000002</v>
      </c>
    </row>
    <row r="56" spans="1:18">
      <c r="A56" s="79">
        <v>29</v>
      </c>
      <c r="B56" s="1"/>
      <c r="C56" s="3" t="s">
        <v>56</v>
      </c>
      <c r="D56" s="3"/>
      <c r="E56" s="3"/>
      <c r="F56" s="172">
        <f>'ADJ DETAIL INPUT'!E55</f>
        <v>-3743</v>
      </c>
      <c r="G56" s="172">
        <f>H56-F56</f>
        <v>-101</v>
      </c>
      <c r="H56" s="172">
        <f>'ADJ DETAIL INPUT'!Y55</f>
        <v>-3844</v>
      </c>
      <c r="I56" s="172">
        <f>J56-H56</f>
        <v>136</v>
      </c>
      <c r="J56" s="172">
        <f>'ADJ DETAIL INPUT'!AW55</f>
        <v>-3708</v>
      </c>
      <c r="K56" s="172"/>
      <c r="L56" s="172">
        <f>J56+K56</f>
        <v>-3708</v>
      </c>
    </row>
    <row r="57" spans="1:18">
      <c r="A57" s="79">
        <v>30</v>
      </c>
      <c r="B57" s="1"/>
      <c r="C57" s="3" t="s">
        <v>57</v>
      </c>
      <c r="D57" s="3"/>
      <c r="E57" s="3"/>
      <c r="F57" s="174">
        <f>'ADJ DETAIL INPUT'!E56</f>
        <v>0</v>
      </c>
      <c r="G57" s="174">
        <f>H57-F57</f>
        <v>9626</v>
      </c>
      <c r="H57" s="174">
        <f>'ADJ DETAIL INPUT'!Y56</f>
        <v>9626</v>
      </c>
      <c r="I57" s="174">
        <f>J57-H57</f>
        <v>0</v>
      </c>
      <c r="J57" s="174">
        <f>'ADJ DETAIL INPUT'!AW56</f>
        <v>9626</v>
      </c>
      <c r="K57" s="174"/>
      <c r="L57" s="174">
        <f>J57+K57</f>
        <v>9626</v>
      </c>
    </row>
    <row r="58" spans="1:18" ht="6" customHeight="1">
      <c r="A58" s="79"/>
      <c r="B58" s="1"/>
      <c r="C58" s="1"/>
      <c r="D58" s="1"/>
      <c r="E58" s="1"/>
      <c r="F58" s="172"/>
      <c r="G58" s="172"/>
      <c r="H58" s="172"/>
      <c r="I58" s="172"/>
      <c r="J58" s="172"/>
      <c r="K58" s="178"/>
      <c r="L58" s="172"/>
    </row>
    <row r="59" spans="1:18" ht="13.8" thickBot="1">
      <c r="A59" s="79">
        <v>31</v>
      </c>
      <c r="B59" s="2" t="s">
        <v>58</v>
      </c>
      <c r="C59" s="2"/>
      <c r="D59" s="2"/>
      <c r="E59" s="2"/>
      <c r="F59" s="179">
        <f t="shared" ref="F59:L59" si="15">F51-SUM(F54:F57)</f>
        <v>36392</v>
      </c>
      <c r="G59" s="179">
        <f t="shared" si="15"/>
        <v>-996.49577800000043</v>
      </c>
      <c r="H59" s="179">
        <f t="shared" si="15"/>
        <v>35395.504222000018</v>
      </c>
      <c r="I59" s="179">
        <f t="shared" si="15"/>
        <v>-3809.7053463999946</v>
      </c>
      <c r="J59" s="179">
        <f t="shared" si="15"/>
        <v>31585.798875600005</v>
      </c>
      <c r="K59" s="179">
        <f t="shared" si="15"/>
        <v>13015</v>
      </c>
      <c r="L59" s="179">
        <f t="shared" si="15"/>
        <v>44600.798875600005</v>
      </c>
    </row>
    <row r="60" spans="1:18" ht="7.5" customHeight="1" thickTop="1">
      <c r="A60" s="79"/>
      <c r="B60" s="1"/>
      <c r="C60" s="1"/>
      <c r="D60" s="1"/>
      <c r="E60" s="1"/>
      <c r="F60" s="172"/>
      <c r="G60" s="172"/>
      <c r="H60" s="172"/>
      <c r="I60" s="172"/>
      <c r="J60" s="172"/>
      <c r="K60" s="172"/>
      <c r="L60" s="172"/>
    </row>
    <row r="61" spans="1:18" hidden="1">
      <c r="A61" s="79"/>
      <c r="B61" s="1"/>
      <c r="C61" s="1"/>
      <c r="D61" s="1"/>
      <c r="E61" s="1"/>
      <c r="F61" s="172"/>
      <c r="G61" s="172"/>
      <c r="H61" s="172"/>
      <c r="I61" s="172"/>
      <c r="J61" s="172"/>
      <c r="K61" s="172"/>
      <c r="L61" s="172"/>
    </row>
    <row r="62" spans="1:18">
      <c r="A62" s="79"/>
      <c r="B62" s="1" t="s">
        <v>59</v>
      </c>
      <c r="C62" s="1"/>
      <c r="D62" s="1"/>
      <c r="E62" s="1"/>
      <c r="F62" s="172"/>
      <c r="G62" s="172"/>
      <c r="H62" s="172"/>
      <c r="I62" s="172"/>
      <c r="J62" s="172"/>
      <c r="K62" s="172"/>
      <c r="L62" s="172"/>
    </row>
    <row r="63" spans="1:18">
      <c r="A63" s="79">
        <v>32</v>
      </c>
      <c r="B63" s="3"/>
      <c r="C63" s="3" t="s">
        <v>41</v>
      </c>
      <c r="D63" s="3"/>
      <c r="E63" s="3"/>
      <c r="F63" s="172">
        <f>'ADJ DETAIL INPUT'!E62</f>
        <v>34499.699999999997</v>
      </c>
      <c r="G63" s="172">
        <f>H63-F63</f>
        <v>550</v>
      </c>
      <c r="H63" s="172">
        <f>'ADJ DETAIL INPUT'!Y62</f>
        <v>35049.699999999997</v>
      </c>
      <c r="I63" s="172">
        <f>J63-H63</f>
        <v>3389</v>
      </c>
      <c r="J63" s="172">
        <f>'ADJ DETAIL INPUT'!AW62</f>
        <v>38438.699999999997</v>
      </c>
      <c r="K63" s="172"/>
      <c r="L63" s="172">
        <f>J63+K63</f>
        <v>38438.699999999997</v>
      </c>
    </row>
    <row r="64" spans="1:18">
      <c r="A64" s="79">
        <v>33</v>
      </c>
      <c r="B64" s="3"/>
      <c r="C64" s="3" t="s">
        <v>60</v>
      </c>
      <c r="D64" s="3"/>
      <c r="E64" s="3"/>
      <c r="F64" s="172">
        <f>'ADJ DETAIL INPUT'!E63</f>
        <v>650522.69999999995</v>
      </c>
      <c r="G64" s="172">
        <f>H64-F64</f>
        <v>21260</v>
      </c>
      <c r="H64" s="172">
        <f>'ADJ DETAIL INPUT'!Y63</f>
        <v>671782.7</v>
      </c>
      <c r="I64" s="172">
        <f>J64-H64</f>
        <v>72533</v>
      </c>
      <c r="J64" s="172">
        <f>'ADJ DETAIL INPUT'!AW63</f>
        <v>744315.7</v>
      </c>
      <c r="K64" s="172"/>
      <c r="L64" s="172">
        <f>J64+K64</f>
        <v>744315.7</v>
      </c>
    </row>
    <row r="65" spans="1:12">
      <c r="A65" s="79">
        <v>34</v>
      </c>
      <c r="B65" s="3"/>
      <c r="C65" s="3" t="s">
        <v>61</v>
      </c>
      <c r="D65" s="3"/>
      <c r="E65" s="3"/>
      <c r="F65" s="174">
        <f>'ADJ DETAIL INPUT'!E64</f>
        <v>161473</v>
      </c>
      <c r="G65" s="174">
        <f>H65-F65</f>
        <v>2797</v>
      </c>
      <c r="H65" s="174">
        <f>'ADJ DETAIL INPUT'!Y64</f>
        <v>164270</v>
      </c>
      <c r="I65" s="174">
        <f>J65-H65</f>
        <v>5150</v>
      </c>
      <c r="J65" s="174">
        <f>'ADJ DETAIL INPUT'!AW64</f>
        <v>169420</v>
      </c>
      <c r="K65" s="174"/>
      <c r="L65" s="174">
        <f>J65+K65</f>
        <v>169420</v>
      </c>
    </row>
    <row r="66" spans="1:12">
      <c r="A66" s="79">
        <v>35</v>
      </c>
      <c r="B66" s="3"/>
      <c r="C66" s="3"/>
      <c r="D66" s="3"/>
      <c r="E66" s="3" t="s">
        <v>62</v>
      </c>
      <c r="F66" s="180">
        <f>SUM(F63:F65)</f>
        <v>846495.39999999991</v>
      </c>
      <c r="G66" s="180">
        <f t="shared" ref="G66" si="16">SUM(G63:G65)</f>
        <v>24607</v>
      </c>
      <c r="H66" s="180">
        <f t="shared" ref="H66" si="17">SUM(H63:H65)</f>
        <v>871102.39999999991</v>
      </c>
      <c r="I66" s="180">
        <f t="shared" ref="I66:L66" si="18">SUM(I63:I65)</f>
        <v>81072</v>
      </c>
      <c r="J66" s="180">
        <f t="shared" si="18"/>
        <v>952174.39999999991</v>
      </c>
      <c r="K66" s="180">
        <f t="shared" si="18"/>
        <v>0</v>
      </c>
      <c r="L66" s="180">
        <f t="shared" si="18"/>
        <v>952174.39999999991</v>
      </c>
    </row>
    <row r="67" spans="1:12" ht="5.25" customHeight="1">
      <c r="A67" s="79"/>
      <c r="B67" s="3"/>
      <c r="C67" s="3"/>
      <c r="D67" s="3"/>
      <c r="E67" s="3"/>
      <c r="F67" s="180"/>
      <c r="G67" s="180"/>
      <c r="H67" s="180"/>
      <c r="I67" s="180"/>
      <c r="J67" s="180"/>
      <c r="K67" s="180"/>
      <c r="L67" s="180"/>
    </row>
    <row r="68" spans="1:12">
      <c r="A68" s="79"/>
      <c r="B68" s="3" t="s">
        <v>375</v>
      </c>
      <c r="C68" s="3"/>
      <c r="D68" s="3"/>
      <c r="E68" s="3"/>
      <c r="F68" s="172"/>
      <c r="G68" s="172"/>
      <c r="H68" s="172"/>
      <c r="I68" s="172"/>
      <c r="J68" s="172"/>
      <c r="K68" s="172"/>
      <c r="L68" s="172"/>
    </row>
    <row r="69" spans="1:12">
      <c r="A69" s="79">
        <v>36</v>
      </c>
      <c r="B69" s="3"/>
      <c r="C69" s="3" t="s">
        <v>41</v>
      </c>
      <c r="D69" s="3"/>
      <c r="E69" s="3"/>
      <c r="F69" s="172">
        <f>'ADJ DETAIL INPUT'!E68</f>
        <v>-13149</v>
      </c>
      <c r="G69" s="172">
        <f>H69-F69</f>
        <v>-258</v>
      </c>
      <c r="H69" s="172">
        <f>'ADJ DETAIL INPUT'!Y68</f>
        <v>-13407</v>
      </c>
      <c r="I69" s="172">
        <f>J69-H69</f>
        <v>-1085.5</v>
      </c>
      <c r="J69" s="172">
        <f>'ADJ DETAIL INPUT'!AW68</f>
        <v>-14492.5</v>
      </c>
      <c r="K69" s="172"/>
      <c r="L69" s="172">
        <f t="shared" ref="L69:L79" si="19">J69+K69</f>
        <v>-14492.5</v>
      </c>
    </row>
    <row r="70" spans="1:12">
      <c r="A70" s="79">
        <v>37</v>
      </c>
      <c r="B70" s="3"/>
      <c r="C70" s="3" t="s">
        <v>60</v>
      </c>
      <c r="D70" s="3"/>
      <c r="E70" s="3"/>
      <c r="F70" s="172">
        <f>'ADJ DETAIL INPUT'!E69</f>
        <v>-188334</v>
      </c>
      <c r="G70" s="172">
        <f>H70-F70</f>
        <v>-7739</v>
      </c>
      <c r="H70" s="172">
        <f>'ADJ DETAIL INPUT'!Y69</f>
        <v>-196073</v>
      </c>
      <c r="I70" s="172">
        <f>J70-H70</f>
        <v>-30400.399999999994</v>
      </c>
      <c r="J70" s="172">
        <f>'ADJ DETAIL INPUT'!AW69</f>
        <v>-226473.4</v>
      </c>
      <c r="K70" s="172"/>
      <c r="L70" s="172">
        <f t="shared" si="19"/>
        <v>-226473.4</v>
      </c>
    </row>
    <row r="71" spans="1:12">
      <c r="A71" s="79">
        <v>38</v>
      </c>
      <c r="B71" s="3"/>
      <c r="C71" s="3" t="s">
        <v>61</v>
      </c>
      <c r="D71" s="3"/>
      <c r="E71" s="3"/>
      <c r="F71" s="174">
        <f>'ADJ DETAIL INPUT'!E70</f>
        <v>-62353</v>
      </c>
      <c r="G71" s="174">
        <f>H71-F71</f>
        <v>-4319</v>
      </c>
      <c r="H71" s="172">
        <f>'ADJ DETAIL INPUT'!Y70</f>
        <v>-66672</v>
      </c>
      <c r="I71" s="174">
        <f>J71-H71</f>
        <v>-5244.3000000000029</v>
      </c>
      <c r="J71" s="172">
        <f>'ADJ DETAIL INPUT'!AW70</f>
        <v>-71916.3</v>
      </c>
      <c r="K71" s="174"/>
      <c r="L71" s="174">
        <f t="shared" si="19"/>
        <v>-71916.3</v>
      </c>
    </row>
    <row r="72" spans="1:12">
      <c r="A72" s="79">
        <v>39</v>
      </c>
      <c r="B72" s="3" t="s">
        <v>376</v>
      </c>
      <c r="C72" s="3"/>
      <c r="D72" s="3"/>
      <c r="E72" s="247"/>
      <c r="F72" s="177">
        <f>SUM(F69:F71)</f>
        <v>-263836</v>
      </c>
      <c r="G72" s="177">
        <f t="shared" ref="G72" si="20">SUM(G69:G71)</f>
        <v>-12316</v>
      </c>
      <c r="H72" s="177">
        <f t="shared" ref="H72" si="21">SUM(H69:H71)</f>
        <v>-276152</v>
      </c>
      <c r="I72" s="177">
        <f t="shared" ref="I72:L72" si="22">SUM(I69:I71)</f>
        <v>-36730.199999999997</v>
      </c>
      <c r="J72" s="177">
        <f t="shared" si="22"/>
        <v>-312882.2</v>
      </c>
      <c r="K72" s="177">
        <f t="shared" si="22"/>
        <v>0</v>
      </c>
      <c r="L72" s="177">
        <f t="shared" si="22"/>
        <v>-312882.2</v>
      </c>
    </row>
    <row r="73" spans="1:12">
      <c r="A73" s="79">
        <v>40</v>
      </c>
      <c r="B73" s="118" t="s">
        <v>164</v>
      </c>
      <c r="C73" s="3"/>
      <c r="D73" s="3"/>
      <c r="E73" s="3"/>
      <c r="F73" s="180">
        <f>F66+F72</f>
        <v>582659.39999999991</v>
      </c>
      <c r="G73" s="180">
        <f t="shared" ref="G73" si="23">G66+G72</f>
        <v>12291</v>
      </c>
      <c r="H73" s="180">
        <f t="shared" ref="H73" si="24">H66+H72</f>
        <v>594950.39999999991</v>
      </c>
      <c r="I73" s="180">
        <f t="shared" ref="I73:L73" si="25">I66+I72</f>
        <v>44341.8</v>
      </c>
      <c r="J73" s="180">
        <f t="shared" si="25"/>
        <v>639292.19999999995</v>
      </c>
      <c r="K73" s="180">
        <f t="shared" si="25"/>
        <v>0</v>
      </c>
      <c r="L73" s="180">
        <f t="shared" si="25"/>
        <v>639292.19999999995</v>
      </c>
    </row>
    <row r="74" spans="1:12">
      <c r="A74" s="4">
        <v>41</v>
      </c>
      <c r="B74" s="5" t="s">
        <v>64</v>
      </c>
      <c r="C74" s="5"/>
      <c r="D74" s="5"/>
      <c r="E74" s="5"/>
      <c r="F74" s="174">
        <f>'ADJ DETAIL INPUT'!E73</f>
        <v>-84772</v>
      </c>
      <c r="G74" s="174">
        <f>H74-F74</f>
        <v>-107</v>
      </c>
      <c r="H74" s="174">
        <f>'ADJ DETAIL INPUT'!Y73</f>
        <v>-84879</v>
      </c>
      <c r="I74" s="174">
        <f>J74-H74</f>
        <v>-1082</v>
      </c>
      <c r="J74" s="174">
        <f>'ADJ DETAIL INPUT'!AW73</f>
        <v>-85961</v>
      </c>
      <c r="K74" s="174"/>
      <c r="L74" s="174">
        <f>J74+K74</f>
        <v>-85961</v>
      </c>
    </row>
    <row r="75" spans="1:12">
      <c r="A75" s="4">
        <v>42</v>
      </c>
      <c r="B75" s="5"/>
      <c r="C75" s="120" t="s">
        <v>191</v>
      </c>
      <c r="D75" s="5"/>
      <c r="E75" s="5"/>
      <c r="F75" s="172">
        <f>F73+F74</f>
        <v>497887.39999999991</v>
      </c>
      <c r="G75" s="172">
        <f t="shared" ref="G75" si="26">G73+G74</f>
        <v>12184</v>
      </c>
      <c r="H75" s="172">
        <f>H73+H74</f>
        <v>510071.39999999991</v>
      </c>
      <c r="I75" s="172">
        <f t="shared" ref="I75:L75" si="27">I73+I74</f>
        <v>43259.8</v>
      </c>
      <c r="J75" s="172">
        <f>J73+J74</f>
        <v>553331.19999999995</v>
      </c>
      <c r="K75" s="172">
        <f t="shared" si="27"/>
        <v>0</v>
      </c>
      <c r="L75" s="172">
        <f t="shared" si="27"/>
        <v>553331.19999999995</v>
      </c>
    </row>
    <row r="76" spans="1:12" ht="12" customHeight="1">
      <c r="A76" s="79">
        <v>43</v>
      </c>
      <c r="B76" s="212" t="s">
        <v>65</v>
      </c>
      <c r="C76" s="212"/>
      <c r="D76" s="212"/>
      <c r="E76" s="212"/>
      <c r="F76" s="213">
        <f>'ADJ DETAIL INPUT'!E75</f>
        <v>19552</v>
      </c>
      <c r="G76" s="213">
        <f>H76-F76</f>
        <v>0</v>
      </c>
      <c r="H76" s="172">
        <f>'ADJ DETAIL INPUT'!Y75</f>
        <v>19552</v>
      </c>
      <c r="I76" s="213">
        <f>J76-H76</f>
        <v>0</v>
      </c>
      <c r="J76" s="172">
        <f>'ADJ DETAIL INPUT'!AW75</f>
        <v>19552</v>
      </c>
      <c r="K76" s="213"/>
      <c r="L76" s="213">
        <f t="shared" si="19"/>
        <v>19552</v>
      </c>
    </row>
    <row r="77" spans="1:12">
      <c r="A77" s="79">
        <v>44</v>
      </c>
      <c r="B77" s="212" t="s">
        <v>66</v>
      </c>
      <c r="C77" s="212"/>
      <c r="D77" s="212"/>
      <c r="E77" s="212"/>
      <c r="F77" s="213">
        <f>'ADJ DETAIL INPUT'!E76</f>
        <v>0</v>
      </c>
      <c r="G77" s="213">
        <f>H77-F77</f>
        <v>0</v>
      </c>
      <c r="H77" s="172">
        <f>'ADJ DETAIL INPUT'!Y76</f>
        <v>0</v>
      </c>
      <c r="I77" s="213">
        <f>J77-H77</f>
        <v>0</v>
      </c>
      <c r="J77" s="172">
        <f>'ADJ DETAIL INPUT'!AW76</f>
        <v>0</v>
      </c>
      <c r="K77" s="213"/>
      <c r="L77" s="213">
        <f t="shared" si="19"/>
        <v>0</v>
      </c>
    </row>
    <row r="78" spans="1:12">
      <c r="A78" s="79">
        <v>45</v>
      </c>
      <c r="B78" s="212" t="s">
        <v>377</v>
      </c>
      <c r="C78" s="212"/>
      <c r="D78" s="212"/>
      <c r="E78" s="212"/>
      <c r="F78" s="213">
        <f>'ADJ DETAIL INPUT'!E77</f>
        <v>943</v>
      </c>
      <c r="G78" s="213">
        <f>H78-F78</f>
        <v>0</v>
      </c>
      <c r="H78" s="172">
        <f>'ADJ DETAIL INPUT'!Y77</f>
        <v>943</v>
      </c>
      <c r="I78" s="213">
        <f>J78-H78</f>
        <v>-2141</v>
      </c>
      <c r="J78" s="172">
        <f>'ADJ DETAIL INPUT'!AW77</f>
        <v>-1198</v>
      </c>
      <c r="K78" s="213"/>
      <c r="L78" s="213">
        <f t="shared" si="19"/>
        <v>-1198</v>
      </c>
    </row>
    <row r="79" spans="1:12">
      <c r="A79" s="79">
        <v>46</v>
      </c>
      <c r="B79" s="212" t="s">
        <v>166</v>
      </c>
      <c r="C79" s="212"/>
      <c r="D79" s="212"/>
      <c r="E79" s="212"/>
      <c r="F79" s="175">
        <f>'ADJ DETAIL INPUT'!E78</f>
        <v>15047</v>
      </c>
      <c r="G79" s="175">
        <f>H79-F79</f>
        <v>-648</v>
      </c>
      <c r="H79" s="174">
        <f>'ADJ DETAIL INPUT'!Y78</f>
        <v>14399</v>
      </c>
      <c r="I79" s="175">
        <f>J79-H79</f>
        <v>0</v>
      </c>
      <c r="J79" s="174">
        <f>'ADJ DETAIL INPUT'!AW78</f>
        <v>14399</v>
      </c>
      <c r="K79" s="175"/>
      <c r="L79" s="175">
        <f t="shared" si="19"/>
        <v>14399</v>
      </c>
    </row>
    <row r="80" spans="1:12" ht="3" customHeight="1">
      <c r="A80" s="79"/>
      <c r="B80" s="1"/>
      <c r="C80" s="1"/>
      <c r="D80" s="1"/>
      <c r="E80" s="1"/>
      <c r="F80" s="28"/>
      <c r="G80" s="28"/>
      <c r="H80" s="56"/>
      <c r="I80" s="28"/>
      <c r="J80" s="56"/>
      <c r="K80" s="28"/>
      <c r="L80" s="28"/>
    </row>
    <row r="81" spans="1:12" ht="13.8" thickBot="1">
      <c r="A81" s="79">
        <v>47</v>
      </c>
      <c r="B81" s="2" t="s">
        <v>67</v>
      </c>
      <c r="C81" s="2"/>
      <c r="D81" s="2"/>
      <c r="E81" s="2"/>
      <c r="F81" s="55">
        <f>F79+F77+F76+F75+F78</f>
        <v>533429.39999999991</v>
      </c>
      <c r="G81" s="55">
        <f>G79+G77+G76+G75+G78</f>
        <v>11536</v>
      </c>
      <c r="H81" s="55">
        <f>H79+H77+H76+H75+H78</f>
        <v>544965.39999999991</v>
      </c>
      <c r="I81" s="55">
        <f>I79+I77+I76+I75+I78</f>
        <v>41118.800000000003</v>
      </c>
      <c r="J81" s="55">
        <f>J79+J77+J76+J75+J78</f>
        <v>586084.19999999995</v>
      </c>
      <c r="K81" s="55">
        <f>K79+K77+K76+K75</f>
        <v>0</v>
      </c>
      <c r="L81" s="55">
        <f>L79+L77+L76+L75+L78</f>
        <v>586084.19999999995</v>
      </c>
    </row>
    <row r="82" spans="1:12" ht="13.8" thickTop="1">
      <c r="A82" s="79">
        <v>48</v>
      </c>
      <c r="B82" s="1" t="s">
        <v>413</v>
      </c>
      <c r="C82" s="1"/>
      <c r="D82" s="1"/>
      <c r="E82" s="1"/>
      <c r="F82" s="219">
        <f>ROUND(F59/F81,4)</f>
        <v>6.8199999999999997E-2</v>
      </c>
      <c r="G82" s="52"/>
      <c r="H82" s="219">
        <f>ROUND(H59/H81,4)</f>
        <v>6.5000000000000002E-2</v>
      </c>
      <c r="I82" s="52"/>
      <c r="J82" s="219">
        <f>ROUND(J59/J81,4)</f>
        <v>5.3900000000000003E-2</v>
      </c>
      <c r="K82" s="6"/>
      <c r="L82" s="219">
        <f>ROUND(L59/L81,4)</f>
        <v>7.6100000000000001E-2</v>
      </c>
    </row>
    <row r="83" spans="1:12" ht="7.5" customHeight="1">
      <c r="A83" s="263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</row>
    <row r="84" spans="1:12">
      <c r="A84" s="53"/>
      <c r="B84" s="54"/>
      <c r="C84" s="54"/>
      <c r="D84" s="54"/>
      <c r="E84" s="30"/>
      <c r="F84" s="30"/>
      <c r="G84" s="30"/>
      <c r="H84" s="30"/>
      <c r="I84" s="30"/>
      <c r="J84" s="30"/>
      <c r="K84" s="30"/>
      <c r="L84" s="30"/>
    </row>
    <row r="1048576" spans="8:8">
      <c r="H1048576" s="78">
        <f>SUM(H83:H1048575)</f>
        <v>0</v>
      </c>
    </row>
  </sheetData>
  <mergeCells count="3">
    <mergeCell ref="F6:L6"/>
    <mergeCell ref="K7:L7"/>
    <mergeCell ref="F7:J7"/>
  </mergeCells>
  <pageMargins left="1" right="1" top="1" bottom="1" header="0.5" footer="0.5"/>
  <pageSetup scale="70" orientation="portrait" r:id="rId1"/>
  <headerFooter scaleWithDoc="0" alignWithMargins="0">
    <oddHeader>&amp;RExh. KJS-3</oddHeader>
    <oddFooter>&amp;RPage &amp;P of &amp;N</oddFooter>
  </headerFooter>
  <ignoredErrors>
    <ignoredError sqref="L8" numberStoredAsText="1"/>
    <ignoredError sqref="H15:L82 G7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0EBF8-D389-4E29-AA63-081E4DA738D6}">
  <sheetPr codeName="Sheet6">
    <pageSetUpPr fitToPage="1"/>
  </sheetPr>
  <dimension ref="A1:AI1048576"/>
  <sheetViews>
    <sheetView zoomScaleNormal="100" workbookViewId="0"/>
  </sheetViews>
  <sheetFormatPr defaultColWidth="9.33203125" defaultRowHeight="13.2"/>
  <cols>
    <col min="1" max="1" width="4.5546875" style="32" customWidth="1"/>
    <col min="2" max="3" width="1.5546875" style="31" customWidth="1"/>
    <col min="4" max="4" width="2.5546875" style="31" customWidth="1"/>
    <col min="5" max="5" width="22.88671875" style="78" customWidth="1"/>
    <col min="6" max="6" width="9.6640625" style="78" customWidth="1"/>
    <col min="7" max="7" width="11.33203125" style="78" bestFit="1" customWidth="1"/>
    <col min="8" max="8" width="9.6640625" style="78" bestFit="1" customWidth="1"/>
    <col min="9" max="10" width="15.109375" style="78" bestFit="1" customWidth="1"/>
    <col min="11" max="11" width="15.88671875" style="247" bestFit="1" customWidth="1"/>
    <col min="12" max="13" width="9" style="247" customWidth="1"/>
    <col min="14" max="14" width="9.33203125" style="247"/>
    <col min="15" max="15" width="10.33203125" style="247" customWidth="1"/>
    <col min="16" max="16" width="9.33203125" style="247"/>
    <col min="17" max="17" width="11.33203125" style="247" bestFit="1" customWidth="1"/>
    <col min="18" max="16384" width="9.33203125" style="247"/>
  </cols>
  <sheetData>
    <row r="1" spans="1:35" ht="13.8">
      <c r="A1" s="271" t="str">
        <f>'ROO INPUT 1.00'!A3:C3</f>
        <v>AVISTA UTILITIES</v>
      </c>
      <c r="D1" s="32"/>
      <c r="F1" s="261"/>
      <c r="G1" s="261"/>
    </row>
    <row r="2" spans="1:35" ht="15" customHeight="1">
      <c r="A2" s="271" t="str">
        <f>'ADJ DETAIL INPUT'!A3</f>
        <v>WASHINGTON NATURAL GAS</v>
      </c>
      <c r="D2" s="32"/>
      <c r="G2" s="63"/>
      <c r="H2" s="64"/>
      <c r="I2" s="64"/>
      <c r="J2" s="64"/>
      <c r="K2" s="250"/>
      <c r="L2" s="250"/>
      <c r="M2" s="250"/>
      <c r="N2" s="250"/>
    </row>
    <row r="3" spans="1:35" ht="15" customHeight="1">
      <c r="A3" s="271" t="str">
        <f>'ROO INPUT 1.00'!A5:C5</f>
        <v>TWELVE MONTHS ENDED JUNE 30, 2023</v>
      </c>
      <c r="D3" s="32"/>
      <c r="G3" s="63"/>
      <c r="H3" s="64"/>
      <c r="I3" s="64"/>
      <c r="J3" s="64"/>
      <c r="K3" s="250"/>
      <c r="L3" s="250"/>
      <c r="M3" s="250"/>
      <c r="N3" s="250"/>
    </row>
    <row r="4" spans="1:35" ht="13.8">
      <c r="A4" s="271" t="str">
        <f>'ROO INPUT 1.00'!A6:C6</f>
        <v xml:space="preserve">(000'S OF DOLLARS)   </v>
      </c>
      <c r="D4" s="32"/>
      <c r="G4" s="399"/>
      <c r="H4" s="399"/>
    </row>
    <row r="5" spans="1:35" ht="13.8">
      <c r="A5" s="271" t="s">
        <v>644</v>
      </c>
      <c r="D5" s="32"/>
    </row>
    <row r="6" spans="1:35" ht="13.8">
      <c r="D6" s="32"/>
      <c r="F6" s="881" t="s">
        <v>550</v>
      </c>
      <c r="G6" s="882"/>
      <c r="H6" s="882"/>
      <c r="I6" s="882"/>
      <c r="J6" s="882"/>
      <c r="K6" s="890"/>
      <c r="AD6" s="250"/>
      <c r="AE6" s="250"/>
      <c r="AF6" s="250"/>
      <c r="AG6" s="250"/>
      <c r="AH6" s="250"/>
      <c r="AI6" s="250"/>
    </row>
    <row r="7" spans="1:35">
      <c r="A7" s="33"/>
      <c r="B7" s="33"/>
      <c r="C7" s="34"/>
      <c r="D7" s="34"/>
      <c r="E7" s="33"/>
      <c r="F7" s="437" t="s">
        <v>547</v>
      </c>
      <c r="G7" s="447"/>
      <c r="H7" s="448"/>
      <c r="I7" s="449"/>
      <c r="J7" s="437" t="s">
        <v>555</v>
      </c>
      <c r="K7" s="448"/>
      <c r="P7" s="250"/>
      <c r="Y7" s="250"/>
      <c r="Z7" s="250"/>
      <c r="AD7" s="250"/>
      <c r="AE7" s="250"/>
      <c r="AF7" s="250"/>
      <c r="AG7" s="250"/>
      <c r="AH7" s="250"/>
      <c r="AI7" s="250"/>
    </row>
    <row r="8" spans="1:35">
      <c r="A8" s="35"/>
      <c r="B8" s="36"/>
      <c r="C8" s="37"/>
      <c r="D8" s="38"/>
      <c r="E8" s="39"/>
      <c r="F8" s="434" t="s">
        <v>549</v>
      </c>
      <c r="G8" s="434" t="s">
        <v>551</v>
      </c>
      <c r="H8" s="434" t="s">
        <v>551</v>
      </c>
      <c r="I8" s="438" t="s">
        <v>552</v>
      </c>
      <c r="J8" s="438" t="s">
        <v>553</v>
      </c>
      <c r="K8" s="438" t="s">
        <v>554</v>
      </c>
    </row>
    <row r="9" spans="1:35">
      <c r="A9" s="40" t="s">
        <v>6</v>
      </c>
      <c r="B9" s="41"/>
      <c r="C9" s="42"/>
      <c r="D9" s="43"/>
      <c r="E9" s="44"/>
      <c r="F9" s="435" t="s">
        <v>14</v>
      </c>
      <c r="G9" s="435" t="s">
        <v>24</v>
      </c>
      <c r="H9" s="435" t="s">
        <v>14</v>
      </c>
      <c r="I9" s="435" t="s">
        <v>140</v>
      </c>
      <c r="J9" s="435" t="s">
        <v>140</v>
      </c>
      <c r="K9" s="435" t="s">
        <v>139</v>
      </c>
    </row>
    <row r="10" spans="1:35">
      <c r="A10" s="45" t="s">
        <v>15</v>
      </c>
      <c r="B10" s="46"/>
      <c r="C10" s="47"/>
      <c r="D10" s="48"/>
      <c r="E10" s="49" t="s">
        <v>16</v>
      </c>
      <c r="F10" s="436" t="s">
        <v>24</v>
      </c>
      <c r="G10" s="436" t="s">
        <v>116</v>
      </c>
      <c r="H10" s="436" t="s">
        <v>24</v>
      </c>
      <c r="I10" s="436" t="s">
        <v>141</v>
      </c>
      <c r="J10" s="436" t="s">
        <v>141</v>
      </c>
      <c r="K10" s="436" t="s">
        <v>24</v>
      </c>
    </row>
    <row r="11" spans="1:35">
      <c r="A11" s="50"/>
      <c r="B11" s="50"/>
      <c r="C11" s="51"/>
      <c r="D11" s="51"/>
      <c r="E11" s="51" t="s">
        <v>25</v>
      </c>
      <c r="F11" s="16" t="s">
        <v>26</v>
      </c>
      <c r="G11" s="382" t="s">
        <v>27</v>
      </c>
      <c r="H11" s="382" t="s">
        <v>28</v>
      </c>
      <c r="I11" s="16" t="s">
        <v>29</v>
      </c>
      <c r="J11" s="16" t="s">
        <v>30</v>
      </c>
      <c r="K11" s="16" t="s">
        <v>529</v>
      </c>
    </row>
    <row r="12" spans="1:35" ht="3.75" customHeight="1">
      <c r="A12" s="50"/>
      <c r="B12" s="50"/>
      <c r="C12" s="51"/>
      <c r="D12" s="51"/>
      <c r="E12" s="51"/>
      <c r="F12" s="16"/>
      <c r="G12" s="16"/>
      <c r="H12" s="16"/>
      <c r="I12" s="16"/>
      <c r="J12" s="16"/>
      <c r="K12" s="16"/>
    </row>
    <row r="13" spans="1:35" ht="2.25" customHeight="1">
      <c r="A13" s="50"/>
      <c r="B13" s="50"/>
      <c r="C13" s="51"/>
      <c r="D13" s="51"/>
      <c r="E13" s="51"/>
      <c r="F13" s="16"/>
      <c r="G13" s="16"/>
      <c r="H13" s="16"/>
      <c r="I13" s="16"/>
      <c r="J13" s="16"/>
      <c r="K13" s="16"/>
    </row>
    <row r="14" spans="1:35">
      <c r="A14" s="79"/>
      <c r="B14" s="1" t="s">
        <v>31</v>
      </c>
      <c r="C14" s="1"/>
      <c r="D14" s="1"/>
      <c r="E14" s="1"/>
      <c r="F14" s="28"/>
      <c r="G14" s="28"/>
      <c r="K14" s="78"/>
    </row>
    <row r="15" spans="1:35">
      <c r="A15" s="79">
        <v>1</v>
      </c>
      <c r="B15" s="2"/>
      <c r="C15" s="2" t="s">
        <v>32</v>
      </c>
      <c r="D15" s="2"/>
      <c r="E15" s="2"/>
      <c r="F15" s="29">
        <f>'PROPOSED RATES-12.2024'!J15</f>
        <v>121583</v>
      </c>
      <c r="G15" s="29">
        <f>H15-F15</f>
        <v>0</v>
      </c>
      <c r="H15" s="29">
        <f>'ADJ DETAIL INPUT'!BI14</f>
        <v>121583</v>
      </c>
      <c r="I15" s="29">
        <f>CF!I12</f>
        <v>17293</v>
      </c>
      <c r="J15" s="223">
        <f>CF!J12</f>
        <v>4563.7102337211754</v>
      </c>
      <c r="K15" s="29">
        <f>H15+I15+J15</f>
        <v>143439.71023372118</v>
      </c>
    </row>
    <row r="16" spans="1:35">
      <c r="A16" s="79">
        <v>2</v>
      </c>
      <c r="B16" s="1"/>
      <c r="C16" s="3" t="s">
        <v>33</v>
      </c>
      <c r="D16" s="3"/>
      <c r="E16" s="3"/>
      <c r="F16" s="56">
        <f>'PROPOSED RATES-12.2024'!J16</f>
        <v>5393</v>
      </c>
      <c r="G16" s="172">
        <f>H16-F16</f>
        <v>0</v>
      </c>
      <c r="H16" s="172">
        <f>'ADJ DETAIL INPUT'!BI15</f>
        <v>5393</v>
      </c>
      <c r="I16" s="172"/>
      <c r="J16" s="172"/>
      <c r="K16" s="56">
        <f>H16+I16+J16</f>
        <v>5393</v>
      </c>
    </row>
    <row r="17" spans="1:17">
      <c r="A17" s="79">
        <v>3</v>
      </c>
      <c r="B17" s="1"/>
      <c r="C17" s="3" t="s">
        <v>34</v>
      </c>
      <c r="D17" s="3"/>
      <c r="E17" s="3"/>
      <c r="F17" s="439">
        <f>'PROPOSED RATES-12.2024'!J17</f>
        <v>717</v>
      </c>
      <c r="G17" s="174">
        <f>H17-F17</f>
        <v>39</v>
      </c>
      <c r="H17" s="174">
        <f>'ADJ DETAIL INPUT'!BI16</f>
        <v>756</v>
      </c>
      <c r="I17" s="174"/>
      <c r="J17" s="174"/>
      <c r="K17" s="439">
        <f>H17+I17+J17</f>
        <v>756</v>
      </c>
    </row>
    <row r="18" spans="1:17">
      <c r="A18" s="79">
        <v>4</v>
      </c>
      <c r="B18" s="1" t="s">
        <v>35</v>
      </c>
      <c r="C18" s="3"/>
      <c r="D18" s="3"/>
      <c r="E18" s="3"/>
      <c r="F18" s="172">
        <f>SUM(F15:F17)</f>
        <v>127693</v>
      </c>
      <c r="G18" s="172">
        <f t="shared" ref="G18:K18" si="0">SUM(G15:G17)</f>
        <v>39</v>
      </c>
      <c r="H18" s="172">
        <f t="shared" si="0"/>
        <v>127732</v>
      </c>
      <c r="I18" s="172">
        <f t="shared" si="0"/>
        <v>17293</v>
      </c>
      <c r="J18" s="172">
        <f t="shared" si="0"/>
        <v>4563.7102337211754</v>
      </c>
      <c r="K18" s="172">
        <f t="shared" si="0"/>
        <v>149588.71023372118</v>
      </c>
      <c r="O18"/>
      <c r="P18"/>
      <c r="Q18"/>
    </row>
    <row r="19" spans="1:17" ht="4.5" customHeight="1">
      <c r="A19" s="79"/>
      <c r="B19" s="1"/>
      <c r="C19" s="3"/>
      <c r="D19" s="3"/>
      <c r="E19" s="3"/>
      <c r="F19" s="172"/>
      <c r="G19" s="172"/>
      <c r="H19" s="172"/>
      <c r="I19" s="172"/>
      <c r="J19" s="172"/>
      <c r="K19" s="172"/>
      <c r="O19"/>
      <c r="P19"/>
      <c r="Q19"/>
    </row>
    <row r="20" spans="1:17">
      <c r="A20" s="79"/>
      <c r="B20" s="1" t="s">
        <v>36</v>
      </c>
      <c r="C20" s="3"/>
      <c r="D20" s="3"/>
      <c r="E20" s="3"/>
      <c r="F20" s="172"/>
      <c r="G20" s="172"/>
      <c r="H20" s="172"/>
      <c r="I20" s="172"/>
      <c r="J20" s="172"/>
      <c r="K20" s="172"/>
      <c r="O20"/>
      <c r="P20"/>
      <c r="Q20"/>
    </row>
    <row r="21" spans="1:17">
      <c r="A21" s="79"/>
      <c r="B21" s="1"/>
      <c r="C21" s="3" t="s">
        <v>203</v>
      </c>
      <c r="D21" s="3"/>
      <c r="E21" s="3"/>
      <c r="F21" s="172"/>
      <c r="G21" s="172"/>
      <c r="H21" s="172"/>
      <c r="I21" s="172"/>
      <c r="J21" s="172"/>
      <c r="K21" s="172"/>
      <c r="O21"/>
      <c r="P21"/>
      <c r="Q21"/>
    </row>
    <row r="22" spans="1:17">
      <c r="A22" s="79">
        <v>5</v>
      </c>
      <c r="B22" s="1"/>
      <c r="C22" s="3"/>
      <c r="D22" s="3" t="s">
        <v>37</v>
      </c>
      <c r="E22" s="3"/>
      <c r="F22" s="56">
        <f>'PROPOSED RATES-12.2024'!J22</f>
        <v>0</v>
      </c>
      <c r="G22" s="172">
        <f>H22-F22</f>
        <v>0</v>
      </c>
      <c r="H22" s="172">
        <f>'ADJ DETAIL INPUT'!BI21</f>
        <v>0</v>
      </c>
      <c r="I22" s="172"/>
      <c r="J22" s="172"/>
      <c r="K22" s="56">
        <f t="shared" ref="K22:K23" si="1">H22+I22+J22</f>
        <v>0</v>
      </c>
      <c r="O22"/>
      <c r="P22"/>
      <c r="Q22"/>
    </row>
    <row r="23" spans="1:17">
      <c r="A23" s="79">
        <v>6</v>
      </c>
      <c r="B23" s="1"/>
      <c r="C23" s="3"/>
      <c r="D23" s="3" t="s">
        <v>38</v>
      </c>
      <c r="E23" s="3"/>
      <c r="F23" s="56">
        <f>'PROPOSED RATES-12.2024'!J23</f>
        <v>951.78300000000002</v>
      </c>
      <c r="G23" s="172">
        <f>H23-F23</f>
        <v>36.932999999999993</v>
      </c>
      <c r="H23" s="172">
        <f>'ADJ DETAIL INPUT'!BI22</f>
        <v>988.71600000000001</v>
      </c>
      <c r="I23" s="172"/>
      <c r="J23" s="172"/>
      <c r="K23" s="56">
        <f t="shared" si="1"/>
        <v>988.71600000000001</v>
      </c>
      <c r="O23"/>
      <c r="P23"/>
      <c r="Q23"/>
    </row>
    <row r="24" spans="1:17">
      <c r="A24" s="79">
        <v>7</v>
      </c>
      <c r="B24" s="1"/>
      <c r="C24" s="3"/>
      <c r="D24" s="3" t="s">
        <v>39</v>
      </c>
      <c r="E24" s="3"/>
      <c r="F24" s="439">
        <f>'PROPOSED RATES-12.2024'!J24</f>
        <v>0</v>
      </c>
      <c r="G24" s="174">
        <f>H24-F24</f>
        <v>0</v>
      </c>
      <c r="H24" s="174">
        <f>'ADJ DETAIL INPUT'!BI23</f>
        <v>0</v>
      </c>
      <c r="I24" s="174"/>
      <c r="J24" s="174"/>
      <c r="K24" s="439">
        <f>H24+I24+J24</f>
        <v>0</v>
      </c>
      <c r="O24"/>
      <c r="P24"/>
      <c r="Q24"/>
    </row>
    <row r="25" spans="1:17">
      <c r="A25" s="79">
        <v>8</v>
      </c>
      <c r="B25" s="1"/>
      <c r="C25" s="3"/>
      <c r="D25" s="3"/>
      <c r="E25" s="3" t="s">
        <v>40</v>
      </c>
      <c r="F25" s="172">
        <f>SUM(F22:F24)</f>
        <v>951.78300000000002</v>
      </c>
      <c r="G25" s="172">
        <f t="shared" ref="G25:K25" si="2">SUM(G22:G24)</f>
        <v>36.932999999999993</v>
      </c>
      <c r="H25" s="172">
        <f t="shared" si="2"/>
        <v>988.71600000000001</v>
      </c>
      <c r="I25" s="172">
        <f t="shared" si="2"/>
        <v>0</v>
      </c>
      <c r="J25" s="172">
        <f t="shared" si="2"/>
        <v>0</v>
      </c>
      <c r="K25" s="172">
        <f t="shared" si="2"/>
        <v>988.71600000000001</v>
      </c>
      <c r="O25"/>
      <c r="P25"/>
      <c r="Q25"/>
    </row>
    <row r="26" spans="1:17" ht="5.25" customHeight="1">
      <c r="A26" s="79"/>
      <c r="B26" s="1"/>
      <c r="C26" s="3"/>
      <c r="D26" s="3"/>
      <c r="E26" s="3"/>
      <c r="F26" s="172"/>
      <c r="G26" s="172"/>
      <c r="H26" s="173"/>
      <c r="I26" s="173"/>
      <c r="J26" s="172"/>
      <c r="K26" s="172"/>
      <c r="O26"/>
      <c r="P26"/>
      <c r="Q26"/>
    </row>
    <row r="27" spans="1:17">
      <c r="A27" s="79"/>
      <c r="B27" s="1"/>
      <c r="C27" s="3" t="s">
        <v>41</v>
      </c>
      <c r="D27" s="3"/>
      <c r="E27" s="3"/>
      <c r="F27" s="172"/>
      <c r="G27" s="172"/>
      <c r="H27" s="172"/>
      <c r="I27" s="172"/>
      <c r="J27" s="172"/>
      <c r="K27" s="172"/>
      <c r="O27"/>
      <c r="P27"/>
      <c r="Q27"/>
    </row>
    <row r="28" spans="1:17">
      <c r="A28" s="79">
        <v>9</v>
      </c>
      <c r="B28" s="1"/>
      <c r="C28" s="3"/>
      <c r="D28" s="3" t="s">
        <v>42</v>
      </c>
      <c r="E28" s="3"/>
      <c r="F28" s="56">
        <f>'PROPOSED RATES-12.2024'!J28</f>
        <v>2298.134</v>
      </c>
      <c r="G28" s="172">
        <f>H28-F28</f>
        <v>94.333999999999833</v>
      </c>
      <c r="H28" s="172">
        <f>'ADJ DETAIL INPUT'!BI27</f>
        <v>2392.4679999999998</v>
      </c>
      <c r="I28" s="172"/>
      <c r="J28" s="172"/>
      <c r="K28" s="56">
        <f t="shared" ref="K28:K29" si="3">H28+I28+J28</f>
        <v>2392.4679999999998</v>
      </c>
      <c r="O28"/>
      <c r="P28"/>
      <c r="Q28"/>
    </row>
    <row r="29" spans="1:17">
      <c r="A29" s="79">
        <v>10</v>
      </c>
      <c r="B29" s="1"/>
      <c r="C29" s="3"/>
      <c r="D29" s="3" t="s">
        <v>43</v>
      </c>
      <c r="E29" s="3"/>
      <c r="F29" s="56">
        <f>'PROPOSED RATES-12.2024'!J29</f>
        <v>566.20000000000005</v>
      </c>
      <c r="G29" s="172">
        <f>H29-F29</f>
        <v>22</v>
      </c>
      <c r="H29" s="172">
        <f>'ADJ DETAIL INPUT'!BI28</f>
        <v>588.20000000000005</v>
      </c>
      <c r="I29" s="172"/>
      <c r="J29" s="172"/>
      <c r="K29" s="56">
        <f t="shared" si="3"/>
        <v>588.20000000000005</v>
      </c>
      <c r="O29"/>
      <c r="P29"/>
      <c r="Q29"/>
    </row>
    <row r="30" spans="1:17">
      <c r="A30" s="201">
        <v>11</v>
      </c>
      <c r="B30" s="1"/>
      <c r="C30" s="3"/>
      <c r="D30" s="3" t="s">
        <v>20</v>
      </c>
      <c r="E30" s="3"/>
      <c r="F30" s="439">
        <f>'PROPOSED RATES-12.2024'!J30</f>
        <v>250</v>
      </c>
      <c r="G30" s="174">
        <f>H30-F30</f>
        <v>2</v>
      </c>
      <c r="H30" s="174">
        <f>'ADJ DETAIL INPUT'!BI29</f>
        <v>252</v>
      </c>
      <c r="I30" s="174"/>
      <c r="J30" s="174"/>
      <c r="K30" s="439">
        <f>H30+I30+J30</f>
        <v>252</v>
      </c>
      <c r="O30"/>
      <c r="P30"/>
      <c r="Q30"/>
    </row>
    <row r="31" spans="1:17">
      <c r="A31" s="79">
        <v>12</v>
      </c>
      <c r="B31" s="1"/>
      <c r="C31" s="3"/>
      <c r="D31" s="3"/>
      <c r="E31" s="3" t="s">
        <v>44</v>
      </c>
      <c r="F31" s="172">
        <f t="shared" ref="F31:K31" si="4">SUM(F28:F30)</f>
        <v>3114.3339999999998</v>
      </c>
      <c r="G31" s="172">
        <f t="shared" si="4"/>
        <v>118.33399999999983</v>
      </c>
      <c r="H31" s="172">
        <f t="shared" si="4"/>
        <v>3232.6679999999997</v>
      </c>
      <c r="I31" s="172">
        <f t="shared" si="4"/>
        <v>0</v>
      </c>
      <c r="J31" s="172">
        <f t="shared" si="4"/>
        <v>0</v>
      </c>
      <c r="K31" s="172">
        <f t="shared" si="4"/>
        <v>3232.6679999999997</v>
      </c>
      <c r="O31"/>
      <c r="P31"/>
      <c r="Q31"/>
    </row>
    <row r="32" spans="1:17" ht="3" customHeight="1">
      <c r="A32" s="79"/>
      <c r="B32" s="1"/>
      <c r="C32" s="3"/>
      <c r="D32" s="3"/>
      <c r="E32" s="3"/>
      <c r="F32" s="172"/>
      <c r="G32" s="172"/>
      <c r="H32" s="173"/>
      <c r="I32" s="173"/>
      <c r="J32" s="172"/>
      <c r="K32" s="172"/>
      <c r="O32"/>
      <c r="P32"/>
      <c r="Q32"/>
    </row>
    <row r="33" spans="1:17">
      <c r="A33" s="79"/>
      <c r="B33" s="1"/>
      <c r="C33" s="3" t="s">
        <v>45</v>
      </c>
      <c r="D33" s="3"/>
      <c r="E33" s="3"/>
      <c r="F33" s="172"/>
      <c r="G33" s="172"/>
      <c r="H33" s="172"/>
      <c r="I33" s="172"/>
      <c r="J33" s="172"/>
      <c r="K33" s="172"/>
      <c r="O33"/>
      <c r="P33"/>
      <c r="Q33"/>
    </row>
    <row r="34" spans="1:17">
      <c r="A34" s="79">
        <v>13</v>
      </c>
      <c r="B34" s="1"/>
      <c r="C34" s="3"/>
      <c r="D34" s="3" t="s">
        <v>42</v>
      </c>
      <c r="E34" s="3"/>
      <c r="F34" s="56">
        <f>'PROPOSED RATES-12.2024'!J34</f>
        <v>13443.555</v>
      </c>
      <c r="G34" s="172">
        <f>H34-F34</f>
        <v>466.90300000000207</v>
      </c>
      <c r="H34" s="172">
        <f>'ADJ DETAIL INPUT'!BI33</f>
        <v>13910.458000000002</v>
      </c>
      <c r="I34" s="172"/>
      <c r="J34" s="172"/>
      <c r="K34" s="56">
        <f t="shared" ref="K34:K35" si="5">H34+I34+J34</f>
        <v>13910.458000000002</v>
      </c>
      <c r="O34"/>
      <c r="P34"/>
      <c r="Q34"/>
    </row>
    <row r="35" spans="1:17">
      <c r="A35" s="79">
        <v>14</v>
      </c>
      <c r="B35" s="1"/>
      <c r="C35" s="3"/>
      <c r="D35" s="3" t="s">
        <v>43</v>
      </c>
      <c r="E35" s="3"/>
      <c r="F35" s="56">
        <f>'PROPOSED RATES-12.2024'!J35</f>
        <v>18494.3</v>
      </c>
      <c r="G35" s="172">
        <f>H35-F35</f>
        <v>823</v>
      </c>
      <c r="H35" s="172">
        <f>'ADJ DETAIL INPUT'!BI34</f>
        <v>19317.3</v>
      </c>
      <c r="I35" s="172"/>
      <c r="J35" s="172"/>
      <c r="K35" s="56">
        <f t="shared" si="5"/>
        <v>19317.3</v>
      </c>
      <c r="O35"/>
      <c r="P35"/>
      <c r="Q35"/>
    </row>
    <row r="36" spans="1:17">
      <c r="A36" s="79">
        <v>15</v>
      </c>
      <c r="B36" s="1"/>
      <c r="C36" s="3"/>
      <c r="D36" s="3" t="s">
        <v>20</v>
      </c>
      <c r="E36" s="3"/>
      <c r="F36" s="439">
        <f>'PROPOSED RATES-12.2024'!J36</f>
        <v>9006</v>
      </c>
      <c r="G36" s="174">
        <f>H36-F36</f>
        <v>28</v>
      </c>
      <c r="H36" s="174">
        <f>'ADJ DETAIL INPUT'!BI35</f>
        <v>9034</v>
      </c>
      <c r="I36" s="174">
        <f>CF!I19</f>
        <v>663</v>
      </c>
      <c r="J36" s="174">
        <f>CF!J19</f>
        <v>175</v>
      </c>
      <c r="K36" s="439">
        <f>H36+I36+J36</f>
        <v>9872</v>
      </c>
    </row>
    <row r="37" spans="1:17">
      <c r="A37" s="79">
        <v>16</v>
      </c>
      <c r="B37" s="1"/>
      <c r="C37" s="3"/>
      <c r="D37" s="3"/>
      <c r="E37" s="3" t="s">
        <v>46</v>
      </c>
      <c r="F37" s="172">
        <f>SUM(F34:F36)</f>
        <v>40943.854999999996</v>
      </c>
      <c r="G37" s="172">
        <f t="shared" ref="G37:K37" si="6">SUM(G34:G36)</f>
        <v>1317.9030000000021</v>
      </c>
      <c r="H37" s="172">
        <f t="shared" si="6"/>
        <v>42261.758000000002</v>
      </c>
      <c r="I37" s="172">
        <f t="shared" si="6"/>
        <v>663</v>
      </c>
      <c r="J37" s="172">
        <f t="shared" si="6"/>
        <v>175</v>
      </c>
      <c r="K37" s="172">
        <f t="shared" si="6"/>
        <v>43099.758000000002</v>
      </c>
    </row>
    <row r="38" spans="1:17" ht="5.25" customHeight="1">
      <c r="A38" s="79"/>
      <c r="B38" s="1"/>
      <c r="C38" s="3"/>
      <c r="D38" s="3"/>
      <c r="E38" s="3"/>
      <c r="F38" s="172"/>
      <c r="G38" s="172"/>
      <c r="H38" s="172"/>
      <c r="I38" s="172"/>
      <c r="J38" s="172"/>
      <c r="K38" s="172"/>
    </row>
    <row r="39" spans="1:17">
      <c r="A39" s="79">
        <v>17</v>
      </c>
      <c r="B39" s="1" t="s">
        <v>47</v>
      </c>
      <c r="C39" s="3"/>
      <c r="D39" s="3"/>
      <c r="E39" s="3"/>
      <c r="F39" s="56">
        <f>'PROPOSED RATES-12.2024'!J39</f>
        <v>4808.5339999999997</v>
      </c>
      <c r="G39" s="172">
        <f>H39-F39</f>
        <v>201.21399999999994</v>
      </c>
      <c r="H39" s="172">
        <f>'ADJ DETAIL INPUT'!BI38</f>
        <v>5009.7479999999996</v>
      </c>
      <c r="I39" s="172">
        <f>CF!I15</f>
        <v>86</v>
      </c>
      <c r="J39" s="172">
        <f>CF!J15</f>
        <v>23</v>
      </c>
      <c r="K39" s="56">
        <f t="shared" ref="K39:K41" si="7">H39+I39+J39</f>
        <v>5118.7479999999996</v>
      </c>
    </row>
    <row r="40" spans="1:17">
      <c r="A40" s="79">
        <v>18</v>
      </c>
      <c r="B40" s="1" t="s">
        <v>48</v>
      </c>
      <c r="C40" s="3"/>
      <c r="D40" s="3"/>
      <c r="E40" s="3"/>
      <c r="F40" s="56">
        <f>'PROPOSED RATES-12.2024'!J40</f>
        <v>899.47500000000002</v>
      </c>
      <c r="G40" s="172">
        <f>H40-F40</f>
        <v>34.990000000000009</v>
      </c>
      <c r="H40" s="172">
        <f>'ADJ DETAIL INPUT'!BI39</f>
        <v>934.46500000000003</v>
      </c>
      <c r="I40" s="172"/>
      <c r="J40" s="172"/>
      <c r="K40" s="56">
        <f t="shared" si="7"/>
        <v>934.46500000000003</v>
      </c>
    </row>
    <row r="41" spans="1:17">
      <c r="A41" s="79">
        <v>19</v>
      </c>
      <c r="B41" s="1" t="s">
        <v>49</v>
      </c>
      <c r="C41" s="3"/>
      <c r="D41" s="3"/>
      <c r="E41" s="3"/>
      <c r="F41" s="56">
        <f>'PROPOSED RATES-12.2024'!J41</f>
        <v>0</v>
      </c>
      <c r="G41" s="172">
        <f>H41-F41</f>
        <v>0</v>
      </c>
      <c r="H41" s="172">
        <f>'ADJ DETAIL INPUT'!BI40</f>
        <v>0</v>
      </c>
      <c r="I41" s="172"/>
      <c r="J41" s="172"/>
      <c r="K41" s="56">
        <f t="shared" si="7"/>
        <v>0</v>
      </c>
    </row>
    <row r="42" spans="1:17" ht="4.5" customHeight="1">
      <c r="A42" s="79"/>
      <c r="B42" s="1"/>
      <c r="C42" s="3"/>
      <c r="D42" s="3"/>
      <c r="E42" s="3"/>
      <c r="F42" s="172"/>
      <c r="G42" s="172"/>
      <c r="H42" s="176"/>
      <c r="I42" s="176"/>
      <c r="J42" s="172"/>
      <c r="K42" s="172"/>
    </row>
    <row r="43" spans="1:17">
      <c r="A43" s="79"/>
      <c r="B43" s="1" t="s">
        <v>50</v>
      </c>
      <c r="C43" s="3"/>
      <c r="D43" s="3"/>
      <c r="E43" s="3"/>
      <c r="F43" s="172"/>
      <c r="G43" s="172"/>
      <c r="H43" s="172"/>
      <c r="I43" s="172"/>
      <c r="J43" s="172"/>
      <c r="K43" s="172"/>
    </row>
    <row r="44" spans="1:17">
      <c r="A44" s="79">
        <v>20</v>
      </c>
      <c r="B44" s="1"/>
      <c r="C44" s="3" t="s">
        <v>42</v>
      </c>
      <c r="D44" s="3"/>
      <c r="E44" s="3"/>
      <c r="F44" s="56">
        <f>'PROPOSED RATES-12.2024'!J44</f>
        <v>26721.970999999998</v>
      </c>
      <c r="G44" s="172">
        <f>H44-F44</f>
        <v>329.91300000000047</v>
      </c>
      <c r="H44" s="172">
        <f>'ADJ DETAIL INPUT'!BI43</f>
        <v>27051.883999999998</v>
      </c>
      <c r="I44" s="172">
        <f>CF!I17</f>
        <v>69</v>
      </c>
      <c r="J44" s="172">
        <f>CF!J17</f>
        <v>18</v>
      </c>
      <c r="K44" s="56">
        <f t="shared" ref="K44:K46" si="8">H44+I44+J44</f>
        <v>27138.883999999998</v>
      </c>
    </row>
    <row r="45" spans="1:17">
      <c r="A45" s="79">
        <v>21</v>
      </c>
      <c r="B45" s="1"/>
      <c r="C45" s="3" t="s">
        <v>188</v>
      </c>
      <c r="D45" s="3"/>
      <c r="E45" s="3"/>
      <c r="F45" s="56">
        <f>'PROPOSED RATES-12.2024'!J45</f>
        <v>15175.3</v>
      </c>
      <c r="G45" s="172">
        <f>H45-F45</f>
        <v>895</v>
      </c>
      <c r="H45" s="172">
        <f>'ADJ DETAIL INPUT'!BI44</f>
        <v>16070.3</v>
      </c>
      <c r="I45" s="172"/>
      <c r="J45" s="172"/>
      <c r="K45" s="56">
        <f t="shared" si="8"/>
        <v>16070.3</v>
      </c>
    </row>
    <row r="46" spans="1:17">
      <c r="A46" s="79">
        <v>22</v>
      </c>
      <c r="B46" s="1"/>
      <c r="C46" s="7" t="s">
        <v>370</v>
      </c>
      <c r="D46" s="3"/>
      <c r="E46" s="3"/>
      <c r="F46" s="56">
        <f>'PROPOSED RATES-12.2024'!J46</f>
        <v>-174</v>
      </c>
      <c r="G46" s="172">
        <f>H46-F46</f>
        <v>0</v>
      </c>
      <c r="H46" s="172">
        <f>'ADJ DETAIL INPUT'!BI45</f>
        <v>-174</v>
      </c>
      <c r="I46" s="172"/>
      <c r="J46" s="172"/>
      <c r="K46" s="56">
        <f t="shared" si="8"/>
        <v>-174</v>
      </c>
    </row>
    <row r="47" spans="1:17">
      <c r="A47" s="79">
        <v>23</v>
      </c>
      <c r="B47" s="1"/>
      <c r="C47" s="3" t="s">
        <v>20</v>
      </c>
      <c r="D47" s="3"/>
      <c r="E47" s="3"/>
      <c r="F47" s="439">
        <f>'PROPOSED RATES-12.2024'!J47</f>
        <v>1132</v>
      </c>
      <c r="G47" s="174">
        <f>H47-F47</f>
        <v>0</v>
      </c>
      <c r="H47" s="172">
        <f>'ADJ DETAIL INPUT'!BI46</f>
        <v>1132</v>
      </c>
      <c r="I47" s="172"/>
      <c r="J47" s="174"/>
      <c r="K47" s="439">
        <f>H47+I47+J47</f>
        <v>1132</v>
      </c>
    </row>
    <row r="48" spans="1:17">
      <c r="A48" s="79">
        <v>24</v>
      </c>
      <c r="B48" s="1"/>
      <c r="C48" s="3"/>
      <c r="D48" s="3" t="s">
        <v>51</v>
      </c>
      <c r="E48" s="247"/>
      <c r="F48" s="177">
        <f>SUM(F44:F47)</f>
        <v>42855.270999999993</v>
      </c>
      <c r="G48" s="177">
        <f t="shared" ref="G48:K48" si="9">SUM(G44:G47)</f>
        <v>1224.9130000000005</v>
      </c>
      <c r="H48" s="177">
        <f t="shared" si="9"/>
        <v>44080.183999999994</v>
      </c>
      <c r="I48" s="177">
        <f t="shared" ref="I48" si="10">SUM(I44:I47)</f>
        <v>69</v>
      </c>
      <c r="J48" s="177">
        <f t="shared" si="9"/>
        <v>18</v>
      </c>
      <c r="K48" s="177">
        <f t="shared" si="9"/>
        <v>44167.183999999994</v>
      </c>
    </row>
    <row r="49" spans="1:17">
      <c r="A49" s="79">
        <v>25</v>
      </c>
      <c r="B49" s="1" t="s">
        <v>52</v>
      </c>
      <c r="C49" s="3"/>
      <c r="D49" s="3"/>
      <c r="E49" s="3"/>
      <c r="F49" s="174">
        <f t="shared" ref="F49:K49" si="11">F48+F37+F31+F25+F39+F40+F41</f>
        <v>93573.251999999993</v>
      </c>
      <c r="G49" s="174">
        <f t="shared" si="11"/>
        <v>2934.2870000000021</v>
      </c>
      <c r="H49" s="174">
        <f t="shared" si="11"/>
        <v>96507.53899999999</v>
      </c>
      <c r="I49" s="174">
        <f t="shared" ref="I49" si="12">I48+I37+I31+I25+I39+I40+I41</f>
        <v>818</v>
      </c>
      <c r="J49" s="174">
        <f t="shared" si="11"/>
        <v>216</v>
      </c>
      <c r="K49" s="174">
        <f t="shared" si="11"/>
        <v>97541.53899999999</v>
      </c>
    </row>
    <row r="50" spans="1:17" ht="8.25" customHeight="1">
      <c r="A50" s="79"/>
      <c r="B50" s="1"/>
      <c r="C50" s="3"/>
      <c r="D50" s="3"/>
      <c r="E50" s="3"/>
      <c r="F50" s="172"/>
      <c r="G50" s="172"/>
      <c r="H50" s="172"/>
      <c r="I50" s="172"/>
      <c r="J50" s="172"/>
      <c r="K50" s="172"/>
    </row>
    <row r="51" spans="1:17">
      <c r="A51" s="79">
        <v>26</v>
      </c>
      <c r="B51" s="1" t="s">
        <v>53</v>
      </c>
      <c r="C51" s="3"/>
      <c r="D51" s="3"/>
      <c r="E51" s="3"/>
      <c r="F51" s="172">
        <f t="shared" ref="F51:K51" si="13">F18-F49</f>
        <v>34119.748000000007</v>
      </c>
      <c r="G51" s="172">
        <f t="shared" si="13"/>
        <v>-2895.2870000000021</v>
      </c>
      <c r="H51" s="172">
        <f t="shared" si="13"/>
        <v>31224.46100000001</v>
      </c>
      <c r="I51" s="172">
        <f t="shared" si="13"/>
        <v>16475</v>
      </c>
      <c r="J51" s="172">
        <f t="shared" si="13"/>
        <v>4347.7102337211754</v>
      </c>
      <c r="K51" s="172">
        <f t="shared" si="13"/>
        <v>52047.171233721194</v>
      </c>
    </row>
    <row r="52" spans="1:17" ht="6.75" customHeight="1">
      <c r="A52" s="79"/>
      <c r="B52" s="1"/>
      <c r="C52" s="3"/>
      <c r="D52" s="3"/>
      <c r="E52" s="3"/>
      <c r="F52" s="172"/>
      <c r="G52" s="172"/>
      <c r="H52" s="172"/>
      <c r="I52" s="172"/>
      <c r="J52" s="172"/>
      <c r="K52" s="172"/>
    </row>
    <row r="53" spans="1:17">
      <c r="A53" s="79"/>
      <c r="B53" s="1" t="s">
        <v>54</v>
      </c>
      <c r="C53" s="3"/>
      <c r="D53" s="3"/>
      <c r="E53" s="3"/>
      <c r="F53" s="172"/>
      <c r="G53" s="172"/>
      <c r="H53" s="172"/>
      <c r="I53" s="172"/>
      <c r="J53" s="172"/>
      <c r="K53" s="172"/>
    </row>
    <row r="54" spans="1:17">
      <c r="A54" s="79">
        <v>27</v>
      </c>
      <c r="B54" s="1"/>
      <c r="C54" s="3" t="s">
        <v>55</v>
      </c>
      <c r="D54" s="3"/>
      <c r="E54" s="3"/>
      <c r="F54" s="56">
        <f>'PROPOSED RATES-12.2024'!J54</f>
        <v>-3099.8729199999989</v>
      </c>
      <c r="G54" s="172">
        <f>H54-F54</f>
        <v>-608.01027000000022</v>
      </c>
      <c r="H54" s="172">
        <f>'ADJ DETAIL INPUT'!BI53</f>
        <v>-3707.8831899999991</v>
      </c>
      <c r="I54" s="172">
        <f>CF!I25</f>
        <v>3460</v>
      </c>
      <c r="J54" s="172">
        <f>CF!J25</f>
        <v>913</v>
      </c>
      <c r="K54" s="56">
        <f t="shared" ref="K54:K56" si="14">H54+I54+J54</f>
        <v>665.1168100000009</v>
      </c>
      <c r="Q54" s="57"/>
    </row>
    <row r="55" spans="1:17">
      <c r="A55" s="79">
        <v>28</v>
      </c>
      <c r="B55" s="1"/>
      <c r="C55" s="118" t="s">
        <v>170</v>
      </c>
      <c r="D55" s="3"/>
      <c r="E55" s="3"/>
      <c r="F55" s="56">
        <f>'PROPOSED RATES-12.2024'!J55</f>
        <v>-284.17795560000002</v>
      </c>
      <c r="G55" s="172">
        <f>H55-F55</f>
        <v>-87.652137299999993</v>
      </c>
      <c r="H55" s="172">
        <f>'ADJ DETAIL INPUT'!BI54</f>
        <v>-371.83009290000001</v>
      </c>
      <c r="I55" s="172"/>
      <c r="J55" s="172"/>
      <c r="K55" s="56">
        <f t="shared" si="14"/>
        <v>-371.83009290000001</v>
      </c>
    </row>
    <row r="56" spans="1:17">
      <c r="A56" s="79">
        <v>29</v>
      </c>
      <c r="B56" s="1"/>
      <c r="C56" s="3" t="s">
        <v>56</v>
      </c>
      <c r="D56" s="3"/>
      <c r="E56" s="3"/>
      <c r="F56" s="56">
        <f>'PROPOSED RATES-12.2024'!J56</f>
        <v>-3708</v>
      </c>
      <c r="G56" s="172">
        <f>H56-F56</f>
        <v>0</v>
      </c>
      <c r="H56" s="172">
        <f>'ADJ DETAIL INPUT'!BI55</f>
        <v>-3708</v>
      </c>
      <c r="I56" s="172"/>
      <c r="J56" s="172"/>
      <c r="K56" s="56">
        <f t="shared" si="14"/>
        <v>-3708</v>
      </c>
    </row>
    <row r="57" spans="1:17">
      <c r="A57" s="79">
        <v>30</v>
      </c>
      <c r="B57" s="1"/>
      <c r="C57" s="3" t="s">
        <v>57</v>
      </c>
      <c r="D57" s="3"/>
      <c r="E57" s="3"/>
      <c r="F57" s="439">
        <f>'PROPOSED RATES-12.2024'!J57</f>
        <v>9626</v>
      </c>
      <c r="G57" s="174">
        <f>H57-F57</f>
        <v>0</v>
      </c>
      <c r="H57" s="174">
        <f>'ADJ DETAIL INPUT'!BI56</f>
        <v>9626</v>
      </c>
      <c r="I57" s="174"/>
      <c r="J57" s="174"/>
      <c r="K57" s="439">
        <f>H57+I57+J57</f>
        <v>9626</v>
      </c>
    </row>
    <row r="58" spans="1:17" ht="6" customHeight="1">
      <c r="A58" s="79"/>
      <c r="B58" s="1"/>
      <c r="C58" s="1"/>
      <c r="D58" s="1"/>
      <c r="E58" s="1"/>
      <c r="F58" s="172"/>
      <c r="G58" s="172"/>
      <c r="H58" s="172"/>
      <c r="I58" s="172"/>
      <c r="J58" s="178"/>
      <c r="K58" s="172"/>
    </row>
    <row r="59" spans="1:17" ht="13.8" thickBot="1">
      <c r="A59" s="79">
        <v>31</v>
      </c>
      <c r="B59" s="2" t="s">
        <v>58</v>
      </c>
      <c r="C59" s="2"/>
      <c r="D59" s="2"/>
      <c r="E59" s="2"/>
      <c r="F59" s="179">
        <f t="shared" ref="F59:K59" si="15">F51-SUM(F54:F57)</f>
        <v>31585.798875600005</v>
      </c>
      <c r="G59" s="179">
        <f t="shared" si="15"/>
        <v>-2199.6245927000018</v>
      </c>
      <c r="H59" s="179">
        <f t="shared" si="15"/>
        <v>29386.17428290001</v>
      </c>
      <c r="I59" s="179">
        <f t="shared" si="15"/>
        <v>13015</v>
      </c>
      <c r="J59" s="179">
        <f t="shared" si="15"/>
        <v>3434.7102337211754</v>
      </c>
      <c r="K59" s="179">
        <f t="shared" si="15"/>
        <v>45835.88451662119</v>
      </c>
    </row>
    <row r="60" spans="1:17" ht="7.5" customHeight="1" thickTop="1">
      <c r="A60" s="79"/>
      <c r="B60" s="1"/>
      <c r="C60" s="1"/>
      <c r="D60" s="1"/>
      <c r="E60" s="1"/>
      <c r="F60" s="172"/>
      <c r="G60" s="172"/>
      <c r="H60" s="172"/>
      <c r="I60" s="172"/>
      <c r="J60" s="172"/>
      <c r="K60" s="172"/>
    </row>
    <row r="61" spans="1:17" hidden="1">
      <c r="A61" s="79"/>
      <c r="B61" s="1"/>
      <c r="C61" s="1"/>
      <c r="D61" s="1"/>
      <c r="E61" s="1"/>
      <c r="F61" s="172"/>
      <c r="G61" s="172"/>
      <c r="H61" s="172"/>
      <c r="I61" s="172"/>
      <c r="J61" s="172"/>
      <c r="K61" s="172"/>
    </row>
    <row r="62" spans="1:17">
      <c r="A62" s="79"/>
      <c r="B62" s="1" t="s">
        <v>59</v>
      </c>
      <c r="C62" s="1"/>
      <c r="D62" s="1"/>
      <c r="E62" s="1"/>
      <c r="F62" s="172"/>
      <c r="G62" s="172"/>
      <c r="H62" s="172"/>
      <c r="I62" s="172"/>
      <c r="J62" s="172"/>
      <c r="K62" s="172"/>
    </row>
    <row r="63" spans="1:17">
      <c r="A63" s="79">
        <v>32</v>
      </c>
      <c r="B63" s="3"/>
      <c r="C63" s="3" t="s">
        <v>41</v>
      </c>
      <c r="D63" s="3"/>
      <c r="E63" s="3"/>
      <c r="F63" s="56">
        <f>'PROPOSED RATES-12.2024'!J63</f>
        <v>38438.699999999997</v>
      </c>
      <c r="G63" s="172">
        <f>H63-F63</f>
        <v>1506</v>
      </c>
      <c r="H63" s="172">
        <f>'ADJ DETAIL INPUT'!BI62</f>
        <v>39944.699999999997</v>
      </c>
      <c r="I63" s="172"/>
      <c r="J63" s="172"/>
      <c r="K63" s="56">
        <f t="shared" ref="K63:K64" si="16">H63+I63+J63</f>
        <v>39944.699999999997</v>
      </c>
    </row>
    <row r="64" spans="1:17">
      <c r="A64" s="79">
        <v>33</v>
      </c>
      <c r="B64" s="3"/>
      <c r="C64" s="3" t="s">
        <v>60</v>
      </c>
      <c r="D64" s="3"/>
      <c r="E64" s="3"/>
      <c r="F64" s="56">
        <f>'PROPOSED RATES-12.2024'!J64</f>
        <v>744315.7</v>
      </c>
      <c r="G64" s="172">
        <f>H64-F64</f>
        <v>32043</v>
      </c>
      <c r="H64" s="172">
        <f>'ADJ DETAIL INPUT'!BI63</f>
        <v>776358.7</v>
      </c>
      <c r="I64" s="172"/>
      <c r="J64" s="172"/>
      <c r="K64" s="56">
        <f t="shared" si="16"/>
        <v>776358.7</v>
      </c>
    </row>
    <row r="65" spans="1:11">
      <c r="A65" s="79">
        <v>34</v>
      </c>
      <c r="B65" s="3"/>
      <c r="C65" s="3" t="s">
        <v>61</v>
      </c>
      <c r="D65" s="3"/>
      <c r="E65" s="3"/>
      <c r="F65" s="439">
        <f>'PROPOSED RATES-12.2024'!J65</f>
        <v>169420</v>
      </c>
      <c r="G65" s="174">
        <f>H65-F65</f>
        <v>2293</v>
      </c>
      <c r="H65" s="174">
        <f>'ADJ DETAIL INPUT'!BI64</f>
        <v>171713</v>
      </c>
      <c r="I65" s="174"/>
      <c r="J65" s="174"/>
      <c r="K65" s="439">
        <f>H65+I65+J65</f>
        <v>171713</v>
      </c>
    </row>
    <row r="66" spans="1:11">
      <c r="A66" s="79">
        <v>35</v>
      </c>
      <c r="B66" s="3"/>
      <c r="C66" s="3"/>
      <c r="D66" s="3"/>
      <c r="E66" s="3" t="s">
        <v>62</v>
      </c>
      <c r="F66" s="180">
        <f>SUM(F63:F65)</f>
        <v>952174.39999999991</v>
      </c>
      <c r="G66" s="180">
        <f t="shared" ref="G66:K66" si="17">SUM(G63:G65)</f>
        <v>35842</v>
      </c>
      <c r="H66" s="180">
        <f t="shared" si="17"/>
        <v>988016.39999999991</v>
      </c>
      <c r="I66" s="180">
        <f t="shared" ref="I66" si="18">SUM(I63:I65)</f>
        <v>0</v>
      </c>
      <c r="J66" s="180">
        <f t="shared" si="17"/>
        <v>0</v>
      </c>
      <c r="K66" s="180">
        <f t="shared" si="17"/>
        <v>988016.39999999991</v>
      </c>
    </row>
    <row r="67" spans="1:11" ht="5.25" customHeight="1">
      <c r="A67" s="79"/>
      <c r="B67" s="3"/>
      <c r="C67" s="3"/>
      <c r="D67" s="3"/>
      <c r="E67" s="3"/>
      <c r="F67" s="180"/>
      <c r="G67" s="180"/>
      <c r="H67" s="180"/>
      <c r="I67" s="180"/>
      <c r="J67" s="180"/>
      <c r="K67" s="180"/>
    </row>
    <row r="68" spans="1:11">
      <c r="A68" s="79"/>
      <c r="B68" s="3" t="s">
        <v>375</v>
      </c>
      <c r="C68" s="3"/>
      <c r="D68" s="3"/>
      <c r="E68" s="3"/>
      <c r="F68" s="172"/>
      <c r="G68" s="172"/>
      <c r="H68" s="172"/>
      <c r="I68" s="172"/>
      <c r="J68" s="172"/>
      <c r="K68" s="172"/>
    </row>
    <row r="69" spans="1:11">
      <c r="A69" s="79">
        <v>36</v>
      </c>
      <c r="B69" s="3"/>
      <c r="C69" s="3" t="s">
        <v>41</v>
      </c>
      <c r="D69" s="3"/>
      <c r="E69" s="3"/>
      <c r="F69" s="56">
        <f>'PROPOSED RATES-12.2024'!J69</f>
        <v>-14492.5</v>
      </c>
      <c r="G69" s="172">
        <f>H69-F69</f>
        <v>-574</v>
      </c>
      <c r="H69" s="172">
        <f>'ADJ DETAIL INPUT'!BI68</f>
        <v>-15066.5</v>
      </c>
      <c r="I69" s="172"/>
      <c r="J69" s="172"/>
      <c r="K69" s="56">
        <f t="shared" ref="K69:K70" si="19">H69+I69+J69</f>
        <v>-15066.5</v>
      </c>
    </row>
    <row r="70" spans="1:11">
      <c r="A70" s="79">
        <v>37</v>
      </c>
      <c r="B70" s="3"/>
      <c r="C70" s="3" t="s">
        <v>60</v>
      </c>
      <c r="D70" s="3"/>
      <c r="E70" s="3"/>
      <c r="F70" s="56">
        <f>'PROPOSED RATES-12.2024'!J70</f>
        <v>-226473.4</v>
      </c>
      <c r="G70" s="172">
        <f>H70-F70</f>
        <v>-16739</v>
      </c>
      <c r="H70" s="172">
        <f>'ADJ DETAIL INPUT'!BI69</f>
        <v>-243212.4</v>
      </c>
      <c r="I70" s="172"/>
      <c r="J70" s="172"/>
      <c r="K70" s="56">
        <f t="shared" si="19"/>
        <v>-243212.4</v>
      </c>
    </row>
    <row r="71" spans="1:11">
      <c r="A71" s="79">
        <v>38</v>
      </c>
      <c r="B71" s="3"/>
      <c r="C71" s="3" t="s">
        <v>61</v>
      </c>
      <c r="D71" s="3"/>
      <c r="E71" s="3"/>
      <c r="F71" s="439">
        <f>'PROPOSED RATES-12.2024'!J71</f>
        <v>-71916.3</v>
      </c>
      <c r="G71" s="174">
        <f>H71-F71</f>
        <v>-1513.1000000000058</v>
      </c>
      <c r="H71" s="172">
        <f>'ADJ DETAIL INPUT'!BI70</f>
        <v>-73429.400000000009</v>
      </c>
      <c r="I71" s="174"/>
      <c r="J71" s="174"/>
      <c r="K71" s="439">
        <f>H71+I71+J71</f>
        <v>-73429.400000000009</v>
      </c>
    </row>
    <row r="72" spans="1:11">
      <c r="A72" s="79">
        <v>39</v>
      </c>
      <c r="B72" s="3" t="s">
        <v>376</v>
      </c>
      <c r="C72" s="3"/>
      <c r="D72" s="3"/>
      <c r="E72" s="247"/>
      <c r="F72" s="177">
        <f>SUM(F69:F71)</f>
        <v>-312882.2</v>
      </c>
      <c r="G72" s="177">
        <f t="shared" ref="G72:K72" si="20">SUM(G69:G71)</f>
        <v>-18826.100000000006</v>
      </c>
      <c r="H72" s="177">
        <f t="shared" si="20"/>
        <v>-331708.3</v>
      </c>
      <c r="I72" s="177">
        <f t="shared" ref="I72" si="21">SUM(I69:I71)</f>
        <v>0</v>
      </c>
      <c r="J72" s="177">
        <f t="shared" si="20"/>
        <v>0</v>
      </c>
      <c r="K72" s="177">
        <f t="shared" si="20"/>
        <v>-331708.3</v>
      </c>
    </row>
    <row r="73" spans="1:11">
      <c r="A73" s="79">
        <v>40</v>
      </c>
      <c r="B73" s="118" t="s">
        <v>164</v>
      </c>
      <c r="C73" s="3"/>
      <c r="D73" s="3"/>
      <c r="E73" s="3"/>
      <c r="F73" s="180">
        <f>F66+F72</f>
        <v>639292.19999999995</v>
      </c>
      <c r="G73" s="180">
        <f t="shared" ref="G73:K73" si="22">G66+G72</f>
        <v>17015.899999999994</v>
      </c>
      <c r="H73" s="180">
        <f t="shared" si="22"/>
        <v>656308.09999999986</v>
      </c>
      <c r="I73" s="180">
        <f t="shared" ref="I73" si="23">I66+I72</f>
        <v>0</v>
      </c>
      <c r="J73" s="180">
        <f t="shared" si="22"/>
        <v>0</v>
      </c>
      <c r="K73" s="180">
        <f t="shared" si="22"/>
        <v>656308.09999999986</v>
      </c>
    </row>
    <row r="74" spans="1:11">
      <c r="A74" s="4">
        <v>41</v>
      </c>
      <c r="B74" s="5" t="s">
        <v>64</v>
      </c>
      <c r="C74" s="5"/>
      <c r="D74" s="5"/>
      <c r="E74" s="5"/>
      <c r="F74" s="439">
        <f>'PROPOSED RATES-12.2024'!J74</f>
        <v>-85961</v>
      </c>
      <c r="G74" s="174">
        <f>H74-F74</f>
        <v>73</v>
      </c>
      <c r="H74" s="174">
        <f>'ADJ DETAIL INPUT'!BI73</f>
        <v>-85888</v>
      </c>
      <c r="I74" s="174"/>
      <c r="J74" s="174"/>
      <c r="K74" s="439">
        <f>H74+I74+J74</f>
        <v>-85888</v>
      </c>
    </row>
    <row r="75" spans="1:11">
      <c r="A75" s="4">
        <v>42</v>
      </c>
      <c r="B75" s="5"/>
      <c r="C75" s="120" t="s">
        <v>191</v>
      </c>
      <c r="D75" s="5"/>
      <c r="E75" s="5"/>
      <c r="F75" s="172">
        <f>F73+F74</f>
        <v>553331.19999999995</v>
      </c>
      <c r="G75" s="172">
        <f t="shared" ref="G75" si="24">G73+G74</f>
        <v>17088.899999999994</v>
      </c>
      <c r="H75" s="172">
        <f>H73+H74</f>
        <v>570420.09999999986</v>
      </c>
      <c r="I75" s="172">
        <f t="shared" ref="I75" si="25">I73+I74</f>
        <v>0</v>
      </c>
      <c r="J75" s="172">
        <f t="shared" ref="J75:K75" si="26">J73+J74</f>
        <v>0</v>
      </c>
      <c r="K75" s="172">
        <f t="shared" si="26"/>
        <v>570420.09999999986</v>
      </c>
    </row>
    <row r="76" spans="1:11" ht="12" customHeight="1">
      <c r="A76" s="79">
        <v>43</v>
      </c>
      <c r="B76" s="212" t="s">
        <v>65</v>
      </c>
      <c r="C76" s="212"/>
      <c r="D76" s="212"/>
      <c r="E76" s="212"/>
      <c r="F76" s="56">
        <f>'PROPOSED RATES-12.2024'!J76</f>
        <v>19552</v>
      </c>
      <c r="G76" s="213">
        <f>H76-F76</f>
        <v>0</v>
      </c>
      <c r="H76" s="172">
        <f>'ADJ DETAIL INPUT'!BI75</f>
        <v>19552</v>
      </c>
      <c r="I76" s="213"/>
      <c r="J76" s="213"/>
      <c r="K76" s="56">
        <f t="shared" ref="K76:K78" si="27">H76+I76+J76</f>
        <v>19552</v>
      </c>
    </row>
    <row r="77" spans="1:11">
      <c r="A77" s="79">
        <v>44</v>
      </c>
      <c r="B77" s="212" t="s">
        <v>66</v>
      </c>
      <c r="C77" s="212"/>
      <c r="D77" s="212"/>
      <c r="E77" s="212"/>
      <c r="F77" s="56">
        <f>'PROPOSED RATES-12.2024'!J77</f>
        <v>0</v>
      </c>
      <c r="G77" s="213">
        <f>H77-F77</f>
        <v>0</v>
      </c>
      <c r="H77" s="172">
        <f>'ADJ DETAIL INPUT'!BI76</f>
        <v>0</v>
      </c>
      <c r="I77" s="213"/>
      <c r="J77" s="213"/>
      <c r="K77" s="56">
        <f t="shared" si="27"/>
        <v>0</v>
      </c>
    </row>
    <row r="78" spans="1:11">
      <c r="A78" s="79">
        <v>45</v>
      </c>
      <c r="B78" s="212" t="s">
        <v>377</v>
      </c>
      <c r="C78" s="212"/>
      <c r="D78" s="212"/>
      <c r="E78" s="212"/>
      <c r="F78" s="56">
        <f>'PROPOSED RATES-12.2024'!J78</f>
        <v>-1198</v>
      </c>
      <c r="G78" s="213">
        <f>H78-F78</f>
        <v>-848</v>
      </c>
      <c r="H78" s="172">
        <f>'ADJ DETAIL INPUT'!BI77</f>
        <v>-2046</v>
      </c>
      <c r="I78" s="213"/>
      <c r="J78" s="213"/>
      <c r="K78" s="56">
        <f t="shared" si="27"/>
        <v>-2046</v>
      </c>
    </row>
    <row r="79" spans="1:11">
      <c r="A79" s="79">
        <v>46</v>
      </c>
      <c r="B79" s="212" t="s">
        <v>166</v>
      </c>
      <c r="C79" s="212"/>
      <c r="D79" s="212"/>
      <c r="E79" s="212"/>
      <c r="F79" s="439">
        <f>'PROPOSED RATES-12.2024'!J79</f>
        <v>14399</v>
      </c>
      <c r="G79" s="175">
        <f>H79-F79</f>
        <v>0</v>
      </c>
      <c r="H79" s="174">
        <f>'ADJ DETAIL INPUT'!BI78</f>
        <v>14399</v>
      </c>
      <c r="I79" s="175"/>
      <c r="J79" s="175"/>
      <c r="K79" s="439">
        <f>H79+I79+J79</f>
        <v>14399</v>
      </c>
    </row>
    <row r="80" spans="1:11" ht="3" customHeight="1">
      <c r="A80" s="79"/>
      <c r="B80" s="1"/>
      <c r="C80" s="1"/>
      <c r="D80" s="1"/>
      <c r="E80" s="1"/>
      <c r="F80" s="28"/>
      <c r="G80" s="28"/>
      <c r="H80" s="56"/>
      <c r="I80" s="28"/>
      <c r="J80" s="28"/>
      <c r="K80" s="28"/>
    </row>
    <row r="81" spans="1:11" ht="13.8" thickBot="1">
      <c r="A81" s="79">
        <v>47</v>
      </c>
      <c r="B81" s="2" t="s">
        <v>67</v>
      </c>
      <c r="C81" s="2"/>
      <c r="D81" s="2"/>
      <c r="E81" s="2"/>
      <c r="F81" s="55">
        <f>F79+F77+F76+F75+F78</f>
        <v>586084.19999999995</v>
      </c>
      <c r="G81" s="55">
        <f>G79+G77+G76+G75+G78</f>
        <v>16240.899999999994</v>
      </c>
      <c r="H81" s="55">
        <f>H79+H77+H76+H75+H78</f>
        <v>602325.09999999986</v>
      </c>
      <c r="I81" s="55">
        <f>I79+I77+I76+I75</f>
        <v>0</v>
      </c>
      <c r="J81" s="55">
        <f>J79+J77+J76+J75</f>
        <v>0</v>
      </c>
      <c r="K81" s="55">
        <f>K79+K77+K76+K75+K78</f>
        <v>602325.09999999986</v>
      </c>
    </row>
    <row r="82" spans="1:11" ht="13.8" thickTop="1">
      <c r="A82" s="79">
        <v>48</v>
      </c>
      <c r="B82" s="1" t="s">
        <v>413</v>
      </c>
      <c r="C82" s="1"/>
      <c r="D82" s="1"/>
      <c r="E82" s="1"/>
      <c r="F82" s="219">
        <f>ROUND(F59/F81,4)</f>
        <v>5.3900000000000003E-2</v>
      </c>
      <c r="G82" s="52"/>
      <c r="H82" s="219">
        <f>ROUND(H59/H81,4)</f>
        <v>4.8800000000000003E-2</v>
      </c>
      <c r="I82" s="219"/>
      <c r="J82" s="6"/>
      <c r="K82" s="219">
        <f>ROUND(K59/K81,4)</f>
        <v>7.6100000000000001E-2</v>
      </c>
    </row>
    <row r="83" spans="1:11" ht="7.5" customHeight="1">
      <c r="A83" s="263"/>
      <c r="B83" s="263"/>
      <c r="C83" s="263"/>
      <c r="D83" s="263"/>
      <c r="E83" s="263"/>
      <c r="F83" s="263"/>
      <c r="G83" s="263"/>
      <c r="H83" s="263"/>
      <c r="I83" s="263"/>
      <c r="J83" s="263"/>
      <c r="K83" s="263"/>
    </row>
    <row r="84" spans="1:11">
      <c r="A84" s="53"/>
      <c r="B84" s="54"/>
      <c r="C84" s="54"/>
      <c r="D84" s="54"/>
      <c r="E84" s="30"/>
      <c r="F84" s="30"/>
      <c r="G84" s="30"/>
      <c r="H84" s="30"/>
      <c r="I84" s="30"/>
      <c r="J84" s="30"/>
      <c r="K84" s="30"/>
    </row>
    <row r="1048576" spans="8:8">
      <c r="H1048576" s="78">
        <f>SUM(H83:H1048575)</f>
        <v>0</v>
      </c>
    </row>
  </sheetData>
  <mergeCells count="1">
    <mergeCell ref="F6:K6"/>
  </mergeCells>
  <pageMargins left="1" right="1" top="1" bottom="1" header="0.5" footer="0.5"/>
  <pageSetup scale="70" orientation="portrait" r:id="rId1"/>
  <headerFooter scaleWithDoc="0" alignWithMargins="0">
    <oddHeader>&amp;RExh. KJS-3</oddHeader>
    <oddFooter>&amp;RPage &amp;P of &amp;N</oddFooter>
  </headerFooter>
  <ignoredErrors>
    <ignoredError sqref="F8:H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5">
    <pageSetUpPr fitToPage="1"/>
  </sheetPr>
  <dimension ref="A1:Y48"/>
  <sheetViews>
    <sheetView zoomScaleNormal="100" workbookViewId="0">
      <selection sqref="A1:H1"/>
    </sheetView>
  </sheetViews>
  <sheetFormatPr defaultColWidth="9.33203125" defaultRowHeight="15.6"/>
  <cols>
    <col min="1" max="1" width="7.44140625" style="273" customWidth="1"/>
    <col min="2" max="2" width="1.44140625" style="273" customWidth="1"/>
    <col min="3" max="3" width="44.88671875" style="273" customWidth="1"/>
    <col min="4" max="4" width="1.33203125" style="273" customWidth="1"/>
    <col min="5" max="5" width="0.5546875" style="273" hidden="1" customWidth="1"/>
    <col min="6" max="6" width="20.33203125" style="273" customWidth="1"/>
    <col min="7" max="7" width="16.5546875" style="73" customWidth="1"/>
    <col min="8" max="9" width="14.5546875" style="73" customWidth="1"/>
    <col min="10" max="10" width="4.6640625" style="273" customWidth="1"/>
    <col min="11" max="11" width="6.6640625" style="273" customWidth="1"/>
    <col min="12" max="12" width="14.33203125" style="273" customWidth="1"/>
    <col min="13" max="13" width="12.6640625" style="273" customWidth="1"/>
    <col min="14" max="14" width="15.33203125" style="324" customWidth="1"/>
    <col min="15" max="15" width="14.33203125" style="273" customWidth="1"/>
    <col min="16" max="16" width="6.33203125" style="273" customWidth="1"/>
    <col min="17" max="17" width="14.5546875" style="273" customWidth="1"/>
    <col min="18" max="16384" width="9.33203125" style="274"/>
  </cols>
  <sheetData>
    <row r="1" spans="1:25" ht="19.2" customHeight="1" thickBot="1">
      <c r="A1" s="902" t="s">
        <v>111</v>
      </c>
      <c r="B1" s="902"/>
      <c r="C1" s="902"/>
      <c r="D1" s="902"/>
      <c r="E1" s="902"/>
      <c r="F1" s="902"/>
      <c r="G1" s="902"/>
      <c r="H1" s="902"/>
      <c r="I1" s="415"/>
      <c r="J1" s="272"/>
    </row>
    <row r="2" spans="1:25">
      <c r="A2" s="902" t="s">
        <v>440</v>
      </c>
      <c r="B2" s="902"/>
      <c r="C2" s="902"/>
      <c r="D2" s="902"/>
      <c r="E2" s="902"/>
      <c r="F2" s="902"/>
      <c r="G2" s="902"/>
      <c r="H2" s="902"/>
      <c r="I2" s="415"/>
      <c r="J2" s="272"/>
      <c r="K2" s="904" t="s">
        <v>111</v>
      </c>
      <c r="L2" s="905"/>
      <c r="M2" s="905"/>
      <c r="N2" s="905"/>
      <c r="O2" s="906"/>
      <c r="P2" s="275"/>
      <c r="Q2" s="272"/>
    </row>
    <row r="3" spans="1:25">
      <c r="A3" s="902" t="s">
        <v>400</v>
      </c>
      <c r="B3" s="902"/>
      <c r="C3" s="902"/>
      <c r="D3" s="902"/>
      <c r="E3" s="902"/>
      <c r="F3" s="902"/>
      <c r="G3" s="902"/>
      <c r="H3" s="902"/>
      <c r="I3" s="278"/>
      <c r="J3" s="276"/>
      <c r="K3" s="907" t="s">
        <v>401</v>
      </c>
      <c r="L3" s="908"/>
      <c r="M3" s="908"/>
      <c r="N3" s="908"/>
      <c r="O3" s="909"/>
      <c r="P3" s="276"/>
      <c r="Q3" s="275"/>
    </row>
    <row r="4" spans="1:25">
      <c r="A4" s="903" t="str">
        <f>'PROPOSED RATES-12.2024'!A3</f>
        <v>TWELVE MONTHS ENDED JUNE 30, 2023</v>
      </c>
      <c r="B4" s="903"/>
      <c r="C4" s="903"/>
      <c r="D4" s="903"/>
      <c r="E4" s="903"/>
      <c r="F4" s="903"/>
      <c r="G4" s="903"/>
      <c r="H4" s="903"/>
      <c r="I4" s="416"/>
      <c r="J4" s="277"/>
      <c r="K4" s="907" t="s">
        <v>400</v>
      </c>
      <c r="L4" s="908"/>
      <c r="M4" s="908"/>
      <c r="N4" s="908"/>
      <c r="O4" s="909"/>
      <c r="P4" s="276"/>
      <c r="Q4" s="272"/>
    </row>
    <row r="5" spans="1:25" ht="16.2" thickBot="1">
      <c r="A5" s="576"/>
      <c r="B5" s="576"/>
      <c r="C5" s="576"/>
      <c r="D5" s="576"/>
      <c r="E5" s="576"/>
      <c r="F5" s="576"/>
      <c r="G5" s="576"/>
      <c r="H5" s="576"/>
      <c r="I5" s="416"/>
      <c r="J5" s="576"/>
      <c r="K5" s="893"/>
      <c r="L5" s="894"/>
      <c r="M5" s="894"/>
      <c r="N5" s="894"/>
      <c r="O5" s="895"/>
      <c r="P5" s="282"/>
      <c r="Q5" s="333"/>
    </row>
    <row r="6" spans="1:25">
      <c r="A6" s="275"/>
      <c r="B6" s="275"/>
      <c r="C6" s="275"/>
      <c r="D6" s="275"/>
      <c r="E6" s="275"/>
      <c r="F6" s="607" t="s">
        <v>437</v>
      </c>
      <c r="G6" s="614" t="s">
        <v>437</v>
      </c>
      <c r="H6" s="900" t="s">
        <v>527</v>
      </c>
      <c r="I6" s="278"/>
      <c r="J6" s="278"/>
      <c r="K6" s="257" t="s">
        <v>442</v>
      </c>
      <c r="L6" s="301"/>
      <c r="M6" s="301"/>
      <c r="N6" s="301"/>
      <c r="O6" s="302"/>
      <c r="P6" s="282"/>
      <c r="Q6" s="333"/>
      <c r="S6" s="279"/>
      <c r="T6" s="279"/>
      <c r="U6" s="279"/>
      <c r="V6" s="279"/>
      <c r="W6" s="279"/>
      <c r="X6" s="279"/>
      <c r="Y6" s="279"/>
    </row>
    <row r="7" spans="1:25">
      <c r="C7" s="280"/>
      <c r="D7" s="280"/>
      <c r="F7" s="608" t="s">
        <v>525</v>
      </c>
      <c r="G7" s="615" t="s">
        <v>526</v>
      </c>
      <c r="H7" s="901"/>
      <c r="I7" s="278"/>
      <c r="J7" s="278"/>
      <c r="K7" s="303"/>
      <c r="L7" s="304"/>
      <c r="M7" s="305"/>
      <c r="N7" s="306"/>
      <c r="O7" s="307"/>
      <c r="P7" s="282"/>
      <c r="Q7" s="73"/>
      <c r="R7" s="279"/>
    </row>
    <row r="8" spans="1:25" ht="15.75" customHeight="1">
      <c r="F8" s="609" t="s">
        <v>549</v>
      </c>
      <c r="G8" s="616" t="s">
        <v>551</v>
      </c>
      <c r="H8" s="610" t="s">
        <v>551</v>
      </c>
      <c r="I8" s="283"/>
      <c r="J8" s="300"/>
      <c r="K8" s="303"/>
      <c r="L8" s="308"/>
      <c r="M8" s="305" t="s">
        <v>128</v>
      </c>
      <c r="N8" s="305"/>
      <c r="O8" s="307" t="s">
        <v>129</v>
      </c>
      <c r="P8" s="74"/>
      <c r="Q8" s="129"/>
    </row>
    <row r="9" spans="1:25" ht="15.75" customHeight="1">
      <c r="A9" s="281" t="s">
        <v>127</v>
      </c>
      <c r="B9" s="276"/>
      <c r="C9" s="896" t="s">
        <v>70</v>
      </c>
      <c r="D9" s="897"/>
      <c r="E9" s="282"/>
      <c r="F9" s="608" t="s">
        <v>438</v>
      </c>
      <c r="G9" s="615" t="s">
        <v>438</v>
      </c>
      <c r="H9" s="611" t="s">
        <v>438</v>
      </c>
      <c r="I9" s="283"/>
      <c r="J9" s="283"/>
      <c r="K9" s="303"/>
      <c r="L9" s="309" t="s">
        <v>130</v>
      </c>
      <c r="M9" s="309" t="s">
        <v>131</v>
      </c>
      <c r="N9" s="309" t="s">
        <v>132</v>
      </c>
      <c r="O9" s="310" t="s">
        <v>132</v>
      </c>
      <c r="P9" s="74"/>
      <c r="Q9" s="130"/>
    </row>
    <row r="10" spans="1:25">
      <c r="A10" s="284" t="s">
        <v>15</v>
      </c>
      <c r="B10" s="276"/>
      <c r="C10" s="898"/>
      <c r="D10" s="899"/>
      <c r="E10" s="282"/>
      <c r="F10" s="612" t="s">
        <v>439</v>
      </c>
      <c r="G10" s="617" t="s">
        <v>439</v>
      </c>
      <c r="H10" s="613" t="s">
        <v>439</v>
      </c>
      <c r="I10" s="283"/>
      <c r="J10" s="283"/>
      <c r="K10" s="303"/>
      <c r="L10" s="304"/>
      <c r="M10" s="304"/>
      <c r="N10" s="306"/>
      <c r="O10" s="312"/>
      <c r="P10" s="74"/>
      <c r="Q10" s="130"/>
    </row>
    <row r="11" spans="1:25" ht="16.2" thickBot="1">
      <c r="E11" s="285"/>
      <c r="J11" s="73"/>
      <c r="K11" s="303"/>
      <c r="L11" s="308" t="s">
        <v>12</v>
      </c>
      <c r="M11" s="313">
        <f>100%-M13</f>
        <v>0.51500000000000001</v>
      </c>
      <c r="N11" s="426">
        <v>4.99E-2</v>
      </c>
      <c r="O11" s="314">
        <f>ROUND(M11*N11,4)</f>
        <v>2.5700000000000001E-2</v>
      </c>
      <c r="P11" s="311"/>
      <c r="Q11" s="130"/>
    </row>
    <row r="12" spans="1:25">
      <c r="A12" s="286">
        <v>1</v>
      </c>
      <c r="C12" s="273" t="s">
        <v>143</v>
      </c>
      <c r="F12" s="287">
        <f>'ADJ DETAIL INPUT'!AW81</f>
        <v>586084.19999999995</v>
      </c>
      <c r="G12" s="287">
        <f>'ADJ DETAIL INPUT'!BI81</f>
        <v>602325.09999999986</v>
      </c>
      <c r="H12" s="419"/>
      <c r="I12" s="419"/>
      <c r="J12" s="287"/>
      <c r="K12" s="303"/>
      <c r="L12" s="308"/>
      <c r="M12" s="313"/>
      <c r="N12" s="315"/>
      <c r="O12" s="314"/>
      <c r="Q12" s="891" t="s">
        <v>449</v>
      </c>
      <c r="S12" s="445"/>
    </row>
    <row r="13" spans="1:25">
      <c r="A13" s="286"/>
      <c r="F13" s="288"/>
      <c r="G13" s="288"/>
      <c r="H13" s="420"/>
      <c r="I13" s="420"/>
      <c r="J13" s="288"/>
      <c r="K13" s="303"/>
      <c r="L13" s="308" t="s">
        <v>441</v>
      </c>
      <c r="M13" s="313">
        <v>0.48499999999999999</v>
      </c>
      <c r="N13" s="426">
        <v>0.104</v>
      </c>
      <c r="O13" s="314">
        <f>ROUND(M13*N13,4)</f>
        <v>5.04E-2</v>
      </c>
      <c r="Q13" s="892"/>
    </row>
    <row r="14" spans="1:25" ht="16.2" thickBot="1">
      <c r="A14" s="286">
        <v>2</v>
      </c>
      <c r="C14" s="273" t="s">
        <v>133</v>
      </c>
      <c r="F14" s="444">
        <f>O15</f>
        <v>7.6100000000000001E-2</v>
      </c>
      <c r="G14" s="444">
        <f>F14</f>
        <v>7.6100000000000001E-2</v>
      </c>
      <c r="H14" s="128"/>
      <c r="I14" s="128"/>
      <c r="J14" s="289"/>
      <c r="K14" s="303"/>
      <c r="L14" s="308"/>
      <c r="M14" s="315"/>
      <c r="N14" s="316"/>
      <c r="O14" s="314"/>
      <c r="Q14" s="337">
        <f>O11+O12</f>
        <v>2.5700000000000001E-2</v>
      </c>
    </row>
    <row r="15" spans="1:25" ht="16.2" thickBot="1">
      <c r="A15" s="286"/>
      <c r="F15" s="290"/>
      <c r="G15" s="290"/>
      <c r="H15" s="421"/>
      <c r="I15" s="421"/>
      <c r="J15" s="290"/>
      <c r="K15" s="303"/>
      <c r="L15" s="308" t="s">
        <v>24</v>
      </c>
      <c r="M15" s="317">
        <f>SUM(M11:M13)</f>
        <v>1</v>
      </c>
      <c r="N15" s="316"/>
      <c r="O15" s="318">
        <f>SUM(O11:O13)</f>
        <v>7.6100000000000001E-2</v>
      </c>
    </row>
    <row r="16" spans="1:25" ht="16.8" thickTop="1" thickBot="1">
      <c r="A16" s="286">
        <v>3</v>
      </c>
      <c r="C16" s="273" t="s">
        <v>134</v>
      </c>
      <c r="F16" s="288">
        <f>ROUND(F12*F14,0)</f>
        <v>44601</v>
      </c>
      <c r="G16" s="288">
        <f>ROUND(G12*G14,0)</f>
        <v>45837</v>
      </c>
      <c r="H16" s="420"/>
      <c r="I16" s="420"/>
      <c r="J16" s="288"/>
      <c r="K16" s="319"/>
      <c r="L16" s="320"/>
      <c r="M16" s="321"/>
      <c r="N16" s="322"/>
      <c r="O16" s="323"/>
      <c r="Q16" s="130"/>
    </row>
    <row r="17" spans="1:20">
      <c r="A17" s="286"/>
      <c r="F17" s="288"/>
      <c r="G17" s="288"/>
      <c r="H17" s="420"/>
      <c r="I17" s="420"/>
      <c r="J17" s="288"/>
      <c r="K17" s="293"/>
      <c r="L17" s="73"/>
      <c r="M17" s="73"/>
      <c r="N17" s="372"/>
      <c r="O17" s="73"/>
      <c r="P17" s="129"/>
      <c r="Q17" s="130"/>
    </row>
    <row r="18" spans="1:20">
      <c r="A18" s="286">
        <v>4</v>
      </c>
      <c r="C18" s="273" t="s">
        <v>135</v>
      </c>
      <c r="F18" s="291">
        <f>'ADJ DETAIL INPUT'!AW58</f>
        <v>31585.79887560002</v>
      </c>
      <c r="G18" s="291">
        <f>'ADJ DETAIL INPUT'!BI58</f>
        <v>29386.17428290001</v>
      </c>
      <c r="H18" s="298"/>
      <c r="I18" s="298"/>
      <c r="J18" s="292"/>
      <c r="L18" s="73"/>
      <c r="M18" s="373"/>
      <c r="N18" s="75"/>
      <c r="O18" s="374"/>
      <c r="P18" s="311"/>
      <c r="Q18" s="130"/>
    </row>
    <row r="19" spans="1:20">
      <c r="A19" s="286"/>
      <c r="G19" s="273"/>
      <c r="L19" s="557" t="s">
        <v>640</v>
      </c>
      <c r="M19" s="558"/>
      <c r="N19" s="559"/>
      <c r="O19" s="556"/>
      <c r="P19" s="311"/>
      <c r="Q19" s="274"/>
    </row>
    <row r="20" spans="1:20">
      <c r="A20" s="286">
        <v>5</v>
      </c>
      <c r="C20" s="273" t="s">
        <v>136</v>
      </c>
      <c r="F20" s="288">
        <f>F16-F18</f>
        <v>13015.20112439998</v>
      </c>
      <c r="G20" s="288">
        <f>G16-G18</f>
        <v>16450.82571709999</v>
      </c>
      <c r="H20" s="288">
        <f>G20-F20</f>
        <v>3435.6245927000091</v>
      </c>
      <c r="I20" s="420"/>
      <c r="J20" s="288"/>
      <c r="L20" s="73"/>
      <c r="M20" s="418" t="s">
        <v>535</v>
      </c>
      <c r="N20" s="418" t="s">
        <v>536</v>
      </c>
      <c r="O20" s="418" t="s">
        <v>537</v>
      </c>
      <c r="P20" s="311"/>
      <c r="S20" s="279"/>
      <c r="T20" s="279"/>
    </row>
    <row r="21" spans="1:20">
      <c r="A21" s="286"/>
      <c r="G21" s="294"/>
      <c r="H21" s="273"/>
      <c r="L21" s="550" t="s">
        <v>538</v>
      </c>
      <c r="M21" s="554">
        <v>920.88161811609461</v>
      </c>
      <c r="N21" s="554">
        <v>35.978630661251401</v>
      </c>
      <c r="O21" s="420">
        <f>M21+N21</f>
        <v>956.86024877734599</v>
      </c>
      <c r="P21" s="311"/>
      <c r="Q21" s="279"/>
      <c r="R21" s="279"/>
    </row>
    <row r="22" spans="1:20">
      <c r="A22" s="286">
        <v>6</v>
      </c>
      <c r="C22" s="273" t="s">
        <v>137</v>
      </c>
      <c r="F22" s="294">
        <f>CF!E27</f>
        <v>0.75264900000000001</v>
      </c>
      <c r="G22" s="294">
        <f>F22</f>
        <v>0.75264900000000001</v>
      </c>
      <c r="H22" s="430">
        <f>G22</f>
        <v>0.75264900000000001</v>
      </c>
      <c r="I22" s="422"/>
      <c r="J22" s="294"/>
      <c r="K22" s="129"/>
      <c r="L22" s="550" t="s">
        <v>539</v>
      </c>
      <c r="M22" s="555">
        <v>234</v>
      </c>
      <c r="N22" s="555">
        <v>6.6432028741155591</v>
      </c>
      <c r="O22" s="551">
        <f>M22+N22</f>
        <v>240.64320287411556</v>
      </c>
      <c r="P22" s="129"/>
      <c r="Q22" s="274"/>
    </row>
    <row r="23" spans="1:20" ht="16.2" thickBot="1">
      <c r="A23" s="286"/>
      <c r="G23" s="294"/>
      <c r="H23" s="273"/>
      <c r="K23" s="75"/>
      <c r="L23" s="552" t="s">
        <v>540</v>
      </c>
      <c r="M23" s="553">
        <f>M22+M21</f>
        <v>1154.8816181160946</v>
      </c>
      <c r="N23" s="553">
        <f>N22+N21</f>
        <v>42.62183353536696</v>
      </c>
      <c r="O23" s="553">
        <f>O22+O21</f>
        <v>1197.5034516514615</v>
      </c>
      <c r="P23" s="129"/>
      <c r="Q23" s="274"/>
    </row>
    <row r="24" spans="1:20" ht="16.8" thickTop="1" thickBot="1">
      <c r="A24" s="286">
        <v>7</v>
      </c>
      <c r="C24" s="273" t="s">
        <v>470</v>
      </c>
      <c r="E24" s="295"/>
      <c r="F24" s="394">
        <f>ROUND(F20/F22,0)</f>
        <v>17293</v>
      </c>
      <c r="G24" s="429">
        <f>ROUND(G20/G22,0)-1</f>
        <v>21856</v>
      </c>
      <c r="H24" s="431">
        <f>H20/H22-1</f>
        <v>4563.7102337211754</v>
      </c>
      <c r="I24" s="427"/>
      <c r="K24" s="75"/>
      <c r="L24" s="75"/>
      <c r="M24" s="443"/>
      <c r="N24" s="75"/>
      <c r="O24" s="129"/>
      <c r="P24" s="129"/>
      <c r="Q24" s="274"/>
    </row>
    <row r="25" spans="1:20">
      <c r="E25" s="295"/>
      <c r="G25" s="294"/>
      <c r="H25" s="273"/>
      <c r="I25" s="423"/>
      <c r="K25" s="76"/>
      <c r="L25"/>
      <c r="M25"/>
      <c r="N25"/>
      <c r="O25" s="285"/>
      <c r="P25" s="129"/>
      <c r="Q25" s="549"/>
      <c r="S25" s="549"/>
      <c r="T25" s="549"/>
    </row>
    <row r="26" spans="1:20">
      <c r="A26" s="286">
        <v>8</v>
      </c>
      <c r="C26" s="273" t="s">
        <v>417</v>
      </c>
      <c r="F26" s="292">
        <f>'PROPOSED RATES-12.2024'!J15+'PROPOSED RATES-12.2024'!J16</f>
        <v>126976</v>
      </c>
      <c r="G26" s="298"/>
      <c r="H26" s="287">
        <f>F26+F24</f>
        <v>144269</v>
      </c>
      <c r="I26" s="424"/>
      <c r="J26" s="292"/>
      <c r="K26" s="129"/>
      <c r="L26"/>
      <c r="M26"/>
      <c r="N26"/>
      <c r="O26" s="75"/>
      <c r="P26" s="375"/>
      <c r="Q26" s="549"/>
      <c r="R26" s="549"/>
    </row>
    <row r="27" spans="1:20">
      <c r="G27" s="75"/>
      <c r="H27" s="273"/>
      <c r="I27" s="423"/>
      <c r="K27" s="328"/>
      <c r="L27"/>
      <c r="M27"/>
      <c r="N27"/>
      <c r="O27" s="338"/>
      <c r="P27" s="327"/>
      <c r="Q27" s="274"/>
    </row>
    <row r="28" spans="1:20" ht="16.2" thickBot="1">
      <c r="A28" s="286">
        <v>9</v>
      </c>
      <c r="C28" s="273" t="s">
        <v>420</v>
      </c>
      <c r="F28" s="926">
        <f>ROUND(F24/F26,4)</f>
        <v>0.13619999999999999</v>
      </c>
      <c r="G28" s="128"/>
      <c r="H28" s="926">
        <f>H24/H26</f>
        <v>3.1633339343318218E-2</v>
      </c>
      <c r="I28" s="428"/>
      <c r="J28" s="296"/>
      <c r="K28" s="311"/>
      <c r="L28" s="311"/>
      <c r="M28" s="338"/>
      <c r="N28" s="329"/>
      <c r="O28" s="338"/>
      <c r="P28" s="327"/>
    </row>
    <row r="29" spans="1:20" ht="9.75" customHeight="1" thickTop="1">
      <c r="C29" s="297"/>
      <c r="D29" s="297"/>
      <c r="E29" s="297"/>
      <c r="F29" s="297"/>
      <c r="G29" s="433"/>
      <c r="H29" s="432"/>
      <c r="I29" s="425"/>
      <c r="J29" s="297"/>
      <c r="K29" s="298"/>
      <c r="L29" s="129"/>
      <c r="M29" s="330"/>
      <c r="N29" s="338"/>
      <c r="O29" s="330"/>
      <c r="P29" s="338"/>
    </row>
    <row r="30" spans="1:20">
      <c r="A30" s="286">
        <v>10</v>
      </c>
      <c r="C30" s="273" t="s">
        <v>418</v>
      </c>
      <c r="F30" s="298">
        <v>275288</v>
      </c>
      <c r="G30" s="298"/>
      <c r="H30" s="287">
        <f>F30+F24</f>
        <v>292581</v>
      </c>
      <c r="I30" s="423"/>
      <c r="J30" s="298"/>
      <c r="K30" s="311"/>
      <c r="L30" s="338"/>
      <c r="M30" s="311"/>
      <c r="N30" s="329"/>
      <c r="O30" s="311"/>
      <c r="P30" s="329"/>
      <c r="Q30" s="274"/>
    </row>
    <row r="31" spans="1:20" ht="13.5" customHeight="1">
      <c r="G31" s="298"/>
      <c r="H31" s="432"/>
      <c r="I31" s="423"/>
      <c r="K31" s="311"/>
      <c r="L31" s="311"/>
      <c r="M31" s="331"/>
      <c r="N31" s="327"/>
      <c r="O31" s="331"/>
      <c r="P31" s="338"/>
      <c r="Q31" s="279"/>
    </row>
    <row r="32" spans="1:20" ht="15.75" customHeight="1" thickBot="1">
      <c r="A32" s="286">
        <v>11</v>
      </c>
      <c r="C32" s="273" t="s">
        <v>419</v>
      </c>
      <c r="F32" s="926">
        <f>ROUND(F24/F30,4)</f>
        <v>6.2799999999999995E-2</v>
      </c>
      <c r="G32" s="298"/>
      <c r="H32" s="926">
        <f>H24/H30</f>
        <v>1.5598108673226134E-2</v>
      </c>
      <c r="I32" s="428"/>
      <c r="J32" s="296"/>
      <c r="K32" s="311"/>
      <c r="L32" s="129"/>
      <c r="M32" s="285"/>
      <c r="N32" s="325"/>
      <c r="O32" s="285"/>
      <c r="P32" s="329"/>
    </row>
    <row r="33" spans="1:17" ht="15.75" customHeight="1" thickTop="1">
      <c r="F33" s="296"/>
      <c r="G33" s="298"/>
      <c r="H33" s="426"/>
      <c r="I33" s="426"/>
      <c r="J33" s="296"/>
      <c r="K33" s="311"/>
      <c r="L33" s="129"/>
      <c r="M33" s="128"/>
      <c r="N33" s="325"/>
      <c r="O33" s="128"/>
      <c r="P33" s="327"/>
      <c r="Q33" s="274"/>
    </row>
    <row r="34" spans="1:17">
      <c r="A34" s="299" t="s">
        <v>398</v>
      </c>
      <c r="G34" s="298"/>
      <c r="K34" s="129"/>
      <c r="L34" s="129"/>
      <c r="M34" s="129"/>
      <c r="N34" s="326"/>
      <c r="O34" s="129"/>
      <c r="P34" s="285"/>
      <c r="Q34" s="378"/>
    </row>
    <row r="35" spans="1:17">
      <c r="A35" s="73"/>
      <c r="B35" s="73"/>
      <c r="C35" s="73"/>
      <c r="D35" s="73"/>
      <c r="E35" s="73"/>
      <c r="F35" s="73"/>
      <c r="G35" s="298"/>
      <c r="J35" s="73"/>
      <c r="K35" s="129"/>
      <c r="L35" s="129"/>
      <c r="M35" s="129"/>
      <c r="N35" s="326"/>
      <c r="O35" s="129"/>
      <c r="P35" s="129"/>
      <c r="Q35" s="377"/>
    </row>
    <row r="36" spans="1:17">
      <c r="A36" s="73"/>
      <c r="B36" s="73"/>
      <c r="C36" s="73"/>
      <c r="D36" s="73"/>
      <c r="E36" s="73"/>
      <c r="F36" s="73"/>
      <c r="G36" s="298"/>
      <c r="J36" s="73"/>
      <c r="K36" s="129"/>
      <c r="L36" s="129"/>
      <c r="M36" s="129"/>
      <c r="N36" s="326"/>
      <c r="O36" s="129"/>
      <c r="P36" s="129"/>
      <c r="Q36" s="377"/>
    </row>
    <row r="37" spans="1:17">
      <c r="G37" s="298"/>
      <c r="K37" s="129"/>
      <c r="L37" s="129"/>
      <c r="M37" s="129"/>
      <c r="N37" s="326"/>
      <c r="O37" s="129"/>
      <c r="P37" s="129"/>
      <c r="Q37" s="377"/>
    </row>
    <row r="38" spans="1:17">
      <c r="G38" s="298"/>
      <c r="K38" s="129"/>
      <c r="L38" s="129"/>
      <c r="M38" s="129"/>
      <c r="N38" s="326"/>
      <c r="O38" s="129"/>
      <c r="P38" s="129"/>
      <c r="Q38" s="377"/>
    </row>
    <row r="39" spans="1:17">
      <c r="K39" s="129"/>
      <c r="L39" s="129"/>
      <c r="M39" s="129"/>
      <c r="N39" s="326"/>
      <c r="O39" s="129"/>
      <c r="P39" s="129"/>
      <c r="Q39" s="377"/>
    </row>
    <row r="40" spans="1:17">
      <c r="K40" s="129"/>
      <c r="L40" s="129"/>
      <c r="M40" s="129"/>
      <c r="N40" s="326"/>
      <c r="O40" s="129"/>
      <c r="P40" s="129"/>
      <c r="Q40" s="377"/>
    </row>
    <row r="41" spans="1:17">
      <c r="K41" s="129"/>
      <c r="L41" s="129"/>
      <c r="M41" s="129"/>
      <c r="N41" s="326"/>
      <c r="O41" s="129"/>
      <c r="P41" s="129"/>
    </row>
    <row r="42" spans="1:17">
      <c r="K42" s="129"/>
      <c r="L42" s="129"/>
      <c r="M42" s="129"/>
      <c r="N42" s="326"/>
      <c r="O42" s="129"/>
      <c r="P42" s="129"/>
      <c r="Q42" s="274"/>
    </row>
    <row r="43" spans="1:17">
      <c r="K43" s="129"/>
      <c r="L43" s="129"/>
      <c r="M43" s="129"/>
      <c r="N43" s="326"/>
      <c r="O43" s="129"/>
      <c r="P43" s="129"/>
    </row>
    <row r="44" spans="1:17">
      <c r="K44" s="129"/>
      <c r="L44" s="129"/>
      <c r="M44" s="129"/>
      <c r="N44" s="326"/>
      <c r="O44" s="129"/>
      <c r="P44" s="129"/>
    </row>
    <row r="45" spans="1:17">
      <c r="P45" s="129"/>
    </row>
    <row r="46" spans="1:17">
      <c r="P46" s="129"/>
    </row>
    <row r="47" spans="1:17">
      <c r="P47" s="129"/>
    </row>
    <row r="48" spans="1:17">
      <c r="P48" s="129"/>
    </row>
  </sheetData>
  <mergeCells count="11">
    <mergeCell ref="K2:O2"/>
    <mergeCell ref="K3:O3"/>
    <mergeCell ref="K4:O4"/>
    <mergeCell ref="A1:H1"/>
    <mergeCell ref="A2:H2"/>
    <mergeCell ref="Q12:Q13"/>
    <mergeCell ref="K5:O5"/>
    <mergeCell ref="C9:D10"/>
    <mergeCell ref="H6:H7"/>
    <mergeCell ref="A3:H3"/>
    <mergeCell ref="A4:H4"/>
  </mergeCells>
  <phoneticPr fontId="0" type="noConversion"/>
  <printOptions horizontalCentered="1"/>
  <pageMargins left="1" right="1" top="1" bottom="1" header="0.5" footer="0.5"/>
  <pageSetup scale="79" orientation="portrait" r:id="rId1"/>
  <headerFooter scaleWithDoc="0" alignWithMargins="0">
    <oddHeader>&amp;RExh. KJS-3</oddHeader>
    <oddFooter>&amp;RPage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/>
  <dimension ref="A1:X32"/>
  <sheetViews>
    <sheetView zoomScaleNormal="100" workbookViewId="0"/>
  </sheetViews>
  <sheetFormatPr defaultColWidth="9.33203125" defaultRowHeight="15.6"/>
  <cols>
    <col min="1" max="1" width="9.33203125" style="273"/>
    <col min="2" max="2" width="6.5546875" style="273" customWidth="1"/>
    <col min="3" max="3" width="42" style="273" customWidth="1"/>
    <col min="4" max="4" width="2.6640625" style="273" customWidth="1"/>
    <col min="5" max="5" width="20.33203125" style="585" customWidth="1"/>
    <col min="6" max="6" width="2.5546875" style="273" customWidth="1"/>
    <col min="7" max="8" width="9.33203125" style="273"/>
    <col min="9" max="9" width="19.6640625" style="273" bestFit="1" customWidth="1"/>
    <col min="10" max="10" width="15.5546875" style="273" customWidth="1"/>
    <col min="11" max="16384" width="9.33203125" style="273"/>
  </cols>
  <sheetData>
    <row r="1" spans="1:24" s="582" customFormat="1">
      <c r="A1" s="273"/>
      <c r="B1" s="273"/>
      <c r="C1" s="579" t="s">
        <v>111</v>
      </c>
      <c r="D1" s="580"/>
      <c r="E1" s="581"/>
      <c r="G1" s="423"/>
      <c r="H1" s="423"/>
      <c r="I1" s="273"/>
    </row>
    <row r="2" spans="1:24" s="582" customFormat="1">
      <c r="B2" s="273"/>
      <c r="C2" s="579" t="s">
        <v>152</v>
      </c>
      <c r="D2" s="580"/>
      <c r="E2" s="583"/>
      <c r="I2" s="273"/>
    </row>
    <row r="3" spans="1:24" s="582" customFormat="1">
      <c r="B3" s="273"/>
      <c r="C3" s="272" t="s">
        <v>400</v>
      </c>
      <c r="D3" s="580"/>
      <c r="E3" s="583"/>
      <c r="I3" s="273"/>
    </row>
    <row r="4" spans="1:24">
      <c r="B4" s="584"/>
      <c r="C4" s="579" t="str">
        <f>'PROPOSED RATES-12.2024'!A3</f>
        <v>TWELVE MONTHS ENDED JUNE 30, 2023</v>
      </c>
      <c r="D4" s="584"/>
      <c r="E4" s="584"/>
      <c r="F4" s="584"/>
      <c r="G4" s="584"/>
      <c r="H4" s="584"/>
      <c r="K4" s="584"/>
      <c r="L4" s="584"/>
      <c r="M4" s="579"/>
      <c r="N4" s="579"/>
      <c r="O4" s="579"/>
    </row>
    <row r="5" spans="1:24">
      <c r="C5" s="282"/>
      <c r="D5" s="294"/>
      <c r="P5" s="73"/>
      <c r="Q5" s="73"/>
      <c r="R5" s="73"/>
      <c r="S5" s="73"/>
      <c r="T5" s="73"/>
      <c r="U5" s="73"/>
      <c r="V5" s="73"/>
      <c r="W5" s="73"/>
      <c r="X5" s="73"/>
    </row>
    <row r="6" spans="1:24" hidden="1">
      <c r="A6" s="282"/>
      <c r="C6" s="586"/>
      <c r="D6" s="294"/>
      <c r="E6" s="580"/>
      <c r="I6" s="575"/>
      <c r="J6" s="575"/>
      <c r="O6" s="73"/>
      <c r="P6" s="73"/>
      <c r="Q6" s="73"/>
      <c r="R6" s="73"/>
      <c r="S6" s="73"/>
      <c r="T6" s="73"/>
      <c r="U6" s="73"/>
      <c r="V6" s="73"/>
      <c r="W6" s="73"/>
      <c r="X6" s="73"/>
    </row>
    <row r="7" spans="1:24" hidden="1">
      <c r="A7" s="282"/>
      <c r="C7" s="586"/>
      <c r="D7" s="294"/>
      <c r="E7" s="580"/>
    </row>
    <row r="8" spans="1:24">
      <c r="A8" s="282"/>
      <c r="C8" s="294"/>
      <c r="D8" s="294"/>
      <c r="E8" s="587"/>
      <c r="F8" s="417"/>
      <c r="G8" s="417"/>
      <c r="I8" s="417">
        <v>12.202400000000001</v>
      </c>
      <c r="J8" s="417">
        <v>12.202500000000001</v>
      </c>
    </row>
    <row r="9" spans="1:24">
      <c r="A9" s="282" t="s">
        <v>127</v>
      </c>
      <c r="C9" s="282"/>
      <c r="D9" s="294"/>
      <c r="E9" s="282"/>
      <c r="I9" s="574" t="s">
        <v>528</v>
      </c>
      <c r="J9" s="574" t="s">
        <v>528</v>
      </c>
      <c r="L9" s="285"/>
      <c r="M9" s="285"/>
      <c r="N9" s="285"/>
      <c r="O9" s="285"/>
    </row>
    <row r="10" spans="1:24">
      <c r="A10" s="588" t="s">
        <v>15</v>
      </c>
      <c r="C10" s="588" t="s">
        <v>70</v>
      </c>
      <c r="D10" s="294"/>
      <c r="E10" s="588" t="s">
        <v>144</v>
      </c>
      <c r="F10" s="585"/>
      <c r="I10" s="575" t="s">
        <v>141</v>
      </c>
      <c r="J10" s="575" t="s">
        <v>141</v>
      </c>
      <c r="L10" s="285"/>
      <c r="M10" s="285"/>
      <c r="N10" s="285"/>
      <c r="O10" s="285"/>
    </row>
    <row r="11" spans="1:24" ht="9" customHeight="1">
      <c r="A11" s="282"/>
      <c r="C11" s="294"/>
      <c r="D11" s="294"/>
      <c r="E11" s="294"/>
      <c r="L11" s="285"/>
      <c r="M11" s="285"/>
      <c r="N11" s="285"/>
      <c r="O11" s="285"/>
    </row>
    <row r="12" spans="1:24">
      <c r="A12" s="286">
        <v>1</v>
      </c>
      <c r="C12" s="589" t="s">
        <v>145</v>
      </c>
      <c r="D12" s="422"/>
      <c r="E12" s="422">
        <f>'CF WA Gas'!E5</f>
        <v>1</v>
      </c>
      <c r="I12" s="590">
        <f>'RR SUMMARY'!F24</f>
        <v>17293</v>
      </c>
      <c r="J12" s="590">
        <f>'RR SUMMARY'!H24</f>
        <v>4563.7102337211754</v>
      </c>
      <c r="L12" s="285"/>
      <c r="M12" s="591"/>
      <c r="N12" s="285"/>
      <c r="O12" s="285"/>
    </row>
    <row r="13" spans="1:24" ht="9" customHeight="1">
      <c r="A13" s="286"/>
      <c r="C13" s="589"/>
      <c r="D13" s="422"/>
      <c r="E13" s="422"/>
      <c r="L13" s="285"/>
      <c r="M13" s="285"/>
      <c r="N13" s="285"/>
      <c r="O13" s="285"/>
    </row>
    <row r="14" spans="1:24">
      <c r="A14" s="286"/>
      <c r="C14" s="589" t="s">
        <v>146</v>
      </c>
      <c r="D14" s="422"/>
      <c r="E14" s="422"/>
      <c r="L14" s="285"/>
      <c r="M14" s="285"/>
      <c r="N14" s="285"/>
      <c r="O14" s="285"/>
    </row>
    <row r="15" spans="1:24">
      <c r="A15" s="286">
        <v>2</v>
      </c>
      <c r="B15" s="577"/>
      <c r="C15" s="422" t="s">
        <v>147</v>
      </c>
      <c r="D15" s="422"/>
      <c r="E15" s="592">
        <f>'CF WA Gas'!E9</f>
        <v>4.9508674374747468E-3</v>
      </c>
      <c r="F15" s="593"/>
      <c r="I15" s="594">
        <f>ROUND($I$12*E15,0)</f>
        <v>86</v>
      </c>
      <c r="J15" s="594">
        <f>ROUND($J$12*E15,0)</f>
        <v>23</v>
      </c>
      <c r="L15" s="285"/>
      <c r="M15" s="595"/>
      <c r="N15" s="285"/>
      <c r="O15" s="285"/>
    </row>
    <row r="16" spans="1:24" ht="9" customHeight="1">
      <c r="A16" s="286"/>
      <c r="C16" s="422"/>
      <c r="D16" s="422"/>
      <c r="E16" s="592"/>
      <c r="L16" s="285"/>
      <c r="M16" s="285"/>
      <c r="N16" s="285"/>
      <c r="O16" s="285"/>
    </row>
    <row r="17" spans="1:15">
      <c r="A17" s="286">
        <v>3</v>
      </c>
      <c r="C17" s="422" t="s">
        <v>148</v>
      </c>
      <c r="D17" s="422"/>
      <c r="E17" s="592">
        <f>'CF WA Gas'!E11</f>
        <v>4.0000000000000001E-3</v>
      </c>
      <c r="I17" s="594">
        <f>ROUND($I$12*E17,0)</f>
        <v>69</v>
      </c>
      <c r="J17" s="594">
        <f>ROUND($J$12*E17,0)</f>
        <v>18</v>
      </c>
      <c r="L17" s="285"/>
      <c r="M17" s="595"/>
      <c r="N17" s="285"/>
      <c r="O17" s="285"/>
    </row>
    <row r="18" spans="1:15" ht="9" customHeight="1">
      <c r="A18" s="286"/>
      <c r="C18" s="422"/>
      <c r="D18" s="422"/>
      <c r="E18" s="592"/>
      <c r="L18" s="285"/>
      <c r="M18" s="285"/>
      <c r="N18" s="285"/>
      <c r="O18" s="285"/>
    </row>
    <row r="19" spans="1:15">
      <c r="A19" s="286">
        <v>4</v>
      </c>
      <c r="C19" s="422" t="s">
        <v>149</v>
      </c>
      <c r="D19" s="422"/>
      <c r="E19" s="592">
        <f>'CF WA Gas'!E13</f>
        <v>3.8329292586308468E-2</v>
      </c>
      <c r="F19" s="593"/>
      <c r="I19" s="594">
        <f>ROUND($I$12*E19,0)</f>
        <v>663</v>
      </c>
      <c r="J19" s="594">
        <f>ROUND($J$12*E19,0)</f>
        <v>175</v>
      </c>
      <c r="L19" s="285"/>
      <c r="M19" s="595"/>
      <c r="N19" s="285"/>
      <c r="O19" s="285"/>
    </row>
    <row r="20" spans="1:15" ht="9" customHeight="1">
      <c r="A20" s="286"/>
      <c r="C20" s="422"/>
      <c r="D20" s="422"/>
      <c r="E20" s="596"/>
      <c r="L20" s="285"/>
      <c r="M20" s="285"/>
      <c r="N20" s="285"/>
      <c r="O20" s="285"/>
    </row>
    <row r="21" spans="1:15">
      <c r="A21" s="286">
        <v>6</v>
      </c>
      <c r="C21" s="422" t="s">
        <v>150</v>
      </c>
      <c r="D21" s="422"/>
      <c r="E21" s="597">
        <f>SUM(E15:E19)</f>
        <v>4.7280160023783213E-2</v>
      </c>
      <c r="I21" s="598">
        <f>SUM(I15:I20)</f>
        <v>818</v>
      </c>
      <c r="J21" s="598">
        <f>SUM(J15:J20)</f>
        <v>216</v>
      </c>
      <c r="L21" s="285"/>
      <c r="M21" s="595"/>
      <c r="N21" s="285"/>
      <c r="O21" s="285"/>
    </row>
    <row r="22" spans="1:15" ht="9.75" customHeight="1">
      <c r="A22" s="286"/>
      <c r="C22" s="422"/>
      <c r="D22" s="422"/>
      <c r="E22" s="422"/>
      <c r="I22" s="595"/>
      <c r="J22" s="595"/>
      <c r="L22" s="285"/>
      <c r="M22" s="595"/>
      <c r="N22" s="285"/>
      <c r="O22" s="285"/>
    </row>
    <row r="23" spans="1:15">
      <c r="A23" s="286">
        <v>7</v>
      </c>
      <c r="C23" s="422" t="s">
        <v>151</v>
      </c>
      <c r="D23" s="422"/>
      <c r="E23" s="422">
        <f>E12-E21</f>
        <v>0.95271983997621679</v>
      </c>
      <c r="I23" s="595">
        <f>I12-I21</f>
        <v>16475</v>
      </c>
      <c r="J23" s="595">
        <f>J12-J21</f>
        <v>4347.7102337211754</v>
      </c>
      <c r="L23" s="285"/>
      <c r="M23" s="595"/>
      <c r="N23" s="285"/>
      <c r="O23" s="285"/>
    </row>
    <row r="24" spans="1:15" ht="9.75" customHeight="1">
      <c r="A24" s="286"/>
      <c r="C24" s="422"/>
      <c r="D24" s="422"/>
      <c r="E24" s="422"/>
      <c r="L24" s="285"/>
      <c r="M24" s="285"/>
      <c r="N24" s="285"/>
      <c r="O24" s="285"/>
    </row>
    <row r="25" spans="1:15">
      <c r="A25" s="286">
        <v>8</v>
      </c>
      <c r="C25" s="422" t="s">
        <v>436</v>
      </c>
      <c r="D25" s="599"/>
      <c r="E25" s="600">
        <f>'CF WA Gas'!E20</f>
        <v>0.20007116639500552</v>
      </c>
      <c r="I25" s="601">
        <f>ROUND(I23*0.21,0)</f>
        <v>3460</v>
      </c>
      <c r="J25" s="601">
        <f>ROUND(J23*0.21,0)</f>
        <v>913</v>
      </c>
      <c r="L25" s="285"/>
      <c r="M25" s="595"/>
      <c r="N25" s="285"/>
      <c r="O25" s="285"/>
    </row>
    <row r="26" spans="1:15" ht="9" customHeight="1">
      <c r="C26" s="422"/>
      <c r="D26" s="422"/>
      <c r="E26" s="422"/>
      <c r="L26" s="285"/>
      <c r="M26" s="285"/>
      <c r="N26" s="285"/>
      <c r="O26" s="285"/>
    </row>
    <row r="27" spans="1:15" ht="16.2" thickBot="1">
      <c r="A27" s="286">
        <v>9</v>
      </c>
      <c r="C27" s="422" t="s">
        <v>152</v>
      </c>
      <c r="D27" s="422"/>
      <c r="E27" s="602">
        <f>ROUND(E23-E25,6)</f>
        <v>0.75264900000000001</v>
      </c>
      <c r="I27" s="603">
        <f>I23-I25</f>
        <v>13015</v>
      </c>
      <c r="J27" s="603">
        <f>J23-J25</f>
        <v>3434.7102337211754</v>
      </c>
      <c r="L27" s="285"/>
      <c r="M27" s="604"/>
      <c r="N27" s="285"/>
      <c r="O27" s="285"/>
    </row>
    <row r="28" spans="1:15" ht="13.5" customHeight="1" thickTop="1">
      <c r="C28" s="294"/>
      <c r="D28" s="294"/>
      <c r="F28" s="605"/>
      <c r="G28" s="605"/>
      <c r="H28" s="605"/>
      <c r="L28" s="285"/>
      <c r="M28" s="285"/>
      <c r="N28" s="285"/>
      <c r="O28" s="285"/>
    </row>
    <row r="29" spans="1:15">
      <c r="A29" s="605"/>
      <c r="B29" s="605"/>
      <c r="C29" s="605"/>
      <c r="D29" s="605"/>
      <c r="E29" s="605"/>
      <c r="F29" s="605"/>
      <c r="G29" s="605"/>
      <c r="H29" s="605"/>
      <c r="I29" s="594">
        <f>I27/E27</f>
        <v>17292.257081322103</v>
      </c>
      <c r="J29" s="594">
        <f>J27/E27</f>
        <v>4563.4953792819433</v>
      </c>
      <c r="K29" s="273" t="s">
        <v>388</v>
      </c>
      <c r="L29" s="285"/>
      <c r="M29" s="285"/>
      <c r="N29" s="285"/>
      <c r="O29" s="285"/>
    </row>
    <row r="30" spans="1:15" ht="15.75" customHeight="1">
      <c r="A30" s="605"/>
      <c r="B30" s="605"/>
      <c r="C30" s="605"/>
      <c r="D30" s="605"/>
      <c r="E30" s="605"/>
      <c r="F30" s="605"/>
      <c r="G30" s="605"/>
      <c r="H30" s="605"/>
      <c r="I30" s="606">
        <f>I29-'RR SUMMARY'!F24</f>
        <v>-0.74291867789725075</v>
      </c>
      <c r="J30" s="606">
        <f>J29-'RR SUMMARY'!H24</f>
        <v>-0.21485443923211278</v>
      </c>
      <c r="K30" s="273" t="s">
        <v>82</v>
      </c>
      <c r="L30" s="285"/>
      <c r="M30" s="285"/>
      <c r="N30" s="285"/>
      <c r="O30" s="285"/>
    </row>
    <row r="31" spans="1:15" ht="4.5" customHeight="1">
      <c r="C31" s="294"/>
      <c r="D31" s="294"/>
      <c r="L31" s="285"/>
      <c r="M31" s="285"/>
      <c r="N31" s="285"/>
      <c r="O31" s="285"/>
    </row>
    <row r="32" spans="1:15">
      <c r="C32" s="294"/>
      <c r="D32" s="294"/>
      <c r="L32" s="285"/>
      <c r="M32" s="285"/>
      <c r="N32" s="285"/>
      <c r="O32" s="285"/>
    </row>
  </sheetData>
  <phoneticPr fontId="0" type="noConversion"/>
  <pageMargins left="1" right="1" top="1" bottom="1" header="0.5" footer="0.5"/>
  <pageSetup scale="98" orientation="portrait" r:id="rId1"/>
  <headerFooter alignWithMargins="0">
    <oddHeader>&amp;RExh. KJS-3</oddHead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BS98"/>
  <sheetViews>
    <sheetView zoomScaleNormal="100" zoomScaleSheetLayoutView="85" workbookViewId="0"/>
  </sheetViews>
  <sheetFormatPr defaultColWidth="10.5546875" defaultRowHeight="13.2"/>
  <cols>
    <col min="1" max="1" width="4.5546875" style="618" customWidth="1"/>
    <col min="2" max="3" width="1.5546875" style="619" customWidth="1"/>
    <col min="4" max="4" width="33.33203125" style="619" customWidth="1"/>
    <col min="5" max="5" width="13.109375" style="620" customWidth="1"/>
    <col min="6" max="6" width="11.44140625" style="622" customWidth="1"/>
    <col min="7" max="7" width="11.88671875" style="622" customWidth="1"/>
    <col min="8" max="8" width="10.6640625" style="622" customWidth="1"/>
    <col min="9" max="9" width="12" style="622" customWidth="1"/>
    <col min="10" max="10" width="10.33203125" style="622" customWidth="1"/>
    <col min="11" max="11" width="12" style="622" customWidth="1"/>
    <col min="12" max="12" width="12.88671875" style="622" customWidth="1"/>
    <col min="13" max="13" width="13" style="622" customWidth="1"/>
    <col min="14" max="14" width="11.6640625" style="622" customWidth="1"/>
    <col min="15" max="15" width="14.88671875" style="622" customWidth="1"/>
    <col min="16" max="16" width="11" style="622" customWidth="1"/>
    <col min="17" max="17" width="12.5546875" style="622" customWidth="1"/>
    <col min="18" max="18" width="17.33203125" style="622" customWidth="1"/>
    <col min="19" max="19" width="15.5546875" style="622" customWidth="1"/>
    <col min="20" max="20" width="21.33203125" style="623" customWidth="1"/>
    <col min="21" max="21" width="14.5546875" style="624" customWidth="1"/>
    <col min="22" max="22" width="16.5546875" style="622" customWidth="1"/>
    <col min="23" max="23" width="15.88671875" style="622" customWidth="1"/>
    <col min="24" max="24" width="3.6640625" style="624" hidden="1" customWidth="1"/>
    <col min="25" max="25" width="19.33203125" style="625" customWidth="1"/>
    <col min="26" max="26" width="15.109375" style="622" customWidth="1"/>
    <col min="27" max="27" width="20.6640625" style="622" customWidth="1"/>
    <col min="28" max="28" width="12.109375" style="622" customWidth="1"/>
    <col min="29" max="29" width="13.109375" style="622" customWidth="1"/>
    <col min="30" max="30" width="11.44140625" style="626" customWidth="1"/>
    <col min="31" max="31" width="11.109375" style="625" customWidth="1"/>
    <col min="32" max="33" width="12" style="625" customWidth="1"/>
    <col min="34" max="34" width="12.109375" style="625" customWidth="1"/>
    <col min="35" max="35" width="12.33203125" style="622" customWidth="1"/>
    <col min="36" max="36" width="13.88671875" style="622" customWidth="1"/>
    <col min="37" max="37" width="13.33203125" style="622" customWidth="1"/>
    <col min="38" max="38" width="11.88671875" style="622" customWidth="1"/>
    <col min="39" max="39" width="14.6640625" style="622" customWidth="1"/>
    <col min="40" max="40" width="17" style="622" bestFit="1" customWidth="1"/>
    <col min="41" max="41" width="14.88671875" style="622" customWidth="1"/>
    <col min="42" max="42" width="19.6640625" style="622" customWidth="1"/>
    <col min="43" max="43" width="17.109375" style="622" customWidth="1"/>
    <col min="44" max="44" width="16.33203125" style="622" customWidth="1"/>
    <col min="45" max="45" width="11.88671875" style="622" customWidth="1"/>
    <col min="46" max="46" width="18" style="622" customWidth="1"/>
    <col min="47" max="47" width="19.88671875" style="622" customWidth="1"/>
    <col min="48" max="48" width="8.5546875" style="622" hidden="1" customWidth="1"/>
    <col min="49" max="49" width="17.5546875" style="627" customWidth="1"/>
    <col min="50" max="50" width="1.5546875" style="628" hidden="1" customWidth="1"/>
    <col min="51" max="51" width="13.33203125" style="622" hidden="1" customWidth="1"/>
    <col min="52" max="52" width="18.44140625" style="622" customWidth="1"/>
    <col min="53" max="53" width="15.5546875" style="626" customWidth="1"/>
    <col min="54" max="54" width="14.88671875" style="625" customWidth="1"/>
    <col min="55" max="55" width="13.33203125" style="622" customWidth="1"/>
    <col min="56" max="56" width="18.109375" style="622" customWidth="1"/>
    <col min="57" max="57" width="15.109375" style="622" customWidth="1"/>
    <col min="58" max="58" width="18.44140625" style="622" customWidth="1"/>
    <col min="59" max="59" width="20.88671875" style="622" customWidth="1"/>
    <col min="60" max="60" width="17" style="622" hidden="1" customWidth="1"/>
    <col min="61" max="61" width="17.109375" style="625" customWidth="1"/>
    <col min="62" max="62" width="19.33203125" style="622" customWidth="1"/>
    <col min="63" max="63" width="10.5546875" style="629"/>
    <col min="64" max="71" width="10.5546875" style="630"/>
    <col min="72" max="16384" width="10.5546875" style="619"/>
  </cols>
  <sheetData>
    <row r="1" spans="1:71" ht="18" customHeight="1"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</row>
    <row r="2" spans="1:71" s="863" customFormat="1" ht="18" customHeight="1">
      <c r="A2" s="862" t="str">
        <f>'ROO INPUT 1.00'!A3:C3</f>
        <v>AVISTA UTILITIES</v>
      </c>
      <c r="E2" s="627"/>
      <c r="F2" s="631" t="s">
        <v>414</v>
      </c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5"/>
      <c r="U2" s="865"/>
      <c r="V2" s="214"/>
      <c r="W2" s="214"/>
      <c r="X2" s="865"/>
      <c r="Y2" s="625"/>
      <c r="Z2" s="625" t="s">
        <v>646</v>
      </c>
      <c r="AA2" s="625"/>
      <c r="AB2" s="866"/>
      <c r="AC2" s="578"/>
      <c r="AD2" s="626"/>
      <c r="AE2" s="866"/>
      <c r="AF2" s="625"/>
      <c r="AG2" s="625"/>
      <c r="AH2" s="866"/>
      <c r="AI2" s="214"/>
      <c r="AJ2" s="214"/>
      <c r="AK2" s="632"/>
      <c r="AL2" s="214"/>
      <c r="AM2" s="633"/>
      <c r="AN2" s="214"/>
      <c r="AO2" s="633"/>
      <c r="AP2" s="633"/>
      <c r="AQ2" s="633"/>
      <c r="AR2" s="633"/>
      <c r="AS2" s="633"/>
      <c r="AT2" s="531"/>
      <c r="AU2" s="625"/>
      <c r="AV2" s="625"/>
      <c r="AW2" s="627"/>
      <c r="AX2" s="628"/>
      <c r="AY2" s="866"/>
      <c r="AZ2" s="625" t="s">
        <v>645</v>
      </c>
      <c r="BA2" s="867"/>
      <c r="BB2" s="866"/>
      <c r="BC2" s="531"/>
      <c r="BD2" s="632"/>
      <c r="BE2" s="214"/>
      <c r="BF2" s="531"/>
      <c r="BG2" s="634"/>
      <c r="BH2" s="634"/>
      <c r="BI2" s="635"/>
      <c r="BJ2" s="635"/>
      <c r="BK2" s="868"/>
      <c r="BL2" s="531"/>
      <c r="BM2" s="531"/>
      <c r="BN2" s="531"/>
      <c r="BO2" s="531"/>
      <c r="BP2" s="531"/>
      <c r="BQ2" s="531"/>
      <c r="BR2" s="531"/>
      <c r="BS2" s="531"/>
    </row>
    <row r="3" spans="1:71" s="863" customFormat="1" ht="15" customHeight="1">
      <c r="A3" s="862" t="s">
        <v>400</v>
      </c>
      <c r="E3" s="627"/>
      <c r="F3" s="625"/>
      <c r="G3" s="625"/>
      <c r="H3" s="625"/>
      <c r="I3" s="625"/>
      <c r="J3" s="632"/>
      <c r="K3" s="625"/>
      <c r="L3" s="643"/>
      <c r="M3" s="625"/>
      <c r="N3" s="625"/>
      <c r="O3" s="625"/>
      <c r="P3" s="625"/>
      <c r="Q3" s="632"/>
      <c r="R3" s="634"/>
      <c r="S3" s="643"/>
      <c r="T3" s="865"/>
      <c r="U3" s="865"/>
      <c r="V3" s="637"/>
      <c r="W3" s="643"/>
      <c r="X3" s="865"/>
      <c r="Y3" s="625"/>
      <c r="Z3" s="625"/>
      <c r="AA3" s="638"/>
      <c r="AB3" s="643"/>
      <c r="AC3" s="635"/>
      <c r="AD3" s="639"/>
      <c r="AE3" s="214"/>
      <c r="AF3" s="643"/>
      <c r="AG3" s="643"/>
      <c r="AH3" s="643"/>
      <c r="AI3" s="643"/>
      <c r="AJ3" s="643"/>
      <c r="AK3" s="643"/>
      <c r="AL3" s="214"/>
      <c r="AM3" s="633"/>
      <c r="AN3" s="643"/>
      <c r="AO3" s="633"/>
      <c r="AP3" s="633"/>
      <c r="AQ3" s="633"/>
      <c r="AR3" s="633"/>
      <c r="AS3" s="633"/>
      <c r="AT3" s="531"/>
      <c r="AU3" s="643"/>
      <c r="AV3" s="643"/>
      <c r="AW3" s="627"/>
      <c r="AX3" s="628"/>
      <c r="AY3" s="643"/>
      <c r="AZ3" s="635"/>
      <c r="BA3" s="639"/>
      <c r="BB3" s="643"/>
      <c r="BC3" s="531"/>
      <c r="BD3" s="633"/>
      <c r="BE3" s="643"/>
      <c r="BF3" s="531"/>
      <c r="BG3" s="634"/>
      <c r="BH3" s="634"/>
      <c r="BI3" s="635"/>
      <c r="BJ3" s="635"/>
      <c r="BK3" s="868"/>
      <c r="BL3" s="531"/>
      <c r="BM3" s="531"/>
      <c r="BN3" s="531"/>
      <c r="BO3" s="531"/>
      <c r="BP3" s="531"/>
      <c r="BQ3" s="531"/>
      <c r="BR3" s="531"/>
      <c r="BS3" s="531"/>
    </row>
    <row r="4" spans="1:71" s="863" customFormat="1" ht="15" customHeight="1">
      <c r="A4" s="862" t="str">
        <f>'ROO INPUT 1.00'!A5:C5</f>
        <v>TWELVE MONTHS ENDED JUNE 30, 2023</v>
      </c>
      <c r="E4" s="640" t="s">
        <v>433</v>
      </c>
      <c r="F4" s="869"/>
      <c r="G4" s="870"/>
      <c r="H4" s="870"/>
      <c r="I4" s="870"/>
      <c r="J4" s="870"/>
      <c r="K4" s="641"/>
      <c r="L4" s="642"/>
      <c r="M4" s="625"/>
      <c r="N4" s="625"/>
      <c r="O4" s="625"/>
      <c r="P4" s="625"/>
      <c r="Q4" s="643"/>
      <c r="R4" s="625"/>
      <c r="S4" s="214"/>
      <c r="T4" s="871"/>
      <c r="U4" s="644"/>
      <c r="V4" s="637"/>
      <c r="W4" s="645"/>
      <c r="X4" s="644"/>
      <c r="Y4" s="625"/>
      <c r="Z4" s="625"/>
      <c r="AA4" s="646"/>
      <c r="AB4" s="645"/>
      <c r="AC4" s="578"/>
      <c r="AD4" s="639"/>
      <c r="AE4" s="214"/>
      <c r="AF4" s="647"/>
      <c r="AG4" s="647"/>
      <c r="AH4" s="645"/>
      <c r="AI4" s="645"/>
      <c r="AJ4" s="645"/>
      <c r="AK4" s="645"/>
      <c r="AL4" s="214"/>
      <c r="AM4" s="648"/>
      <c r="AN4" s="645"/>
      <c r="AO4" s="648"/>
      <c r="AP4" s="648"/>
      <c r="AQ4" s="648"/>
      <c r="AR4" s="648"/>
      <c r="AS4" s="648"/>
      <c r="AT4" s="531"/>
      <c r="AU4" s="645"/>
      <c r="AV4" s="645"/>
      <c r="AW4" s="910" t="s">
        <v>642</v>
      </c>
      <c r="AX4" s="628"/>
      <c r="AY4" s="645"/>
      <c r="AZ4" s="578"/>
      <c r="BA4" s="639"/>
      <c r="BB4" s="645"/>
      <c r="BC4" s="531"/>
      <c r="BD4" s="633"/>
      <c r="BE4" s="648"/>
      <c r="BF4" s="531"/>
      <c r="BG4" s="634"/>
      <c r="BH4" s="634"/>
      <c r="BI4" s="910" t="s">
        <v>643</v>
      </c>
      <c r="BJ4" s="649"/>
      <c r="BK4" s="868"/>
      <c r="BL4" s="531"/>
      <c r="BM4" s="531"/>
      <c r="BN4" s="531"/>
      <c r="BO4" s="531"/>
      <c r="BP4" s="531"/>
      <c r="BQ4" s="531"/>
      <c r="BR4" s="531"/>
      <c r="BS4" s="531"/>
    </row>
    <row r="5" spans="1:71" s="875" customFormat="1" ht="14.25" customHeight="1">
      <c r="A5" s="862" t="str">
        <f>'ROO INPUT 1.00'!A6:C6</f>
        <v xml:space="preserve">(000'S OF DOLLARS)   </v>
      </c>
      <c r="B5" s="818"/>
      <c r="C5" s="818"/>
      <c r="D5" s="818"/>
      <c r="E5" s="650" t="s">
        <v>435</v>
      </c>
      <c r="F5" s="869"/>
      <c r="G5" s="870"/>
      <c r="H5" s="870"/>
      <c r="I5" s="870"/>
      <c r="J5" s="870"/>
      <c r="K5" s="641"/>
      <c r="L5" s="642"/>
      <c r="M5" s="872"/>
      <c r="N5" s="872"/>
      <c r="O5" s="872"/>
      <c r="P5" s="872"/>
      <c r="Q5" s="643"/>
      <c r="R5" s="872"/>
      <c r="S5" s="635"/>
      <c r="T5" s="651"/>
      <c r="U5" s="652"/>
      <c r="V5" s="653"/>
      <c r="W5" s="654"/>
      <c r="X5" s="652"/>
      <c r="Y5" s="872"/>
      <c r="Z5" s="655"/>
      <c r="AA5" s="646"/>
      <c r="AB5" s="645"/>
      <c r="AC5" s="635"/>
      <c r="AD5" s="873"/>
      <c r="AE5" s="655"/>
      <c r="AF5" s="654"/>
      <c r="AG5" s="654"/>
      <c r="AH5" s="645"/>
      <c r="AI5" s="645"/>
      <c r="AJ5" s="645"/>
      <c r="AK5" s="645"/>
      <c r="AL5" s="653"/>
      <c r="AM5" s="642"/>
      <c r="AN5" s="645"/>
      <c r="AO5" s="633"/>
      <c r="AP5" s="633"/>
      <c r="AQ5" s="633"/>
      <c r="AR5" s="633"/>
      <c r="AS5" s="633"/>
      <c r="AT5" s="531"/>
      <c r="AU5" s="654"/>
      <c r="AV5" s="654"/>
      <c r="AW5" s="910"/>
      <c r="AX5" s="874"/>
      <c r="AY5" s="645"/>
      <c r="AZ5" s="635"/>
      <c r="BA5" s="656"/>
      <c r="BB5" s="654"/>
      <c r="BC5" s="531"/>
      <c r="BD5" s="633"/>
      <c r="BE5" s="642"/>
      <c r="BF5" s="531"/>
      <c r="BG5" s="654"/>
      <c r="BH5" s="654"/>
      <c r="BI5" s="910"/>
      <c r="BJ5" s="657" t="s">
        <v>519</v>
      </c>
      <c r="BK5" s="687"/>
      <c r="BL5" s="531"/>
      <c r="BM5" s="531"/>
      <c r="BN5" s="531"/>
      <c r="BO5" s="531"/>
      <c r="BP5" s="531"/>
      <c r="BQ5" s="531"/>
      <c r="BR5" s="531"/>
      <c r="BS5" s="531"/>
    </row>
    <row r="6" spans="1:71" s="660" customFormat="1">
      <c r="A6" s="659"/>
      <c r="D6" s="876"/>
      <c r="E6" s="57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661"/>
      <c r="R6" s="661"/>
      <c r="S6" s="661"/>
      <c r="T6" s="662"/>
      <c r="U6" s="661"/>
      <c r="V6" s="661"/>
      <c r="W6" s="661"/>
      <c r="X6" s="663"/>
      <c r="Y6" s="661"/>
      <c r="Z6" s="661"/>
      <c r="AA6" s="661"/>
      <c r="AB6" s="661"/>
      <c r="AC6" s="661"/>
      <c r="AD6" s="664"/>
      <c r="AE6" s="661"/>
      <c r="AF6" s="661"/>
      <c r="AG6" s="661"/>
      <c r="AH6" s="665"/>
      <c r="AI6" s="661"/>
      <c r="AJ6" s="661"/>
      <c r="AK6" s="661"/>
      <c r="AL6" s="661"/>
      <c r="AM6" s="666"/>
      <c r="AN6" s="661"/>
      <c r="AO6" s="661"/>
      <c r="AP6" s="661"/>
      <c r="AQ6" s="661"/>
      <c r="AR6" s="661"/>
      <c r="AS6" s="661"/>
      <c r="AT6" s="661"/>
      <c r="AU6" s="661"/>
      <c r="AV6" s="661"/>
      <c r="AW6" s="667" t="s">
        <v>517</v>
      </c>
      <c r="AX6" s="668"/>
      <c r="AY6" s="661"/>
      <c r="AZ6" s="661"/>
      <c r="BA6" s="664"/>
      <c r="BB6" s="661"/>
      <c r="BC6" s="661"/>
      <c r="BD6" s="661"/>
      <c r="BE6" s="666"/>
      <c r="BF6" s="661"/>
      <c r="BG6" s="661"/>
      <c r="BH6" s="877"/>
      <c r="BI6" s="667" t="s">
        <v>519</v>
      </c>
      <c r="BJ6" s="669" t="s">
        <v>521</v>
      </c>
      <c r="BK6" s="658"/>
      <c r="BL6" s="630"/>
      <c r="BM6" s="630"/>
      <c r="BN6" s="630"/>
      <c r="BO6" s="630"/>
      <c r="BP6" s="630"/>
      <c r="BQ6" s="630"/>
      <c r="BR6" s="630"/>
      <c r="BS6" s="630"/>
    </row>
    <row r="7" spans="1:71" s="688" customFormat="1">
      <c r="A7" s="670"/>
      <c r="B7" s="671"/>
      <c r="C7" s="672"/>
      <c r="D7" s="860"/>
      <c r="E7" s="673"/>
      <c r="F7" s="673" t="s">
        <v>0</v>
      </c>
      <c r="G7" s="673" t="s">
        <v>424</v>
      </c>
      <c r="H7" s="673" t="s">
        <v>391</v>
      </c>
      <c r="I7" s="673" t="s">
        <v>1</v>
      </c>
      <c r="J7" s="673" t="s">
        <v>4</v>
      </c>
      <c r="K7" s="673" t="s">
        <v>112</v>
      </c>
      <c r="L7" s="673" t="s">
        <v>2</v>
      </c>
      <c r="M7" s="673" t="s">
        <v>3</v>
      </c>
      <c r="N7" s="673" t="s">
        <v>386</v>
      </c>
      <c r="O7" s="673" t="s">
        <v>5</v>
      </c>
      <c r="P7" s="673" t="s">
        <v>4</v>
      </c>
      <c r="Q7" s="673" t="s">
        <v>125</v>
      </c>
      <c r="R7" s="673" t="s">
        <v>403</v>
      </c>
      <c r="S7" s="674" t="s">
        <v>405</v>
      </c>
      <c r="T7" s="675" t="s">
        <v>429</v>
      </c>
      <c r="U7" s="676" t="s">
        <v>155</v>
      </c>
      <c r="V7" s="674" t="s">
        <v>4</v>
      </c>
      <c r="W7" s="677" t="s">
        <v>4</v>
      </c>
      <c r="X7" s="677"/>
      <c r="Y7" s="678" t="s">
        <v>395</v>
      </c>
      <c r="Z7" s="679" t="s">
        <v>14</v>
      </c>
      <c r="AA7" s="677" t="s">
        <v>394</v>
      </c>
      <c r="AB7" s="673" t="s">
        <v>14</v>
      </c>
      <c r="AC7" s="673" t="s">
        <v>14</v>
      </c>
      <c r="AD7" s="680" t="s">
        <v>394</v>
      </c>
      <c r="AE7" s="673" t="s">
        <v>14</v>
      </c>
      <c r="AF7" s="673" t="s">
        <v>14</v>
      </c>
      <c r="AG7" s="673" t="s">
        <v>14</v>
      </c>
      <c r="AH7" s="673" t="s">
        <v>14</v>
      </c>
      <c r="AI7" s="673" t="s">
        <v>14</v>
      </c>
      <c r="AJ7" s="673" t="s">
        <v>14</v>
      </c>
      <c r="AK7" s="673" t="s">
        <v>14</v>
      </c>
      <c r="AL7" s="673" t="s">
        <v>14</v>
      </c>
      <c r="AM7" s="673" t="s">
        <v>14</v>
      </c>
      <c r="AN7" s="681" t="s">
        <v>14</v>
      </c>
      <c r="AO7" s="681" t="s">
        <v>14</v>
      </c>
      <c r="AP7" s="681" t="s">
        <v>14</v>
      </c>
      <c r="AQ7" s="681" t="s">
        <v>14</v>
      </c>
      <c r="AR7" s="681" t="s">
        <v>14</v>
      </c>
      <c r="AS7" s="681" t="s">
        <v>14</v>
      </c>
      <c r="AT7" s="682" t="s">
        <v>609</v>
      </c>
      <c r="AU7" s="682" t="s">
        <v>559</v>
      </c>
      <c r="AV7" s="682"/>
      <c r="AW7" s="683" t="s">
        <v>549</v>
      </c>
      <c r="AX7" s="684"/>
      <c r="AY7" s="673"/>
      <c r="AZ7" s="673" t="s">
        <v>14</v>
      </c>
      <c r="BA7" s="680" t="s">
        <v>394</v>
      </c>
      <c r="BB7" s="673" t="s">
        <v>14</v>
      </c>
      <c r="BC7" s="673" t="s">
        <v>14</v>
      </c>
      <c r="BD7" s="681" t="s">
        <v>14</v>
      </c>
      <c r="BE7" s="673" t="s">
        <v>14</v>
      </c>
      <c r="BF7" s="682" t="s">
        <v>609</v>
      </c>
      <c r="BG7" s="685">
        <v>2026</v>
      </c>
      <c r="BH7" s="673"/>
      <c r="BI7" s="686" t="s">
        <v>551</v>
      </c>
      <c r="BJ7" s="879" t="s">
        <v>639</v>
      </c>
      <c r="BK7" s="687"/>
      <c r="BL7" s="531"/>
      <c r="BM7" s="531"/>
      <c r="BN7" s="531"/>
      <c r="BO7" s="531"/>
      <c r="BP7" s="531"/>
      <c r="BQ7" s="531"/>
      <c r="BR7" s="531"/>
      <c r="BS7" s="531"/>
    </row>
    <row r="8" spans="1:71" s="688" customFormat="1">
      <c r="A8" s="689" t="s">
        <v>6</v>
      </c>
      <c r="B8" s="690"/>
      <c r="C8" s="687"/>
      <c r="D8" s="861"/>
      <c r="E8" s="691" t="s">
        <v>567</v>
      </c>
      <c r="F8" s="691" t="s">
        <v>8</v>
      </c>
      <c r="G8" s="691" t="s">
        <v>425</v>
      </c>
      <c r="H8" s="691" t="s">
        <v>128</v>
      </c>
      <c r="I8" s="691" t="s">
        <v>9</v>
      </c>
      <c r="J8" s="691" t="s">
        <v>10</v>
      </c>
      <c r="K8" s="691" t="s">
        <v>11</v>
      </c>
      <c r="L8" s="691" t="s">
        <v>11</v>
      </c>
      <c r="M8" s="691" t="s">
        <v>428</v>
      </c>
      <c r="N8" s="691" t="s">
        <v>387</v>
      </c>
      <c r="O8" s="691" t="s">
        <v>13</v>
      </c>
      <c r="P8" s="691" t="s">
        <v>126</v>
      </c>
      <c r="Q8" s="691" t="s">
        <v>426</v>
      </c>
      <c r="R8" s="691" t="s">
        <v>404</v>
      </c>
      <c r="S8" s="692" t="s">
        <v>406</v>
      </c>
      <c r="T8" s="693" t="s">
        <v>430</v>
      </c>
      <c r="U8" s="694" t="s">
        <v>423</v>
      </c>
      <c r="V8" s="692" t="s">
        <v>12</v>
      </c>
      <c r="W8" s="695" t="s">
        <v>128</v>
      </c>
      <c r="X8" s="692"/>
      <c r="Y8" s="696" t="s">
        <v>198</v>
      </c>
      <c r="Z8" s="697" t="s">
        <v>402</v>
      </c>
      <c r="AA8" s="698" t="s">
        <v>467</v>
      </c>
      <c r="AB8" s="699" t="s">
        <v>569</v>
      </c>
      <c r="AC8" s="699" t="s">
        <v>443</v>
      </c>
      <c r="AD8" s="700" t="s">
        <v>123</v>
      </c>
      <c r="AE8" s="699" t="s">
        <v>123</v>
      </c>
      <c r="AF8" s="699" t="s">
        <v>432</v>
      </c>
      <c r="AG8" s="699" t="s">
        <v>423</v>
      </c>
      <c r="AH8" s="699" t="s">
        <v>531</v>
      </c>
      <c r="AI8" s="691" t="s">
        <v>612</v>
      </c>
      <c r="AJ8" s="691" t="s">
        <v>10</v>
      </c>
      <c r="AK8" s="691" t="s">
        <v>446</v>
      </c>
      <c r="AL8" s="699" t="s">
        <v>431</v>
      </c>
      <c r="AM8" s="699" t="s">
        <v>515</v>
      </c>
      <c r="AN8" s="701" t="s">
        <v>604</v>
      </c>
      <c r="AO8" s="701" t="s">
        <v>43</v>
      </c>
      <c r="AP8" s="701" t="s">
        <v>604</v>
      </c>
      <c r="AQ8" s="702" t="s">
        <v>605</v>
      </c>
      <c r="AR8" s="702" t="s">
        <v>623</v>
      </c>
      <c r="AS8" s="702" t="s">
        <v>636</v>
      </c>
      <c r="AT8" s="701" t="s">
        <v>604</v>
      </c>
      <c r="AU8" s="701" t="s">
        <v>570</v>
      </c>
      <c r="AV8" s="701"/>
      <c r="AW8" s="703" t="s">
        <v>518</v>
      </c>
      <c r="AX8" s="638"/>
      <c r="AY8" s="699"/>
      <c r="AZ8" s="699" t="s">
        <v>443</v>
      </c>
      <c r="BA8" s="700" t="s">
        <v>123</v>
      </c>
      <c r="BB8" s="699" t="s">
        <v>432</v>
      </c>
      <c r="BC8" s="691" t="s">
        <v>10</v>
      </c>
      <c r="BD8" s="702" t="s">
        <v>623</v>
      </c>
      <c r="BE8" s="699" t="s">
        <v>515</v>
      </c>
      <c r="BF8" s="701" t="s">
        <v>614</v>
      </c>
      <c r="BG8" s="701" t="s">
        <v>570</v>
      </c>
      <c r="BH8" s="691"/>
      <c r="BI8" s="696" t="s">
        <v>518</v>
      </c>
      <c r="BJ8" s="704" t="s">
        <v>518</v>
      </c>
      <c r="BK8" s="687"/>
      <c r="BL8" s="531"/>
      <c r="BM8" s="531"/>
      <c r="BN8" s="531"/>
      <c r="BO8" s="531"/>
      <c r="BP8" s="531"/>
      <c r="BQ8" s="531"/>
      <c r="BR8" s="531"/>
      <c r="BS8" s="531"/>
    </row>
    <row r="9" spans="1:71" s="688" customFormat="1">
      <c r="A9" s="705" t="s">
        <v>15</v>
      </c>
      <c r="B9" s="706"/>
      <c r="C9" s="707"/>
      <c r="D9" s="708" t="s">
        <v>16</v>
      </c>
      <c r="E9" s="709" t="s">
        <v>568</v>
      </c>
      <c r="F9" s="709" t="s">
        <v>18</v>
      </c>
      <c r="G9" s="709" t="s">
        <v>202</v>
      </c>
      <c r="H9" s="709"/>
      <c r="I9" s="709" t="s">
        <v>20</v>
      </c>
      <c r="J9" s="709" t="s">
        <v>21</v>
      </c>
      <c r="K9" s="709"/>
      <c r="L9" s="709"/>
      <c r="M9" s="709" t="s">
        <v>22</v>
      </c>
      <c r="N9" s="709" t="s">
        <v>11</v>
      </c>
      <c r="O9" s="709" t="s">
        <v>444</v>
      </c>
      <c r="P9" s="709" t="s">
        <v>20</v>
      </c>
      <c r="Q9" s="709" t="s">
        <v>427</v>
      </c>
      <c r="R9" s="709" t="s">
        <v>113</v>
      </c>
      <c r="S9" s="710" t="s">
        <v>407</v>
      </c>
      <c r="T9" s="711" t="s">
        <v>445</v>
      </c>
      <c r="U9" s="712" t="s">
        <v>11</v>
      </c>
      <c r="V9" s="710" t="s">
        <v>23</v>
      </c>
      <c r="W9" s="713" t="s">
        <v>617</v>
      </c>
      <c r="X9" s="710"/>
      <c r="Y9" s="714"/>
      <c r="Z9" s="715" t="s">
        <v>397</v>
      </c>
      <c r="AA9" s="713" t="s">
        <v>468</v>
      </c>
      <c r="AB9" s="709" t="s">
        <v>556</v>
      </c>
      <c r="AC9" s="716" t="s">
        <v>411</v>
      </c>
      <c r="AD9" s="717" t="s">
        <v>558</v>
      </c>
      <c r="AE9" s="718" t="s">
        <v>124</v>
      </c>
      <c r="AF9" s="718" t="s">
        <v>154</v>
      </c>
      <c r="AG9" s="718"/>
      <c r="AH9" s="718" t="s">
        <v>123</v>
      </c>
      <c r="AI9" s="709" t="s">
        <v>123</v>
      </c>
      <c r="AJ9" s="709" t="s">
        <v>21</v>
      </c>
      <c r="AK9" s="709" t="s">
        <v>11</v>
      </c>
      <c r="AL9" s="709" t="s">
        <v>11</v>
      </c>
      <c r="AM9" s="709" t="s">
        <v>516</v>
      </c>
      <c r="AN9" s="716" t="s">
        <v>629</v>
      </c>
      <c r="AO9" s="716" t="s">
        <v>11</v>
      </c>
      <c r="AP9" s="716" t="s">
        <v>631</v>
      </c>
      <c r="AQ9" s="716" t="s">
        <v>606</v>
      </c>
      <c r="AR9" s="716" t="s">
        <v>11</v>
      </c>
      <c r="AS9" s="716" t="s">
        <v>11</v>
      </c>
      <c r="AT9" s="719" t="s">
        <v>610</v>
      </c>
      <c r="AU9" s="719" t="s">
        <v>571</v>
      </c>
      <c r="AV9" s="719"/>
      <c r="AW9" s="720" t="s">
        <v>198</v>
      </c>
      <c r="AX9" s="721"/>
      <c r="AY9" s="709"/>
      <c r="AZ9" s="716" t="s">
        <v>411</v>
      </c>
      <c r="BA9" s="717" t="s">
        <v>558</v>
      </c>
      <c r="BB9" s="718" t="s">
        <v>154</v>
      </c>
      <c r="BC9" s="709" t="s">
        <v>21</v>
      </c>
      <c r="BD9" s="716" t="s">
        <v>11</v>
      </c>
      <c r="BE9" s="709" t="s">
        <v>516</v>
      </c>
      <c r="BF9" s="719" t="s">
        <v>615</v>
      </c>
      <c r="BG9" s="719" t="s">
        <v>571</v>
      </c>
      <c r="BH9" s="709"/>
      <c r="BI9" s="722" t="s">
        <v>198</v>
      </c>
      <c r="BJ9" s="669" t="s">
        <v>198</v>
      </c>
      <c r="BK9" s="687"/>
      <c r="BL9" s="531"/>
      <c r="BM9" s="531"/>
      <c r="BN9" s="531"/>
      <c r="BO9" s="531"/>
      <c r="BP9" s="531"/>
      <c r="BQ9" s="531"/>
      <c r="BR9" s="531"/>
      <c r="BS9" s="531"/>
    </row>
    <row r="10" spans="1:71" s="688" customFormat="1">
      <c r="A10" s="655"/>
      <c r="B10" s="878" t="s">
        <v>171</v>
      </c>
      <c r="E10" s="723">
        <v>1</v>
      </c>
      <c r="F10" s="723">
        <f>E10+0.01</f>
        <v>1.01</v>
      </c>
      <c r="G10" s="723">
        <f t="shared" ref="G10" si="0">F10+0.01</f>
        <v>1.02</v>
      </c>
      <c r="H10" s="723">
        <f>G10+0.01</f>
        <v>1.03</v>
      </c>
      <c r="I10" s="723">
        <v>2.0099999999999998</v>
      </c>
      <c r="J10" s="723">
        <f>I10+0.01</f>
        <v>2.0199999999999996</v>
      </c>
      <c r="K10" s="723">
        <f t="shared" ref="K10:R10" si="1">J10+0.01</f>
        <v>2.0299999999999994</v>
      </c>
      <c r="L10" s="723">
        <f t="shared" si="1"/>
        <v>2.0399999999999991</v>
      </c>
      <c r="M10" s="723">
        <f t="shared" si="1"/>
        <v>2.0499999999999989</v>
      </c>
      <c r="N10" s="723">
        <f t="shared" si="1"/>
        <v>2.0599999999999987</v>
      </c>
      <c r="O10" s="723">
        <f t="shared" si="1"/>
        <v>2.0699999999999985</v>
      </c>
      <c r="P10" s="723">
        <f t="shared" si="1"/>
        <v>2.0799999999999983</v>
      </c>
      <c r="Q10" s="723">
        <f t="shared" si="1"/>
        <v>2.0899999999999981</v>
      </c>
      <c r="R10" s="723">
        <f t="shared" si="1"/>
        <v>2.0999999999999979</v>
      </c>
      <c r="S10" s="724">
        <f t="shared" ref="S10" si="2">R10+0.01</f>
        <v>2.1099999999999977</v>
      </c>
      <c r="T10" s="725">
        <f t="shared" ref="T10" si="3">S10+0.01</f>
        <v>2.1199999999999974</v>
      </c>
      <c r="U10" s="725">
        <f t="shared" ref="U10" si="4">T10+0.01</f>
        <v>2.1299999999999972</v>
      </c>
      <c r="V10" s="724">
        <f t="shared" ref="V10" si="5">U10+0.01</f>
        <v>2.139999999999997</v>
      </c>
      <c r="W10" s="724">
        <f>V10+0.01</f>
        <v>2.1499999999999968</v>
      </c>
      <c r="X10" s="725"/>
      <c r="Y10" s="726"/>
      <c r="Z10" s="724">
        <v>3.01</v>
      </c>
      <c r="AA10" s="724">
        <f>Z10+0.01</f>
        <v>3.0199999999999996</v>
      </c>
      <c r="AB10" s="724">
        <f t="shared" ref="AB10" si="6">AA10+0.01</f>
        <v>3.0299999999999994</v>
      </c>
      <c r="AC10" s="724">
        <f t="shared" ref="AC10" si="7">AB10+0.01</f>
        <v>3.0399999999999991</v>
      </c>
      <c r="AD10" s="727">
        <f t="shared" ref="AD10" si="8">AC10+0.01</f>
        <v>3.0499999999999989</v>
      </c>
      <c r="AE10" s="724">
        <f t="shared" ref="AE10" si="9">AD10+0.01</f>
        <v>3.0599999999999987</v>
      </c>
      <c r="AF10" s="724">
        <f t="shared" ref="AF10" si="10">AE10+0.01</f>
        <v>3.0699999999999985</v>
      </c>
      <c r="AG10" s="724">
        <f t="shared" ref="AG10" si="11">AF10+0.01</f>
        <v>3.0799999999999983</v>
      </c>
      <c r="AH10" s="724">
        <f t="shared" ref="AH10" si="12">AG10+0.01</f>
        <v>3.0899999999999981</v>
      </c>
      <c r="AI10" s="724">
        <f t="shared" ref="AI10" si="13">AH10+0.01</f>
        <v>3.0999999999999979</v>
      </c>
      <c r="AJ10" s="724">
        <f>AI10+0.01</f>
        <v>3.1099999999999977</v>
      </c>
      <c r="AK10" s="724">
        <f t="shared" ref="AK10" si="14">AJ10+0.01</f>
        <v>3.1199999999999974</v>
      </c>
      <c r="AL10" s="724">
        <f t="shared" ref="AL10" si="15">AK10+0.01</f>
        <v>3.1299999999999972</v>
      </c>
      <c r="AM10" s="724">
        <f t="shared" ref="AM10" si="16">AL10+0.01</f>
        <v>3.139999999999997</v>
      </c>
      <c r="AN10" s="724">
        <f t="shared" ref="AN10" si="17">AM10+0.01</f>
        <v>3.1499999999999968</v>
      </c>
      <c r="AO10" s="724">
        <f t="shared" ref="AO10" si="18">AN10+0.01</f>
        <v>3.1599999999999966</v>
      </c>
      <c r="AP10" s="724">
        <f t="shared" ref="AP10" si="19">AO10+0.01</f>
        <v>3.1699999999999964</v>
      </c>
      <c r="AQ10" s="724">
        <f t="shared" ref="AQ10:AS10" si="20">AP10+0.01</f>
        <v>3.1799999999999962</v>
      </c>
      <c r="AR10" s="724">
        <f t="shared" si="20"/>
        <v>3.1899999999999959</v>
      </c>
      <c r="AS10" s="728">
        <f t="shared" si="20"/>
        <v>3.1999999999999957</v>
      </c>
      <c r="AT10" s="729">
        <f>4.01</f>
        <v>4.01</v>
      </c>
      <c r="AU10" s="730">
        <f t="shared" ref="AU10" si="21">AT10+0.01</f>
        <v>4.0199999999999996</v>
      </c>
      <c r="AV10" s="730"/>
      <c r="AW10" s="731"/>
      <c r="AX10" s="721"/>
      <c r="AY10" s="724"/>
      <c r="AZ10" s="724">
        <f>5.01</f>
        <v>5.01</v>
      </c>
      <c r="BA10" s="727">
        <f>AZ10+0.01</f>
        <v>5.0199999999999996</v>
      </c>
      <c r="BB10" s="724">
        <f t="shared" ref="BB10" si="22">BA10+0.01</f>
        <v>5.0299999999999994</v>
      </c>
      <c r="BC10" s="724">
        <f t="shared" ref="BC10" si="23">BB10+0.01</f>
        <v>5.0399999999999991</v>
      </c>
      <c r="BD10" s="724">
        <f t="shared" ref="BD10" si="24">BC10+0.01</f>
        <v>5.0499999999999989</v>
      </c>
      <c r="BE10" s="724">
        <f>BD10+0.01</f>
        <v>5.0599999999999987</v>
      </c>
      <c r="BF10" s="724">
        <f t="shared" ref="BF10" si="25">BE10+0.01</f>
        <v>5.0699999999999985</v>
      </c>
      <c r="BG10" s="724">
        <f t="shared" ref="BG10" si="26">BF10+0.01</f>
        <v>5.0799999999999983</v>
      </c>
      <c r="BH10" s="724"/>
      <c r="BI10" s="732" t="s">
        <v>520</v>
      </c>
      <c r="BJ10" s="733" t="s">
        <v>522</v>
      </c>
      <c r="BK10" s="687"/>
      <c r="BL10" s="531"/>
      <c r="BM10" s="531"/>
      <c r="BN10" s="531"/>
      <c r="BO10" s="531"/>
      <c r="BP10" s="531"/>
      <c r="BQ10" s="531"/>
      <c r="BR10" s="531"/>
      <c r="BS10" s="531"/>
    </row>
    <row r="11" spans="1:71" s="688" customFormat="1">
      <c r="A11" s="655"/>
      <c r="B11" s="878" t="s">
        <v>172</v>
      </c>
      <c r="E11" s="632" t="s">
        <v>173</v>
      </c>
      <c r="F11" s="632" t="s">
        <v>174</v>
      </c>
      <c r="G11" s="632" t="s">
        <v>175</v>
      </c>
      <c r="H11" s="632" t="s">
        <v>392</v>
      </c>
      <c r="I11" s="632" t="s">
        <v>176</v>
      </c>
      <c r="J11" s="632" t="s">
        <v>389</v>
      </c>
      <c r="K11" s="632" t="s">
        <v>177</v>
      </c>
      <c r="L11" s="632" t="s">
        <v>178</v>
      </c>
      <c r="M11" s="632" t="s">
        <v>179</v>
      </c>
      <c r="N11" s="632" t="s">
        <v>180</v>
      </c>
      <c r="O11" s="632" t="s">
        <v>182</v>
      </c>
      <c r="P11" s="632" t="s">
        <v>383</v>
      </c>
      <c r="Q11" s="632" t="s">
        <v>181</v>
      </c>
      <c r="R11" s="632" t="s">
        <v>416</v>
      </c>
      <c r="S11" s="632" t="s">
        <v>408</v>
      </c>
      <c r="T11" s="734" t="s">
        <v>183</v>
      </c>
      <c r="U11" s="734" t="s">
        <v>184</v>
      </c>
      <c r="V11" s="632" t="s">
        <v>625</v>
      </c>
      <c r="W11" s="730" t="s">
        <v>628</v>
      </c>
      <c r="X11" s="734"/>
      <c r="Y11" s="726" t="s">
        <v>384</v>
      </c>
      <c r="Z11" s="632" t="s">
        <v>410</v>
      </c>
      <c r="AA11" s="632" t="s">
        <v>469</v>
      </c>
      <c r="AB11" s="632" t="s">
        <v>557</v>
      </c>
      <c r="AC11" s="632" t="s">
        <v>466</v>
      </c>
      <c r="AD11" s="735" t="s">
        <v>185</v>
      </c>
      <c r="AE11" s="632" t="s">
        <v>186</v>
      </c>
      <c r="AF11" s="632" t="s">
        <v>187</v>
      </c>
      <c r="AG11" s="632" t="s">
        <v>638</v>
      </c>
      <c r="AH11" s="632" t="s">
        <v>532</v>
      </c>
      <c r="AI11" s="632" t="s">
        <v>613</v>
      </c>
      <c r="AJ11" s="632" t="s">
        <v>390</v>
      </c>
      <c r="AK11" s="632" t="s">
        <v>448</v>
      </c>
      <c r="AL11" s="632" t="s">
        <v>447</v>
      </c>
      <c r="AM11" s="632" t="s">
        <v>530</v>
      </c>
      <c r="AN11" s="730" t="s">
        <v>630</v>
      </c>
      <c r="AO11" s="730" t="s">
        <v>607</v>
      </c>
      <c r="AP11" s="730" t="s">
        <v>632</v>
      </c>
      <c r="AQ11" s="728" t="s">
        <v>608</v>
      </c>
      <c r="AR11" s="632" t="s">
        <v>622</v>
      </c>
      <c r="AS11" s="728" t="s">
        <v>637</v>
      </c>
      <c r="AT11" s="730" t="s">
        <v>611</v>
      </c>
      <c r="AU11" s="730" t="s">
        <v>560</v>
      </c>
      <c r="AV11" s="730"/>
      <c r="AW11" s="731" t="s">
        <v>385</v>
      </c>
      <c r="AX11" s="721"/>
      <c r="AY11" s="632"/>
      <c r="AZ11" s="632" t="s">
        <v>561</v>
      </c>
      <c r="BA11" s="735" t="s">
        <v>562</v>
      </c>
      <c r="BB11" s="632" t="s">
        <v>563</v>
      </c>
      <c r="BC11" s="632" t="s">
        <v>564</v>
      </c>
      <c r="BD11" s="632" t="s">
        <v>624</v>
      </c>
      <c r="BE11" s="730" t="s">
        <v>565</v>
      </c>
      <c r="BF11" s="730" t="s">
        <v>616</v>
      </c>
      <c r="BG11" s="730" t="s">
        <v>566</v>
      </c>
      <c r="BH11" s="632"/>
      <c r="BI11" s="736"/>
      <c r="BJ11" s="880"/>
      <c r="BK11" s="687"/>
      <c r="BL11" s="531"/>
      <c r="BM11" s="531"/>
      <c r="BN11" s="531"/>
      <c r="BO11" s="531"/>
      <c r="BP11" s="531"/>
      <c r="BQ11" s="531"/>
      <c r="BR11" s="531"/>
      <c r="BS11" s="531"/>
    </row>
    <row r="12" spans="1:71" s="737" customFormat="1" ht="6" customHeight="1">
      <c r="A12" s="659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  <c r="T12" s="623"/>
      <c r="U12" s="623"/>
      <c r="V12" s="622"/>
      <c r="W12" s="622"/>
      <c r="X12" s="623"/>
      <c r="Y12" s="738"/>
      <c r="Z12" s="622"/>
      <c r="AA12" s="622"/>
      <c r="AB12" s="622"/>
      <c r="AC12" s="622"/>
      <c r="AD12" s="739"/>
      <c r="AE12" s="622"/>
      <c r="AF12" s="622"/>
      <c r="AG12" s="622"/>
      <c r="AH12" s="622"/>
      <c r="AI12" s="622"/>
      <c r="AJ12" s="622"/>
      <c r="AK12" s="622"/>
      <c r="AL12" s="622"/>
      <c r="AM12" s="622"/>
      <c r="AN12" s="622"/>
      <c r="AO12" s="622"/>
      <c r="AP12" s="622"/>
      <c r="AQ12" s="622"/>
      <c r="AR12" s="622"/>
      <c r="AS12" s="622"/>
      <c r="AT12" s="740"/>
      <c r="AU12" s="740"/>
      <c r="AV12" s="740"/>
      <c r="AW12" s="741"/>
      <c r="AX12" s="628"/>
      <c r="AY12" s="622"/>
      <c r="AZ12" s="622"/>
      <c r="BA12" s="739"/>
      <c r="BB12" s="622"/>
      <c r="BC12" s="622"/>
      <c r="BD12" s="622"/>
      <c r="BE12" s="622"/>
      <c r="BF12" s="740"/>
      <c r="BG12" s="740"/>
      <c r="BH12" s="740"/>
      <c r="BI12" s="742"/>
      <c r="BJ12" s="622"/>
      <c r="BK12" s="629"/>
      <c r="BL12" s="630"/>
      <c r="BM12" s="630"/>
      <c r="BN12" s="630"/>
      <c r="BO12" s="630"/>
      <c r="BP12" s="630"/>
      <c r="BQ12" s="630"/>
      <c r="BR12" s="630"/>
      <c r="BS12" s="630"/>
    </row>
    <row r="13" spans="1:71">
      <c r="B13" s="619" t="s">
        <v>31</v>
      </c>
      <c r="U13" s="623"/>
      <c r="X13" s="623"/>
      <c r="Y13" s="738"/>
      <c r="AD13" s="739"/>
      <c r="AE13" s="622"/>
      <c r="AF13" s="622"/>
      <c r="AG13" s="622"/>
      <c r="AH13" s="622"/>
      <c r="AT13" s="740"/>
      <c r="AU13" s="740"/>
      <c r="AV13" s="740"/>
      <c r="AW13" s="741"/>
      <c r="BA13" s="739"/>
      <c r="BB13" s="622"/>
      <c r="BF13" s="740"/>
      <c r="BG13" s="740"/>
      <c r="BH13" s="740"/>
      <c r="BI13" s="742"/>
    </row>
    <row r="14" spans="1:71" s="743" customFormat="1">
      <c r="A14" s="618">
        <v>1</v>
      </c>
      <c r="B14" s="743" t="s">
        <v>32</v>
      </c>
      <c r="E14" s="744">
        <f>'ROO INPUT 1.00'!$F15</f>
        <v>246541</v>
      </c>
      <c r="F14" s="745">
        <v>0</v>
      </c>
      <c r="G14" s="745">
        <v>0</v>
      </c>
      <c r="H14" s="745">
        <v>0</v>
      </c>
      <c r="I14" s="746">
        <v>-8526</v>
      </c>
      <c r="J14" s="745">
        <v>0</v>
      </c>
      <c r="K14" s="745">
        <v>0</v>
      </c>
      <c r="L14" s="745">
        <v>0</v>
      </c>
      <c r="M14" s="745">
        <v>0</v>
      </c>
      <c r="N14" s="745">
        <v>0</v>
      </c>
      <c r="O14" s="745">
        <v>0</v>
      </c>
      <c r="P14" s="745">
        <v>0</v>
      </c>
      <c r="Q14" s="745">
        <v>0</v>
      </c>
      <c r="R14" s="745">
        <v>28</v>
      </c>
      <c r="S14" s="745">
        <v>-26674</v>
      </c>
      <c r="T14" s="747">
        <v>0</v>
      </c>
      <c r="U14" s="747">
        <v>0</v>
      </c>
      <c r="V14" s="745">
        <v>0</v>
      </c>
      <c r="W14" s="745">
        <v>0</v>
      </c>
      <c r="X14" s="747">
        <v>0</v>
      </c>
      <c r="Y14" s="748">
        <f>SUM(E14:X14)</f>
        <v>211369</v>
      </c>
      <c r="Z14" s="745">
        <v>-89786</v>
      </c>
      <c r="AA14" s="745">
        <v>0</v>
      </c>
      <c r="AB14" s="745">
        <v>0</v>
      </c>
      <c r="AC14" s="745">
        <v>0</v>
      </c>
      <c r="AD14" s="749">
        <v>0</v>
      </c>
      <c r="AE14" s="745">
        <v>0</v>
      </c>
      <c r="AF14" s="745">
        <v>0</v>
      </c>
      <c r="AG14" s="745">
        <v>0</v>
      </c>
      <c r="AH14" s="745">
        <v>0</v>
      </c>
      <c r="AI14" s="745">
        <v>0</v>
      </c>
      <c r="AJ14" s="745">
        <v>0</v>
      </c>
      <c r="AK14" s="745">
        <v>0</v>
      </c>
      <c r="AL14" s="745">
        <v>0</v>
      </c>
      <c r="AM14" s="745">
        <v>0</v>
      </c>
      <c r="AN14" s="745">
        <v>0</v>
      </c>
      <c r="AO14" s="745">
        <v>0</v>
      </c>
      <c r="AP14" s="745">
        <v>0</v>
      </c>
      <c r="AQ14" s="745">
        <v>0</v>
      </c>
      <c r="AR14" s="745">
        <v>0</v>
      </c>
      <c r="AS14" s="745">
        <v>0</v>
      </c>
      <c r="AT14" s="750">
        <v>0</v>
      </c>
      <c r="AU14" s="750">
        <v>0</v>
      </c>
      <c r="AV14" s="750">
        <v>0</v>
      </c>
      <c r="AW14" s="751">
        <f>SUM(Y14:AV14)</f>
        <v>121583</v>
      </c>
      <c r="AX14" s="752"/>
      <c r="AY14" s="745">
        <v>0</v>
      </c>
      <c r="AZ14" s="745">
        <v>0</v>
      </c>
      <c r="BA14" s="749">
        <v>0</v>
      </c>
      <c r="BB14" s="745">
        <v>0</v>
      </c>
      <c r="BC14" s="745">
        <v>0</v>
      </c>
      <c r="BD14" s="745">
        <v>0</v>
      </c>
      <c r="BE14" s="745">
        <v>0</v>
      </c>
      <c r="BF14" s="750">
        <v>0</v>
      </c>
      <c r="BG14" s="750">
        <v>0</v>
      </c>
      <c r="BH14" s="750">
        <v>0</v>
      </c>
      <c r="BI14" s="753">
        <f>SUM(AW14:BH14)</f>
        <v>121583</v>
      </c>
      <c r="BJ14" s="745">
        <f>BI14-AW14</f>
        <v>0</v>
      </c>
      <c r="BK14" s="754"/>
      <c r="BL14" s="630"/>
      <c r="BM14" s="630"/>
      <c r="BN14" s="630"/>
      <c r="BO14" s="630"/>
      <c r="BP14" s="630"/>
      <c r="BQ14" s="630"/>
      <c r="BR14" s="630"/>
      <c r="BS14" s="630"/>
    </row>
    <row r="15" spans="1:71">
      <c r="A15" s="618">
        <v>2</v>
      </c>
      <c r="B15" s="755" t="s">
        <v>33</v>
      </c>
      <c r="D15" s="755"/>
      <c r="E15" s="756">
        <f>'ROO INPUT 1.00'!$F16</f>
        <v>5180</v>
      </c>
      <c r="F15" s="746">
        <v>0</v>
      </c>
      <c r="G15" s="746">
        <v>0</v>
      </c>
      <c r="H15" s="746">
        <v>0</v>
      </c>
      <c r="I15" s="746">
        <v>-120</v>
      </c>
      <c r="J15" s="746">
        <v>0</v>
      </c>
      <c r="K15" s="746">
        <v>0</v>
      </c>
      <c r="L15" s="746">
        <v>0</v>
      </c>
      <c r="M15" s="746">
        <v>0</v>
      </c>
      <c r="N15" s="746">
        <v>0</v>
      </c>
      <c r="O15" s="746">
        <v>0</v>
      </c>
      <c r="P15" s="746">
        <v>0</v>
      </c>
      <c r="Q15" s="746">
        <v>0</v>
      </c>
      <c r="R15" s="746">
        <v>0</v>
      </c>
      <c r="S15" s="746">
        <v>0</v>
      </c>
      <c r="T15" s="757">
        <v>0</v>
      </c>
      <c r="U15" s="757">
        <v>0</v>
      </c>
      <c r="V15" s="746">
        <v>0</v>
      </c>
      <c r="W15" s="746">
        <v>0</v>
      </c>
      <c r="X15" s="757">
        <v>0</v>
      </c>
      <c r="Y15" s="758">
        <f>SUM(E15:X15)</f>
        <v>5060</v>
      </c>
      <c r="Z15" s="746">
        <v>333</v>
      </c>
      <c r="AA15" s="746">
        <v>0</v>
      </c>
      <c r="AB15" s="746">
        <v>0</v>
      </c>
      <c r="AC15" s="746">
        <v>0</v>
      </c>
      <c r="AD15" s="759">
        <v>0</v>
      </c>
      <c r="AE15" s="746">
        <v>0</v>
      </c>
      <c r="AF15" s="746">
        <v>0</v>
      </c>
      <c r="AG15" s="746">
        <v>0</v>
      </c>
      <c r="AH15" s="746">
        <v>0</v>
      </c>
      <c r="AI15" s="746">
        <v>0</v>
      </c>
      <c r="AJ15" s="746">
        <v>0</v>
      </c>
      <c r="AK15" s="746">
        <v>0</v>
      </c>
      <c r="AL15" s="746">
        <v>0</v>
      </c>
      <c r="AM15" s="746">
        <v>0</v>
      </c>
      <c r="AN15" s="746">
        <v>0</v>
      </c>
      <c r="AO15" s="746">
        <v>0</v>
      </c>
      <c r="AP15" s="746">
        <v>0</v>
      </c>
      <c r="AQ15" s="746">
        <v>0</v>
      </c>
      <c r="AR15" s="746">
        <v>0</v>
      </c>
      <c r="AS15" s="746">
        <v>0</v>
      </c>
      <c r="AT15" s="760">
        <v>0</v>
      </c>
      <c r="AU15" s="760">
        <v>0</v>
      </c>
      <c r="AV15" s="760">
        <v>0</v>
      </c>
      <c r="AW15" s="761">
        <f>SUM(Y15:AV15)</f>
        <v>5393</v>
      </c>
      <c r="AX15" s="762"/>
      <c r="AY15" s="746">
        <v>0</v>
      </c>
      <c r="AZ15" s="746">
        <v>0</v>
      </c>
      <c r="BA15" s="759">
        <v>0</v>
      </c>
      <c r="BB15" s="746">
        <v>0</v>
      </c>
      <c r="BC15" s="746">
        <v>0</v>
      </c>
      <c r="BD15" s="746">
        <v>0</v>
      </c>
      <c r="BE15" s="746">
        <v>0</v>
      </c>
      <c r="BF15" s="760">
        <v>0</v>
      </c>
      <c r="BG15" s="760">
        <v>0</v>
      </c>
      <c r="BH15" s="760">
        <v>0</v>
      </c>
      <c r="BI15" s="763">
        <f>SUM(AW15:BH15)</f>
        <v>5393</v>
      </c>
      <c r="BJ15" s="760">
        <f>BI15-AW15</f>
        <v>0</v>
      </c>
    </row>
    <row r="16" spans="1:71">
      <c r="A16" s="618">
        <v>3</v>
      </c>
      <c r="B16" s="755" t="s">
        <v>34</v>
      </c>
      <c r="D16" s="755"/>
      <c r="E16" s="764">
        <f>'ROO INPUT 1.00'!$F17</f>
        <v>37118</v>
      </c>
      <c r="F16" s="765">
        <v>0</v>
      </c>
      <c r="G16" s="765">
        <v>0</v>
      </c>
      <c r="H16" s="765">
        <v>0</v>
      </c>
      <c r="I16" s="765">
        <v>0</v>
      </c>
      <c r="J16" s="765">
        <v>0</v>
      </c>
      <c r="K16" s="765">
        <v>0</v>
      </c>
      <c r="L16" s="765">
        <v>0</v>
      </c>
      <c r="M16" s="765">
        <v>0</v>
      </c>
      <c r="N16" s="765">
        <v>0</v>
      </c>
      <c r="O16" s="765">
        <v>0</v>
      </c>
      <c r="P16" s="765">
        <v>0</v>
      </c>
      <c r="Q16" s="765">
        <v>0</v>
      </c>
      <c r="R16" s="765">
        <v>-127</v>
      </c>
      <c r="S16" s="765">
        <v>-33904</v>
      </c>
      <c r="T16" s="766">
        <v>0</v>
      </c>
      <c r="U16" s="766">
        <v>0</v>
      </c>
      <c r="V16" s="765">
        <v>0</v>
      </c>
      <c r="W16" s="765">
        <v>0</v>
      </c>
      <c r="X16" s="766">
        <v>0</v>
      </c>
      <c r="Y16" s="767">
        <f>SUM(E16:X16)</f>
        <v>3087</v>
      </c>
      <c r="Z16" s="765">
        <v>-2714</v>
      </c>
      <c r="AA16" s="765">
        <v>0</v>
      </c>
      <c r="AB16" s="765">
        <v>0</v>
      </c>
      <c r="AC16" s="765">
        <v>0</v>
      </c>
      <c r="AD16" s="768">
        <v>0</v>
      </c>
      <c r="AE16" s="765">
        <v>0</v>
      </c>
      <c r="AF16" s="765">
        <v>0</v>
      </c>
      <c r="AG16" s="765">
        <v>0</v>
      </c>
      <c r="AH16" s="765">
        <v>0</v>
      </c>
      <c r="AI16" s="765">
        <v>0</v>
      </c>
      <c r="AJ16" s="765">
        <v>0</v>
      </c>
      <c r="AK16" s="765">
        <v>0</v>
      </c>
      <c r="AL16" s="765">
        <v>0</v>
      </c>
      <c r="AM16" s="765">
        <v>0</v>
      </c>
      <c r="AN16" s="765">
        <v>0</v>
      </c>
      <c r="AO16" s="765">
        <v>0</v>
      </c>
      <c r="AP16" s="765">
        <v>0</v>
      </c>
      <c r="AQ16" s="765">
        <v>0</v>
      </c>
      <c r="AR16" s="765">
        <v>0</v>
      </c>
      <c r="AS16" s="765">
        <v>0</v>
      </c>
      <c r="AT16" s="765">
        <v>0</v>
      </c>
      <c r="AU16" s="765">
        <v>344</v>
      </c>
      <c r="AV16" s="765">
        <v>0</v>
      </c>
      <c r="AW16" s="769">
        <f>SUM(Y16:AV16)</f>
        <v>717</v>
      </c>
      <c r="AX16" s="762"/>
      <c r="AY16" s="765">
        <v>0</v>
      </c>
      <c r="AZ16" s="765">
        <v>0</v>
      </c>
      <c r="BA16" s="768">
        <v>0</v>
      </c>
      <c r="BB16" s="765">
        <v>0</v>
      </c>
      <c r="BC16" s="765">
        <v>0</v>
      </c>
      <c r="BD16" s="765">
        <v>0</v>
      </c>
      <c r="BE16" s="765">
        <v>0</v>
      </c>
      <c r="BF16" s="765">
        <v>0</v>
      </c>
      <c r="BG16" s="765">
        <v>39</v>
      </c>
      <c r="BH16" s="765">
        <v>0</v>
      </c>
      <c r="BI16" s="770">
        <f>SUM(AW16:BH16)</f>
        <v>756</v>
      </c>
      <c r="BJ16" s="771">
        <f>BI16-AW16</f>
        <v>39</v>
      </c>
    </row>
    <row r="17" spans="1:71">
      <c r="A17" s="618">
        <v>4</v>
      </c>
      <c r="B17" s="619" t="s">
        <v>35</v>
      </c>
      <c r="C17" s="755"/>
      <c r="D17" s="755"/>
      <c r="E17" s="756">
        <f>SUM(E14:E16)</f>
        <v>288839</v>
      </c>
      <c r="F17" s="772">
        <f t="shared" ref="F17:N17" si="27">SUM(F14:F16)</f>
        <v>0</v>
      </c>
      <c r="G17" s="772">
        <f t="shared" si="27"/>
        <v>0</v>
      </c>
      <c r="H17" s="772">
        <f t="shared" si="27"/>
        <v>0</v>
      </c>
      <c r="I17" s="772">
        <f t="shared" si="27"/>
        <v>-8646</v>
      </c>
      <c r="J17" s="772">
        <f>SUM(J14:J16)</f>
        <v>0</v>
      </c>
      <c r="K17" s="772">
        <f t="shared" si="27"/>
        <v>0</v>
      </c>
      <c r="L17" s="772">
        <f t="shared" si="27"/>
        <v>0</v>
      </c>
      <c r="M17" s="772">
        <f t="shared" si="27"/>
        <v>0</v>
      </c>
      <c r="N17" s="772">
        <f t="shared" si="27"/>
        <v>0</v>
      </c>
      <c r="O17" s="772">
        <f t="shared" ref="O17:P17" si="28">SUM(O14:O16)</f>
        <v>0</v>
      </c>
      <c r="P17" s="772">
        <f t="shared" si="28"/>
        <v>0</v>
      </c>
      <c r="Q17" s="772">
        <f t="shared" ref="Q17" si="29">SUM(Q14:Q16)</f>
        <v>0</v>
      </c>
      <c r="R17" s="772">
        <f>SUM(R14:R16)</f>
        <v>-99</v>
      </c>
      <c r="S17" s="772">
        <f>SUM(S14:S16)</f>
        <v>-60578</v>
      </c>
      <c r="T17" s="773">
        <f t="shared" ref="T17" si="30">SUM(T14:T16)</f>
        <v>0</v>
      </c>
      <c r="U17" s="773">
        <f>SUM(U14:U16)</f>
        <v>0</v>
      </c>
      <c r="V17" s="772">
        <f t="shared" ref="V17" si="31">SUM(V14:V16)</f>
        <v>0</v>
      </c>
      <c r="W17" s="772">
        <f t="shared" ref="W17:AB17" si="32">SUM(W14:W16)</f>
        <v>0</v>
      </c>
      <c r="X17" s="773">
        <f t="shared" si="32"/>
        <v>0</v>
      </c>
      <c r="Y17" s="758">
        <f t="shared" si="32"/>
        <v>219516</v>
      </c>
      <c r="Z17" s="772">
        <f t="shared" si="32"/>
        <v>-92167</v>
      </c>
      <c r="AA17" s="772">
        <f t="shared" si="32"/>
        <v>0</v>
      </c>
      <c r="AB17" s="772">
        <f t="shared" si="32"/>
        <v>0</v>
      </c>
      <c r="AC17" s="772">
        <f t="shared" ref="AC17" si="33">SUM(AC14:AC16)</f>
        <v>0</v>
      </c>
      <c r="AD17" s="774">
        <f>SUM(AD14:AD16)</f>
        <v>0</v>
      </c>
      <c r="AE17" s="772">
        <f t="shared" ref="AE17:AI17" si="34">SUM(AE14:AE16)</f>
        <v>0</v>
      </c>
      <c r="AF17" s="772">
        <f t="shared" si="34"/>
        <v>0</v>
      </c>
      <c r="AG17" s="772">
        <f t="shared" ref="AG17" si="35">SUM(AG14:AG16)</f>
        <v>0</v>
      </c>
      <c r="AH17" s="772">
        <f t="shared" si="34"/>
        <v>0</v>
      </c>
      <c r="AI17" s="772">
        <f t="shared" si="34"/>
        <v>0</v>
      </c>
      <c r="AJ17" s="772">
        <f t="shared" ref="AJ17:AK17" si="36">SUM(AJ14:AJ16)</f>
        <v>0</v>
      </c>
      <c r="AK17" s="772">
        <f t="shared" si="36"/>
        <v>0</v>
      </c>
      <c r="AL17" s="772">
        <f>SUM(AL14:AL16)</f>
        <v>0</v>
      </c>
      <c r="AM17" s="772">
        <f t="shared" ref="AM17" si="37">SUM(AM14:AM16)</f>
        <v>0</v>
      </c>
      <c r="AN17" s="772">
        <f>SUM(AN14:AN16)</f>
        <v>0</v>
      </c>
      <c r="AO17" s="772">
        <f t="shared" ref="AO17" si="38">SUM(AO14:AO16)</f>
        <v>0</v>
      </c>
      <c r="AP17" s="772">
        <f t="shared" ref="AP17:AQ17" si="39">SUM(AP14:AP16)</f>
        <v>0</v>
      </c>
      <c r="AQ17" s="772">
        <f t="shared" si="39"/>
        <v>0</v>
      </c>
      <c r="AR17" s="772">
        <f>SUM(AR14:AR16)</f>
        <v>0</v>
      </c>
      <c r="AS17" s="772">
        <f>SUM(AS14:AS16)</f>
        <v>0</v>
      </c>
      <c r="AT17" s="775">
        <f>SUM(AT14:AT16)</f>
        <v>0</v>
      </c>
      <c r="AU17" s="775">
        <f>SUM(AU14:AU16)</f>
        <v>344</v>
      </c>
      <c r="AV17" s="775">
        <f t="shared" ref="AV17" si="40">SUM(AV14:AV16)</f>
        <v>0</v>
      </c>
      <c r="AW17" s="761">
        <f t="shared" ref="AW17" si="41">SUM(AW14:AW16)</f>
        <v>127693</v>
      </c>
      <c r="AX17" s="762"/>
      <c r="AY17" s="772">
        <f>SUM(AY14:AY16)</f>
        <v>0</v>
      </c>
      <c r="AZ17" s="772">
        <f t="shared" ref="AZ17" si="42">SUM(AZ14:AZ16)</f>
        <v>0</v>
      </c>
      <c r="BA17" s="774">
        <f>SUM(BA14:BA16)</f>
        <v>0</v>
      </c>
      <c r="BB17" s="772">
        <f t="shared" ref="BB17" si="43">SUM(BB14:BB16)</f>
        <v>0</v>
      </c>
      <c r="BC17" s="772">
        <f>SUM(BC14:BC16)</f>
        <v>0</v>
      </c>
      <c r="BD17" s="772">
        <f>SUM(BD14:BD16)</f>
        <v>0</v>
      </c>
      <c r="BE17" s="772">
        <f t="shared" ref="BE17" si="44">SUM(BE14:BE16)</f>
        <v>0</v>
      </c>
      <c r="BF17" s="775">
        <f>SUM(BF14:BF16)</f>
        <v>0</v>
      </c>
      <c r="BG17" s="775">
        <f>SUM(BG14:BG16)</f>
        <v>39</v>
      </c>
      <c r="BH17" s="775">
        <f>SUM(BH14:BH16)</f>
        <v>0</v>
      </c>
      <c r="BI17" s="776">
        <f>SUM(BI14:BI16)</f>
        <v>127732</v>
      </c>
      <c r="BJ17" s="772">
        <f>SUM(BJ14:BJ16)</f>
        <v>39</v>
      </c>
    </row>
    <row r="18" spans="1:71" ht="7.5" customHeight="1">
      <c r="C18" s="755"/>
      <c r="D18" s="755"/>
      <c r="E18" s="756"/>
      <c r="F18" s="746"/>
      <c r="G18" s="746"/>
      <c r="H18" s="746"/>
      <c r="I18" s="746"/>
      <c r="J18" s="746"/>
      <c r="K18" s="746"/>
      <c r="L18" s="746"/>
      <c r="M18" s="746"/>
      <c r="N18" s="746"/>
      <c r="O18" s="746"/>
      <c r="P18" s="746"/>
      <c r="Q18" s="746"/>
      <c r="R18" s="746"/>
      <c r="S18" s="746"/>
      <c r="T18" s="757"/>
      <c r="U18" s="757"/>
      <c r="V18" s="746"/>
      <c r="W18" s="746"/>
      <c r="X18" s="757"/>
      <c r="Y18" s="758"/>
      <c r="Z18" s="746"/>
      <c r="AA18" s="746"/>
      <c r="AB18" s="746"/>
      <c r="AC18" s="746"/>
      <c r="AD18" s="759"/>
      <c r="AE18" s="746"/>
      <c r="AF18" s="746"/>
      <c r="AG18" s="746"/>
      <c r="AH18" s="746"/>
      <c r="AI18" s="746"/>
      <c r="AJ18" s="746"/>
      <c r="AK18" s="746"/>
      <c r="AL18" s="746"/>
      <c r="AM18" s="746"/>
      <c r="AN18" s="746"/>
      <c r="AO18" s="746"/>
      <c r="AP18" s="746"/>
      <c r="AQ18" s="746"/>
      <c r="AR18" s="746"/>
      <c r="AS18" s="746"/>
      <c r="AT18" s="760"/>
      <c r="AU18" s="760"/>
      <c r="AV18" s="760"/>
      <c r="AW18" s="761"/>
      <c r="AX18" s="762"/>
      <c r="AY18" s="746"/>
      <c r="AZ18" s="746"/>
      <c r="BA18" s="759"/>
      <c r="BB18" s="746"/>
      <c r="BC18" s="746"/>
      <c r="BD18" s="746"/>
      <c r="BE18" s="746"/>
      <c r="BF18" s="760"/>
      <c r="BG18" s="760"/>
      <c r="BH18" s="760"/>
      <c r="BI18" s="777"/>
      <c r="BJ18" s="746"/>
    </row>
    <row r="19" spans="1:71" s="737" customFormat="1">
      <c r="A19" s="659"/>
      <c r="B19" s="737" t="s">
        <v>36</v>
      </c>
      <c r="C19" s="778"/>
      <c r="D19" s="778"/>
      <c r="E19" s="772"/>
      <c r="F19" s="746"/>
      <c r="G19" s="746"/>
      <c r="H19" s="746"/>
      <c r="I19" s="746"/>
      <c r="J19" s="746"/>
      <c r="K19" s="746"/>
      <c r="L19" s="746"/>
      <c r="M19" s="746"/>
      <c r="N19" s="746"/>
      <c r="O19" s="746"/>
      <c r="P19" s="746"/>
      <c r="Q19" s="746"/>
      <c r="R19" s="746"/>
      <c r="S19" s="746"/>
      <c r="T19" s="757"/>
      <c r="U19" s="757"/>
      <c r="V19" s="746"/>
      <c r="W19" s="746"/>
      <c r="X19" s="757"/>
      <c r="Y19" s="758"/>
      <c r="Z19" s="746"/>
      <c r="AA19" s="746"/>
      <c r="AB19" s="746"/>
      <c r="AC19" s="746"/>
      <c r="AD19" s="759"/>
      <c r="AE19" s="746"/>
      <c r="AF19" s="746"/>
      <c r="AG19" s="746"/>
      <c r="AH19" s="746"/>
      <c r="AI19" s="746"/>
      <c r="AJ19" s="746"/>
      <c r="AK19" s="746"/>
      <c r="AL19" s="746"/>
      <c r="AM19" s="746"/>
      <c r="AN19" s="746"/>
      <c r="AO19" s="746"/>
      <c r="AP19" s="746"/>
      <c r="AQ19" s="746"/>
      <c r="AR19" s="746"/>
      <c r="AS19" s="746"/>
      <c r="AT19" s="760"/>
      <c r="AU19" s="760"/>
      <c r="AV19" s="760"/>
      <c r="AW19" s="761"/>
      <c r="AX19" s="762"/>
      <c r="AY19" s="746"/>
      <c r="AZ19" s="746"/>
      <c r="BA19" s="759"/>
      <c r="BB19" s="746"/>
      <c r="BC19" s="746"/>
      <c r="BD19" s="746"/>
      <c r="BE19" s="746"/>
      <c r="BF19" s="760"/>
      <c r="BG19" s="760"/>
      <c r="BH19" s="760"/>
      <c r="BI19" s="777"/>
      <c r="BJ19" s="746"/>
      <c r="BK19" s="629"/>
      <c r="BL19" s="630"/>
      <c r="BM19" s="630"/>
      <c r="BN19" s="630"/>
      <c r="BO19" s="630"/>
      <c r="BP19" s="630"/>
      <c r="BQ19" s="630"/>
      <c r="BR19" s="630"/>
      <c r="BS19" s="630"/>
    </row>
    <row r="20" spans="1:71" s="737" customFormat="1">
      <c r="A20" s="659"/>
      <c r="B20" s="778" t="s">
        <v>192</v>
      </c>
      <c r="D20" s="778"/>
      <c r="E20" s="772"/>
      <c r="F20" s="746"/>
      <c r="G20" s="746"/>
      <c r="H20" s="746"/>
      <c r="I20" s="746"/>
      <c r="J20" s="746"/>
      <c r="K20" s="746"/>
      <c r="L20" s="746"/>
      <c r="M20" s="746"/>
      <c r="N20" s="746"/>
      <c r="O20" s="746"/>
      <c r="P20" s="746"/>
      <c r="Q20" s="746"/>
      <c r="R20" s="746"/>
      <c r="S20" s="746"/>
      <c r="T20" s="757"/>
      <c r="U20" s="757"/>
      <c r="V20" s="746"/>
      <c r="W20" s="746"/>
      <c r="X20" s="757"/>
      <c r="Y20" s="758"/>
      <c r="Z20" s="746"/>
      <c r="AA20" s="746"/>
      <c r="AB20" s="746"/>
      <c r="AC20" s="746"/>
      <c r="AD20" s="759"/>
      <c r="AE20" s="746"/>
      <c r="AF20" s="746"/>
      <c r="AG20" s="746"/>
      <c r="AH20" s="746"/>
      <c r="AI20" s="746"/>
      <c r="AJ20" s="746"/>
      <c r="AK20" s="746"/>
      <c r="AL20" s="746"/>
      <c r="AM20" s="746"/>
      <c r="AN20" s="746"/>
      <c r="AO20" s="746"/>
      <c r="AP20" s="746"/>
      <c r="AQ20" s="746"/>
      <c r="AR20" s="746"/>
      <c r="AS20" s="746"/>
      <c r="AT20" s="760"/>
      <c r="AU20" s="760"/>
      <c r="AV20" s="760"/>
      <c r="AW20" s="761"/>
      <c r="AX20" s="762"/>
      <c r="AY20" s="746"/>
      <c r="AZ20" s="746"/>
      <c r="BA20" s="759"/>
      <c r="BB20" s="746"/>
      <c r="BC20" s="746"/>
      <c r="BD20" s="746"/>
      <c r="BE20" s="746"/>
      <c r="BF20" s="760"/>
      <c r="BG20" s="760"/>
      <c r="BH20" s="760"/>
      <c r="BI20" s="777"/>
      <c r="BJ20" s="746"/>
      <c r="BK20" s="629"/>
      <c r="BL20" s="630"/>
      <c r="BM20" s="630"/>
      <c r="BN20" s="630"/>
      <c r="BO20" s="630"/>
      <c r="BP20" s="630"/>
      <c r="BQ20" s="630"/>
      <c r="BR20" s="630"/>
      <c r="BS20" s="630"/>
    </row>
    <row r="21" spans="1:71" s="737" customFormat="1">
      <c r="A21" s="659">
        <v>5</v>
      </c>
      <c r="C21" s="778" t="s">
        <v>37</v>
      </c>
      <c r="D21" s="778"/>
      <c r="E21" s="772">
        <f>'ROO INPUT 1.00'!$F22</f>
        <v>139821</v>
      </c>
      <c r="F21" s="746">
        <v>0</v>
      </c>
      <c r="G21" s="746">
        <v>0</v>
      </c>
      <c r="H21" s="746">
        <v>0</v>
      </c>
      <c r="I21" s="746">
        <v>0</v>
      </c>
      <c r="J21" s="746">
        <v>0</v>
      </c>
      <c r="K21" s="746">
        <v>0</v>
      </c>
      <c r="L21" s="746">
        <v>0</v>
      </c>
      <c r="M21" s="746">
        <v>0</v>
      </c>
      <c r="N21" s="746">
        <v>0</v>
      </c>
      <c r="O21" s="746">
        <v>0</v>
      </c>
      <c r="P21" s="746">
        <v>0</v>
      </c>
      <c r="Q21" s="746">
        <v>0</v>
      </c>
      <c r="R21" s="746">
        <v>-57</v>
      </c>
      <c r="S21" s="746">
        <v>-49394</v>
      </c>
      <c r="T21" s="757">
        <v>0</v>
      </c>
      <c r="U21" s="757">
        <v>0</v>
      </c>
      <c r="V21" s="746">
        <v>0</v>
      </c>
      <c r="W21" s="746">
        <v>0</v>
      </c>
      <c r="X21" s="757">
        <v>0</v>
      </c>
      <c r="Y21" s="758">
        <f>SUM(E21:X21)</f>
        <v>90370</v>
      </c>
      <c r="Z21" s="746">
        <v>-90370</v>
      </c>
      <c r="AA21" s="746">
        <v>0</v>
      </c>
      <c r="AB21" s="746">
        <v>0</v>
      </c>
      <c r="AC21" s="746">
        <v>0</v>
      </c>
      <c r="AD21" s="759">
        <v>0</v>
      </c>
      <c r="AE21" s="746">
        <v>0</v>
      </c>
      <c r="AF21" s="746">
        <v>0</v>
      </c>
      <c r="AG21" s="746">
        <v>0</v>
      </c>
      <c r="AH21" s="746">
        <v>0</v>
      </c>
      <c r="AI21" s="746">
        <v>0</v>
      </c>
      <c r="AJ21" s="746">
        <v>0</v>
      </c>
      <c r="AK21" s="746">
        <v>0</v>
      </c>
      <c r="AL21" s="746">
        <v>0</v>
      </c>
      <c r="AM21" s="746">
        <v>0</v>
      </c>
      <c r="AN21" s="746">
        <v>0</v>
      </c>
      <c r="AO21" s="746">
        <v>0</v>
      </c>
      <c r="AP21" s="746">
        <v>0</v>
      </c>
      <c r="AQ21" s="746">
        <v>0</v>
      </c>
      <c r="AR21" s="746">
        <v>0</v>
      </c>
      <c r="AS21" s="746">
        <v>0</v>
      </c>
      <c r="AT21" s="760">
        <v>0</v>
      </c>
      <c r="AU21" s="760">
        <v>0</v>
      </c>
      <c r="AV21" s="760">
        <v>0</v>
      </c>
      <c r="AW21" s="761">
        <f>SUM(Y21:AV21)</f>
        <v>0</v>
      </c>
      <c r="AX21" s="762"/>
      <c r="AY21" s="746">
        <v>0</v>
      </c>
      <c r="AZ21" s="746">
        <v>0</v>
      </c>
      <c r="BA21" s="759">
        <v>0</v>
      </c>
      <c r="BB21" s="746">
        <v>0</v>
      </c>
      <c r="BC21" s="746">
        <v>0</v>
      </c>
      <c r="BD21" s="746">
        <v>0</v>
      </c>
      <c r="BE21" s="746">
        <v>0</v>
      </c>
      <c r="BF21" s="760">
        <v>0</v>
      </c>
      <c r="BG21" s="760">
        <v>0</v>
      </c>
      <c r="BH21" s="760">
        <v>0</v>
      </c>
      <c r="BI21" s="763">
        <f>SUM(AW21:BH21)</f>
        <v>0</v>
      </c>
      <c r="BJ21" s="540">
        <f>BI21-AW21</f>
        <v>0</v>
      </c>
      <c r="BK21" s="629"/>
      <c r="BL21" s="630"/>
      <c r="BM21" s="630"/>
      <c r="BN21" s="630"/>
      <c r="BO21" s="630"/>
      <c r="BP21" s="630"/>
      <c r="BQ21" s="630"/>
      <c r="BR21" s="630"/>
      <c r="BS21" s="630"/>
    </row>
    <row r="22" spans="1:71" s="737" customFormat="1">
      <c r="A22" s="659">
        <v>6</v>
      </c>
      <c r="C22" s="778" t="s">
        <v>38</v>
      </c>
      <c r="D22" s="778"/>
      <c r="E22" s="772">
        <f>'ROO INPUT 1.00'!$F23</f>
        <v>869</v>
      </c>
      <c r="F22" s="746">
        <v>0</v>
      </c>
      <c r="G22" s="746">
        <v>0</v>
      </c>
      <c r="H22" s="746">
        <v>0</v>
      </c>
      <c r="I22" s="746">
        <v>0</v>
      </c>
      <c r="J22" s="746">
        <v>0</v>
      </c>
      <c r="K22" s="746">
        <v>0</v>
      </c>
      <c r="L22" s="746">
        <v>0</v>
      </c>
      <c r="M22" s="746">
        <v>0</v>
      </c>
      <c r="N22" s="746">
        <v>0</v>
      </c>
      <c r="O22" s="746">
        <v>0</v>
      </c>
      <c r="P22" s="746">
        <v>0</v>
      </c>
      <c r="Q22" s="746">
        <v>0</v>
      </c>
      <c r="R22" s="746">
        <v>0</v>
      </c>
      <c r="S22" s="746">
        <v>0</v>
      </c>
      <c r="T22" s="757">
        <v>0</v>
      </c>
      <c r="U22" s="757">
        <v>0</v>
      </c>
      <c r="V22" s="746">
        <v>0</v>
      </c>
      <c r="W22" s="746">
        <v>0</v>
      </c>
      <c r="X22" s="757">
        <v>0</v>
      </c>
      <c r="Y22" s="758">
        <f>SUM(E22:X22)</f>
        <v>869</v>
      </c>
      <c r="Z22" s="746">
        <v>0</v>
      </c>
      <c r="AA22" s="746">
        <v>0</v>
      </c>
      <c r="AB22" s="746">
        <v>0</v>
      </c>
      <c r="AC22" s="746">
        <v>0</v>
      </c>
      <c r="AD22" s="759">
        <v>68.5</v>
      </c>
      <c r="AE22" s="746">
        <v>0</v>
      </c>
      <c r="AF22" s="746">
        <v>1.7</v>
      </c>
      <c r="AG22" s="746">
        <v>0</v>
      </c>
      <c r="AH22" s="746">
        <v>0</v>
      </c>
      <c r="AI22" s="746">
        <v>0</v>
      </c>
      <c r="AJ22" s="746">
        <v>0</v>
      </c>
      <c r="AK22" s="746">
        <v>0</v>
      </c>
      <c r="AL22" s="746">
        <v>0</v>
      </c>
      <c r="AM22" s="746">
        <f>12583/1000</f>
        <v>12.583</v>
      </c>
      <c r="AN22" s="746">
        <v>0</v>
      </c>
      <c r="AO22" s="746">
        <v>0</v>
      </c>
      <c r="AP22" s="746">
        <v>0</v>
      </c>
      <c r="AQ22" s="746">
        <v>0</v>
      </c>
      <c r="AR22" s="746">
        <v>0</v>
      </c>
      <c r="AS22" s="746">
        <v>0</v>
      </c>
      <c r="AT22" s="760">
        <v>0</v>
      </c>
      <c r="AU22" s="760">
        <v>0</v>
      </c>
      <c r="AV22" s="760">
        <v>0</v>
      </c>
      <c r="AW22" s="761">
        <f>SUM(Y22:AV22)</f>
        <v>951.78300000000002</v>
      </c>
      <c r="AX22" s="762"/>
      <c r="AY22" s="746">
        <v>0</v>
      </c>
      <c r="AZ22" s="746">
        <v>0</v>
      </c>
      <c r="BA22" s="759">
        <v>26</v>
      </c>
      <c r="BB22" s="746">
        <v>5.9</v>
      </c>
      <c r="BC22" s="746">
        <v>0</v>
      </c>
      <c r="BD22" s="746">
        <v>0</v>
      </c>
      <c r="BE22" s="746">
        <f>5033/1000</f>
        <v>5.0330000000000004</v>
      </c>
      <c r="BF22" s="760">
        <v>0</v>
      </c>
      <c r="BG22" s="760">
        <v>0</v>
      </c>
      <c r="BH22" s="760">
        <v>0</v>
      </c>
      <c r="BI22" s="763">
        <f>SUM(AW22:BH22)</f>
        <v>988.71600000000001</v>
      </c>
      <c r="BJ22" s="540">
        <f>BI22-AW22</f>
        <v>36.932999999999993</v>
      </c>
      <c r="BK22" s="629"/>
      <c r="BL22" s="630"/>
      <c r="BM22" s="630"/>
      <c r="BN22" s="630"/>
      <c r="BO22" s="630"/>
      <c r="BP22" s="630"/>
      <c r="BQ22" s="630"/>
      <c r="BR22" s="630"/>
      <c r="BS22" s="630"/>
    </row>
    <row r="23" spans="1:71" s="737" customFormat="1">
      <c r="A23" s="659">
        <v>7</v>
      </c>
      <c r="C23" s="778" t="s">
        <v>39</v>
      </c>
      <c r="D23" s="778"/>
      <c r="E23" s="779">
        <f>'ROO INPUT 1.00'!$F24</f>
        <v>8789</v>
      </c>
      <c r="F23" s="765">
        <v>0</v>
      </c>
      <c r="G23" s="765">
        <v>0</v>
      </c>
      <c r="H23" s="765">
        <v>0</v>
      </c>
      <c r="I23" s="765">
        <v>0</v>
      </c>
      <c r="J23" s="765">
        <v>0</v>
      </c>
      <c r="K23" s="765">
        <v>0</v>
      </c>
      <c r="L23" s="765">
        <v>0</v>
      </c>
      <c r="M23" s="765">
        <v>0</v>
      </c>
      <c r="N23" s="765">
        <v>0</v>
      </c>
      <c r="O23" s="765">
        <v>0</v>
      </c>
      <c r="P23" s="765">
        <v>0</v>
      </c>
      <c r="Q23" s="765">
        <v>0</v>
      </c>
      <c r="R23" s="765">
        <v>0</v>
      </c>
      <c r="S23" s="765">
        <v>-8789</v>
      </c>
      <c r="T23" s="766">
        <v>0</v>
      </c>
      <c r="U23" s="766">
        <v>0</v>
      </c>
      <c r="V23" s="765">
        <v>0</v>
      </c>
      <c r="W23" s="765">
        <v>0</v>
      </c>
      <c r="X23" s="766">
        <v>0</v>
      </c>
      <c r="Y23" s="767">
        <f>SUM(E23:X23)</f>
        <v>0</v>
      </c>
      <c r="Z23" s="765">
        <v>0</v>
      </c>
      <c r="AA23" s="765">
        <v>0</v>
      </c>
      <c r="AB23" s="765">
        <v>0</v>
      </c>
      <c r="AC23" s="765">
        <v>0</v>
      </c>
      <c r="AD23" s="768">
        <v>0</v>
      </c>
      <c r="AE23" s="765">
        <v>0</v>
      </c>
      <c r="AF23" s="765">
        <v>0</v>
      </c>
      <c r="AG23" s="765">
        <v>0</v>
      </c>
      <c r="AH23" s="765">
        <v>0</v>
      </c>
      <c r="AI23" s="765">
        <v>0</v>
      </c>
      <c r="AJ23" s="765">
        <v>0</v>
      </c>
      <c r="AK23" s="765">
        <v>0</v>
      </c>
      <c r="AL23" s="765">
        <v>0</v>
      </c>
      <c r="AM23" s="765">
        <v>0</v>
      </c>
      <c r="AN23" s="765">
        <v>0</v>
      </c>
      <c r="AO23" s="765">
        <v>0</v>
      </c>
      <c r="AP23" s="765">
        <v>0</v>
      </c>
      <c r="AQ23" s="765">
        <v>0</v>
      </c>
      <c r="AR23" s="765">
        <v>0</v>
      </c>
      <c r="AS23" s="765">
        <v>0</v>
      </c>
      <c r="AT23" s="765">
        <v>0</v>
      </c>
      <c r="AU23" s="765">
        <v>0</v>
      </c>
      <c r="AV23" s="765">
        <v>0</v>
      </c>
      <c r="AW23" s="769">
        <f>SUM(Y23:AV23)</f>
        <v>0</v>
      </c>
      <c r="AX23" s="762"/>
      <c r="AY23" s="765">
        <v>0</v>
      </c>
      <c r="AZ23" s="765">
        <v>0</v>
      </c>
      <c r="BA23" s="768">
        <v>0</v>
      </c>
      <c r="BB23" s="765">
        <v>0</v>
      </c>
      <c r="BC23" s="765">
        <v>0</v>
      </c>
      <c r="BD23" s="765">
        <v>0</v>
      </c>
      <c r="BE23" s="765">
        <v>0</v>
      </c>
      <c r="BF23" s="765">
        <v>0</v>
      </c>
      <c r="BG23" s="765">
        <v>0</v>
      </c>
      <c r="BH23" s="765">
        <v>0</v>
      </c>
      <c r="BI23" s="770">
        <f>SUM(AW23:BH23)</f>
        <v>0</v>
      </c>
      <c r="BJ23" s="771">
        <f>BI23-AW23</f>
        <v>0</v>
      </c>
      <c r="BK23" s="629"/>
      <c r="BL23" s="630"/>
      <c r="BM23" s="630"/>
      <c r="BN23" s="630"/>
      <c r="BO23" s="630"/>
      <c r="BP23" s="630"/>
      <c r="BQ23" s="630"/>
      <c r="BR23" s="630"/>
      <c r="BS23" s="630"/>
    </row>
    <row r="24" spans="1:71" s="737" customFormat="1">
      <c r="A24" s="659">
        <v>8</v>
      </c>
      <c r="B24" s="778" t="s">
        <v>40</v>
      </c>
      <c r="C24" s="778"/>
      <c r="E24" s="772">
        <f>SUM(E21:E23)</f>
        <v>149479</v>
      </c>
      <c r="F24" s="772">
        <f t="shared" ref="F24:N24" si="45">SUM(F21:F23)</f>
        <v>0</v>
      </c>
      <c r="G24" s="772">
        <f t="shared" si="45"/>
        <v>0</v>
      </c>
      <c r="H24" s="772">
        <f t="shared" si="45"/>
        <v>0</v>
      </c>
      <c r="I24" s="772">
        <f t="shared" si="45"/>
        <v>0</v>
      </c>
      <c r="J24" s="772">
        <f>SUM(J21:J23)</f>
        <v>0</v>
      </c>
      <c r="K24" s="772">
        <f t="shared" si="45"/>
        <v>0</v>
      </c>
      <c r="L24" s="772">
        <f t="shared" si="45"/>
        <v>0</v>
      </c>
      <c r="M24" s="772">
        <f t="shared" si="45"/>
        <v>0</v>
      </c>
      <c r="N24" s="772">
        <f t="shared" si="45"/>
        <v>0</v>
      </c>
      <c r="O24" s="772">
        <f t="shared" ref="O24:P24" si="46">SUM(O21:O23)</f>
        <v>0</v>
      </c>
      <c r="P24" s="772">
        <f t="shared" si="46"/>
        <v>0</v>
      </c>
      <c r="Q24" s="772">
        <f>SUM(Q21:Q23)</f>
        <v>0</v>
      </c>
      <c r="R24" s="772">
        <f>SUM(R21:R23)</f>
        <v>-57</v>
      </c>
      <c r="S24" s="772">
        <f>SUM(S21:S23)</f>
        <v>-58183</v>
      </c>
      <c r="T24" s="773">
        <f t="shared" ref="T24" si="47">SUM(T21:T23)</f>
        <v>0</v>
      </c>
      <c r="U24" s="773">
        <f t="shared" ref="U24:Z24" si="48">SUM(U21:U23)</f>
        <v>0</v>
      </c>
      <c r="V24" s="772">
        <f t="shared" si="48"/>
        <v>0</v>
      </c>
      <c r="W24" s="772">
        <f>SUM(W21:W23)</f>
        <v>0</v>
      </c>
      <c r="X24" s="773">
        <f t="shared" ref="X24" si="49">SUM(X21:X23)</f>
        <v>0</v>
      </c>
      <c r="Y24" s="758">
        <f t="shared" si="48"/>
        <v>91239</v>
      </c>
      <c r="Z24" s="772">
        <f t="shared" si="48"/>
        <v>-90370</v>
      </c>
      <c r="AA24" s="772">
        <f t="shared" ref="AA24" si="50">SUM(AA21:AA23)</f>
        <v>0</v>
      </c>
      <c r="AB24" s="772">
        <f>SUM(AB21:AB23)</f>
        <v>0</v>
      </c>
      <c r="AC24" s="772">
        <f t="shared" ref="AC24:AE24" si="51">SUM(AC21:AC23)</f>
        <v>0</v>
      </c>
      <c r="AD24" s="774">
        <f t="shared" si="51"/>
        <v>68.5</v>
      </c>
      <c r="AE24" s="772">
        <f t="shared" si="51"/>
        <v>0</v>
      </c>
      <c r="AF24" s="772">
        <f>SUM(AF21:AF23)</f>
        <v>1.7</v>
      </c>
      <c r="AG24" s="772">
        <f>SUM(AG21:AG23)</f>
        <v>0</v>
      </c>
      <c r="AH24" s="772">
        <f>SUM(AH21:AH23)</f>
        <v>0</v>
      </c>
      <c r="AI24" s="772">
        <f t="shared" ref="AI24" si="52">SUM(AI21:AI23)</f>
        <v>0</v>
      </c>
      <c r="AJ24" s="772">
        <f t="shared" ref="AJ24:AK24" si="53">SUM(AJ21:AJ23)</f>
        <v>0</v>
      </c>
      <c r="AK24" s="772">
        <f t="shared" si="53"/>
        <v>0</v>
      </c>
      <c r="AL24" s="772">
        <f>SUM(AL21:AL23)</f>
        <v>0</v>
      </c>
      <c r="AM24" s="772">
        <f t="shared" ref="AM24:AO24" si="54">SUM(AM21:AM23)</f>
        <v>12.583</v>
      </c>
      <c r="AN24" s="772">
        <f t="shared" si="54"/>
        <v>0</v>
      </c>
      <c r="AO24" s="772">
        <f t="shared" si="54"/>
        <v>0</v>
      </c>
      <c r="AP24" s="772">
        <f t="shared" ref="AP24:AQ24" si="55">SUM(AP21:AP23)</f>
        <v>0</v>
      </c>
      <c r="AQ24" s="772">
        <f t="shared" si="55"/>
        <v>0</v>
      </c>
      <c r="AR24" s="772">
        <f t="shared" ref="AR24:AS24" si="56">SUM(AR21:AR23)</f>
        <v>0</v>
      </c>
      <c r="AS24" s="772">
        <f t="shared" si="56"/>
        <v>0</v>
      </c>
      <c r="AT24" s="775">
        <f>SUM(AT21:AT23)</f>
        <v>0</v>
      </c>
      <c r="AU24" s="775">
        <f>SUM(AU21:AU23)</f>
        <v>0</v>
      </c>
      <c r="AV24" s="775">
        <f t="shared" ref="AV24" si="57">SUM(AV21:AV23)</f>
        <v>0</v>
      </c>
      <c r="AW24" s="761">
        <f t="shared" ref="AW24" si="58">SUM(AW21:AW23)</f>
        <v>951.78300000000002</v>
      </c>
      <c r="AX24" s="762"/>
      <c r="AY24" s="772">
        <f>SUM(AY21:AY23)</f>
        <v>0</v>
      </c>
      <c r="AZ24" s="772">
        <f t="shared" ref="AZ24" si="59">SUM(AZ21:AZ23)</f>
        <v>0</v>
      </c>
      <c r="BA24" s="774">
        <f t="shared" ref="BA24" si="60">SUM(BA21:BA23)</f>
        <v>26</v>
      </c>
      <c r="BB24" s="772">
        <f>SUM(BB21:BB23)</f>
        <v>5.9</v>
      </c>
      <c r="BC24" s="772">
        <f>SUM(BC21:BC23)</f>
        <v>0</v>
      </c>
      <c r="BD24" s="772">
        <f>SUM(BD21:BD23)</f>
        <v>0</v>
      </c>
      <c r="BE24" s="772">
        <f t="shared" ref="BE24" si="61">SUM(BE21:BE23)</f>
        <v>5.0330000000000004</v>
      </c>
      <c r="BF24" s="775">
        <f>SUM(BF21:BF23)</f>
        <v>0</v>
      </c>
      <c r="BG24" s="775">
        <f>SUM(BG21:BG23)</f>
        <v>0</v>
      </c>
      <c r="BH24" s="775">
        <f>SUM(BH21:BH23)</f>
        <v>0</v>
      </c>
      <c r="BI24" s="776">
        <f>SUM(BI21:BI23)</f>
        <v>988.71600000000001</v>
      </c>
      <c r="BJ24" s="772">
        <f>SUM(BJ21:BJ23)</f>
        <v>36.932999999999993</v>
      </c>
      <c r="BK24" s="629"/>
      <c r="BL24" s="630"/>
      <c r="BM24" s="630"/>
      <c r="BN24" s="630"/>
      <c r="BO24" s="630"/>
      <c r="BP24" s="630"/>
      <c r="BQ24" s="630"/>
      <c r="BR24" s="630"/>
      <c r="BS24" s="630"/>
    </row>
    <row r="25" spans="1:71" s="737" customFormat="1" ht="9" customHeight="1">
      <c r="A25" s="659"/>
      <c r="B25" s="778"/>
      <c r="C25" s="778"/>
      <c r="E25" s="772"/>
      <c r="F25" s="772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2"/>
      <c r="T25" s="773"/>
      <c r="U25" s="773"/>
      <c r="V25" s="772"/>
      <c r="W25" s="772"/>
      <c r="X25" s="773"/>
      <c r="Y25" s="758"/>
      <c r="Z25" s="772"/>
      <c r="AA25" s="772"/>
      <c r="AB25" s="772"/>
      <c r="AC25" s="772"/>
      <c r="AD25" s="774"/>
      <c r="AE25" s="772"/>
      <c r="AF25" s="772"/>
      <c r="AG25" s="772"/>
      <c r="AH25" s="772"/>
      <c r="AI25" s="772"/>
      <c r="AJ25" s="772"/>
      <c r="AK25" s="772"/>
      <c r="AL25" s="772"/>
      <c r="AM25" s="772"/>
      <c r="AN25" s="772"/>
      <c r="AO25" s="772"/>
      <c r="AP25" s="772"/>
      <c r="AQ25" s="772"/>
      <c r="AR25" s="772"/>
      <c r="AS25" s="772"/>
      <c r="AT25" s="775"/>
      <c r="AU25" s="775"/>
      <c r="AV25" s="775"/>
      <c r="AW25" s="761"/>
      <c r="AX25" s="762"/>
      <c r="AY25" s="772"/>
      <c r="AZ25" s="772"/>
      <c r="BA25" s="774"/>
      <c r="BB25" s="772"/>
      <c r="BC25" s="772"/>
      <c r="BD25" s="772"/>
      <c r="BE25" s="772"/>
      <c r="BF25" s="775"/>
      <c r="BG25" s="775"/>
      <c r="BH25" s="775"/>
      <c r="BI25" s="776"/>
      <c r="BJ25" s="772"/>
      <c r="BK25" s="629"/>
      <c r="BL25" s="630"/>
      <c r="BM25" s="630"/>
      <c r="BN25" s="630"/>
      <c r="BO25" s="630"/>
      <c r="BP25" s="630"/>
      <c r="BQ25" s="630"/>
      <c r="BR25" s="630"/>
      <c r="BS25" s="630"/>
    </row>
    <row r="26" spans="1:71" s="737" customFormat="1">
      <c r="A26" s="659"/>
      <c r="B26" s="778" t="s">
        <v>41</v>
      </c>
      <c r="D26" s="778"/>
      <c r="E26" s="772"/>
      <c r="F26" s="746"/>
      <c r="G26" s="746"/>
      <c r="H26" s="746"/>
      <c r="I26" s="746"/>
      <c r="J26" s="746"/>
      <c r="K26" s="746"/>
      <c r="L26" s="746"/>
      <c r="M26" s="746"/>
      <c r="N26" s="746"/>
      <c r="O26" s="746"/>
      <c r="P26" s="746"/>
      <c r="Q26" s="746"/>
      <c r="R26" s="746"/>
      <c r="S26" s="746"/>
      <c r="T26" s="757"/>
      <c r="U26" s="757"/>
      <c r="V26" s="746"/>
      <c r="W26" s="746"/>
      <c r="X26" s="757"/>
      <c r="Y26" s="758"/>
      <c r="Z26" s="746"/>
      <c r="AA26" s="746"/>
      <c r="AB26" s="746"/>
      <c r="AC26" s="746"/>
      <c r="AD26" s="759"/>
      <c r="AE26" s="746"/>
      <c r="AF26" s="746"/>
      <c r="AG26" s="746"/>
      <c r="AH26" s="746"/>
      <c r="AI26" s="746"/>
      <c r="AJ26" s="746"/>
      <c r="AK26" s="746"/>
      <c r="AL26" s="746"/>
      <c r="AM26" s="746"/>
      <c r="AN26" s="746"/>
      <c r="AO26" s="746"/>
      <c r="AP26" s="746"/>
      <c r="AQ26" s="746"/>
      <c r="AR26" s="746"/>
      <c r="AS26" s="746"/>
      <c r="AT26" s="760"/>
      <c r="AU26" s="760"/>
      <c r="AV26" s="760"/>
      <c r="AW26" s="761"/>
      <c r="AX26" s="762"/>
      <c r="AY26" s="746"/>
      <c r="AZ26" s="746"/>
      <c r="BA26" s="759"/>
      <c r="BB26" s="746"/>
      <c r="BC26" s="746"/>
      <c r="BD26" s="746"/>
      <c r="BE26" s="746"/>
      <c r="BF26" s="760"/>
      <c r="BG26" s="760"/>
      <c r="BH26" s="760"/>
      <c r="BI26" s="777"/>
      <c r="BJ26" s="746"/>
      <c r="BK26" s="629"/>
      <c r="BL26" s="630"/>
      <c r="BM26" s="630"/>
      <c r="BN26" s="630"/>
      <c r="BO26" s="630"/>
      <c r="BP26" s="630"/>
      <c r="BQ26" s="630"/>
      <c r="BR26" s="630"/>
      <c r="BS26" s="630"/>
    </row>
    <row r="27" spans="1:71" s="737" customFormat="1">
      <c r="A27" s="659">
        <v>9</v>
      </c>
      <c r="C27" s="778" t="s">
        <v>42</v>
      </c>
      <c r="D27" s="778"/>
      <c r="E27" s="772">
        <f>'ROO INPUT 1.00'!$F28</f>
        <v>2062</v>
      </c>
      <c r="F27" s="746">
        <v>0</v>
      </c>
      <c r="G27" s="746">
        <v>0</v>
      </c>
      <c r="H27" s="746">
        <v>0</v>
      </c>
      <c r="I27" s="746">
        <v>0</v>
      </c>
      <c r="J27" s="746">
        <v>0</v>
      </c>
      <c r="K27" s="746">
        <v>0</v>
      </c>
      <c r="L27" s="746">
        <v>0</v>
      </c>
      <c r="M27" s="746">
        <v>0</v>
      </c>
      <c r="N27" s="746">
        <v>0</v>
      </c>
      <c r="O27" s="746">
        <v>0</v>
      </c>
      <c r="P27" s="746">
        <v>0</v>
      </c>
      <c r="Q27" s="746">
        <v>0</v>
      </c>
      <c r="R27" s="746">
        <v>0</v>
      </c>
      <c r="S27" s="746">
        <v>0</v>
      </c>
      <c r="T27" s="757">
        <v>0</v>
      </c>
      <c r="U27" s="757">
        <v>0</v>
      </c>
      <c r="V27" s="746">
        <v>0</v>
      </c>
      <c r="W27" s="746">
        <v>0</v>
      </c>
      <c r="X27" s="757">
        <v>0</v>
      </c>
      <c r="Y27" s="758">
        <f>SUM(E27:X27)</f>
        <v>2062</v>
      </c>
      <c r="Z27" s="746">
        <v>0</v>
      </c>
      <c r="AA27" s="746">
        <v>0</v>
      </c>
      <c r="AB27" s="746">
        <v>0</v>
      </c>
      <c r="AC27" s="746">
        <v>0</v>
      </c>
      <c r="AD27" s="759">
        <v>0.3</v>
      </c>
      <c r="AE27" s="746">
        <v>0</v>
      </c>
      <c r="AF27" s="746">
        <v>0</v>
      </c>
      <c r="AG27" s="746">
        <v>0</v>
      </c>
      <c r="AH27" s="746">
        <v>0</v>
      </c>
      <c r="AI27" s="746">
        <v>0</v>
      </c>
      <c r="AJ27" s="746">
        <v>0</v>
      </c>
      <c r="AK27" s="746">
        <v>0</v>
      </c>
      <c r="AL27" s="746">
        <v>0</v>
      </c>
      <c r="AM27" s="746">
        <f>235834/1000</f>
        <v>235.834</v>
      </c>
      <c r="AN27" s="746">
        <v>0</v>
      </c>
      <c r="AO27" s="746">
        <v>0</v>
      </c>
      <c r="AP27" s="746">
        <v>0</v>
      </c>
      <c r="AQ27" s="746">
        <v>0</v>
      </c>
      <c r="AR27" s="746">
        <v>0</v>
      </c>
      <c r="AS27" s="746">
        <v>0</v>
      </c>
      <c r="AT27" s="760">
        <v>0</v>
      </c>
      <c r="AU27" s="760">
        <v>0</v>
      </c>
      <c r="AV27" s="760">
        <v>0</v>
      </c>
      <c r="AW27" s="761">
        <f>SUM(Y27:AV27)</f>
        <v>2298.134</v>
      </c>
      <c r="AX27" s="762"/>
      <c r="AY27" s="746">
        <v>0</v>
      </c>
      <c r="AZ27" s="746">
        <v>0</v>
      </c>
      <c r="BA27" s="759">
        <v>0</v>
      </c>
      <c r="BB27" s="746">
        <v>0</v>
      </c>
      <c r="BC27" s="746">
        <v>0</v>
      </c>
      <c r="BD27" s="746">
        <v>0</v>
      </c>
      <c r="BE27" s="746">
        <f>94334/1000</f>
        <v>94.334000000000003</v>
      </c>
      <c r="BF27" s="760">
        <v>0</v>
      </c>
      <c r="BG27" s="760">
        <v>0</v>
      </c>
      <c r="BH27" s="760">
        <v>0</v>
      </c>
      <c r="BI27" s="763">
        <f>SUM(AW27:BH27)</f>
        <v>2392.4679999999998</v>
      </c>
      <c r="BJ27" s="540">
        <f>BI27-AW27</f>
        <v>94.333999999999833</v>
      </c>
      <c r="BK27" s="629"/>
      <c r="BL27" s="630"/>
      <c r="BM27" s="630"/>
      <c r="BN27" s="630"/>
      <c r="BO27" s="630"/>
      <c r="BP27" s="630"/>
      <c r="BQ27" s="630"/>
      <c r="BR27" s="630"/>
      <c r="BS27" s="630"/>
    </row>
    <row r="28" spans="1:71" s="737" customFormat="1">
      <c r="A28" s="659">
        <v>10</v>
      </c>
      <c r="C28" s="778" t="s">
        <v>188</v>
      </c>
      <c r="D28" s="778"/>
      <c r="E28" s="772">
        <f>'ROO INPUT 1.00'!$F29</f>
        <v>512</v>
      </c>
      <c r="F28" s="746">
        <v>0</v>
      </c>
      <c r="G28" s="746">
        <v>0</v>
      </c>
      <c r="H28" s="746">
        <v>0</v>
      </c>
      <c r="I28" s="746">
        <v>0</v>
      </c>
      <c r="J28" s="746">
        <v>0</v>
      </c>
      <c r="K28" s="746">
        <v>0</v>
      </c>
      <c r="L28" s="746">
        <v>0</v>
      </c>
      <c r="M28" s="746">
        <v>0</v>
      </c>
      <c r="N28" s="746">
        <v>0</v>
      </c>
      <c r="O28" s="746">
        <v>0</v>
      </c>
      <c r="P28" s="746">
        <v>0</v>
      </c>
      <c r="Q28" s="746">
        <v>0</v>
      </c>
      <c r="R28" s="746">
        <v>0</v>
      </c>
      <c r="S28" s="746">
        <v>0</v>
      </c>
      <c r="T28" s="757">
        <v>0</v>
      </c>
      <c r="U28" s="757">
        <v>0</v>
      </c>
      <c r="V28" s="746">
        <v>0</v>
      </c>
      <c r="W28" s="746">
        <v>0</v>
      </c>
      <c r="X28" s="757">
        <v>0</v>
      </c>
      <c r="Y28" s="758">
        <f>SUM(E28:X28)</f>
        <v>512</v>
      </c>
      <c r="Z28" s="746">
        <v>0</v>
      </c>
      <c r="AA28" s="746">
        <v>0</v>
      </c>
      <c r="AB28" s="746">
        <v>0</v>
      </c>
      <c r="AC28" s="746">
        <v>0</v>
      </c>
      <c r="AD28" s="759">
        <v>0</v>
      </c>
      <c r="AE28" s="746">
        <v>0</v>
      </c>
      <c r="AF28" s="746">
        <v>0</v>
      </c>
      <c r="AG28" s="746">
        <v>0</v>
      </c>
      <c r="AH28" s="746">
        <v>0</v>
      </c>
      <c r="AI28" s="746">
        <v>0</v>
      </c>
      <c r="AJ28" s="746">
        <v>0</v>
      </c>
      <c r="AK28" s="746">
        <v>0</v>
      </c>
      <c r="AL28" s="746">
        <v>0</v>
      </c>
      <c r="AM28" s="746">
        <v>0</v>
      </c>
      <c r="AN28" s="746">
        <v>12</v>
      </c>
      <c r="AO28" s="746">
        <v>-6.8</v>
      </c>
      <c r="AP28" s="746">
        <v>27</v>
      </c>
      <c r="AQ28" s="746">
        <v>0</v>
      </c>
      <c r="AR28" s="746">
        <v>0</v>
      </c>
      <c r="AS28" s="746">
        <v>0</v>
      </c>
      <c r="AT28" s="760">
        <v>22</v>
      </c>
      <c r="AU28" s="760">
        <v>0</v>
      </c>
      <c r="AV28" s="760">
        <v>0</v>
      </c>
      <c r="AW28" s="761">
        <f>SUM(Y28:AV28)</f>
        <v>566.20000000000005</v>
      </c>
      <c r="AX28" s="762"/>
      <c r="AY28" s="746">
        <v>0</v>
      </c>
      <c r="AZ28" s="746">
        <v>0</v>
      </c>
      <c r="BA28" s="759">
        <v>0</v>
      </c>
      <c r="BB28" s="746">
        <v>0</v>
      </c>
      <c r="BC28" s="746">
        <v>0</v>
      </c>
      <c r="BD28" s="746">
        <v>0</v>
      </c>
      <c r="BE28" s="746">
        <v>0</v>
      </c>
      <c r="BF28" s="760">
        <v>22</v>
      </c>
      <c r="BG28" s="760">
        <v>0</v>
      </c>
      <c r="BH28" s="760">
        <v>0</v>
      </c>
      <c r="BI28" s="763">
        <f>SUM(AW28:BH28)</f>
        <v>588.20000000000005</v>
      </c>
      <c r="BJ28" s="540">
        <f>BI28-AW28</f>
        <v>22</v>
      </c>
      <c r="BK28" s="629"/>
      <c r="BL28" s="630"/>
      <c r="BM28" s="630"/>
      <c r="BN28" s="630"/>
      <c r="BO28" s="630"/>
      <c r="BP28" s="630"/>
      <c r="BQ28" s="630"/>
      <c r="BR28" s="630"/>
      <c r="BS28" s="630"/>
    </row>
    <row r="29" spans="1:71" s="737" customFormat="1">
      <c r="A29" s="659">
        <v>11</v>
      </c>
      <c r="C29" s="778" t="s">
        <v>20</v>
      </c>
      <c r="D29" s="778"/>
      <c r="E29" s="779">
        <f>'ROO INPUT 1.00'!$F30</f>
        <v>161</v>
      </c>
      <c r="F29" s="765">
        <v>0</v>
      </c>
      <c r="G29" s="765">
        <v>0</v>
      </c>
      <c r="H29" s="765">
        <v>0</v>
      </c>
      <c r="I29" s="765">
        <v>0</v>
      </c>
      <c r="J29" s="765">
        <v>32</v>
      </c>
      <c r="K29" s="765">
        <v>0</v>
      </c>
      <c r="L29" s="765">
        <v>0</v>
      </c>
      <c r="M29" s="765">
        <v>0</v>
      </c>
      <c r="N29" s="765">
        <v>0</v>
      </c>
      <c r="O29" s="765">
        <v>0</v>
      </c>
      <c r="P29" s="765">
        <v>0</v>
      </c>
      <c r="Q29" s="765">
        <v>0</v>
      </c>
      <c r="R29" s="765">
        <v>0</v>
      </c>
      <c r="S29" s="765">
        <v>0</v>
      </c>
      <c r="T29" s="766">
        <v>0</v>
      </c>
      <c r="U29" s="766">
        <v>0</v>
      </c>
      <c r="V29" s="765">
        <v>0</v>
      </c>
      <c r="W29" s="765">
        <v>0</v>
      </c>
      <c r="X29" s="766">
        <v>0</v>
      </c>
      <c r="Y29" s="767">
        <f>SUM(E29:X29)</f>
        <v>193</v>
      </c>
      <c r="Z29" s="765">
        <v>0</v>
      </c>
      <c r="AA29" s="765">
        <v>0</v>
      </c>
      <c r="AB29" s="765">
        <v>0</v>
      </c>
      <c r="AC29" s="765">
        <v>0</v>
      </c>
      <c r="AD29" s="768">
        <v>0</v>
      </c>
      <c r="AE29" s="765">
        <v>0</v>
      </c>
      <c r="AF29" s="765">
        <v>0</v>
      </c>
      <c r="AG29" s="765">
        <v>0</v>
      </c>
      <c r="AH29" s="765">
        <v>0</v>
      </c>
      <c r="AI29" s="765">
        <v>0</v>
      </c>
      <c r="AJ29" s="765">
        <v>57</v>
      </c>
      <c r="AK29" s="765">
        <v>0</v>
      </c>
      <c r="AL29" s="765">
        <v>0</v>
      </c>
      <c r="AM29" s="765">
        <v>0</v>
      </c>
      <c r="AN29" s="765">
        <v>0</v>
      </c>
      <c r="AO29" s="765">
        <v>0</v>
      </c>
      <c r="AP29" s="765">
        <v>0</v>
      </c>
      <c r="AQ29" s="765">
        <v>0</v>
      </c>
      <c r="AR29" s="765">
        <v>0</v>
      </c>
      <c r="AS29" s="765">
        <v>0</v>
      </c>
      <c r="AT29" s="765">
        <v>0</v>
      </c>
      <c r="AU29" s="765">
        <v>0</v>
      </c>
      <c r="AV29" s="765">
        <v>0</v>
      </c>
      <c r="AW29" s="769">
        <f>SUM(Y29:AV29)</f>
        <v>250</v>
      </c>
      <c r="AX29" s="762"/>
      <c r="AY29" s="765">
        <v>0</v>
      </c>
      <c r="AZ29" s="765">
        <v>0</v>
      </c>
      <c r="BA29" s="768">
        <v>0</v>
      </c>
      <c r="BB29" s="765">
        <v>0</v>
      </c>
      <c r="BC29" s="765">
        <v>2</v>
      </c>
      <c r="BD29" s="765">
        <v>0</v>
      </c>
      <c r="BE29" s="765">
        <v>0</v>
      </c>
      <c r="BF29" s="765">
        <v>0</v>
      </c>
      <c r="BG29" s="765">
        <v>0</v>
      </c>
      <c r="BH29" s="765">
        <v>0</v>
      </c>
      <c r="BI29" s="770">
        <f>SUM(AW29:BH29)</f>
        <v>252</v>
      </c>
      <c r="BJ29" s="771">
        <f>BI29-AW29</f>
        <v>2</v>
      </c>
      <c r="BK29" s="629"/>
      <c r="BL29" s="630"/>
      <c r="BM29" s="630"/>
      <c r="BN29" s="630"/>
      <c r="BO29" s="630"/>
      <c r="BP29" s="630"/>
      <c r="BQ29" s="630"/>
      <c r="BR29" s="630"/>
      <c r="BS29" s="630"/>
    </row>
    <row r="30" spans="1:71" s="737" customFormat="1">
      <c r="A30" s="659">
        <v>12</v>
      </c>
      <c r="B30" s="778" t="s">
        <v>44</v>
      </c>
      <c r="C30" s="778"/>
      <c r="E30" s="772">
        <f t="shared" ref="E30:Y30" si="62">SUM(E27:E29)</f>
        <v>2735</v>
      </c>
      <c r="F30" s="772">
        <f t="shared" si="62"/>
        <v>0</v>
      </c>
      <c r="G30" s="772">
        <f t="shared" si="62"/>
        <v>0</v>
      </c>
      <c r="H30" s="772">
        <f t="shared" si="62"/>
        <v>0</v>
      </c>
      <c r="I30" s="772">
        <f t="shared" si="62"/>
        <v>0</v>
      </c>
      <c r="J30" s="772">
        <f>SUM(J27:J29)</f>
        <v>32</v>
      </c>
      <c r="K30" s="772">
        <f t="shared" si="62"/>
        <v>0</v>
      </c>
      <c r="L30" s="772">
        <f t="shared" si="62"/>
        <v>0</v>
      </c>
      <c r="M30" s="772">
        <f t="shared" si="62"/>
        <v>0</v>
      </c>
      <c r="N30" s="772">
        <f t="shared" si="62"/>
        <v>0</v>
      </c>
      <c r="O30" s="772">
        <f t="shared" ref="O30:P30" si="63">SUM(O27:O29)</f>
        <v>0</v>
      </c>
      <c r="P30" s="772">
        <f t="shared" si="63"/>
        <v>0</v>
      </c>
      <c r="Q30" s="772">
        <f>SUM(Q27:Q29)</f>
        <v>0</v>
      </c>
      <c r="R30" s="772">
        <f>SUM(R27:R29)</f>
        <v>0</v>
      </c>
      <c r="S30" s="772">
        <f>SUM(S27:S29)</f>
        <v>0</v>
      </c>
      <c r="T30" s="773">
        <f t="shared" ref="T30" si="64">SUM(T27:T29)</f>
        <v>0</v>
      </c>
      <c r="U30" s="773">
        <f>SUM(U27:U29)</f>
        <v>0</v>
      </c>
      <c r="V30" s="772">
        <f>SUM(V27:V29)</f>
        <v>0</v>
      </c>
      <c r="W30" s="772">
        <f>SUM(W27:W29)</f>
        <v>0</v>
      </c>
      <c r="X30" s="773">
        <f>SUM(X27:X29)</f>
        <v>0</v>
      </c>
      <c r="Y30" s="758">
        <f t="shared" si="62"/>
        <v>2767</v>
      </c>
      <c r="Z30" s="772">
        <f>SUM(Z27:Z29)</f>
        <v>0</v>
      </c>
      <c r="AA30" s="772">
        <f>SUM(AA27:AA29)</f>
        <v>0</v>
      </c>
      <c r="AB30" s="772">
        <f>SUM(AB27:AB29)</f>
        <v>0</v>
      </c>
      <c r="AC30" s="772">
        <f t="shared" ref="AC30:AI30" si="65">SUM(AC27:AC29)</f>
        <v>0</v>
      </c>
      <c r="AD30" s="774">
        <f t="shared" si="65"/>
        <v>0.3</v>
      </c>
      <c r="AE30" s="772">
        <f t="shared" si="65"/>
        <v>0</v>
      </c>
      <c r="AF30" s="772">
        <f t="shared" si="65"/>
        <v>0</v>
      </c>
      <c r="AG30" s="772">
        <f t="shared" ref="AG30" si="66">SUM(AG27:AG29)</f>
        <v>0</v>
      </c>
      <c r="AH30" s="772">
        <f t="shared" si="65"/>
        <v>0</v>
      </c>
      <c r="AI30" s="772">
        <f t="shared" si="65"/>
        <v>0</v>
      </c>
      <c r="AJ30" s="772">
        <f t="shared" ref="AJ30:AK30" si="67">SUM(AJ27:AJ29)</f>
        <v>57</v>
      </c>
      <c r="AK30" s="772">
        <f t="shared" si="67"/>
        <v>0</v>
      </c>
      <c r="AL30" s="772">
        <f>SUM(AL27:AL29)</f>
        <v>0</v>
      </c>
      <c r="AM30" s="772">
        <f t="shared" ref="AM30" si="68">SUM(AM27:AM29)</f>
        <v>235.834</v>
      </c>
      <c r="AN30" s="772">
        <f>SUM(AN27:AN29)</f>
        <v>12</v>
      </c>
      <c r="AO30" s="772">
        <f t="shared" ref="AO30" si="69">SUM(AO27:AO29)</f>
        <v>-6.8</v>
      </c>
      <c r="AP30" s="772">
        <f t="shared" ref="AP30:AQ30" si="70">SUM(AP27:AP29)</f>
        <v>27</v>
      </c>
      <c r="AQ30" s="772">
        <f t="shared" si="70"/>
        <v>0</v>
      </c>
      <c r="AR30" s="772">
        <f>SUM(AR27:AR29)</f>
        <v>0</v>
      </c>
      <c r="AS30" s="772">
        <f>SUM(AS27:AS29)</f>
        <v>0</v>
      </c>
      <c r="AT30" s="775">
        <f>SUM(AT27:AT29)</f>
        <v>22</v>
      </c>
      <c r="AU30" s="775">
        <f>SUM(AU27:AU29)</f>
        <v>0</v>
      </c>
      <c r="AV30" s="775">
        <f t="shared" ref="AV30" si="71">SUM(AV27:AV29)</f>
        <v>0</v>
      </c>
      <c r="AW30" s="761">
        <f t="shared" ref="AW30" si="72">SUM(AW27:AW29)</f>
        <v>3114.3339999999998</v>
      </c>
      <c r="AX30" s="762"/>
      <c r="AY30" s="772">
        <f>SUM(AY27:AY29)</f>
        <v>0</v>
      </c>
      <c r="AZ30" s="772">
        <f t="shared" ref="AZ30" si="73">SUM(AZ27:AZ29)</f>
        <v>0</v>
      </c>
      <c r="BA30" s="774">
        <f t="shared" ref="BA30:BB30" si="74">SUM(BA27:BA29)</f>
        <v>0</v>
      </c>
      <c r="BB30" s="772">
        <f t="shared" si="74"/>
        <v>0</v>
      </c>
      <c r="BC30" s="772">
        <f>SUM(BC27:BC29)</f>
        <v>2</v>
      </c>
      <c r="BD30" s="772">
        <f>SUM(BD27:BD29)</f>
        <v>0</v>
      </c>
      <c r="BE30" s="772">
        <f t="shared" ref="BE30" si="75">SUM(BE27:BE29)</f>
        <v>94.334000000000003</v>
      </c>
      <c r="BF30" s="775">
        <f>SUM(BF27:BF29)</f>
        <v>22</v>
      </c>
      <c r="BG30" s="775">
        <f>SUM(BG27:BG29)</f>
        <v>0</v>
      </c>
      <c r="BH30" s="775">
        <f>SUM(BH27:BH29)</f>
        <v>0</v>
      </c>
      <c r="BI30" s="776">
        <f>SUM(BI27:BI29)</f>
        <v>3232.6679999999997</v>
      </c>
      <c r="BJ30" s="772">
        <f>SUM(BJ27:BJ29)</f>
        <v>118.33399999999983</v>
      </c>
      <c r="BK30" s="629"/>
      <c r="BL30" s="630"/>
      <c r="BM30" s="630"/>
      <c r="BN30" s="630"/>
      <c r="BO30" s="630"/>
      <c r="BP30" s="630"/>
      <c r="BQ30" s="630"/>
      <c r="BR30" s="630"/>
      <c r="BS30" s="630"/>
    </row>
    <row r="31" spans="1:71" s="737" customFormat="1" ht="9" customHeight="1">
      <c r="A31" s="659"/>
      <c r="B31" s="778"/>
      <c r="C31" s="778"/>
      <c r="E31" s="772"/>
      <c r="F31" s="772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3"/>
      <c r="U31" s="773"/>
      <c r="V31" s="772"/>
      <c r="W31" s="772"/>
      <c r="X31" s="773"/>
      <c r="Y31" s="758"/>
      <c r="Z31" s="772"/>
      <c r="AA31" s="772"/>
      <c r="AB31" s="772"/>
      <c r="AC31" s="772"/>
      <c r="AD31" s="774"/>
      <c r="AE31" s="772"/>
      <c r="AF31" s="772"/>
      <c r="AG31" s="772"/>
      <c r="AH31" s="772"/>
      <c r="AI31" s="772"/>
      <c r="AJ31" s="772"/>
      <c r="AK31" s="772"/>
      <c r="AL31" s="772"/>
      <c r="AM31" s="772"/>
      <c r="AN31" s="772"/>
      <c r="AO31" s="772"/>
      <c r="AP31" s="772"/>
      <c r="AQ31" s="772"/>
      <c r="AR31" s="772"/>
      <c r="AS31" s="772"/>
      <c r="AT31" s="775"/>
      <c r="AU31" s="775"/>
      <c r="AV31" s="775"/>
      <c r="AW31" s="761"/>
      <c r="AX31" s="762"/>
      <c r="AY31" s="772"/>
      <c r="AZ31" s="772"/>
      <c r="BA31" s="774"/>
      <c r="BB31" s="772"/>
      <c r="BC31" s="772"/>
      <c r="BD31" s="772"/>
      <c r="BE31" s="772"/>
      <c r="BF31" s="775"/>
      <c r="BG31" s="775"/>
      <c r="BH31" s="775"/>
      <c r="BI31" s="776"/>
      <c r="BJ31" s="772"/>
      <c r="BK31" s="629"/>
      <c r="BL31" s="630"/>
      <c r="BM31" s="630"/>
      <c r="BN31" s="630"/>
      <c r="BO31" s="630"/>
      <c r="BP31" s="630"/>
      <c r="BQ31" s="630"/>
      <c r="BR31" s="630"/>
      <c r="BS31" s="630"/>
    </row>
    <row r="32" spans="1:71" s="737" customFormat="1">
      <c r="A32" s="659"/>
      <c r="B32" s="778" t="s">
        <v>45</v>
      </c>
      <c r="D32" s="778"/>
      <c r="E32" s="772"/>
      <c r="F32" s="746"/>
      <c r="G32" s="746"/>
      <c r="H32" s="746"/>
      <c r="I32" s="746"/>
      <c r="J32" s="746"/>
      <c r="K32" s="746"/>
      <c r="L32" s="746"/>
      <c r="M32" s="746"/>
      <c r="N32" s="746"/>
      <c r="O32" s="746"/>
      <c r="P32" s="746"/>
      <c r="Q32" s="746"/>
      <c r="R32" s="746"/>
      <c r="S32" s="746"/>
      <c r="T32" s="757"/>
      <c r="U32" s="757"/>
      <c r="V32" s="746"/>
      <c r="W32" s="746"/>
      <c r="X32" s="757"/>
      <c r="Y32" s="758"/>
      <c r="Z32" s="746"/>
      <c r="AA32" s="746"/>
      <c r="AB32" s="746"/>
      <c r="AC32" s="746"/>
      <c r="AD32" s="759"/>
      <c r="AE32" s="746"/>
      <c r="AF32" s="746"/>
      <c r="AG32" s="746"/>
      <c r="AH32" s="746"/>
      <c r="AI32" s="746"/>
      <c r="AJ32" s="746"/>
      <c r="AK32" s="746"/>
      <c r="AL32" s="746"/>
      <c r="AM32" s="746"/>
      <c r="AN32" s="746"/>
      <c r="AO32" s="746"/>
      <c r="AP32" s="746"/>
      <c r="AQ32" s="746"/>
      <c r="AR32" s="746"/>
      <c r="AS32" s="746"/>
      <c r="AT32" s="760"/>
      <c r="AU32" s="760"/>
      <c r="AV32" s="760"/>
      <c r="AW32" s="761"/>
      <c r="AX32" s="762"/>
      <c r="AY32" s="746"/>
      <c r="AZ32" s="746"/>
      <c r="BA32" s="759"/>
      <c r="BB32" s="746"/>
      <c r="BC32" s="746"/>
      <c r="BD32" s="746"/>
      <c r="BE32" s="746"/>
      <c r="BF32" s="760"/>
      <c r="BG32" s="760"/>
      <c r="BH32" s="760"/>
      <c r="BI32" s="777"/>
      <c r="BJ32" s="746"/>
      <c r="BK32" s="629"/>
      <c r="BL32" s="630"/>
      <c r="BM32" s="630"/>
      <c r="BN32" s="630"/>
      <c r="BO32" s="630"/>
      <c r="BP32" s="630"/>
      <c r="BQ32" s="630"/>
      <c r="BR32" s="630"/>
      <c r="BS32" s="630"/>
    </row>
    <row r="33" spans="1:71" s="737" customFormat="1">
      <c r="A33" s="659">
        <v>13</v>
      </c>
      <c r="C33" s="778" t="s">
        <v>42</v>
      </c>
      <c r="D33" s="778"/>
      <c r="E33" s="772">
        <f>'ROO INPUT 1.00'!$F34</f>
        <v>12916</v>
      </c>
      <c r="F33" s="746">
        <v>0</v>
      </c>
      <c r="G33" s="746">
        <v>0</v>
      </c>
      <c r="H33" s="746">
        <v>0</v>
      </c>
      <c r="I33" s="746">
        <v>0</v>
      </c>
      <c r="J33" s="746">
        <v>0</v>
      </c>
      <c r="K33" s="746">
        <v>0</v>
      </c>
      <c r="L33" s="746">
        <v>0</v>
      </c>
      <c r="M33" s="746">
        <v>0</v>
      </c>
      <c r="N33" s="746">
        <v>0</v>
      </c>
      <c r="O33" s="746">
        <v>0</v>
      </c>
      <c r="P33" s="746">
        <v>0</v>
      </c>
      <c r="Q33" s="746">
        <v>0</v>
      </c>
      <c r="R33" s="746">
        <v>0</v>
      </c>
      <c r="S33" s="746">
        <v>0</v>
      </c>
      <c r="T33" s="757">
        <v>-5</v>
      </c>
      <c r="U33" s="757">
        <v>0</v>
      </c>
      <c r="V33" s="746">
        <v>0</v>
      </c>
      <c r="W33" s="746">
        <v>0</v>
      </c>
      <c r="X33" s="757">
        <v>0</v>
      </c>
      <c r="Y33" s="758">
        <f>SUM(E33:X33)</f>
        <v>12911</v>
      </c>
      <c r="Z33" s="746">
        <v>0</v>
      </c>
      <c r="AA33" s="746">
        <v>0</v>
      </c>
      <c r="AB33" s="746">
        <v>0</v>
      </c>
      <c r="AC33" s="746">
        <v>-691</v>
      </c>
      <c r="AD33" s="759">
        <v>815.1</v>
      </c>
      <c r="AE33" s="746">
        <v>0</v>
      </c>
      <c r="AF33" s="746">
        <v>18.399999999999999</v>
      </c>
      <c r="AG33" s="746">
        <v>0</v>
      </c>
      <c r="AH33" s="746">
        <v>0</v>
      </c>
      <c r="AI33" s="746">
        <v>0</v>
      </c>
      <c r="AJ33" s="746">
        <v>0</v>
      </c>
      <c r="AK33" s="746">
        <v>0</v>
      </c>
      <c r="AL33" s="746">
        <v>0</v>
      </c>
      <c r="AM33" s="746">
        <f>580367/1000</f>
        <v>580.36699999999996</v>
      </c>
      <c r="AN33" s="746">
        <v>0</v>
      </c>
      <c r="AO33" s="746">
        <v>0</v>
      </c>
      <c r="AP33" s="746">
        <v>0</v>
      </c>
      <c r="AQ33" s="746">
        <v>0</v>
      </c>
      <c r="AR33" s="746">
        <v>0</v>
      </c>
      <c r="AS33" s="746">
        <v>0</v>
      </c>
      <c r="AT33" s="760">
        <v>0</v>
      </c>
      <c r="AU33" s="760">
        <v>-190.31200000000001</v>
      </c>
      <c r="AV33" s="760">
        <v>0</v>
      </c>
      <c r="AW33" s="761">
        <f>SUM(Y33:AV33)</f>
        <v>13443.555</v>
      </c>
      <c r="AX33" s="762"/>
      <c r="AY33" s="746">
        <v>0</v>
      </c>
      <c r="AZ33" s="746">
        <v>-105</v>
      </c>
      <c r="BA33" s="759">
        <v>345.2</v>
      </c>
      <c r="BB33" s="746">
        <v>64.599999999999994</v>
      </c>
      <c r="BC33" s="746">
        <v>0</v>
      </c>
      <c r="BD33" s="746">
        <v>0</v>
      </c>
      <c r="BE33" s="746">
        <f>232147/1000</f>
        <v>232.14699999999999</v>
      </c>
      <c r="BF33" s="760">
        <v>0</v>
      </c>
      <c r="BG33" s="760">
        <v>-70.043999999999997</v>
      </c>
      <c r="BH33" s="760">
        <v>0</v>
      </c>
      <c r="BI33" s="763">
        <f>SUM(AW33:BH33)</f>
        <v>13910.458000000002</v>
      </c>
      <c r="BJ33" s="540">
        <f>BI33-AW33</f>
        <v>466.90300000000207</v>
      </c>
      <c r="BK33" s="629"/>
      <c r="BL33" s="630"/>
      <c r="BM33" s="630"/>
      <c r="BN33" s="630"/>
      <c r="BO33" s="630"/>
      <c r="BP33" s="630"/>
      <c r="BQ33" s="630"/>
      <c r="BR33" s="630"/>
      <c r="BS33" s="630"/>
    </row>
    <row r="34" spans="1:71" s="737" customFormat="1">
      <c r="A34" s="659">
        <v>14</v>
      </c>
      <c r="C34" s="778" t="s">
        <v>188</v>
      </c>
      <c r="D34" s="778"/>
      <c r="E34" s="772">
        <f>'ROO INPUT 1.00'!$F35</f>
        <v>16440</v>
      </c>
      <c r="F34" s="746">
        <v>0</v>
      </c>
      <c r="G34" s="746">
        <v>0</v>
      </c>
      <c r="H34" s="746">
        <v>0</v>
      </c>
      <c r="I34" s="746">
        <v>0</v>
      </c>
      <c r="J34" s="746">
        <v>0</v>
      </c>
      <c r="K34" s="746">
        <v>0</v>
      </c>
      <c r="L34" s="746">
        <v>0</v>
      </c>
      <c r="M34" s="746">
        <v>0</v>
      </c>
      <c r="N34" s="746">
        <v>0</v>
      </c>
      <c r="O34" s="746">
        <v>0</v>
      </c>
      <c r="P34" s="746">
        <v>0</v>
      </c>
      <c r="Q34" s="746">
        <v>-11</v>
      </c>
      <c r="R34" s="746">
        <v>0</v>
      </c>
      <c r="S34" s="746">
        <v>0</v>
      </c>
      <c r="T34" s="757">
        <v>0</v>
      </c>
      <c r="U34" s="757">
        <v>0</v>
      </c>
      <c r="V34" s="746">
        <v>0</v>
      </c>
      <c r="W34" s="746">
        <v>0</v>
      </c>
      <c r="X34" s="757">
        <v>0</v>
      </c>
      <c r="Y34" s="758">
        <f>SUM(E34:X34)</f>
        <v>16429</v>
      </c>
      <c r="Z34" s="746">
        <v>0</v>
      </c>
      <c r="AA34" s="746">
        <v>0</v>
      </c>
      <c r="AB34" s="746">
        <v>0</v>
      </c>
      <c r="AC34" s="746">
        <v>0</v>
      </c>
      <c r="AD34" s="759">
        <v>0</v>
      </c>
      <c r="AE34" s="746">
        <v>0</v>
      </c>
      <c r="AF34" s="746">
        <v>0</v>
      </c>
      <c r="AG34" s="746">
        <v>0</v>
      </c>
      <c r="AH34" s="746">
        <v>0</v>
      </c>
      <c r="AI34" s="746">
        <v>0</v>
      </c>
      <c r="AJ34" s="746">
        <v>0</v>
      </c>
      <c r="AK34" s="746">
        <v>0</v>
      </c>
      <c r="AL34" s="746">
        <v>0</v>
      </c>
      <c r="AM34" s="746">
        <v>0</v>
      </c>
      <c r="AN34" s="746">
        <v>633</v>
      </c>
      <c r="AO34" s="746">
        <v>-433.7</v>
      </c>
      <c r="AP34" s="746">
        <v>963</v>
      </c>
      <c r="AQ34" s="746">
        <v>0</v>
      </c>
      <c r="AR34" s="746">
        <v>0</v>
      </c>
      <c r="AS34" s="746">
        <v>0</v>
      </c>
      <c r="AT34" s="760">
        <v>903</v>
      </c>
      <c r="AU34" s="760">
        <v>0</v>
      </c>
      <c r="AV34" s="760">
        <v>0</v>
      </c>
      <c r="AW34" s="761">
        <f>SUM(Y34:AV34)</f>
        <v>18494.3</v>
      </c>
      <c r="AX34" s="762"/>
      <c r="AY34" s="746">
        <v>0</v>
      </c>
      <c r="AZ34" s="746">
        <v>0</v>
      </c>
      <c r="BA34" s="759">
        <v>0</v>
      </c>
      <c r="BB34" s="746">
        <v>0</v>
      </c>
      <c r="BC34" s="746">
        <v>0</v>
      </c>
      <c r="BD34" s="746">
        <v>0</v>
      </c>
      <c r="BE34" s="746">
        <v>0</v>
      </c>
      <c r="BF34" s="760">
        <v>823</v>
      </c>
      <c r="BG34" s="760"/>
      <c r="BH34" s="760"/>
      <c r="BI34" s="763">
        <f>SUM(AW34:BH34)</f>
        <v>19317.3</v>
      </c>
      <c r="BJ34" s="540">
        <f>BI34-AW34</f>
        <v>823</v>
      </c>
      <c r="BK34" s="629"/>
      <c r="BL34" s="630"/>
      <c r="BM34" s="630"/>
      <c r="BN34" s="630"/>
      <c r="BO34" s="630"/>
      <c r="BP34" s="630"/>
      <c r="BQ34" s="630"/>
      <c r="BR34" s="630"/>
      <c r="BS34" s="630"/>
    </row>
    <row r="35" spans="1:71" s="737" customFormat="1">
      <c r="A35" s="659">
        <v>15</v>
      </c>
      <c r="C35" s="778" t="s">
        <v>20</v>
      </c>
      <c r="D35" s="778"/>
      <c r="E35" s="779">
        <f>'ROO INPUT 1.00'!$F36</f>
        <v>21003</v>
      </c>
      <c r="F35" s="765">
        <v>0</v>
      </c>
      <c r="G35" s="765">
        <v>0</v>
      </c>
      <c r="H35" s="765">
        <v>0</v>
      </c>
      <c r="I35" s="765">
        <v>-8688</v>
      </c>
      <c r="J35" s="765">
        <v>256</v>
      </c>
      <c r="K35" s="765">
        <v>0</v>
      </c>
      <c r="L35" s="765">
        <v>0</v>
      </c>
      <c r="M35" s="765">
        <v>0</v>
      </c>
      <c r="N35" s="765">
        <v>0</v>
      </c>
      <c r="O35" s="765">
        <v>0</v>
      </c>
      <c r="P35" s="765">
        <v>-4</v>
      </c>
      <c r="Q35" s="765">
        <v>0</v>
      </c>
      <c r="R35" s="765">
        <f>ROUND((R$14+R$15)*CF!$E$19,0)</f>
        <v>1</v>
      </c>
      <c r="S35" s="765">
        <f>ROUND((S$14+S$15)*CF!$E$19,0)</f>
        <v>-1022</v>
      </c>
      <c r="T35" s="766">
        <v>0</v>
      </c>
      <c r="U35" s="766">
        <v>0</v>
      </c>
      <c r="V35" s="765">
        <v>0</v>
      </c>
      <c r="W35" s="765">
        <v>0</v>
      </c>
      <c r="X35" s="766">
        <v>0</v>
      </c>
      <c r="Y35" s="767">
        <f>SUM(E35:X35)</f>
        <v>11546</v>
      </c>
      <c r="Z35" s="765">
        <f>ROUND((Z$14+Z$15)*CF!$E$19,0)</f>
        <v>-3429</v>
      </c>
      <c r="AA35" s="765">
        <v>0</v>
      </c>
      <c r="AB35" s="765">
        <v>0</v>
      </c>
      <c r="AC35" s="765">
        <v>0</v>
      </c>
      <c r="AD35" s="768">
        <v>0</v>
      </c>
      <c r="AE35" s="765">
        <v>0</v>
      </c>
      <c r="AF35" s="765">
        <v>0</v>
      </c>
      <c r="AG35" s="765">
        <v>0</v>
      </c>
      <c r="AH35" s="765">
        <v>0</v>
      </c>
      <c r="AI35" s="765">
        <v>0</v>
      </c>
      <c r="AJ35" s="765">
        <v>889</v>
      </c>
      <c r="AK35" s="765">
        <v>0</v>
      </c>
      <c r="AL35" s="765">
        <v>0</v>
      </c>
      <c r="AM35" s="765">
        <v>0</v>
      </c>
      <c r="AN35" s="765">
        <v>0</v>
      </c>
      <c r="AO35" s="765">
        <v>0</v>
      </c>
      <c r="AP35" s="765">
        <v>0</v>
      </c>
      <c r="AQ35" s="765">
        <v>0</v>
      </c>
      <c r="AR35" s="765">
        <v>0</v>
      </c>
      <c r="AS35" s="765">
        <v>0</v>
      </c>
      <c r="AT35" s="765">
        <v>0</v>
      </c>
      <c r="AU35" s="765">
        <v>0</v>
      </c>
      <c r="AV35" s="765">
        <v>0</v>
      </c>
      <c r="AW35" s="769">
        <f>SUM(Y35:AV35)</f>
        <v>9006</v>
      </c>
      <c r="AX35" s="762"/>
      <c r="AY35" s="765">
        <v>0</v>
      </c>
      <c r="AZ35" s="765">
        <v>0</v>
      </c>
      <c r="BA35" s="768">
        <v>0</v>
      </c>
      <c r="BB35" s="765">
        <v>0</v>
      </c>
      <c r="BC35" s="765">
        <v>28</v>
      </c>
      <c r="BD35" s="765">
        <v>0</v>
      </c>
      <c r="BE35" s="765">
        <v>0</v>
      </c>
      <c r="BF35" s="765">
        <v>0</v>
      </c>
      <c r="BG35" s="765">
        <v>0</v>
      </c>
      <c r="BH35" s="765">
        <v>0</v>
      </c>
      <c r="BI35" s="770">
        <f>SUM(AW35:BH35)</f>
        <v>9034</v>
      </c>
      <c r="BJ35" s="771">
        <f>BI35-AW35</f>
        <v>28</v>
      </c>
      <c r="BK35" s="629"/>
      <c r="BL35" s="630"/>
      <c r="BM35" s="630"/>
      <c r="BN35" s="630"/>
      <c r="BO35" s="630"/>
      <c r="BP35" s="630"/>
      <c r="BQ35" s="630"/>
      <c r="BR35" s="630"/>
      <c r="BS35" s="630"/>
    </row>
    <row r="36" spans="1:71" s="737" customFormat="1" ht="13.2" customHeight="1">
      <c r="A36" s="659">
        <v>16</v>
      </c>
      <c r="B36" s="778" t="s">
        <v>46</v>
      </c>
      <c r="C36" s="778"/>
      <c r="E36" s="772">
        <f t="shared" ref="E36:N36" si="76">SUM(E33:E35)</f>
        <v>50359</v>
      </c>
      <c r="F36" s="772">
        <f t="shared" si="76"/>
        <v>0</v>
      </c>
      <c r="G36" s="772">
        <f t="shared" si="76"/>
        <v>0</v>
      </c>
      <c r="H36" s="772">
        <f t="shared" si="76"/>
        <v>0</v>
      </c>
      <c r="I36" s="772">
        <f t="shared" si="76"/>
        <v>-8688</v>
      </c>
      <c r="J36" s="772">
        <f>SUM(J33:J35)</f>
        <v>256</v>
      </c>
      <c r="K36" s="772">
        <f t="shared" si="76"/>
        <v>0</v>
      </c>
      <c r="L36" s="772">
        <f t="shared" si="76"/>
        <v>0</v>
      </c>
      <c r="M36" s="772">
        <f t="shared" si="76"/>
        <v>0</v>
      </c>
      <c r="N36" s="772">
        <f t="shared" si="76"/>
        <v>0</v>
      </c>
      <c r="O36" s="772">
        <f t="shared" ref="O36:P36" si="77">SUM(O33:O35)</f>
        <v>0</v>
      </c>
      <c r="P36" s="772">
        <f t="shared" si="77"/>
        <v>-4</v>
      </c>
      <c r="Q36" s="772">
        <f t="shared" ref="Q36:U36" si="78">SUM(Q33:Q35)</f>
        <v>-11</v>
      </c>
      <c r="R36" s="772">
        <f t="shared" si="78"/>
        <v>1</v>
      </c>
      <c r="S36" s="772">
        <f t="shared" si="78"/>
        <v>-1022</v>
      </c>
      <c r="T36" s="773">
        <f t="shared" si="78"/>
        <v>-5</v>
      </c>
      <c r="U36" s="773">
        <f t="shared" si="78"/>
        <v>0</v>
      </c>
      <c r="V36" s="772">
        <f t="shared" ref="V36" si="79">SUM(V33:V35)</f>
        <v>0</v>
      </c>
      <c r="W36" s="772">
        <f t="shared" ref="W36:X36" si="80">SUM(W33:W35)</f>
        <v>0</v>
      </c>
      <c r="X36" s="773">
        <f t="shared" si="80"/>
        <v>0</v>
      </c>
      <c r="Y36" s="758">
        <f>SUM(Y33:Y35)</f>
        <v>40886</v>
      </c>
      <c r="Z36" s="772">
        <f>SUM(Z33:Z35)</f>
        <v>-3429</v>
      </c>
      <c r="AA36" s="772">
        <f>SUM(AA33:AA35)</f>
        <v>0</v>
      </c>
      <c r="AB36" s="772">
        <f>SUM(AB33:AB35)</f>
        <v>0</v>
      </c>
      <c r="AC36" s="772">
        <f t="shared" ref="AC36" si="81">SUM(AC33:AC35)</f>
        <v>-691</v>
      </c>
      <c r="AD36" s="774">
        <f>SUM(AD33:AD35)</f>
        <v>815.1</v>
      </c>
      <c r="AE36" s="772">
        <f>SUM(AE33:AE35)</f>
        <v>0</v>
      </c>
      <c r="AF36" s="772">
        <f t="shared" ref="AF36:AI36" si="82">SUM(AF33:AF35)</f>
        <v>18.399999999999999</v>
      </c>
      <c r="AG36" s="772">
        <f t="shared" ref="AG36" si="83">SUM(AG33:AG35)</f>
        <v>0</v>
      </c>
      <c r="AH36" s="772">
        <f t="shared" si="82"/>
        <v>0</v>
      </c>
      <c r="AI36" s="772">
        <f t="shared" si="82"/>
        <v>0</v>
      </c>
      <c r="AJ36" s="772">
        <f t="shared" ref="AJ36:AK36" si="84">SUM(AJ33:AJ35)</f>
        <v>889</v>
      </c>
      <c r="AK36" s="772">
        <f t="shared" si="84"/>
        <v>0</v>
      </c>
      <c r="AL36" s="772">
        <f>SUM(AL33:AL35)</f>
        <v>0</v>
      </c>
      <c r="AM36" s="772">
        <f t="shared" ref="AM36:AO36" si="85">SUM(AM33:AM35)</f>
        <v>580.36699999999996</v>
      </c>
      <c r="AN36" s="772">
        <f t="shared" si="85"/>
        <v>633</v>
      </c>
      <c r="AO36" s="772">
        <f t="shared" si="85"/>
        <v>-433.7</v>
      </c>
      <c r="AP36" s="772">
        <f t="shared" ref="AP36:AQ36" si="86">SUM(AP33:AP35)</f>
        <v>963</v>
      </c>
      <c r="AQ36" s="772">
        <f t="shared" si="86"/>
        <v>0</v>
      </c>
      <c r="AR36" s="772">
        <f t="shared" ref="AR36:AS36" si="87">SUM(AR33:AR35)</f>
        <v>0</v>
      </c>
      <c r="AS36" s="772">
        <f t="shared" si="87"/>
        <v>0</v>
      </c>
      <c r="AT36" s="775">
        <f>SUM(AT33:AT35)</f>
        <v>903</v>
      </c>
      <c r="AU36" s="775">
        <f>SUM(AU33:AU35)</f>
        <v>-190.31200000000001</v>
      </c>
      <c r="AV36" s="775">
        <f t="shared" ref="AV36" si="88">SUM(AV33:AV35)</f>
        <v>0</v>
      </c>
      <c r="AW36" s="761">
        <f t="shared" ref="AW36" si="89">SUM(AW33:AW35)</f>
        <v>40943.854999999996</v>
      </c>
      <c r="AX36" s="762"/>
      <c r="AY36" s="772">
        <f>SUM(AY33:AY35)</f>
        <v>0</v>
      </c>
      <c r="AZ36" s="772">
        <f t="shared" ref="AZ36" si="90">SUM(AZ33:AZ35)</f>
        <v>-105</v>
      </c>
      <c r="BA36" s="774">
        <f>SUM(BA33:BA35)</f>
        <v>345.2</v>
      </c>
      <c r="BB36" s="772">
        <f t="shared" ref="BB36" si="91">SUM(BB33:BB35)</f>
        <v>64.599999999999994</v>
      </c>
      <c r="BC36" s="772">
        <f>SUM(BC33:BC35)</f>
        <v>28</v>
      </c>
      <c r="BD36" s="772">
        <f>SUM(BD33:BD35)</f>
        <v>0</v>
      </c>
      <c r="BE36" s="772">
        <f t="shared" ref="BE36" si="92">SUM(BE33:BE35)</f>
        <v>232.14699999999999</v>
      </c>
      <c r="BF36" s="775">
        <f>SUM(BF33:BF35)</f>
        <v>823</v>
      </c>
      <c r="BG36" s="775">
        <f>SUM(BG33:BG35)</f>
        <v>-70.043999999999997</v>
      </c>
      <c r="BH36" s="775">
        <f>SUM(BH33:BH35)</f>
        <v>0</v>
      </c>
      <c r="BI36" s="776">
        <f>SUM(BI33:BI35)</f>
        <v>42261.758000000002</v>
      </c>
      <c r="BJ36" s="772">
        <f>SUM(BJ33:BJ35)</f>
        <v>1317.9030000000021</v>
      </c>
      <c r="BK36" s="629"/>
      <c r="BL36" s="630"/>
      <c r="BM36" s="630"/>
      <c r="BN36" s="630"/>
      <c r="BO36" s="630"/>
      <c r="BP36" s="630"/>
      <c r="BQ36" s="630"/>
      <c r="BR36" s="630"/>
      <c r="BS36" s="630"/>
    </row>
    <row r="37" spans="1:71" s="737" customFormat="1" ht="9.75" customHeight="1">
      <c r="A37" s="659"/>
      <c r="C37" s="778"/>
      <c r="D37" s="778"/>
      <c r="E37" s="772"/>
      <c r="F37" s="772"/>
      <c r="G37" s="772"/>
      <c r="H37" s="772"/>
      <c r="I37" s="772"/>
      <c r="J37" s="772"/>
      <c r="K37" s="772"/>
      <c r="L37" s="772"/>
      <c r="M37" s="772"/>
      <c r="N37" s="772"/>
      <c r="O37" s="772"/>
      <c r="P37" s="772"/>
      <c r="Q37" s="772"/>
      <c r="R37" s="772"/>
      <c r="S37" s="772"/>
      <c r="T37" s="773"/>
      <c r="U37" s="773"/>
      <c r="V37" s="772"/>
      <c r="W37" s="772"/>
      <c r="X37" s="773"/>
      <c r="Y37" s="758"/>
      <c r="Z37" s="772"/>
      <c r="AA37" s="772"/>
      <c r="AB37" s="772"/>
      <c r="AC37" s="772"/>
      <c r="AD37" s="774"/>
      <c r="AE37" s="772"/>
      <c r="AF37" s="772"/>
      <c r="AG37" s="772"/>
      <c r="AH37" s="772"/>
      <c r="AI37" s="772"/>
      <c r="AJ37" s="772"/>
      <c r="AK37" s="772"/>
      <c r="AL37" s="772"/>
      <c r="AM37" s="772"/>
      <c r="AN37" s="772"/>
      <c r="AO37" s="772"/>
      <c r="AP37" s="772"/>
      <c r="AQ37" s="772"/>
      <c r="AR37" s="772"/>
      <c r="AS37" s="772"/>
      <c r="AT37" s="775"/>
      <c r="AU37" s="775"/>
      <c r="AV37" s="775"/>
      <c r="AW37" s="761"/>
      <c r="AX37" s="762"/>
      <c r="AY37" s="772"/>
      <c r="AZ37" s="772"/>
      <c r="BA37" s="774"/>
      <c r="BB37" s="772"/>
      <c r="BC37" s="772"/>
      <c r="BD37" s="772"/>
      <c r="BE37" s="772"/>
      <c r="BF37" s="775"/>
      <c r="BG37" s="775"/>
      <c r="BH37" s="775"/>
      <c r="BI37" s="776"/>
      <c r="BJ37" s="772"/>
      <c r="BK37" s="629"/>
      <c r="BL37" s="630"/>
      <c r="BM37" s="630"/>
      <c r="BN37" s="630"/>
      <c r="BO37" s="630"/>
      <c r="BP37" s="630"/>
      <c r="BQ37" s="630"/>
      <c r="BR37" s="630"/>
      <c r="BS37" s="630"/>
    </row>
    <row r="38" spans="1:71" s="737" customFormat="1" ht="13.2" customHeight="1">
      <c r="A38" s="659">
        <v>17</v>
      </c>
      <c r="B38" s="737" t="s">
        <v>47</v>
      </c>
      <c r="C38" s="778"/>
      <c r="D38" s="778"/>
      <c r="E38" s="772">
        <f>'ROO INPUT 1.00'!$F39</f>
        <v>3993</v>
      </c>
      <c r="F38" s="760">
        <v>0</v>
      </c>
      <c r="G38" s="760">
        <v>0</v>
      </c>
      <c r="H38" s="760">
        <v>0</v>
      </c>
      <c r="I38" s="760">
        <v>0</v>
      </c>
      <c r="J38" s="760">
        <v>0</v>
      </c>
      <c r="K38" s="760">
        <v>927</v>
      </c>
      <c r="L38" s="760">
        <v>0</v>
      </c>
      <c r="M38" s="760">
        <v>0</v>
      </c>
      <c r="N38" s="760">
        <v>0</v>
      </c>
      <c r="O38" s="760">
        <v>0</v>
      </c>
      <c r="P38" s="760">
        <v>0</v>
      </c>
      <c r="Q38" s="760">
        <v>0</v>
      </c>
      <c r="R38" s="760">
        <f>ROUND((R$14+R$15)*CF!$E$15,0)</f>
        <v>0</v>
      </c>
      <c r="S38" s="746">
        <f>ROUND((S$14+S$15)*CF!$E$15,0)</f>
        <v>-132</v>
      </c>
      <c r="T38" s="757">
        <v>0</v>
      </c>
      <c r="U38" s="773">
        <v>0</v>
      </c>
      <c r="V38" s="746">
        <v>0</v>
      </c>
      <c r="W38" s="772">
        <v>0</v>
      </c>
      <c r="X38" s="773">
        <v>0</v>
      </c>
      <c r="Y38" s="758">
        <f>SUM(E38:X38)</f>
        <v>4788</v>
      </c>
      <c r="Z38" s="746">
        <f>ROUND((Z$14+Z$15)*CF!$E$15,0)</f>
        <v>-443</v>
      </c>
      <c r="AA38" s="760">
        <v>0</v>
      </c>
      <c r="AB38" s="746">
        <v>0</v>
      </c>
      <c r="AC38" s="746">
        <v>0</v>
      </c>
      <c r="AD38" s="774">
        <v>273.7</v>
      </c>
      <c r="AE38" s="772">
        <v>0</v>
      </c>
      <c r="AF38" s="772">
        <v>6.3</v>
      </c>
      <c r="AG38" s="772">
        <v>0</v>
      </c>
      <c r="AH38" s="772">
        <v>0</v>
      </c>
      <c r="AI38" s="746">
        <v>0</v>
      </c>
      <c r="AJ38" s="746">
        <v>0</v>
      </c>
      <c r="AK38" s="760">
        <v>0</v>
      </c>
      <c r="AL38" s="746">
        <v>0</v>
      </c>
      <c r="AM38" s="746">
        <f>183534/1000</f>
        <v>183.53399999999999</v>
      </c>
      <c r="AN38" s="772">
        <v>0</v>
      </c>
      <c r="AO38" s="746">
        <v>0</v>
      </c>
      <c r="AP38" s="746">
        <v>0</v>
      </c>
      <c r="AQ38" s="746">
        <v>0</v>
      </c>
      <c r="AR38" s="746">
        <v>0</v>
      </c>
      <c r="AS38" s="746">
        <v>0</v>
      </c>
      <c r="AT38" s="760">
        <v>0</v>
      </c>
      <c r="AU38" s="760">
        <v>0</v>
      </c>
      <c r="AV38" s="760">
        <v>0</v>
      </c>
      <c r="AW38" s="761">
        <f>SUM(Y38:AV38)</f>
        <v>4808.5339999999997</v>
      </c>
      <c r="AX38" s="762"/>
      <c r="AY38" s="746">
        <v>0</v>
      </c>
      <c r="AZ38" s="746">
        <v>0</v>
      </c>
      <c r="BA38" s="774">
        <v>105.8</v>
      </c>
      <c r="BB38" s="772">
        <v>22</v>
      </c>
      <c r="BC38" s="746">
        <v>0</v>
      </c>
      <c r="BD38" s="760">
        <v>0</v>
      </c>
      <c r="BE38" s="746">
        <f>73414/1000</f>
        <v>73.414000000000001</v>
      </c>
      <c r="BF38" s="760">
        <v>0</v>
      </c>
      <c r="BG38" s="760">
        <v>0</v>
      </c>
      <c r="BH38" s="760">
        <v>0</v>
      </c>
      <c r="BI38" s="763">
        <f>SUM(AW38:BH38)</f>
        <v>5009.7479999999996</v>
      </c>
      <c r="BJ38" s="540">
        <f>BI38-AW38</f>
        <v>201.21399999999994</v>
      </c>
      <c r="BK38" s="629"/>
      <c r="BL38" s="630"/>
      <c r="BM38" s="630"/>
      <c r="BN38" s="630"/>
      <c r="BO38" s="630"/>
      <c r="BP38" s="630"/>
      <c r="BQ38" s="630"/>
      <c r="BR38" s="630"/>
      <c r="BS38" s="630"/>
    </row>
    <row r="39" spans="1:71" s="737" customFormat="1">
      <c r="A39" s="659">
        <v>18</v>
      </c>
      <c r="B39" s="737" t="s">
        <v>48</v>
      </c>
      <c r="C39" s="778"/>
      <c r="D39" s="778"/>
      <c r="E39" s="772">
        <f>'ROO INPUT 1.00'!$F40</f>
        <v>14067</v>
      </c>
      <c r="F39" s="746">
        <v>0</v>
      </c>
      <c r="G39" s="746">
        <v>0</v>
      </c>
      <c r="H39" s="746">
        <v>0</v>
      </c>
      <c r="I39" s="746">
        <v>0</v>
      </c>
      <c r="J39" s="746">
        <v>0</v>
      </c>
      <c r="K39" s="746">
        <v>0</v>
      </c>
      <c r="L39" s="746">
        <v>0</v>
      </c>
      <c r="M39" s="746">
        <v>0</v>
      </c>
      <c r="N39" s="746">
        <v>0</v>
      </c>
      <c r="O39" s="746">
        <v>0</v>
      </c>
      <c r="P39" s="746">
        <v>0</v>
      </c>
      <c r="Q39" s="746">
        <v>0</v>
      </c>
      <c r="R39" s="746">
        <v>0</v>
      </c>
      <c r="S39" s="746">
        <v>-13330</v>
      </c>
      <c r="T39" s="757">
        <v>-1</v>
      </c>
      <c r="U39" s="757">
        <v>0</v>
      </c>
      <c r="V39" s="746">
        <v>0</v>
      </c>
      <c r="W39" s="746">
        <v>0</v>
      </c>
      <c r="X39" s="757">
        <v>0</v>
      </c>
      <c r="Y39" s="758">
        <f>SUM(E39:X39)</f>
        <v>736</v>
      </c>
      <c r="Z39" s="746">
        <v>0</v>
      </c>
      <c r="AA39" s="746">
        <v>0</v>
      </c>
      <c r="AB39" s="746">
        <v>0</v>
      </c>
      <c r="AC39" s="746">
        <v>0</v>
      </c>
      <c r="AD39" s="759">
        <v>19.7</v>
      </c>
      <c r="AE39" s="746">
        <v>0</v>
      </c>
      <c r="AF39" s="746">
        <v>0.4</v>
      </c>
      <c r="AG39" s="746">
        <v>0.4</v>
      </c>
      <c r="AH39" s="746">
        <v>78</v>
      </c>
      <c r="AI39" s="746">
        <v>0</v>
      </c>
      <c r="AJ39" s="746">
        <v>0</v>
      </c>
      <c r="AK39" s="746">
        <v>0</v>
      </c>
      <c r="AL39" s="746">
        <v>0</v>
      </c>
      <c r="AM39" s="746">
        <f>64975/1000</f>
        <v>64.974999999999994</v>
      </c>
      <c r="AN39" s="746">
        <v>0</v>
      </c>
      <c r="AO39" s="746">
        <v>0</v>
      </c>
      <c r="AP39" s="746">
        <v>0</v>
      </c>
      <c r="AQ39" s="746">
        <v>0</v>
      </c>
      <c r="AR39" s="746">
        <v>0</v>
      </c>
      <c r="AS39" s="746">
        <v>0</v>
      </c>
      <c r="AT39" s="760">
        <v>0</v>
      </c>
      <c r="AU39" s="760">
        <v>0</v>
      </c>
      <c r="AV39" s="760">
        <v>0</v>
      </c>
      <c r="AW39" s="761">
        <f>SUM(Y39:AV39)</f>
        <v>899.47500000000002</v>
      </c>
      <c r="AX39" s="762"/>
      <c r="AY39" s="746">
        <v>0</v>
      </c>
      <c r="AZ39" s="746">
        <v>0</v>
      </c>
      <c r="BA39" s="759">
        <v>7.5</v>
      </c>
      <c r="BB39" s="746">
        <v>1.5</v>
      </c>
      <c r="BC39" s="746">
        <v>0</v>
      </c>
      <c r="BD39" s="746">
        <v>0</v>
      </c>
      <c r="BE39" s="746">
        <f>25990/1000</f>
        <v>25.99</v>
      </c>
      <c r="BF39" s="760">
        <v>0</v>
      </c>
      <c r="BG39" s="760">
        <v>0</v>
      </c>
      <c r="BH39" s="760">
        <v>0</v>
      </c>
      <c r="BI39" s="763">
        <f>SUM(AW39:BH39)</f>
        <v>934.46500000000003</v>
      </c>
      <c r="BJ39" s="540">
        <f>BI39-AW39</f>
        <v>34.990000000000009</v>
      </c>
      <c r="BK39" s="629"/>
      <c r="BL39" s="630"/>
      <c r="BM39" s="630"/>
      <c r="BN39" s="630"/>
      <c r="BO39" s="630"/>
      <c r="BP39" s="630"/>
      <c r="BQ39" s="630"/>
      <c r="BR39" s="630"/>
      <c r="BS39" s="630"/>
    </row>
    <row r="40" spans="1:71" s="737" customFormat="1">
      <c r="A40" s="659">
        <v>19</v>
      </c>
      <c r="B40" s="737" t="s">
        <v>49</v>
      </c>
      <c r="C40" s="778"/>
      <c r="D40" s="778"/>
      <c r="E40" s="772">
        <f>'ROO INPUT 1.00'!$F41</f>
        <v>0</v>
      </c>
      <c r="F40" s="746">
        <v>0</v>
      </c>
      <c r="G40" s="746">
        <v>0</v>
      </c>
      <c r="H40" s="746">
        <v>0</v>
      </c>
      <c r="I40" s="746">
        <v>0</v>
      </c>
      <c r="J40" s="746">
        <v>0</v>
      </c>
      <c r="K40" s="746">
        <v>0</v>
      </c>
      <c r="L40" s="746">
        <v>0</v>
      </c>
      <c r="M40" s="746">
        <v>0</v>
      </c>
      <c r="N40" s="746">
        <v>0</v>
      </c>
      <c r="O40" s="746">
        <v>0</v>
      </c>
      <c r="P40" s="746">
        <v>0</v>
      </c>
      <c r="Q40" s="746">
        <v>0</v>
      </c>
      <c r="R40" s="746">
        <v>0</v>
      </c>
      <c r="S40" s="746">
        <v>0</v>
      </c>
      <c r="T40" s="757">
        <v>0</v>
      </c>
      <c r="U40" s="757">
        <v>0</v>
      </c>
      <c r="V40" s="746">
        <v>0</v>
      </c>
      <c r="W40" s="746">
        <v>0</v>
      </c>
      <c r="X40" s="757">
        <v>0</v>
      </c>
      <c r="Y40" s="758">
        <f>SUM(E40:X40)</f>
        <v>0</v>
      </c>
      <c r="Z40" s="746">
        <v>0</v>
      </c>
      <c r="AA40" s="746">
        <v>0</v>
      </c>
      <c r="AB40" s="746">
        <v>0</v>
      </c>
      <c r="AC40" s="746">
        <v>0</v>
      </c>
      <c r="AD40" s="759">
        <v>0</v>
      </c>
      <c r="AE40" s="746">
        <v>0</v>
      </c>
      <c r="AF40" s="746">
        <v>0</v>
      </c>
      <c r="AG40" s="746">
        <v>0</v>
      </c>
      <c r="AH40" s="746">
        <v>0</v>
      </c>
      <c r="AI40" s="746">
        <v>0</v>
      </c>
      <c r="AJ40" s="746">
        <v>0</v>
      </c>
      <c r="AK40" s="746">
        <v>0</v>
      </c>
      <c r="AL40" s="746">
        <v>0</v>
      </c>
      <c r="AM40" s="746">
        <v>0</v>
      </c>
      <c r="AN40" s="746">
        <v>0</v>
      </c>
      <c r="AO40" s="746">
        <v>0</v>
      </c>
      <c r="AP40" s="746">
        <v>0</v>
      </c>
      <c r="AQ40" s="746">
        <v>0</v>
      </c>
      <c r="AR40" s="746">
        <v>0</v>
      </c>
      <c r="AS40" s="746">
        <v>0</v>
      </c>
      <c r="AT40" s="760">
        <v>0</v>
      </c>
      <c r="AU40" s="760">
        <v>0</v>
      </c>
      <c r="AV40" s="760">
        <v>0</v>
      </c>
      <c r="AW40" s="761">
        <f>SUM(Y40:AV40)</f>
        <v>0</v>
      </c>
      <c r="AX40" s="762"/>
      <c r="AY40" s="746">
        <v>0</v>
      </c>
      <c r="AZ40" s="746">
        <v>0</v>
      </c>
      <c r="BA40" s="759">
        <v>0</v>
      </c>
      <c r="BB40" s="746">
        <v>0</v>
      </c>
      <c r="BC40" s="746">
        <v>0</v>
      </c>
      <c r="BD40" s="746">
        <v>0</v>
      </c>
      <c r="BE40" s="746">
        <v>0</v>
      </c>
      <c r="BF40" s="760">
        <v>0</v>
      </c>
      <c r="BG40" s="760">
        <v>0</v>
      </c>
      <c r="BH40" s="760">
        <v>0</v>
      </c>
      <c r="BI40" s="763">
        <f>SUM(AW40:BH40)</f>
        <v>0</v>
      </c>
      <c r="BJ40" s="540">
        <f>BI40-AW40</f>
        <v>0</v>
      </c>
      <c r="BK40" s="629"/>
      <c r="BL40" s="630"/>
      <c r="BM40" s="630"/>
      <c r="BN40" s="630"/>
      <c r="BO40" s="630"/>
      <c r="BP40" s="630"/>
      <c r="BQ40" s="630"/>
      <c r="BR40" s="630"/>
      <c r="BS40" s="630"/>
    </row>
    <row r="41" spans="1:71" s="737" customFormat="1" ht="7.5" customHeight="1">
      <c r="A41" s="659"/>
      <c r="C41" s="778"/>
      <c r="D41" s="778"/>
      <c r="E41" s="772"/>
      <c r="F41" s="746"/>
      <c r="G41" s="746"/>
      <c r="H41" s="746"/>
      <c r="I41" s="746"/>
      <c r="J41" s="746"/>
      <c r="K41" s="746"/>
      <c r="L41" s="746"/>
      <c r="M41" s="746"/>
      <c r="N41" s="746"/>
      <c r="O41" s="746"/>
      <c r="P41" s="746"/>
      <c r="Q41" s="746"/>
      <c r="R41" s="746"/>
      <c r="S41" s="746"/>
      <c r="T41" s="757"/>
      <c r="U41" s="757"/>
      <c r="V41" s="746"/>
      <c r="W41" s="746"/>
      <c r="X41" s="757"/>
      <c r="Y41" s="758"/>
      <c r="Z41" s="746"/>
      <c r="AA41" s="746"/>
      <c r="AB41" s="746"/>
      <c r="AC41" s="746"/>
      <c r="AD41" s="759"/>
      <c r="AE41" s="746"/>
      <c r="AF41" s="746"/>
      <c r="AG41" s="746"/>
      <c r="AH41" s="746"/>
      <c r="AI41" s="746"/>
      <c r="AJ41" s="746"/>
      <c r="AK41" s="746"/>
      <c r="AL41" s="746"/>
      <c r="AM41" s="746"/>
      <c r="AN41" s="746"/>
      <c r="AO41" s="746"/>
      <c r="AP41" s="746"/>
      <c r="AQ41" s="746"/>
      <c r="AR41" s="746"/>
      <c r="AS41" s="746"/>
      <c r="AT41" s="760"/>
      <c r="AU41" s="760"/>
      <c r="AV41" s="760"/>
      <c r="AW41" s="761"/>
      <c r="AX41" s="762"/>
      <c r="AY41" s="746"/>
      <c r="AZ41" s="746"/>
      <c r="BA41" s="759"/>
      <c r="BB41" s="746"/>
      <c r="BC41" s="746"/>
      <c r="BD41" s="746"/>
      <c r="BE41" s="746"/>
      <c r="BF41" s="760"/>
      <c r="BG41" s="760"/>
      <c r="BH41" s="760"/>
      <c r="BI41" s="777"/>
      <c r="BJ41" s="746"/>
      <c r="BK41" s="629"/>
      <c r="BL41" s="630"/>
      <c r="BM41" s="630"/>
      <c r="BN41" s="630"/>
      <c r="BO41" s="630"/>
      <c r="BP41" s="630"/>
      <c r="BQ41" s="630"/>
      <c r="BR41" s="630"/>
      <c r="BS41" s="630"/>
    </row>
    <row r="42" spans="1:71" s="737" customFormat="1">
      <c r="A42" s="659"/>
      <c r="B42" s="737" t="s">
        <v>50</v>
      </c>
      <c r="C42" s="778"/>
      <c r="D42" s="778"/>
      <c r="E42" s="772"/>
      <c r="F42" s="746"/>
      <c r="G42" s="746"/>
      <c r="H42" s="746"/>
      <c r="I42" s="746"/>
      <c r="J42" s="746"/>
      <c r="K42" s="746"/>
      <c r="L42" s="746"/>
      <c r="M42" s="746"/>
      <c r="N42" s="746"/>
      <c r="O42" s="746"/>
      <c r="P42" s="746"/>
      <c r="Q42" s="746"/>
      <c r="R42" s="746"/>
      <c r="S42" s="746"/>
      <c r="T42" s="757"/>
      <c r="U42" s="757"/>
      <c r="V42" s="746"/>
      <c r="W42" s="746"/>
      <c r="X42" s="757"/>
      <c r="Y42" s="758"/>
      <c r="Z42" s="746"/>
      <c r="AA42" s="746"/>
      <c r="AB42" s="746"/>
      <c r="AC42" s="746"/>
      <c r="AD42" s="759"/>
      <c r="AE42" s="746"/>
      <c r="AF42" s="746"/>
      <c r="AG42" s="746"/>
      <c r="AH42" s="746"/>
      <c r="AI42" s="746"/>
      <c r="AJ42" s="746"/>
      <c r="AK42" s="746"/>
      <c r="AL42" s="746"/>
      <c r="AM42" s="746"/>
      <c r="AN42" s="746"/>
      <c r="AO42" s="746"/>
      <c r="AP42" s="746"/>
      <c r="AQ42" s="746"/>
      <c r="AR42" s="746"/>
      <c r="AS42" s="746"/>
      <c r="AT42" s="760"/>
      <c r="AU42" s="760"/>
      <c r="AV42" s="760"/>
      <c r="AW42" s="761"/>
      <c r="AX42" s="762"/>
      <c r="AY42" s="746"/>
      <c r="AZ42" s="746"/>
      <c r="BA42" s="759"/>
      <c r="BB42" s="746"/>
      <c r="BC42" s="746"/>
      <c r="BD42" s="746"/>
      <c r="BE42" s="746"/>
      <c r="BF42" s="760"/>
      <c r="BG42" s="760"/>
      <c r="BH42" s="760"/>
      <c r="BI42" s="777"/>
      <c r="BJ42" s="746"/>
      <c r="BK42" s="629"/>
      <c r="BL42" s="630"/>
      <c r="BM42" s="630"/>
      <c r="BN42" s="630"/>
      <c r="BO42" s="630"/>
      <c r="BP42" s="630"/>
      <c r="BQ42" s="630"/>
      <c r="BR42" s="630"/>
      <c r="BS42" s="630"/>
    </row>
    <row r="43" spans="1:71" s="737" customFormat="1">
      <c r="A43" s="659">
        <v>20</v>
      </c>
      <c r="C43" s="778" t="s">
        <v>42</v>
      </c>
      <c r="D43" s="778"/>
      <c r="E43" s="772">
        <f>'ROO INPUT 1.00'!$F44</f>
        <v>24398</v>
      </c>
      <c r="F43" s="746">
        <v>0</v>
      </c>
      <c r="G43" s="746">
        <v>0</v>
      </c>
      <c r="H43" s="746">
        <v>0</v>
      </c>
      <c r="I43" s="746">
        <v>0</v>
      </c>
      <c r="J43" s="746">
        <v>0</v>
      </c>
      <c r="K43" s="746">
        <v>0</v>
      </c>
      <c r="L43" s="746">
        <v>398</v>
      </c>
      <c r="M43" s="746">
        <v>-18</v>
      </c>
      <c r="N43" s="746">
        <v>0</v>
      </c>
      <c r="O43" s="746">
        <v>-10</v>
      </c>
      <c r="P43" s="746">
        <v>0</v>
      </c>
      <c r="Q43" s="746">
        <v>0</v>
      </c>
      <c r="R43" s="746">
        <f>ROUND((R$14+R$15)*CF!$E$17,0)</f>
        <v>0</v>
      </c>
      <c r="S43" s="746">
        <f>ROUND((S$14+S$15)*CF!$E$17,0)</f>
        <v>-107</v>
      </c>
      <c r="T43" s="757">
        <v>-409.2</v>
      </c>
      <c r="U43" s="757">
        <v>250.28299999999999</v>
      </c>
      <c r="V43" s="746">
        <v>0</v>
      </c>
      <c r="W43" s="746">
        <v>0</v>
      </c>
      <c r="X43" s="757">
        <v>0</v>
      </c>
      <c r="Y43" s="758">
        <f>SUM(E43:X43)</f>
        <v>24502.082999999999</v>
      </c>
      <c r="Z43" s="746">
        <f>ROUND((Z$14+Z$15)*CF!$E$17,0)</f>
        <v>-358</v>
      </c>
      <c r="AA43" s="746">
        <v>0</v>
      </c>
      <c r="AB43" s="746">
        <v>0</v>
      </c>
      <c r="AC43" s="746">
        <v>0</v>
      </c>
      <c r="AD43" s="759">
        <v>648</v>
      </c>
      <c r="AE43" s="540">
        <v>19.004999999999999</v>
      </c>
      <c r="AF43" s="746">
        <v>15</v>
      </c>
      <c r="AG43" s="746">
        <v>368.4</v>
      </c>
      <c r="AH43" s="746">
        <v>0</v>
      </c>
      <c r="AI43" s="746">
        <v>112.90900000000001</v>
      </c>
      <c r="AJ43" s="746">
        <v>0</v>
      </c>
      <c r="AK43" s="746">
        <v>598</v>
      </c>
      <c r="AL43" s="540">
        <v>20.6</v>
      </c>
      <c r="AM43" s="540">
        <f>556369/1000</f>
        <v>556.36900000000003</v>
      </c>
      <c r="AN43" s="746">
        <v>0</v>
      </c>
      <c r="AO43" s="746">
        <v>0</v>
      </c>
      <c r="AP43" s="746">
        <v>0</v>
      </c>
      <c r="AQ43" s="746">
        <v>0</v>
      </c>
      <c r="AR43" s="746">
        <v>178</v>
      </c>
      <c r="AS43" s="746">
        <v>150</v>
      </c>
      <c r="AT43" s="760">
        <v>0</v>
      </c>
      <c r="AU43" s="760">
        <v>-88.394999999999996</v>
      </c>
      <c r="AV43" s="760">
        <v>0</v>
      </c>
      <c r="AW43" s="761">
        <f>SUM(Y43:AV43)</f>
        <v>26721.970999999998</v>
      </c>
      <c r="AX43" s="762"/>
      <c r="AY43" s="746">
        <v>0</v>
      </c>
      <c r="AZ43" s="746">
        <v>0</v>
      </c>
      <c r="BA43" s="759">
        <v>250.4</v>
      </c>
      <c r="BB43" s="746">
        <v>52.8</v>
      </c>
      <c r="BC43" s="746">
        <v>0</v>
      </c>
      <c r="BD43" s="746">
        <v>-65</v>
      </c>
      <c r="BE43" s="746">
        <f>222548/1000</f>
        <v>222.548</v>
      </c>
      <c r="BF43" s="760">
        <v>0</v>
      </c>
      <c r="BG43" s="760">
        <v>-130.83500000000001</v>
      </c>
      <c r="BH43" s="760">
        <v>0</v>
      </c>
      <c r="BI43" s="763">
        <f>SUM(AW43:BH43)</f>
        <v>27051.883999999998</v>
      </c>
      <c r="BJ43" s="540">
        <f>BI43-AW43</f>
        <v>329.91300000000047</v>
      </c>
      <c r="BK43" s="629"/>
      <c r="BL43" s="630"/>
      <c r="BM43" s="630"/>
      <c r="BN43" s="630"/>
      <c r="BO43" s="630"/>
      <c r="BP43" s="630"/>
      <c r="BQ43" s="630"/>
      <c r="BR43" s="630"/>
      <c r="BS43" s="630"/>
    </row>
    <row r="44" spans="1:71" s="737" customFormat="1">
      <c r="A44" s="659">
        <v>21</v>
      </c>
      <c r="C44" s="778" t="s">
        <v>188</v>
      </c>
      <c r="D44" s="778"/>
      <c r="E44" s="772">
        <f>'ROO INPUT 1.00'!$F45</f>
        <v>12802</v>
      </c>
      <c r="F44" s="746">
        <v>0</v>
      </c>
      <c r="G44" s="746">
        <v>0</v>
      </c>
      <c r="H44" s="746">
        <v>0</v>
      </c>
      <c r="I44" s="746">
        <v>0</v>
      </c>
      <c r="J44" s="746">
        <v>0</v>
      </c>
      <c r="K44" s="746">
        <v>0</v>
      </c>
      <c r="L44" s="746">
        <v>0</v>
      </c>
      <c r="M44" s="746">
        <v>0</v>
      </c>
      <c r="N44" s="746">
        <v>0</v>
      </c>
      <c r="O44" s="746">
        <v>0</v>
      </c>
      <c r="P44" s="746">
        <v>0</v>
      </c>
      <c r="Q44" s="746">
        <v>0</v>
      </c>
      <c r="R44" s="746">
        <v>0</v>
      </c>
      <c r="S44" s="746">
        <v>0</v>
      </c>
      <c r="T44" s="757">
        <v>0</v>
      </c>
      <c r="U44" s="757">
        <v>0</v>
      </c>
      <c r="V44" s="746">
        <v>0</v>
      </c>
      <c r="W44" s="746">
        <v>0</v>
      </c>
      <c r="X44" s="757">
        <v>0</v>
      </c>
      <c r="Y44" s="758">
        <f>SUM(E44:X44)</f>
        <v>12802</v>
      </c>
      <c r="Z44" s="746">
        <v>0</v>
      </c>
      <c r="AA44" s="746">
        <v>0</v>
      </c>
      <c r="AB44" s="746">
        <v>0</v>
      </c>
      <c r="AC44" s="746">
        <v>0</v>
      </c>
      <c r="AD44" s="759">
        <v>0</v>
      </c>
      <c r="AE44" s="746">
        <v>0</v>
      </c>
      <c r="AF44" s="746">
        <v>0</v>
      </c>
      <c r="AG44" s="746">
        <v>0</v>
      </c>
      <c r="AH44" s="746">
        <v>0</v>
      </c>
      <c r="AI44" s="746">
        <v>0</v>
      </c>
      <c r="AJ44" s="746">
        <v>0</v>
      </c>
      <c r="AK44" s="746">
        <v>0</v>
      </c>
      <c r="AL44" s="746">
        <v>0</v>
      </c>
      <c r="AM44" s="746">
        <v>0</v>
      </c>
      <c r="AN44" s="746">
        <f>480+145</f>
        <v>625</v>
      </c>
      <c r="AO44" s="746">
        <v>-463.7</v>
      </c>
      <c r="AP44" s="746">
        <f>740+227</f>
        <v>967</v>
      </c>
      <c r="AQ44" s="746">
        <v>0</v>
      </c>
      <c r="AR44" s="746">
        <v>0</v>
      </c>
      <c r="AS44" s="746">
        <v>0</v>
      </c>
      <c r="AT44" s="760">
        <f>770+475</f>
        <v>1245</v>
      </c>
      <c r="AU44" s="760">
        <v>0</v>
      </c>
      <c r="AV44" s="760">
        <v>0</v>
      </c>
      <c r="AW44" s="761">
        <f>SUM(Y44:AV44)</f>
        <v>15175.3</v>
      </c>
      <c r="AX44" s="762"/>
      <c r="AY44" s="746">
        <v>0</v>
      </c>
      <c r="AZ44" s="746">
        <v>0</v>
      </c>
      <c r="BA44" s="759">
        <v>0</v>
      </c>
      <c r="BB44" s="746">
        <v>0</v>
      </c>
      <c r="BC44" s="746">
        <v>0</v>
      </c>
      <c r="BD44" s="746">
        <v>0</v>
      </c>
      <c r="BE44" s="746">
        <v>0</v>
      </c>
      <c r="BF44" s="760">
        <f>548+347</f>
        <v>895</v>
      </c>
      <c r="BG44" s="760">
        <v>0</v>
      </c>
      <c r="BH44" s="760">
        <v>0</v>
      </c>
      <c r="BI44" s="763">
        <f>SUM(AW44:BH44)</f>
        <v>16070.3</v>
      </c>
      <c r="BJ44" s="540">
        <f>BI44-AW44</f>
        <v>895</v>
      </c>
      <c r="BK44" s="629"/>
      <c r="BL44" s="630"/>
      <c r="BM44" s="630"/>
      <c r="BN44" s="630"/>
      <c r="BO44" s="630"/>
      <c r="BP44" s="630"/>
      <c r="BQ44" s="630"/>
      <c r="BR44" s="630"/>
      <c r="BS44" s="630"/>
    </row>
    <row r="45" spans="1:71">
      <c r="A45" s="618">
        <v>22</v>
      </c>
      <c r="C45" s="478" t="s">
        <v>370</v>
      </c>
      <c r="D45" s="755"/>
      <c r="E45" s="756">
        <f>'ROO INPUT 1.00'!$F46</f>
        <v>1612</v>
      </c>
      <c r="F45" s="746">
        <v>0</v>
      </c>
      <c r="G45" s="746">
        <v>0</v>
      </c>
      <c r="H45" s="746">
        <v>0</v>
      </c>
      <c r="I45" s="746">
        <v>0</v>
      </c>
      <c r="J45" s="746">
        <v>0</v>
      </c>
      <c r="K45" s="746">
        <v>0</v>
      </c>
      <c r="L45" s="746">
        <v>0</v>
      </c>
      <c r="M45" s="746">
        <v>0</v>
      </c>
      <c r="N45" s="746">
        <v>0</v>
      </c>
      <c r="O45" s="746">
        <v>0</v>
      </c>
      <c r="P45" s="746">
        <v>0</v>
      </c>
      <c r="Q45" s="746">
        <v>0</v>
      </c>
      <c r="R45" s="746">
        <v>0</v>
      </c>
      <c r="S45" s="746">
        <v>1</v>
      </c>
      <c r="T45" s="757">
        <v>0</v>
      </c>
      <c r="U45" s="757">
        <v>0</v>
      </c>
      <c r="V45" s="746">
        <v>0</v>
      </c>
      <c r="W45" s="746">
        <v>0</v>
      </c>
      <c r="X45" s="757">
        <v>0</v>
      </c>
      <c r="Y45" s="758">
        <f>SUM(E45:X45)</f>
        <v>1613</v>
      </c>
      <c r="Z45" s="746">
        <v>0</v>
      </c>
      <c r="AA45" s="746">
        <v>-244</v>
      </c>
      <c r="AB45" s="746">
        <v>0</v>
      </c>
      <c r="AC45" s="746">
        <v>-112</v>
      </c>
      <c r="AD45" s="759">
        <v>0</v>
      </c>
      <c r="AE45" s="746">
        <v>0</v>
      </c>
      <c r="AF45" s="746">
        <v>-1731</v>
      </c>
      <c r="AG45" s="746">
        <v>0</v>
      </c>
      <c r="AH45" s="746">
        <v>0</v>
      </c>
      <c r="AI45" s="746">
        <v>0</v>
      </c>
      <c r="AJ45" s="746">
        <v>0</v>
      </c>
      <c r="AK45" s="746">
        <v>0</v>
      </c>
      <c r="AL45" s="746">
        <v>0</v>
      </c>
      <c r="AM45" s="746">
        <v>0</v>
      </c>
      <c r="AN45" s="746">
        <v>0</v>
      </c>
      <c r="AO45" s="746">
        <v>0</v>
      </c>
      <c r="AP45" s="746">
        <v>0</v>
      </c>
      <c r="AQ45" s="746">
        <v>300</v>
      </c>
      <c r="AR45" s="746">
        <v>0</v>
      </c>
      <c r="AS45" s="746">
        <v>0</v>
      </c>
      <c r="AT45" s="760">
        <v>0</v>
      </c>
      <c r="AU45" s="760">
        <v>0</v>
      </c>
      <c r="AV45" s="760">
        <v>0</v>
      </c>
      <c r="AW45" s="761">
        <f>SUM(Y45:AV45)</f>
        <v>-174</v>
      </c>
      <c r="AX45" s="762"/>
      <c r="AY45" s="746">
        <v>0</v>
      </c>
      <c r="AZ45" s="746">
        <v>0</v>
      </c>
      <c r="BA45" s="759">
        <v>0</v>
      </c>
      <c r="BB45" s="746">
        <v>0</v>
      </c>
      <c r="BC45" s="746">
        <v>0</v>
      </c>
      <c r="BD45" s="746">
        <v>0</v>
      </c>
      <c r="BE45" s="746">
        <v>0</v>
      </c>
      <c r="BF45" s="760">
        <v>0</v>
      </c>
      <c r="BG45" s="760">
        <v>0</v>
      </c>
      <c r="BH45" s="760">
        <v>0</v>
      </c>
      <c r="BI45" s="763">
        <f>SUM(AW45:BH45)</f>
        <v>-174</v>
      </c>
      <c r="BJ45" s="540">
        <f>BI45-AW45</f>
        <v>0</v>
      </c>
    </row>
    <row r="46" spans="1:71">
      <c r="A46" s="618">
        <v>23</v>
      </c>
      <c r="C46" s="755" t="s">
        <v>20</v>
      </c>
      <c r="D46" s="755"/>
      <c r="E46" s="764">
        <f>'ROO INPUT 1.00'!$F47</f>
        <v>1132</v>
      </c>
      <c r="F46" s="765">
        <v>0</v>
      </c>
      <c r="G46" s="765">
        <v>0</v>
      </c>
      <c r="H46" s="765">
        <v>0</v>
      </c>
      <c r="I46" s="765">
        <v>0</v>
      </c>
      <c r="J46" s="765">
        <v>0</v>
      </c>
      <c r="K46" s="765">
        <v>0</v>
      </c>
      <c r="L46" s="765">
        <v>0</v>
      </c>
      <c r="M46" s="765">
        <v>0</v>
      </c>
      <c r="N46" s="765">
        <v>0</v>
      </c>
      <c r="O46" s="765">
        <v>0</v>
      </c>
      <c r="P46" s="765">
        <v>0</v>
      </c>
      <c r="Q46" s="765">
        <v>0</v>
      </c>
      <c r="R46" s="765">
        <v>0</v>
      </c>
      <c r="S46" s="765">
        <v>0</v>
      </c>
      <c r="T46" s="766">
        <v>0</v>
      </c>
      <c r="U46" s="766">
        <v>0</v>
      </c>
      <c r="V46" s="765">
        <v>0</v>
      </c>
      <c r="W46" s="765">
        <v>0</v>
      </c>
      <c r="X46" s="766">
        <v>0</v>
      </c>
      <c r="Y46" s="767">
        <f>SUM(E46:X46)</f>
        <v>1132</v>
      </c>
      <c r="Z46" s="765">
        <v>0</v>
      </c>
      <c r="AA46" s="765">
        <v>0</v>
      </c>
      <c r="AB46" s="765">
        <v>0</v>
      </c>
      <c r="AC46" s="765">
        <v>0</v>
      </c>
      <c r="AD46" s="768">
        <v>0</v>
      </c>
      <c r="AE46" s="765">
        <v>0</v>
      </c>
      <c r="AF46" s="765">
        <v>0</v>
      </c>
      <c r="AG46" s="765">
        <v>0</v>
      </c>
      <c r="AH46" s="765">
        <v>0</v>
      </c>
      <c r="AI46" s="765">
        <v>0</v>
      </c>
      <c r="AJ46" s="765">
        <v>0</v>
      </c>
      <c r="AK46" s="765">
        <v>0</v>
      </c>
      <c r="AL46" s="765">
        <v>0</v>
      </c>
      <c r="AM46" s="765">
        <v>0</v>
      </c>
      <c r="AN46" s="765">
        <v>0</v>
      </c>
      <c r="AO46" s="765">
        <v>0</v>
      </c>
      <c r="AP46" s="765">
        <v>0</v>
      </c>
      <c r="AQ46" s="765">
        <v>0</v>
      </c>
      <c r="AR46" s="765">
        <v>0</v>
      </c>
      <c r="AS46" s="765">
        <v>0</v>
      </c>
      <c r="AT46" s="765">
        <v>0</v>
      </c>
      <c r="AU46" s="765">
        <v>0</v>
      </c>
      <c r="AV46" s="765">
        <v>0</v>
      </c>
      <c r="AW46" s="769">
        <f>SUM(Y46:AV46)</f>
        <v>1132</v>
      </c>
      <c r="AX46" s="762"/>
      <c r="AY46" s="765">
        <v>0</v>
      </c>
      <c r="AZ46" s="765">
        <v>0</v>
      </c>
      <c r="BA46" s="768">
        <v>0</v>
      </c>
      <c r="BB46" s="765">
        <v>0</v>
      </c>
      <c r="BC46" s="765">
        <v>0</v>
      </c>
      <c r="BD46" s="765">
        <v>0</v>
      </c>
      <c r="BE46" s="765">
        <v>0</v>
      </c>
      <c r="BF46" s="765">
        <v>0</v>
      </c>
      <c r="BG46" s="765">
        <v>0</v>
      </c>
      <c r="BH46" s="765">
        <v>0</v>
      </c>
      <c r="BI46" s="770">
        <f>SUM(AW46:BH46)</f>
        <v>1132</v>
      </c>
      <c r="BJ46" s="771">
        <f>BI46-AW46</f>
        <v>0</v>
      </c>
    </row>
    <row r="47" spans="1:71">
      <c r="A47" s="618">
        <v>24</v>
      </c>
      <c r="B47" s="755" t="s">
        <v>51</v>
      </c>
      <c r="C47" s="755"/>
      <c r="E47" s="764">
        <f>SUM(E43:E46)</f>
        <v>39944</v>
      </c>
      <c r="F47" s="779">
        <f t="shared" ref="F47:N47" si="93">SUM(F43:F46)</f>
        <v>0</v>
      </c>
      <c r="G47" s="779">
        <f t="shared" si="93"/>
        <v>0</v>
      </c>
      <c r="H47" s="779">
        <f t="shared" si="93"/>
        <v>0</v>
      </c>
      <c r="I47" s="779">
        <f t="shared" si="93"/>
        <v>0</v>
      </c>
      <c r="J47" s="779">
        <f>SUM(J43:J46)</f>
        <v>0</v>
      </c>
      <c r="K47" s="779">
        <f t="shared" si="93"/>
        <v>0</v>
      </c>
      <c r="L47" s="779">
        <f t="shared" si="93"/>
        <v>398</v>
      </c>
      <c r="M47" s="779">
        <f t="shared" si="93"/>
        <v>-18</v>
      </c>
      <c r="N47" s="779">
        <f t="shared" si="93"/>
        <v>0</v>
      </c>
      <c r="O47" s="779">
        <f t="shared" ref="O47:P47" si="94">SUM(O43:O46)</f>
        <v>-10</v>
      </c>
      <c r="P47" s="779">
        <f t="shared" si="94"/>
        <v>0</v>
      </c>
      <c r="Q47" s="779">
        <f t="shared" ref="Q47:T47" si="95">SUM(Q43:Q46)</f>
        <v>0</v>
      </c>
      <c r="R47" s="779">
        <f t="shared" si="95"/>
        <v>0</v>
      </c>
      <c r="S47" s="779">
        <f t="shared" si="95"/>
        <v>-106</v>
      </c>
      <c r="T47" s="780">
        <f t="shared" si="95"/>
        <v>-409.2</v>
      </c>
      <c r="U47" s="780">
        <f>SUM(U43:U46)</f>
        <v>250.28299999999999</v>
      </c>
      <c r="V47" s="779">
        <f>SUM(V43:V46)</f>
        <v>0</v>
      </c>
      <c r="W47" s="779">
        <f>SUM(W43:W46)</f>
        <v>0</v>
      </c>
      <c r="X47" s="780">
        <f>SUM(X43:X46)</f>
        <v>0</v>
      </c>
      <c r="Y47" s="767">
        <f t="shared" ref="Y47" si="96">SUM(Y43:Y46)</f>
        <v>40049.082999999999</v>
      </c>
      <c r="Z47" s="779">
        <f>SUM(Z43:Z46)</f>
        <v>-358</v>
      </c>
      <c r="AA47" s="779">
        <f>SUM(AA43:AA46)</f>
        <v>-244</v>
      </c>
      <c r="AB47" s="779">
        <f>SUM(AB43:AB46)</f>
        <v>0</v>
      </c>
      <c r="AC47" s="779">
        <f t="shared" ref="AC47:AD47" si="97">SUM(AC43:AC46)</f>
        <v>-112</v>
      </c>
      <c r="AD47" s="781">
        <f t="shared" si="97"/>
        <v>648</v>
      </c>
      <c r="AE47" s="779">
        <f>SUM(AE43:AE46)</f>
        <v>19.004999999999999</v>
      </c>
      <c r="AF47" s="779">
        <f t="shared" ref="AF47:AI47" si="98">SUM(AF43:AF46)</f>
        <v>-1716</v>
      </c>
      <c r="AG47" s="779">
        <f t="shared" ref="AG47" si="99">SUM(AG43:AG46)</f>
        <v>368.4</v>
      </c>
      <c r="AH47" s="779">
        <f t="shared" si="98"/>
        <v>0</v>
      </c>
      <c r="AI47" s="779">
        <f t="shared" si="98"/>
        <v>112.90900000000001</v>
      </c>
      <c r="AJ47" s="779">
        <f t="shared" ref="AJ47:AK47" si="100">SUM(AJ43:AJ46)</f>
        <v>0</v>
      </c>
      <c r="AK47" s="779">
        <f t="shared" si="100"/>
        <v>598</v>
      </c>
      <c r="AL47" s="779">
        <f>SUM(AL43:AL46)</f>
        <v>20.6</v>
      </c>
      <c r="AM47" s="779">
        <f t="shared" ref="AM47" si="101">SUM(AM43:AM46)</f>
        <v>556.36900000000003</v>
      </c>
      <c r="AN47" s="779">
        <f>SUM(AN43:AN46)</f>
        <v>625</v>
      </c>
      <c r="AO47" s="779">
        <f t="shared" ref="AO47" si="102">SUM(AO43:AO46)</f>
        <v>-463.7</v>
      </c>
      <c r="AP47" s="779">
        <f t="shared" ref="AP47:AQ47" si="103">SUM(AP43:AP46)</f>
        <v>967</v>
      </c>
      <c r="AQ47" s="779">
        <f t="shared" si="103"/>
        <v>300</v>
      </c>
      <c r="AR47" s="779">
        <f>SUM(AR43:AR46)</f>
        <v>178</v>
      </c>
      <c r="AS47" s="779">
        <f>SUM(AS43:AS46)</f>
        <v>150</v>
      </c>
      <c r="AT47" s="779">
        <f>SUM(AT43:AT46)</f>
        <v>1245</v>
      </c>
      <c r="AU47" s="779">
        <f>SUM(AU43:AU46)</f>
        <v>-88.394999999999996</v>
      </c>
      <c r="AV47" s="779">
        <f t="shared" ref="AV47" si="104">SUM(AV43:AV46)</f>
        <v>0</v>
      </c>
      <c r="AW47" s="769">
        <f t="shared" ref="AW47" si="105">SUM(AW43:AW46)</f>
        <v>42855.270999999993</v>
      </c>
      <c r="AX47" s="762"/>
      <c r="AY47" s="779">
        <f>SUM(AY43:AY46)</f>
        <v>0</v>
      </c>
      <c r="AZ47" s="779">
        <f t="shared" ref="AZ47" si="106">SUM(AZ43:AZ46)</f>
        <v>0</v>
      </c>
      <c r="BA47" s="781">
        <f t="shared" ref="BA47" si="107">SUM(BA43:BA46)</f>
        <v>250.4</v>
      </c>
      <c r="BB47" s="779">
        <f t="shared" ref="BB47" si="108">SUM(BB43:BB46)</f>
        <v>52.8</v>
      </c>
      <c r="BC47" s="779">
        <f>SUM(BC43:BC46)</f>
        <v>0</v>
      </c>
      <c r="BD47" s="779">
        <f>SUM(BD43:BD46)</f>
        <v>-65</v>
      </c>
      <c r="BE47" s="779">
        <f t="shared" ref="BE47" si="109">SUM(BE43:BE46)</f>
        <v>222.548</v>
      </c>
      <c r="BF47" s="779">
        <f>SUM(BF43:BF46)</f>
        <v>895</v>
      </c>
      <c r="BG47" s="779">
        <f>SUM(BG43:BG46)</f>
        <v>-130.83500000000001</v>
      </c>
      <c r="BH47" s="779">
        <f>SUM(BH43:BH46)</f>
        <v>0</v>
      </c>
      <c r="BI47" s="782">
        <f>SUM(BI43:BI46)</f>
        <v>44080.183999999994</v>
      </c>
      <c r="BJ47" s="779">
        <f>SUM(BJ43:BJ46)</f>
        <v>1224.9130000000005</v>
      </c>
    </row>
    <row r="48" spans="1:71" ht="19.5" customHeight="1">
      <c r="A48" s="618">
        <v>25</v>
      </c>
      <c r="B48" s="619" t="s">
        <v>52</v>
      </c>
      <c r="C48" s="755"/>
      <c r="D48" s="755"/>
      <c r="E48" s="764">
        <f t="shared" ref="E48:Y48" si="110">E20+E24+E30+E36+E38+E39+E40+E47</f>
        <v>260577</v>
      </c>
      <c r="F48" s="779">
        <f t="shared" si="110"/>
        <v>0</v>
      </c>
      <c r="G48" s="779">
        <f t="shared" si="110"/>
        <v>0</v>
      </c>
      <c r="H48" s="779">
        <f t="shared" si="110"/>
        <v>0</v>
      </c>
      <c r="I48" s="779">
        <f t="shared" si="110"/>
        <v>-8688</v>
      </c>
      <c r="J48" s="779">
        <f>J20+J24+J30+J36+J38+J39+J40+J47</f>
        <v>288</v>
      </c>
      <c r="K48" s="779">
        <f t="shared" si="110"/>
        <v>927</v>
      </c>
      <c r="L48" s="779">
        <f t="shared" si="110"/>
        <v>398</v>
      </c>
      <c r="M48" s="779">
        <f t="shared" si="110"/>
        <v>-18</v>
      </c>
      <c r="N48" s="779">
        <f t="shared" si="110"/>
        <v>0</v>
      </c>
      <c r="O48" s="779">
        <f t="shared" si="110"/>
        <v>-10</v>
      </c>
      <c r="P48" s="779">
        <f t="shared" si="110"/>
        <v>-4</v>
      </c>
      <c r="Q48" s="779">
        <f t="shared" ref="Q48:T48" si="111">Q20+Q24+Q30+Q36+Q38+Q39+Q40+Q47</f>
        <v>-11</v>
      </c>
      <c r="R48" s="779">
        <f>R20+R24+R30+R36+R38+R39+R40+R47</f>
        <v>-56</v>
      </c>
      <c r="S48" s="779">
        <f t="shared" si="111"/>
        <v>-72773</v>
      </c>
      <c r="T48" s="780">
        <f t="shared" si="111"/>
        <v>-415.2</v>
      </c>
      <c r="U48" s="780">
        <f>U20+U24+U30+U36+U38+U39+U40+U47</f>
        <v>250.28299999999999</v>
      </c>
      <c r="V48" s="779">
        <f>V20+V24+V30+V36+V38+V39+V40+V47</f>
        <v>0</v>
      </c>
      <c r="W48" s="779">
        <f>W20+W24+W30+W36+W38+W39+W40+W47</f>
        <v>0</v>
      </c>
      <c r="X48" s="780">
        <f>X20+X24+X30+X36+X38+X39+X40+X47</f>
        <v>0</v>
      </c>
      <c r="Y48" s="767">
        <f t="shared" si="110"/>
        <v>180465.08299999998</v>
      </c>
      <c r="Z48" s="779">
        <f t="shared" ref="Z48:AI48" si="112">Z20+Z24+Z30+Z36+Z38+Z39+Z40+Z47</f>
        <v>-94600</v>
      </c>
      <c r="AA48" s="779">
        <f t="shared" si="112"/>
        <v>-244</v>
      </c>
      <c r="AB48" s="779">
        <f t="shared" si="112"/>
        <v>0</v>
      </c>
      <c r="AC48" s="779">
        <f t="shared" si="112"/>
        <v>-803</v>
      </c>
      <c r="AD48" s="781">
        <f t="shared" si="112"/>
        <v>1825.3</v>
      </c>
      <c r="AE48" s="779">
        <f t="shared" si="112"/>
        <v>19.004999999999999</v>
      </c>
      <c r="AF48" s="779">
        <f t="shared" si="112"/>
        <v>-1689.2</v>
      </c>
      <c r="AG48" s="779">
        <f t="shared" ref="AG48" si="113">AG20+AG24+AG30+AG36+AG38+AG39+AG40+AG47</f>
        <v>368.79999999999995</v>
      </c>
      <c r="AH48" s="779">
        <f t="shared" si="112"/>
        <v>78</v>
      </c>
      <c r="AI48" s="779">
        <f t="shared" si="112"/>
        <v>112.90900000000001</v>
      </c>
      <c r="AJ48" s="779">
        <f t="shared" ref="AJ48:AK48" si="114">AJ20+AJ24+AJ30+AJ36+AJ38+AJ39+AJ40+AJ47</f>
        <v>946</v>
      </c>
      <c r="AK48" s="779">
        <f t="shared" si="114"/>
        <v>598</v>
      </c>
      <c r="AL48" s="779">
        <f>AL20+AL24+AL30+AL36+AL38+AL39+AL40+AL47</f>
        <v>20.6</v>
      </c>
      <c r="AM48" s="779">
        <f t="shared" ref="AM48" si="115">AM20+AM24+AM30+AM36+AM38+AM39+AM40+AM47</f>
        <v>1633.6619999999998</v>
      </c>
      <c r="AN48" s="779">
        <f>AN20+AN24+AN30+AN36+AN38+AN39+AN40+AN47</f>
        <v>1270</v>
      </c>
      <c r="AO48" s="779">
        <f t="shared" ref="AO48" si="116">AO20+AO24+AO30+AO36+AO38+AO39+AO40+AO47</f>
        <v>-904.2</v>
      </c>
      <c r="AP48" s="779">
        <f t="shared" ref="AP48:AQ48" si="117">AP20+AP24+AP30+AP36+AP38+AP39+AP40+AP47</f>
        <v>1957</v>
      </c>
      <c r="AQ48" s="779">
        <f t="shared" si="117"/>
        <v>300</v>
      </c>
      <c r="AR48" s="779">
        <f>AR20+AR24+AR30+AR36+AR38+AR39+AR40+AR47</f>
        <v>178</v>
      </c>
      <c r="AS48" s="779">
        <f>AS20+AS24+AS30+AS36+AS38+AS39+AS40+AS47</f>
        <v>150</v>
      </c>
      <c r="AT48" s="779">
        <f t="shared" ref="AT48:AU48" si="118">AT20+AT24+AT30+AT36+AT38+AT39+AT40+AT47</f>
        <v>2170</v>
      </c>
      <c r="AU48" s="779">
        <f t="shared" si="118"/>
        <v>-278.70699999999999</v>
      </c>
      <c r="AV48" s="779">
        <f t="shared" ref="AV48" si="119">AV20+AV24+AV30+AV36+AV38+AV39+AV40+AV47</f>
        <v>0</v>
      </c>
      <c r="AW48" s="769">
        <f t="shared" ref="AW48" si="120">AW20+AW24+AW30+AW36+AW38+AW39+AW40+AW47</f>
        <v>93573.251999999979</v>
      </c>
      <c r="AX48" s="762"/>
      <c r="AY48" s="779">
        <f>AY20+AY24+AY30+AY36+AY38+AY39+AY40+AY47</f>
        <v>0</v>
      </c>
      <c r="AZ48" s="779">
        <f t="shared" ref="AZ48:BC48" si="121">AZ20+AZ24+AZ30+AZ36+AZ38+AZ39+AZ40+AZ47</f>
        <v>-105</v>
      </c>
      <c r="BA48" s="781">
        <f t="shared" si="121"/>
        <v>734.9</v>
      </c>
      <c r="BB48" s="779">
        <f t="shared" si="121"/>
        <v>146.80000000000001</v>
      </c>
      <c r="BC48" s="779">
        <f t="shared" si="121"/>
        <v>30</v>
      </c>
      <c r="BD48" s="779">
        <f>BD20+BD24+BD30+BD36+BD38+BD39+BD40+BD47</f>
        <v>-65</v>
      </c>
      <c r="BE48" s="779">
        <f t="shared" ref="BE48" si="122">BE20+BE24+BE30+BE36+BE38+BE39+BE40+BE47</f>
        <v>653.46600000000001</v>
      </c>
      <c r="BF48" s="779">
        <f t="shared" ref="BF48" si="123">BF20+BF24+BF30+BF36+BF38+BF39+BF40+BF47</f>
        <v>1740</v>
      </c>
      <c r="BG48" s="779">
        <f t="shared" ref="BG48:BH48" si="124">BG20+BG24+BG30+BG36+BG38+BG39+BG40+BG47</f>
        <v>-200.87900000000002</v>
      </c>
      <c r="BH48" s="779">
        <f t="shared" si="124"/>
        <v>0</v>
      </c>
      <c r="BI48" s="782">
        <f>BI20+BI24+BI30+BI36+BI38+BI39+BI40+BI47</f>
        <v>96507.53899999999</v>
      </c>
      <c r="BJ48" s="779">
        <f>BJ20+BJ24+BJ30+BJ36+BJ38+BJ39+BJ40+BJ47</f>
        <v>2934.2870000000021</v>
      </c>
    </row>
    <row r="49" spans="1:71" ht="9" customHeight="1">
      <c r="C49" s="755"/>
      <c r="D49" s="755"/>
      <c r="E49" s="756"/>
      <c r="F49" s="772"/>
      <c r="G49" s="772"/>
      <c r="H49" s="772"/>
      <c r="I49" s="772"/>
      <c r="J49" s="772"/>
      <c r="K49" s="772"/>
      <c r="L49" s="772"/>
      <c r="M49" s="772"/>
      <c r="N49" s="772"/>
      <c r="O49" s="772"/>
      <c r="P49" s="772"/>
      <c r="Q49" s="772"/>
      <c r="R49" s="772"/>
      <c r="S49" s="772"/>
      <c r="T49" s="773"/>
      <c r="U49" s="773"/>
      <c r="V49" s="772"/>
      <c r="W49" s="772"/>
      <c r="X49" s="773"/>
      <c r="Y49" s="758"/>
      <c r="Z49" s="772"/>
      <c r="AA49" s="772"/>
      <c r="AB49" s="772"/>
      <c r="AC49" s="772"/>
      <c r="AD49" s="774"/>
      <c r="AE49" s="772"/>
      <c r="AF49" s="772"/>
      <c r="AG49" s="772"/>
      <c r="AH49" s="772"/>
      <c r="AI49" s="772"/>
      <c r="AJ49" s="772"/>
      <c r="AK49" s="772"/>
      <c r="AL49" s="772"/>
      <c r="AM49" s="772"/>
      <c r="AN49" s="772"/>
      <c r="AO49" s="772"/>
      <c r="AP49" s="772"/>
      <c r="AQ49" s="772"/>
      <c r="AR49" s="772"/>
      <c r="AS49" s="772"/>
      <c r="AT49" s="775"/>
      <c r="AU49" s="775"/>
      <c r="AV49" s="775"/>
      <c r="AW49" s="761"/>
      <c r="AX49" s="762"/>
      <c r="AY49" s="772"/>
      <c r="AZ49" s="772"/>
      <c r="BA49" s="774"/>
      <c r="BB49" s="772"/>
      <c r="BC49" s="772"/>
      <c r="BD49" s="772"/>
      <c r="BE49" s="772"/>
      <c r="BF49" s="775"/>
      <c r="BG49" s="775"/>
      <c r="BH49" s="775"/>
      <c r="BI49" s="776"/>
      <c r="BJ49" s="772"/>
    </row>
    <row r="50" spans="1:71" ht="13.2" customHeight="1">
      <c r="A50" s="618">
        <v>26</v>
      </c>
      <c r="B50" s="619" t="s">
        <v>53</v>
      </c>
      <c r="C50" s="755"/>
      <c r="D50" s="755"/>
      <c r="E50" s="756">
        <f t="shared" ref="E50:P50" si="125">E17-E48</f>
        <v>28262</v>
      </c>
      <c r="F50" s="772">
        <f t="shared" si="125"/>
        <v>0</v>
      </c>
      <c r="G50" s="772">
        <f t="shared" si="125"/>
        <v>0</v>
      </c>
      <c r="H50" s="772">
        <f t="shared" si="125"/>
        <v>0</v>
      </c>
      <c r="I50" s="772">
        <f t="shared" si="125"/>
        <v>42</v>
      </c>
      <c r="J50" s="772">
        <f>J17-J48</f>
        <v>-288</v>
      </c>
      <c r="K50" s="772">
        <f t="shared" si="125"/>
        <v>-927</v>
      </c>
      <c r="L50" s="772">
        <f t="shared" si="125"/>
        <v>-398</v>
      </c>
      <c r="M50" s="772">
        <f t="shared" si="125"/>
        <v>18</v>
      </c>
      <c r="N50" s="772">
        <f t="shared" si="125"/>
        <v>0</v>
      </c>
      <c r="O50" s="772">
        <f t="shared" si="125"/>
        <v>10</v>
      </c>
      <c r="P50" s="772">
        <f t="shared" si="125"/>
        <v>4</v>
      </c>
      <c r="Q50" s="772">
        <f t="shared" ref="Q50:T50" si="126">Q17-Q48</f>
        <v>11</v>
      </c>
      <c r="R50" s="772">
        <f t="shared" si="126"/>
        <v>-43</v>
      </c>
      <c r="S50" s="772">
        <f t="shared" si="126"/>
        <v>12195</v>
      </c>
      <c r="T50" s="773">
        <f t="shared" si="126"/>
        <v>415.2</v>
      </c>
      <c r="U50" s="773">
        <f>U17-U48</f>
        <v>-250.28299999999999</v>
      </c>
      <c r="V50" s="772">
        <f>V17-V48</f>
        <v>0</v>
      </c>
      <c r="W50" s="772">
        <f>W17-W48</f>
        <v>0</v>
      </c>
      <c r="X50" s="773">
        <f>X17-X48</f>
        <v>0</v>
      </c>
      <c r="Y50" s="758">
        <f>SUM(E50:X50)</f>
        <v>39050.916999999994</v>
      </c>
      <c r="Z50" s="772">
        <f>Z17-Z48</f>
        <v>2433</v>
      </c>
      <c r="AA50" s="772">
        <f>AA17-AA48</f>
        <v>244</v>
      </c>
      <c r="AB50" s="772">
        <f>AB17-AB48</f>
        <v>0</v>
      </c>
      <c r="AC50" s="772">
        <f t="shared" ref="AC50:AI50" si="127">AC17-AC48</f>
        <v>803</v>
      </c>
      <c r="AD50" s="774">
        <f t="shared" si="127"/>
        <v>-1825.3</v>
      </c>
      <c r="AE50" s="772">
        <f t="shared" si="127"/>
        <v>-19.004999999999999</v>
      </c>
      <c r="AF50" s="772">
        <f t="shared" si="127"/>
        <v>1689.2</v>
      </c>
      <c r="AG50" s="772">
        <f t="shared" ref="AG50" si="128">AG17-AG48</f>
        <v>-368.79999999999995</v>
      </c>
      <c r="AH50" s="772">
        <f t="shared" si="127"/>
        <v>-78</v>
      </c>
      <c r="AI50" s="772">
        <f t="shared" si="127"/>
        <v>-112.90900000000001</v>
      </c>
      <c r="AJ50" s="772">
        <f t="shared" ref="AJ50:AK50" si="129">AJ17-AJ48</f>
        <v>-946</v>
      </c>
      <c r="AK50" s="772">
        <f t="shared" si="129"/>
        <v>-598</v>
      </c>
      <c r="AL50" s="772">
        <f>AL17-AL48</f>
        <v>-20.6</v>
      </c>
      <c r="AM50" s="772">
        <f t="shared" ref="AM50" si="130">AM17-AM48</f>
        <v>-1633.6619999999998</v>
      </c>
      <c r="AN50" s="772">
        <f>AN17-AN48</f>
        <v>-1270</v>
      </c>
      <c r="AO50" s="772">
        <f t="shared" ref="AO50" si="131">AO17-AO48</f>
        <v>904.2</v>
      </c>
      <c r="AP50" s="772">
        <f t="shared" ref="AP50:AQ50" si="132">AP17-AP48</f>
        <v>-1957</v>
      </c>
      <c r="AQ50" s="772">
        <f t="shared" si="132"/>
        <v>-300</v>
      </c>
      <c r="AR50" s="772">
        <f>AR17-AR48</f>
        <v>-178</v>
      </c>
      <c r="AS50" s="772">
        <f>AS17-AS48</f>
        <v>-150</v>
      </c>
      <c r="AT50" s="775">
        <f>AT17-AT48</f>
        <v>-2170</v>
      </c>
      <c r="AU50" s="775">
        <f>AU17-AU48</f>
        <v>622.70699999999999</v>
      </c>
      <c r="AV50" s="775">
        <f t="shared" ref="AV50" si="133">AV17-AV48</f>
        <v>0</v>
      </c>
      <c r="AW50" s="761">
        <f t="shared" ref="AW50" si="134">AW17-AW48</f>
        <v>34119.748000000021</v>
      </c>
      <c r="AX50" s="762"/>
      <c r="AY50" s="772">
        <f>AY17-AY48</f>
        <v>0</v>
      </c>
      <c r="AZ50" s="772">
        <f t="shared" ref="AZ50" si="135">AZ17-AZ48</f>
        <v>105</v>
      </c>
      <c r="BA50" s="774">
        <f t="shared" ref="BA50:BB50" si="136">BA17-BA48</f>
        <v>-734.9</v>
      </c>
      <c r="BB50" s="772">
        <f t="shared" si="136"/>
        <v>-146.80000000000001</v>
      </c>
      <c r="BC50" s="772">
        <f>BC17-BC48</f>
        <v>-30</v>
      </c>
      <c r="BD50" s="772">
        <f>BD17-BD48</f>
        <v>65</v>
      </c>
      <c r="BE50" s="772">
        <f t="shared" ref="BE50" si="137">BE17-BE48</f>
        <v>-653.46600000000001</v>
      </c>
      <c r="BF50" s="775">
        <f>BF17-BF48</f>
        <v>-1740</v>
      </c>
      <c r="BG50" s="775">
        <f>BG17-BG48</f>
        <v>239.87900000000002</v>
      </c>
      <c r="BH50" s="775">
        <f>BH17-BH48</f>
        <v>0</v>
      </c>
      <c r="BI50" s="776">
        <f>BI17-BI48</f>
        <v>31224.46100000001</v>
      </c>
      <c r="BJ50" s="772">
        <f>BJ17-BJ48</f>
        <v>-2895.2870000000021</v>
      </c>
    </row>
    <row r="51" spans="1:71" ht="6" customHeight="1">
      <c r="C51" s="755"/>
      <c r="D51" s="755"/>
      <c r="E51" s="756"/>
      <c r="F51" s="772"/>
      <c r="G51" s="772"/>
      <c r="H51" s="772"/>
      <c r="I51" s="772"/>
      <c r="J51" s="772"/>
      <c r="K51" s="772"/>
      <c r="L51" s="772"/>
      <c r="M51" s="772"/>
      <c r="N51" s="772"/>
      <c r="O51" s="772"/>
      <c r="P51" s="772"/>
      <c r="Q51" s="772"/>
      <c r="R51" s="772"/>
      <c r="S51" s="772"/>
      <c r="T51" s="773"/>
      <c r="U51" s="773"/>
      <c r="V51" s="772"/>
      <c r="W51" s="772"/>
      <c r="X51" s="773"/>
      <c r="Y51" s="758"/>
      <c r="Z51" s="772"/>
      <c r="AA51" s="772"/>
      <c r="AB51" s="772"/>
      <c r="AC51" s="772"/>
      <c r="AD51" s="774"/>
      <c r="AE51" s="772"/>
      <c r="AF51" s="772"/>
      <c r="AG51" s="772"/>
      <c r="AH51" s="772"/>
      <c r="AI51" s="772"/>
      <c r="AJ51" s="772"/>
      <c r="AK51" s="772"/>
      <c r="AL51" s="772"/>
      <c r="AM51" s="772"/>
      <c r="AN51" s="772"/>
      <c r="AO51" s="772"/>
      <c r="AP51" s="772"/>
      <c r="AQ51" s="772"/>
      <c r="AR51" s="772"/>
      <c r="AS51" s="772"/>
      <c r="AT51" s="775"/>
      <c r="AU51" s="775"/>
      <c r="AV51" s="775"/>
      <c r="AW51" s="761"/>
      <c r="AX51" s="762"/>
      <c r="AY51" s="772"/>
      <c r="AZ51" s="772"/>
      <c r="BA51" s="774"/>
      <c r="BB51" s="772"/>
      <c r="BC51" s="772"/>
      <c r="BD51" s="772"/>
      <c r="BE51" s="772"/>
      <c r="BF51" s="775"/>
      <c r="BG51" s="775"/>
      <c r="BH51" s="775"/>
      <c r="BI51" s="776"/>
      <c r="BJ51" s="772"/>
    </row>
    <row r="52" spans="1:71" ht="13.2" customHeight="1">
      <c r="B52" s="619" t="s">
        <v>54</v>
      </c>
      <c r="C52" s="755"/>
      <c r="D52" s="755"/>
      <c r="E52" s="756"/>
      <c r="F52" s="746"/>
      <c r="G52" s="746"/>
      <c r="H52" s="746"/>
      <c r="I52" s="746"/>
      <c r="J52" s="746"/>
      <c r="K52" s="746"/>
      <c r="L52" s="746"/>
      <c r="M52" s="746"/>
      <c r="N52" s="746"/>
      <c r="O52" s="746"/>
      <c r="P52" s="746"/>
      <c r="Q52" s="746"/>
      <c r="R52" s="746"/>
      <c r="S52" s="746"/>
      <c r="T52" s="757"/>
      <c r="U52" s="757"/>
      <c r="V52" s="746"/>
      <c r="W52" s="746"/>
      <c r="X52" s="757"/>
      <c r="Y52" s="758"/>
      <c r="Z52" s="746"/>
      <c r="AA52" s="746"/>
      <c r="AB52" s="746"/>
      <c r="AC52" s="746"/>
      <c r="AD52" s="759"/>
      <c r="AE52" s="746"/>
      <c r="AF52" s="746"/>
      <c r="AG52" s="746"/>
      <c r="AH52" s="746"/>
      <c r="AI52" s="746"/>
      <c r="AJ52" s="746"/>
      <c r="AK52" s="746"/>
      <c r="AL52" s="746"/>
      <c r="AM52" s="746"/>
      <c r="AN52" s="746"/>
      <c r="AO52" s="746"/>
      <c r="AP52" s="746"/>
      <c r="AQ52" s="746"/>
      <c r="AR52" s="746"/>
      <c r="AS52" s="746"/>
      <c r="AT52" s="760"/>
      <c r="AU52" s="760"/>
      <c r="AV52" s="760"/>
      <c r="AW52" s="761"/>
      <c r="AX52" s="762"/>
      <c r="AY52" s="746"/>
      <c r="AZ52" s="746"/>
      <c r="BA52" s="759"/>
      <c r="BB52" s="746"/>
      <c r="BC52" s="746"/>
      <c r="BD52" s="746"/>
      <c r="BE52" s="746"/>
      <c r="BF52" s="760"/>
      <c r="BG52" s="760"/>
      <c r="BH52" s="760"/>
      <c r="BI52" s="777"/>
      <c r="BJ52" s="746"/>
    </row>
    <row r="53" spans="1:71">
      <c r="A53" s="618">
        <v>27</v>
      </c>
      <c r="B53" s="755" t="s">
        <v>55</v>
      </c>
      <c r="D53" s="755"/>
      <c r="E53" s="756">
        <f>'ROO INPUT 1.00'!$F54</f>
        <v>-4387</v>
      </c>
      <c r="F53" s="746">
        <f t="shared" ref="F53:M53" si="138">F50*0.21</f>
        <v>0</v>
      </c>
      <c r="G53" s="746">
        <f t="shared" si="138"/>
        <v>0</v>
      </c>
      <c r="H53" s="746">
        <f t="shared" si="138"/>
        <v>0</v>
      </c>
      <c r="I53" s="746">
        <f t="shared" si="138"/>
        <v>8.82</v>
      </c>
      <c r="J53" s="746">
        <f t="shared" si="138"/>
        <v>-60.48</v>
      </c>
      <c r="K53" s="746">
        <f t="shared" si="138"/>
        <v>-194.67</v>
      </c>
      <c r="L53" s="746">
        <f t="shared" si="138"/>
        <v>-83.58</v>
      </c>
      <c r="M53" s="746">
        <f t="shared" si="138"/>
        <v>3.78</v>
      </c>
      <c r="N53" s="746">
        <v>0</v>
      </c>
      <c r="O53" s="746">
        <f t="shared" ref="O53:U53" si="139">O50*0.21</f>
        <v>2.1</v>
      </c>
      <c r="P53" s="746">
        <f t="shared" si="139"/>
        <v>0.84</v>
      </c>
      <c r="Q53" s="746">
        <f t="shared" si="139"/>
        <v>2.31</v>
      </c>
      <c r="R53" s="746">
        <f t="shared" si="139"/>
        <v>-9.0299999999999994</v>
      </c>
      <c r="S53" s="746">
        <f t="shared" si="139"/>
        <v>2560.9499999999998</v>
      </c>
      <c r="T53" s="757">
        <f t="shared" si="139"/>
        <v>87.191999999999993</v>
      </c>
      <c r="U53" s="757">
        <f t="shared" si="139"/>
        <v>-52.559429999999992</v>
      </c>
      <c r="V53" s="746">
        <f>'DEBT CALC 2.14'!E66</f>
        <v>57</v>
      </c>
      <c r="W53" s="746">
        <f>W50*0.21</f>
        <v>0</v>
      </c>
      <c r="X53" s="757">
        <f t="shared" ref="X53" si="140">X50*0.21</f>
        <v>0</v>
      </c>
      <c r="Y53" s="758">
        <f>SUM(E53:X53)</f>
        <v>-2064.3274299999989</v>
      </c>
      <c r="Z53" s="746">
        <f t="shared" ref="Z53:AV53" si="141">Z50*0.21</f>
        <v>510.93</v>
      </c>
      <c r="AA53" s="746">
        <f t="shared" ref="AA53:AB53" si="142">AA50*0.21</f>
        <v>51.239999999999995</v>
      </c>
      <c r="AB53" s="746">
        <f t="shared" si="142"/>
        <v>0</v>
      </c>
      <c r="AC53" s="746">
        <f t="shared" ref="AC53:AH53" si="143">AC50*0.21</f>
        <v>168.63</v>
      </c>
      <c r="AD53" s="759">
        <f t="shared" si="143"/>
        <v>-383.31299999999999</v>
      </c>
      <c r="AE53" s="746">
        <f t="shared" si="143"/>
        <v>-3.9910499999999995</v>
      </c>
      <c r="AF53" s="746">
        <f t="shared" si="143"/>
        <v>354.73199999999997</v>
      </c>
      <c r="AG53" s="746">
        <f t="shared" ref="AG53" si="144">AG50*0.21</f>
        <v>-77.447999999999993</v>
      </c>
      <c r="AH53" s="746">
        <f t="shared" si="143"/>
        <v>-16.38</v>
      </c>
      <c r="AI53" s="746">
        <f>AI50*0.21</f>
        <v>-23.710889999999999</v>
      </c>
      <c r="AJ53" s="746">
        <f>AJ50*0.21</f>
        <v>-198.66</v>
      </c>
      <c r="AK53" s="746">
        <f t="shared" ref="AK53:AM53" si="145">AK50*0.21</f>
        <v>-125.58</v>
      </c>
      <c r="AL53" s="746">
        <f t="shared" si="145"/>
        <v>-4.3260000000000005</v>
      </c>
      <c r="AM53" s="746">
        <f t="shared" si="145"/>
        <v>-343.06901999999997</v>
      </c>
      <c r="AN53" s="746">
        <f>AN50*0.21</f>
        <v>-266.7</v>
      </c>
      <c r="AO53" s="746">
        <f t="shared" ref="AO53" si="146">AO50*0.21</f>
        <v>189.88200000000001</v>
      </c>
      <c r="AP53" s="746">
        <f t="shared" ref="AP53:AQ53" si="147">AP50*0.21</f>
        <v>-410.96999999999997</v>
      </c>
      <c r="AQ53" s="746">
        <f t="shared" si="147"/>
        <v>-63</v>
      </c>
      <c r="AR53" s="746">
        <f>AR50*0.21</f>
        <v>-37.379999999999995</v>
      </c>
      <c r="AS53" s="746">
        <f>AS50*0.21</f>
        <v>-31.5</v>
      </c>
      <c r="AT53" s="746">
        <f t="shared" ref="AT53:AU53" si="148">AT50*0.21</f>
        <v>-455.7</v>
      </c>
      <c r="AU53" s="746">
        <f t="shared" si="148"/>
        <v>130.76847000000001</v>
      </c>
      <c r="AV53" s="746">
        <f t="shared" si="141"/>
        <v>0</v>
      </c>
      <c r="AW53" s="761">
        <f>SUM(Y53:AV53)</f>
        <v>-3099.8729199999989</v>
      </c>
      <c r="AX53" s="762"/>
      <c r="AY53" s="746">
        <f>AY50*0.21</f>
        <v>0</v>
      </c>
      <c r="AZ53" s="746">
        <f t="shared" ref="AZ53:BC53" si="149">AZ50*0.21</f>
        <v>22.05</v>
      </c>
      <c r="BA53" s="759">
        <f t="shared" si="149"/>
        <v>-154.32899999999998</v>
      </c>
      <c r="BB53" s="746">
        <f t="shared" si="149"/>
        <v>-30.828000000000003</v>
      </c>
      <c r="BC53" s="746">
        <f t="shared" si="149"/>
        <v>-6.3</v>
      </c>
      <c r="BD53" s="746">
        <f>BD50*0.21</f>
        <v>13.65</v>
      </c>
      <c r="BE53" s="746">
        <f t="shared" ref="BE53" si="150">BE50*0.21</f>
        <v>-137.22785999999999</v>
      </c>
      <c r="BF53" s="746">
        <f t="shared" ref="BF53" si="151">BF50*0.21</f>
        <v>-365.4</v>
      </c>
      <c r="BG53" s="746">
        <f t="shared" ref="BG53:BH53" si="152">BG50*0.21</f>
        <v>50.374590000000005</v>
      </c>
      <c r="BH53" s="746">
        <f t="shared" si="152"/>
        <v>0</v>
      </c>
      <c r="BI53" s="763">
        <f>SUM(AW53:BH53)</f>
        <v>-3707.8831899999991</v>
      </c>
      <c r="BJ53" s="540">
        <f>BI53-AW53</f>
        <v>-608.01027000000022</v>
      </c>
    </row>
    <row r="54" spans="1:71">
      <c r="A54" s="618">
        <v>28</v>
      </c>
      <c r="B54" s="755" t="s">
        <v>170</v>
      </c>
      <c r="D54" s="755"/>
      <c r="E54" s="756">
        <f>'ROO INPUT 1.00'!$F55</f>
        <v>0</v>
      </c>
      <c r="F54" s="746">
        <f>(F81*'RR SUMMARY'!$Q$14)*-0.21</f>
        <v>1.208928</v>
      </c>
      <c r="G54" s="746">
        <f>(G81*'RR SUMMARY'!$Q$14)*-0.21</f>
        <v>0</v>
      </c>
      <c r="H54" s="746">
        <f>(H81*'RR SUMMARY'!$Q$14)*-0.21</f>
        <v>3.4972560000000001</v>
      </c>
      <c r="I54" s="746">
        <f>(I81*'RR SUMMARY'!$Q$14)*-0.21</f>
        <v>0</v>
      </c>
      <c r="J54" s="746">
        <f>(J81*'RR SUMMARY'!$Q$14)*-0.21</f>
        <v>0</v>
      </c>
      <c r="K54" s="746">
        <f>(K81*'RR SUMMARY'!$Q$14)*-0.21</f>
        <v>0</v>
      </c>
      <c r="L54" s="746">
        <f>(L81*'RR SUMMARY'!$Q$14)*-0.21</f>
        <v>0</v>
      </c>
      <c r="M54" s="746">
        <f>(M81*'RR SUMMARY'!$Q$14)*-0.21</f>
        <v>0</v>
      </c>
      <c r="N54" s="746">
        <f>(N81*'RR SUMMARY'!$Q$14)*-0.21</f>
        <v>0</v>
      </c>
      <c r="O54" s="746">
        <f>(O81*'RR SUMMARY'!$Q$14)*-0.21</f>
        <v>0</v>
      </c>
      <c r="P54" s="746">
        <f>(P81*'RR SUMMARY'!$Q$14)*-0.21</f>
        <v>0</v>
      </c>
      <c r="Q54" s="746">
        <f>(Q81*'RR SUMMARY'!$Q$14)*-0.21</f>
        <v>0</v>
      </c>
      <c r="R54" s="746">
        <f>(R81*'RR SUMMARY'!$Q$14)*-0.21</f>
        <v>0</v>
      </c>
      <c r="S54" s="746">
        <f>(S81*'RR SUMMARY'!$Q$14)*-0.21</f>
        <v>0</v>
      </c>
      <c r="T54" s="757">
        <f>(T81*'RR SUMMARY'!$Q$14)*-0.21</f>
        <v>0</v>
      </c>
      <c r="U54" s="757">
        <f>(U81*'RR SUMMARY'!$Q$14)*-0.21</f>
        <v>0</v>
      </c>
      <c r="V54" s="746">
        <f>(V81*'RR SUMMARY'!$Q$14)*-0.21</f>
        <v>0</v>
      </c>
      <c r="W54" s="746">
        <f>(W81*'RR SUMMARY'!$Q$14)*-0.21</f>
        <v>-66.965975999999998</v>
      </c>
      <c r="X54" s="757">
        <f>(X81*'RR SUMMARY'!$Q$14)*-0.21</f>
        <v>0</v>
      </c>
      <c r="Y54" s="758">
        <f>SUM(E54:X54)</f>
        <v>-62.259791999999997</v>
      </c>
      <c r="Z54" s="746">
        <f>(Z81*'RR SUMMARY'!$Q$14)*-0.21</f>
        <v>0</v>
      </c>
      <c r="AA54" s="746">
        <f>(AA81*'RR SUMMARY'!$Q$14)*-0.21</f>
        <v>0</v>
      </c>
      <c r="AB54" s="746">
        <f>(AB81*'RR SUMMARY'!$Q$14)*-0.21</f>
        <v>0</v>
      </c>
      <c r="AC54" s="746">
        <f>(AC81*'RR SUMMARY'!$Q$14)*-0.21</f>
        <v>11.554976999999999</v>
      </c>
      <c r="AD54" s="759">
        <f>(AD81*'RR SUMMARY'!$Q$14)*-0.21</f>
        <v>0</v>
      </c>
      <c r="AE54" s="746">
        <f>(AE81*'RR SUMMARY'!$Q$14)*-0.21</f>
        <v>0</v>
      </c>
      <c r="AF54" s="746">
        <f>(AF81*'RR SUMMARY'!$Q$14)*-0.21</f>
        <v>0</v>
      </c>
      <c r="AG54" s="746">
        <f>(AG81*'RR SUMMARY'!$Q$14)*-0.21</f>
        <v>0</v>
      </c>
      <c r="AH54" s="746">
        <f>(AH81*'RR SUMMARY'!$Q$14)*-0.21</f>
        <v>0</v>
      </c>
      <c r="AI54" s="746">
        <f>(AI81*'RR SUMMARY'!$Q$14)*-0.21</f>
        <v>0</v>
      </c>
      <c r="AJ54" s="746">
        <f>(AJ81*'RR SUMMARY'!$Q$14)*-0.21</f>
        <v>0</v>
      </c>
      <c r="AK54" s="746">
        <f>(AK81*'RR SUMMARY'!$Q$14)*-0.21</f>
        <v>0</v>
      </c>
      <c r="AL54" s="746">
        <f>(AL81*'RR SUMMARY'!$Q$14)*-0.21</f>
        <v>0</v>
      </c>
      <c r="AM54" s="746">
        <f>(AM81*'RR SUMMARY'!$Q$14)*-0.21</f>
        <v>0</v>
      </c>
      <c r="AN54" s="746">
        <f>(AN81*'RR SUMMARY'!$Q$14)*-0.21</f>
        <v>-105.1761963</v>
      </c>
      <c r="AO54" s="746">
        <f>(AO81*'RR SUMMARY'!$Q$14)*-0.21</f>
        <v>0</v>
      </c>
      <c r="AP54" s="746">
        <f>(AP81*'RR SUMMARY'!$Q$14)*-0.21</f>
        <v>-111.00549600000001</v>
      </c>
      <c r="AQ54" s="746">
        <f>(AQ81*'RR SUMMARY'!$Q$14)*-0.21</f>
        <v>0</v>
      </c>
      <c r="AR54" s="746">
        <f>(AR81*'RR SUMMARY'!$Q$14)*-0.21</f>
        <v>0</v>
      </c>
      <c r="AS54" s="746">
        <f>(AS81*'RR SUMMARY'!$Q$14)*-0.21</f>
        <v>0</v>
      </c>
      <c r="AT54" s="746">
        <f>(AT81*'RR SUMMARY'!$Q$14)*-0.21</f>
        <v>-17.291448300000006</v>
      </c>
      <c r="AU54" s="746">
        <f>(AU81*'RR SUMMARY'!$Q$14)*-0.21</f>
        <v>0</v>
      </c>
      <c r="AV54" s="746">
        <f>(AV81*'RR SUMMARY'!$Q$14)*-0.21</f>
        <v>0</v>
      </c>
      <c r="AW54" s="761">
        <f>SUM(Y54:AV54)</f>
        <v>-284.17795560000002</v>
      </c>
      <c r="AX54" s="762"/>
      <c r="AY54" s="746">
        <f>(AY81*'RR SUMMARY'!$Q$14)*-0.21</f>
        <v>0</v>
      </c>
      <c r="AZ54" s="746">
        <f>(AZ81*'RR SUMMARY'!$Q$14)*-0.21</f>
        <v>4.5766559999999998</v>
      </c>
      <c r="BA54" s="759">
        <f>(BA81*'RR SUMMARY'!$Q$14)*-0.21</f>
        <v>0</v>
      </c>
      <c r="BB54" s="746">
        <f>(BB81*'RR SUMMARY'!$Q$14)*-0.21</f>
        <v>0</v>
      </c>
      <c r="BC54" s="746">
        <f>(BC81*'RR SUMMARY'!$Q$14)*-0.21</f>
        <v>0</v>
      </c>
      <c r="BD54" s="746">
        <f>(BD81*'RR SUMMARY'!$Q$14)*-0.21</f>
        <v>0</v>
      </c>
      <c r="BE54" s="746">
        <f>(BE81*'RR SUMMARY'!$Q$14)*-0.21</f>
        <v>0</v>
      </c>
      <c r="BF54" s="746">
        <f>(BF81*'RR SUMMARY'!$Q$14)*-0.21</f>
        <v>-92.228793300000007</v>
      </c>
      <c r="BG54" s="746">
        <f>(BG81*'RR SUMMARY'!$Q$14)*-0.21</f>
        <v>0</v>
      </c>
      <c r="BH54" s="746">
        <f>(BH81*'RR SUMMARY'!$Q$14)*-0.21</f>
        <v>0</v>
      </c>
      <c r="BI54" s="763">
        <f>SUM(AW54:BH54)</f>
        <v>-371.83009290000001</v>
      </c>
      <c r="BJ54" s="540">
        <f>BI54-AW54</f>
        <v>-87.652137299999993</v>
      </c>
    </row>
    <row r="55" spans="1:71">
      <c r="A55" s="618">
        <v>29</v>
      </c>
      <c r="B55" s="755" t="s">
        <v>56</v>
      </c>
      <c r="D55" s="755"/>
      <c r="E55" s="756">
        <f>'ROO INPUT 1.00'!$F56</f>
        <v>-3743</v>
      </c>
      <c r="F55" s="746">
        <v>0</v>
      </c>
      <c r="G55" s="746">
        <v>0</v>
      </c>
      <c r="H55" s="746">
        <v>0</v>
      </c>
      <c r="I55" s="746">
        <v>0</v>
      </c>
      <c r="J55" s="746">
        <v>0</v>
      </c>
      <c r="K55" s="746">
        <v>0</v>
      </c>
      <c r="L55" s="746">
        <v>0</v>
      </c>
      <c r="M55" s="746">
        <v>0</v>
      </c>
      <c r="N55" s="746">
        <v>-101</v>
      </c>
      <c r="O55" s="746">
        <v>0</v>
      </c>
      <c r="P55" s="746">
        <v>0</v>
      </c>
      <c r="Q55" s="746">
        <v>0</v>
      </c>
      <c r="R55" s="746">
        <v>0</v>
      </c>
      <c r="S55" s="746">
        <v>0</v>
      </c>
      <c r="T55" s="757">
        <v>0</v>
      </c>
      <c r="U55" s="757">
        <v>0</v>
      </c>
      <c r="V55" s="746">
        <v>0</v>
      </c>
      <c r="W55" s="746">
        <v>0</v>
      </c>
      <c r="X55" s="757">
        <v>0</v>
      </c>
      <c r="Y55" s="758">
        <f>SUM(E55:X55)</f>
        <v>-3844</v>
      </c>
      <c r="Z55" s="746">
        <v>0</v>
      </c>
      <c r="AA55" s="746">
        <v>0</v>
      </c>
      <c r="AB55" s="746">
        <v>136</v>
      </c>
      <c r="AC55" s="746">
        <v>0</v>
      </c>
      <c r="AD55" s="759">
        <v>0</v>
      </c>
      <c r="AE55" s="746">
        <v>0</v>
      </c>
      <c r="AF55" s="746">
        <v>0</v>
      </c>
      <c r="AG55" s="746">
        <v>0</v>
      </c>
      <c r="AH55" s="746">
        <v>0</v>
      </c>
      <c r="AI55" s="746">
        <v>0</v>
      </c>
      <c r="AJ55" s="746">
        <v>0</v>
      </c>
      <c r="AK55" s="746">
        <v>0</v>
      </c>
      <c r="AL55" s="746">
        <v>0</v>
      </c>
      <c r="AM55" s="746">
        <v>0</v>
      </c>
      <c r="AN55" s="746">
        <v>0</v>
      </c>
      <c r="AO55" s="746">
        <v>0</v>
      </c>
      <c r="AP55" s="746">
        <v>0</v>
      </c>
      <c r="AQ55" s="746">
        <v>0</v>
      </c>
      <c r="AR55" s="746">
        <v>0</v>
      </c>
      <c r="AS55" s="746">
        <v>0</v>
      </c>
      <c r="AT55" s="760">
        <v>0</v>
      </c>
      <c r="AU55" s="760">
        <v>0</v>
      </c>
      <c r="AV55" s="760">
        <v>0</v>
      </c>
      <c r="AW55" s="761">
        <f>SUM(Y55:AV55)</f>
        <v>-3708</v>
      </c>
      <c r="AX55" s="762"/>
      <c r="AY55" s="746">
        <v>0</v>
      </c>
      <c r="AZ55" s="746">
        <v>0</v>
      </c>
      <c r="BA55" s="759">
        <v>0</v>
      </c>
      <c r="BB55" s="746">
        <v>0</v>
      </c>
      <c r="BC55" s="746">
        <v>0</v>
      </c>
      <c r="BD55" s="746">
        <v>0</v>
      </c>
      <c r="BE55" s="746">
        <v>0</v>
      </c>
      <c r="BF55" s="760">
        <v>0</v>
      </c>
      <c r="BG55" s="760">
        <v>0</v>
      </c>
      <c r="BH55" s="760">
        <v>0</v>
      </c>
      <c r="BI55" s="763">
        <f>SUM(AW55:BH55)</f>
        <v>-3708</v>
      </c>
      <c r="BJ55" s="540">
        <f>BI55-AW55</f>
        <v>0</v>
      </c>
    </row>
    <row r="56" spans="1:71">
      <c r="A56" s="618">
        <v>30</v>
      </c>
      <c r="B56" s="755" t="s">
        <v>57</v>
      </c>
      <c r="D56" s="755"/>
      <c r="E56" s="764">
        <f>'ROO INPUT 1.00'!$F57</f>
        <v>0</v>
      </c>
      <c r="F56" s="765">
        <v>0</v>
      </c>
      <c r="G56" s="765">
        <v>0</v>
      </c>
      <c r="H56" s="765">
        <v>0</v>
      </c>
      <c r="I56" s="765">
        <v>0</v>
      </c>
      <c r="J56" s="765">
        <v>0</v>
      </c>
      <c r="K56" s="765">
        <v>0</v>
      </c>
      <c r="L56" s="765">
        <v>0</v>
      </c>
      <c r="M56" s="765">
        <v>0</v>
      </c>
      <c r="N56" s="765">
        <v>0</v>
      </c>
      <c r="O56" s="765">
        <v>0</v>
      </c>
      <c r="P56" s="765">
        <v>0</v>
      </c>
      <c r="Q56" s="765">
        <v>0</v>
      </c>
      <c r="R56" s="765">
        <v>0</v>
      </c>
      <c r="S56" s="765">
        <v>9626</v>
      </c>
      <c r="T56" s="766">
        <v>0</v>
      </c>
      <c r="U56" s="766">
        <v>0</v>
      </c>
      <c r="V56" s="765">
        <v>0</v>
      </c>
      <c r="W56" s="765">
        <v>0</v>
      </c>
      <c r="X56" s="766">
        <v>0</v>
      </c>
      <c r="Y56" s="767">
        <f>SUM(E56:X56)</f>
        <v>9626</v>
      </c>
      <c r="Z56" s="765">
        <v>0</v>
      </c>
      <c r="AA56" s="765">
        <v>0</v>
      </c>
      <c r="AB56" s="765">
        <v>0</v>
      </c>
      <c r="AC56" s="765">
        <v>0</v>
      </c>
      <c r="AD56" s="768">
        <v>0</v>
      </c>
      <c r="AE56" s="765">
        <v>0</v>
      </c>
      <c r="AF56" s="765">
        <v>0</v>
      </c>
      <c r="AG56" s="765">
        <v>0</v>
      </c>
      <c r="AH56" s="765">
        <v>0</v>
      </c>
      <c r="AI56" s="765">
        <v>0</v>
      </c>
      <c r="AJ56" s="765">
        <v>0</v>
      </c>
      <c r="AK56" s="765">
        <v>0</v>
      </c>
      <c r="AL56" s="765">
        <v>0</v>
      </c>
      <c r="AM56" s="765">
        <v>0</v>
      </c>
      <c r="AN56" s="765">
        <v>0</v>
      </c>
      <c r="AO56" s="765">
        <v>0</v>
      </c>
      <c r="AP56" s="765">
        <v>0</v>
      </c>
      <c r="AQ56" s="765">
        <v>0</v>
      </c>
      <c r="AR56" s="765">
        <v>0</v>
      </c>
      <c r="AS56" s="765">
        <v>0</v>
      </c>
      <c r="AT56" s="765">
        <v>0</v>
      </c>
      <c r="AU56" s="765">
        <v>0</v>
      </c>
      <c r="AV56" s="765">
        <v>0</v>
      </c>
      <c r="AW56" s="769">
        <f>SUM(Y56:AV56)</f>
        <v>9626</v>
      </c>
      <c r="AX56" s="762"/>
      <c r="AY56" s="765">
        <v>0</v>
      </c>
      <c r="AZ56" s="765">
        <v>0</v>
      </c>
      <c r="BA56" s="768">
        <v>0</v>
      </c>
      <c r="BB56" s="765">
        <v>0</v>
      </c>
      <c r="BC56" s="765">
        <v>0</v>
      </c>
      <c r="BD56" s="765">
        <v>0</v>
      </c>
      <c r="BE56" s="765">
        <v>0</v>
      </c>
      <c r="BF56" s="765">
        <v>0</v>
      </c>
      <c r="BG56" s="765">
        <v>0</v>
      </c>
      <c r="BH56" s="765">
        <v>0</v>
      </c>
      <c r="BI56" s="770">
        <f>SUM(AW56:BH56)</f>
        <v>9626</v>
      </c>
      <c r="BJ56" s="771">
        <f>BI56-AW56</f>
        <v>0</v>
      </c>
    </row>
    <row r="57" spans="1:71" ht="9.75" customHeight="1">
      <c r="E57" s="756"/>
      <c r="F57" s="772"/>
      <c r="G57" s="772"/>
      <c r="H57" s="772"/>
      <c r="I57" s="772"/>
      <c r="J57" s="772"/>
      <c r="K57" s="772"/>
      <c r="L57" s="772"/>
      <c r="M57" s="772"/>
      <c r="N57" s="772"/>
      <c r="O57" s="772"/>
      <c r="P57" s="772"/>
      <c r="Q57" s="772"/>
      <c r="R57" s="772"/>
      <c r="S57" s="772"/>
      <c r="T57" s="773"/>
      <c r="U57" s="773"/>
      <c r="V57" s="772"/>
      <c r="W57" s="772"/>
      <c r="X57" s="773"/>
      <c r="Y57" s="758"/>
      <c r="Z57" s="772"/>
      <c r="AA57" s="772"/>
      <c r="AB57" s="772"/>
      <c r="AC57" s="772"/>
      <c r="AD57" s="774"/>
      <c r="AE57" s="772"/>
      <c r="AF57" s="772"/>
      <c r="AG57" s="772"/>
      <c r="AH57" s="772"/>
      <c r="AI57" s="772"/>
      <c r="AJ57" s="772"/>
      <c r="AK57" s="772"/>
      <c r="AL57" s="772"/>
      <c r="AM57" s="772"/>
      <c r="AN57" s="772"/>
      <c r="AO57" s="772"/>
      <c r="AP57" s="772"/>
      <c r="AQ57" s="772"/>
      <c r="AR57" s="772"/>
      <c r="AS57" s="772"/>
      <c r="AT57" s="775"/>
      <c r="AU57" s="775"/>
      <c r="AV57" s="775"/>
      <c r="AW57" s="761"/>
      <c r="AX57" s="762"/>
      <c r="AY57" s="772"/>
      <c r="AZ57" s="772"/>
      <c r="BA57" s="774"/>
      <c r="BB57" s="772"/>
      <c r="BC57" s="772"/>
      <c r="BD57" s="772"/>
      <c r="BE57" s="772"/>
      <c r="BF57" s="775"/>
      <c r="BG57" s="775"/>
      <c r="BH57" s="775"/>
      <c r="BI57" s="776"/>
      <c r="BJ57" s="772"/>
    </row>
    <row r="58" spans="1:71" s="743" customFormat="1" ht="13.8" thickBot="1">
      <c r="A58" s="618">
        <v>31</v>
      </c>
      <c r="B58" s="743" t="s">
        <v>58</v>
      </c>
      <c r="E58" s="783">
        <f>E50-SUM(E53:E56)</f>
        <v>36392</v>
      </c>
      <c r="F58" s="784">
        <f t="shared" ref="F58:O58" si="153">F50-SUM(F53:F56)</f>
        <v>-1.208928</v>
      </c>
      <c r="G58" s="784">
        <f>G50-SUM(G53:G56)</f>
        <v>0</v>
      </c>
      <c r="H58" s="784">
        <f t="shared" si="153"/>
        <v>-3.4972560000000001</v>
      </c>
      <c r="I58" s="784">
        <f t="shared" si="153"/>
        <v>33.18</v>
      </c>
      <c r="J58" s="784">
        <f>J50-SUM(J53:J56)</f>
        <v>-227.52</v>
      </c>
      <c r="K58" s="784">
        <f t="shared" si="153"/>
        <v>-732.33</v>
      </c>
      <c r="L58" s="784">
        <f t="shared" si="153"/>
        <v>-314.42</v>
      </c>
      <c r="M58" s="784">
        <f t="shared" si="153"/>
        <v>14.22</v>
      </c>
      <c r="N58" s="784">
        <f t="shared" si="153"/>
        <v>101</v>
      </c>
      <c r="O58" s="784">
        <f t="shared" si="153"/>
        <v>7.9</v>
      </c>
      <c r="P58" s="784">
        <f t="shared" ref="P58:Q58" si="154">P50-SUM(P53:P56)</f>
        <v>3.16</v>
      </c>
      <c r="Q58" s="784">
        <f t="shared" si="154"/>
        <v>8.69</v>
      </c>
      <c r="R58" s="784">
        <f>R50-SUM(R53:R56)</f>
        <v>-33.97</v>
      </c>
      <c r="S58" s="784">
        <f t="shared" ref="S58" si="155">S50-SUM(S53:S56)</f>
        <v>8.0499999999992724</v>
      </c>
      <c r="T58" s="785">
        <f>T50-SUM(T53:T56)</f>
        <v>328.00799999999998</v>
      </c>
      <c r="U58" s="785">
        <f>U50-SUM(U53:U56)</f>
        <v>-197.72357</v>
      </c>
      <c r="V58" s="784">
        <f t="shared" ref="V58" si="156">V50-SUM(V53:V56)</f>
        <v>-57</v>
      </c>
      <c r="W58" s="784">
        <f>W50-SUM(W53:W56)</f>
        <v>66.965975999999998</v>
      </c>
      <c r="X58" s="785">
        <f>X50-SUM(X53:X56)</f>
        <v>0</v>
      </c>
      <c r="Y58" s="786">
        <f>Y50-SUM(Y53:Y56)+Y57</f>
        <v>35395.504221999989</v>
      </c>
      <c r="Z58" s="784">
        <f t="shared" ref="Z58" si="157">Z50-SUM(Z53:Z56)</f>
        <v>1922.07</v>
      </c>
      <c r="AA58" s="784">
        <f t="shared" ref="AA58:AB58" si="158">AA50-SUM(AA53:AA56)</f>
        <v>192.76</v>
      </c>
      <c r="AB58" s="784">
        <f t="shared" si="158"/>
        <v>-136</v>
      </c>
      <c r="AC58" s="784">
        <f t="shared" ref="AC58:AH58" si="159">AC50-SUM(AC53:AC56)</f>
        <v>622.815023</v>
      </c>
      <c r="AD58" s="787">
        <f t="shared" si="159"/>
        <v>-1441.9870000000001</v>
      </c>
      <c r="AE58" s="784">
        <f t="shared" si="159"/>
        <v>-15.013949999999999</v>
      </c>
      <c r="AF58" s="784">
        <f t="shared" si="159"/>
        <v>1334.4680000000001</v>
      </c>
      <c r="AG58" s="784">
        <f t="shared" ref="AG58" si="160">AG50-SUM(AG53:AG56)</f>
        <v>-291.35199999999998</v>
      </c>
      <c r="AH58" s="784">
        <f t="shared" si="159"/>
        <v>-61.620000000000005</v>
      </c>
      <c r="AI58" s="784">
        <f>AI50-SUM(AI53:AI56)</f>
        <v>-89.198110000000014</v>
      </c>
      <c r="AJ58" s="784">
        <f>AJ50-SUM(AJ53:AJ56)</f>
        <v>-747.34</v>
      </c>
      <c r="AK58" s="784">
        <f t="shared" ref="AK58:AM58" si="161">AK50-SUM(AK53:AK56)</f>
        <v>-472.42</v>
      </c>
      <c r="AL58" s="784">
        <f t="shared" si="161"/>
        <v>-16.274000000000001</v>
      </c>
      <c r="AM58" s="784">
        <f t="shared" si="161"/>
        <v>-1290.5929799999999</v>
      </c>
      <c r="AN58" s="784">
        <f>AN50-SUM(AN53:AN56)</f>
        <v>-898.12380370000005</v>
      </c>
      <c r="AO58" s="784">
        <f t="shared" ref="AO58" si="162">AO50-SUM(AO53:AO56)</f>
        <v>714.31799999999998</v>
      </c>
      <c r="AP58" s="784">
        <f t="shared" ref="AP58:AQ58" si="163">AP50-SUM(AP53:AP56)</f>
        <v>-1435.024504</v>
      </c>
      <c r="AQ58" s="784">
        <f t="shared" si="163"/>
        <v>-237</v>
      </c>
      <c r="AR58" s="784">
        <f>AR50-SUM(AR53:AR56)</f>
        <v>-140.62</v>
      </c>
      <c r="AS58" s="784">
        <f>AS50-SUM(AS53:AS56)</f>
        <v>-118.5</v>
      </c>
      <c r="AT58" s="784">
        <f t="shared" ref="AT58:AU58" si="164">AT50-SUM(AT53:AT56)</f>
        <v>-1697.0085517</v>
      </c>
      <c r="AU58" s="784">
        <f t="shared" si="164"/>
        <v>491.93853000000001</v>
      </c>
      <c r="AV58" s="784">
        <f t="shared" ref="AV58" si="165">AV50-SUM(AV53:AV56)</f>
        <v>0</v>
      </c>
      <c r="AW58" s="788">
        <f>AW50-SUM(AW53:AW56)+AW57</f>
        <v>31585.79887560002</v>
      </c>
      <c r="AX58" s="752"/>
      <c r="AY58" s="784">
        <f>AY50-SUM(AY53:AY56)</f>
        <v>0</v>
      </c>
      <c r="AZ58" s="784">
        <f t="shared" ref="AZ58:BC58" si="166">AZ50-SUM(AZ53:AZ56)</f>
        <v>78.373344000000003</v>
      </c>
      <c r="BA58" s="787">
        <f t="shared" si="166"/>
        <v>-580.57100000000003</v>
      </c>
      <c r="BB58" s="784">
        <f t="shared" si="166"/>
        <v>-115.97200000000001</v>
      </c>
      <c r="BC58" s="784">
        <f t="shared" si="166"/>
        <v>-23.7</v>
      </c>
      <c r="BD58" s="784">
        <f>BD50-SUM(BD53:BD56)</f>
        <v>51.35</v>
      </c>
      <c r="BE58" s="784">
        <f t="shared" ref="BE58" si="167">BE50-SUM(BE53:BE56)</f>
        <v>-516.23814000000004</v>
      </c>
      <c r="BF58" s="784">
        <f t="shared" ref="BF58" si="168">BF50-SUM(BF53:BF56)</f>
        <v>-1282.3712067000001</v>
      </c>
      <c r="BG58" s="784">
        <f t="shared" ref="BG58:BH58" si="169">BG50-SUM(BG53:BG56)</f>
        <v>189.50441000000001</v>
      </c>
      <c r="BH58" s="784">
        <f t="shared" si="169"/>
        <v>0</v>
      </c>
      <c r="BI58" s="789">
        <f>BI50-SUM(BI53:BI56)</f>
        <v>29386.17428290001</v>
      </c>
      <c r="BJ58" s="784">
        <f>BJ50-SUM(BJ53:BJ56)</f>
        <v>-2199.6245927000018</v>
      </c>
      <c r="BK58" s="754"/>
      <c r="BL58" s="630"/>
      <c r="BM58" s="630"/>
      <c r="BN58" s="630"/>
      <c r="BO58" s="630"/>
      <c r="BP58" s="630"/>
      <c r="BQ58" s="630"/>
      <c r="BR58" s="630"/>
      <c r="BS58" s="630"/>
    </row>
    <row r="59" spans="1:71" ht="6" customHeight="1" thickTop="1">
      <c r="E59" s="756"/>
      <c r="F59" s="772"/>
      <c r="G59" s="772"/>
      <c r="H59" s="772"/>
      <c r="I59" s="772"/>
      <c r="J59" s="772"/>
      <c r="K59" s="772"/>
      <c r="L59" s="772"/>
      <c r="M59" s="772"/>
      <c r="N59" s="772"/>
      <c r="O59" s="772"/>
      <c r="P59" s="772"/>
      <c r="Q59" s="772"/>
      <c r="R59" s="772"/>
      <c r="S59" s="772"/>
      <c r="T59" s="773"/>
      <c r="U59" s="790"/>
      <c r="V59" s="772"/>
      <c r="W59" s="772"/>
      <c r="X59" s="790"/>
      <c r="Y59" s="758"/>
      <c r="Z59" s="772"/>
      <c r="AA59" s="772"/>
      <c r="AB59" s="772"/>
      <c r="AC59" s="772"/>
      <c r="AD59" s="791"/>
      <c r="AE59" s="792"/>
      <c r="AF59" s="792"/>
      <c r="AG59" s="792"/>
      <c r="AH59" s="792"/>
      <c r="AI59" s="772"/>
      <c r="AJ59" s="772"/>
      <c r="AK59" s="772"/>
      <c r="AL59" s="772"/>
      <c r="AM59" s="772"/>
      <c r="AN59" s="772"/>
      <c r="AO59" s="772"/>
      <c r="AP59" s="772"/>
      <c r="AQ59" s="772"/>
      <c r="AR59" s="772"/>
      <c r="AS59" s="772"/>
      <c r="AT59" s="775"/>
      <c r="AU59" s="775"/>
      <c r="AV59" s="775"/>
      <c r="AW59" s="761"/>
      <c r="AX59" s="762"/>
      <c r="AY59" s="772"/>
      <c r="AZ59" s="772"/>
      <c r="BA59" s="791"/>
      <c r="BB59" s="792"/>
      <c r="BC59" s="772"/>
      <c r="BD59" s="772"/>
      <c r="BE59" s="772"/>
      <c r="BF59" s="775"/>
      <c r="BG59" s="775"/>
      <c r="BH59" s="775"/>
      <c r="BI59" s="776"/>
      <c r="BJ59" s="772"/>
    </row>
    <row r="60" spans="1:71">
      <c r="B60" s="619" t="s">
        <v>103</v>
      </c>
      <c r="E60" s="756"/>
      <c r="F60" s="772"/>
      <c r="G60" s="772"/>
      <c r="H60" s="772"/>
      <c r="I60" s="772"/>
      <c r="J60" s="772"/>
      <c r="K60" s="772"/>
      <c r="L60" s="772"/>
      <c r="M60" s="772"/>
      <c r="N60" s="772"/>
      <c r="O60" s="772"/>
      <c r="P60" s="772"/>
      <c r="Q60" s="772"/>
      <c r="R60" s="772"/>
      <c r="S60" s="772"/>
      <c r="T60" s="773"/>
      <c r="U60" s="790"/>
      <c r="V60" s="772"/>
      <c r="W60" s="772"/>
      <c r="X60" s="790"/>
      <c r="Y60" s="758"/>
      <c r="Z60" s="772"/>
      <c r="AA60" s="772"/>
      <c r="AB60" s="772"/>
      <c r="AC60" s="772"/>
      <c r="AD60" s="791"/>
      <c r="AE60" s="792"/>
      <c r="AF60" s="792"/>
      <c r="AG60" s="792"/>
      <c r="AH60" s="792"/>
      <c r="AI60" s="772"/>
      <c r="AJ60" s="772"/>
      <c r="AK60" s="772"/>
      <c r="AL60" s="772"/>
      <c r="AM60" s="772"/>
      <c r="AN60" s="772"/>
      <c r="AO60" s="772"/>
      <c r="AP60" s="772"/>
      <c r="AQ60" s="772"/>
      <c r="AR60" s="772"/>
      <c r="AS60" s="772"/>
      <c r="AT60" s="775"/>
      <c r="AU60" s="775"/>
      <c r="AV60" s="775"/>
      <c r="AW60" s="761"/>
      <c r="AX60" s="762"/>
      <c r="AY60" s="772"/>
      <c r="AZ60" s="772"/>
      <c r="BA60" s="791"/>
      <c r="BB60" s="792"/>
      <c r="BC60" s="772"/>
      <c r="BD60" s="772"/>
      <c r="BE60" s="772"/>
      <c r="BF60" s="775"/>
      <c r="BG60" s="775"/>
      <c r="BH60" s="775"/>
      <c r="BI60" s="776"/>
      <c r="BJ60" s="772"/>
    </row>
    <row r="61" spans="1:71">
      <c r="B61" s="619" t="s">
        <v>104</v>
      </c>
      <c r="E61" s="756"/>
      <c r="F61" s="746"/>
      <c r="G61" s="746"/>
      <c r="H61" s="746"/>
      <c r="I61" s="746"/>
      <c r="J61" s="746"/>
      <c r="K61" s="746"/>
      <c r="L61" s="746"/>
      <c r="M61" s="746"/>
      <c r="N61" s="746"/>
      <c r="O61" s="746"/>
      <c r="P61" s="746"/>
      <c r="Q61" s="746"/>
      <c r="R61" s="746"/>
      <c r="S61" s="746"/>
      <c r="T61" s="757"/>
      <c r="U61" s="793"/>
      <c r="V61" s="746"/>
      <c r="W61" s="746"/>
      <c r="X61" s="793"/>
      <c r="Y61" s="758"/>
      <c r="Z61" s="746"/>
      <c r="AA61" s="746"/>
      <c r="AB61" s="746"/>
      <c r="AC61" s="746"/>
      <c r="AD61" s="794"/>
      <c r="AE61" s="795"/>
      <c r="AF61" s="795"/>
      <c r="AG61" s="795"/>
      <c r="AH61" s="795"/>
      <c r="AI61" s="746"/>
      <c r="AJ61" s="746"/>
      <c r="AK61" s="746"/>
      <c r="AL61" s="746"/>
      <c r="AM61" s="746"/>
      <c r="AN61" s="746"/>
      <c r="AO61" s="746"/>
      <c r="AP61" s="746"/>
      <c r="AQ61" s="746"/>
      <c r="AR61" s="746"/>
      <c r="AS61" s="746"/>
      <c r="AT61" s="760"/>
      <c r="AU61" s="760"/>
      <c r="AV61" s="760"/>
      <c r="AW61" s="761"/>
      <c r="AX61" s="762"/>
      <c r="AY61" s="746"/>
      <c r="AZ61" s="746"/>
      <c r="BA61" s="794"/>
      <c r="BB61" s="795"/>
      <c r="BC61" s="746"/>
      <c r="BD61" s="746"/>
      <c r="BE61" s="746"/>
      <c r="BF61" s="760"/>
      <c r="BG61" s="760"/>
      <c r="BH61" s="760"/>
      <c r="BI61" s="777"/>
      <c r="BJ61" s="746"/>
    </row>
    <row r="62" spans="1:71">
      <c r="A62" s="618">
        <v>32</v>
      </c>
      <c r="B62" s="755"/>
      <c r="C62" s="755" t="s">
        <v>41</v>
      </c>
      <c r="D62" s="755"/>
      <c r="E62" s="744">
        <f>'ROO INPUT 1.00'!$F63</f>
        <v>34499.699999999997</v>
      </c>
      <c r="F62" s="745">
        <v>0</v>
      </c>
      <c r="G62" s="745">
        <v>0</v>
      </c>
      <c r="H62" s="745">
        <v>0</v>
      </c>
      <c r="I62" s="745">
        <v>0</v>
      </c>
      <c r="J62" s="745">
        <v>0</v>
      </c>
      <c r="K62" s="745">
        <v>0</v>
      </c>
      <c r="L62" s="745">
        <v>0</v>
      </c>
      <c r="M62" s="745">
        <v>0</v>
      </c>
      <c r="N62" s="745">
        <v>0</v>
      </c>
      <c r="O62" s="745">
        <v>0</v>
      </c>
      <c r="P62" s="745">
        <v>0</v>
      </c>
      <c r="Q62" s="745">
        <v>0</v>
      </c>
      <c r="R62" s="745">
        <v>0</v>
      </c>
      <c r="S62" s="745">
        <v>0</v>
      </c>
      <c r="T62" s="747">
        <v>0</v>
      </c>
      <c r="U62" s="796">
        <v>0</v>
      </c>
      <c r="V62" s="745">
        <v>0</v>
      </c>
      <c r="W62" s="745">
        <v>550</v>
      </c>
      <c r="X62" s="796">
        <v>0</v>
      </c>
      <c r="Y62" s="748">
        <f>SUM(E62:X62)</f>
        <v>35049.699999999997</v>
      </c>
      <c r="Z62" s="745">
        <v>0</v>
      </c>
      <c r="AA62" s="745">
        <v>0</v>
      </c>
      <c r="AB62" s="745">
        <v>0</v>
      </c>
      <c r="AC62" s="745">
        <v>0</v>
      </c>
      <c r="AD62" s="797">
        <v>0</v>
      </c>
      <c r="AE62" s="798">
        <v>0</v>
      </c>
      <c r="AF62" s="798">
        <v>0</v>
      </c>
      <c r="AG62" s="798">
        <v>0</v>
      </c>
      <c r="AH62" s="798">
        <v>0</v>
      </c>
      <c r="AI62" s="745">
        <v>0</v>
      </c>
      <c r="AJ62" s="745">
        <v>0</v>
      </c>
      <c r="AK62" s="745">
        <v>0</v>
      </c>
      <c r="AL62" s="745">
        <v>0</v>
      </c>
      <c r="AM62" s="745">
        <v>0</v>
      </c>
      <c r="AN62" s="745">
        <v>1129</v>
      </c>
      <c r="AO62" s="745">
        <v>0</v>
      </c>
      <c r="AP62" s="745">
        <v>1507</v>
      </c>
      <c r="AQ62" s="745">
        <v>0</v>
      </c>
      <c r="AR62" s="745">
        <v>0</v>
      </c>
      <c r="AS62" s="745">
        <v>0</v>
      </c>
      <c r="AT62" s="750">
        <v>753</v>
      </c>
      <c r="AU62" s="750">
        <v>0</v>
      </c>
      <c r="AV62" s="750">
        <v>0</v>
      </c>
      <c r="AW62" s="751">
        <f>SUM(Y62:AV62)</f>
        <v>38438.699999999997</v>
      </c>
      <c r="AX62" s="752"/>
      <c r="AY62" s="745">
        <v>0</v>
      </c>
      <c r="AZ62" s="745">
        <v>0</v>
      </c>
      <c r="BA62" s="797">
        <v>0</v>
      </c>
      <c r="BB62" s="798">
        <v>0</v>
      </c>
      <c r="BC62" s="745">
        <v>0</v>
      </c>
      <c r="BD62" s="745">
        <v>0</v>
      </c>
      <c r="BE62" s="745">
        <v>0</v>
      </c>
      <c r="BF62" s="750">
        <v>1506</v>
      </c>
      <c r="BG62" s="750">
        <v>0</v>
      </c>
      <c r="BH62" s="750">
        <v>0</v>
      </c>
      <c r="BI62" s="753">
        <f>SUM(AW62:BH62)</f>
        <v>39944.699999999997</v>
      </c>
      <c r="BJ62" s="745">
        <f>BI62-AW62</f>
        <v>1506</v>
      </c>
    </row>
    <row r="63" spans="1:71">
      <c r="A63" s="618">
        <v>33</v>
      </c>
      <c r="B63" s="755"/>
      <c r="C63" s="755" t="s">
        <v>60</v>
      </c>
      <c r="D63" s="755"/>
      <c r="E63" s="756">
        <f>'ROO INPUT 1.00'!$F64</f>
        <v>650522.69999999995</v>
      </c>
      <c r="F63" s="746">
        <v>0</v>
      </c>
      <c r="G63" s="746">
        <v>0</v>
      </c>
      <c r="H63" s="746">
        <v>0</v>
      </c>
      <c r="I63" s="746">
        <v>0</v>
      </c>
      <c r="J63" s="746">
        <v>0</v>
      </c>
      <c r="K63" s="746">
        <v>0</v>
      </c>
      <c r="L63" s="746">
        <v>0</v>
      </c>
      <c r="M63" s="746">
        <v>0</v>
      </c>
      <c r="N63" s="746">
        <v>0</v>
      </c>
      <c r="O63" s="746">
        <v>0</v>
      </c>
      <c r="P63" s="746">
        <v>0</v>
      </c>
      <c r="Q63" s="746">
        <v>0</v>
      </c>
      <c r="R63" s="746">
        <v>0</v>
      </c>
      <c r="S63" s="746">
        <v>0</v>
      </c>
      <c r="T63" s="757">
        <v>0</v>
      </c>
      <c r="U63" s="793">
        <v>0</v>
      </c>
      <c r="V63" s="746">
        <v>0</v>
      </c>
      <c r="W63" s="746">
        <v>21260</v>
      </c>
      <c r="X63" s="793">
        <v>0</v>
      </c>
      <c r="Y63" s="758">
        <f>SUM(E63:X63)</f>
        <v>671782.7</v>
      </c>
      <c r="Z63" s="746">
        <v>0</v>
      </c>
      <c r="AA63" s="746">
        <v>0</v>
      </c>
      <c r="AB63" s="746">
        <v>0</v>
      </c>
      <c r="AC63" s="746">
        <v>0</v>
      </c>
      <c r="AD63" s="794">
        <v>0</v>
      </c>
      <c r="AE63" s="795">
        <v>0</v>
      </c>
      <c r="AF63" s="795">
        <v>0</v>
      </c>
      <c r="AG63" s="795">
        <v>0</v>
      </c>
      <c r="AH63" s="795">
        <v>0</v>
      </c>
      <c r="AI63" s="746">
        <v>0</v>
      </c>
      <c r="AJ63" s="746">
        <v>0</v>
      </c>
      <c r="AK63" s="746">
        <v>0</v>
      </c>
      <c r="AL63" s="746">
        <v>0</v>
      </c>
      <c r="AM63" s="746">
        <v>0</v>
      </c>
      <c r="AN63" s="746">
        <v>21680</v>
      </c>
      <c r="AO63" s="746">
        <v>0</v>
      </c>
      <c r="AP63" s="746">
        <v>36106</v>
      </c>
      <c r="AQ63" s="746">
        <v>0</v>
      </c>
      <c r="AR63" s="746">
        <v>0</v>
      </c>
      <c r="AS63" s="746">
        <v>0</v>
      </c>
      <c r="AT63" s="760">
        <v>14747</v>
      </c>
      <c r="AU63" s="760">
        <v>0</v>
      </c>
      <c r="AV63" s="760">
        <v>0</v>
      </c>
      <c r="AW63" s="761">
        <f>SUM(Y63:AV63)</f>
        <v>744315.7</v>
      </c>
      <c r="AX63" s="762"/>
      <c r="AY63" s="746">
        <v>0</v>
      </c>
      <c r="AZ63" s="746">
        <v>0</v>
      </c>
      <c r="BA63" s="794">
        <v>0</v>
      </c>
      <c r="BB63" s="795">
        <v>0</v>
      </c>
      <c r="BC63" s="746">
        <v>0</v>
      </c>
      <c r="BD63" s="746">
        <v>0</v>
      </c>
      <c r="BE63" s="746">
        <v>0</v>
      </c>
      <c r="BF63" s="760">
        <v>32043</v>
      </c>
      <c r="BG63" s="760">
        <v>0</v>
      </c>
      <c r="BH63" s="760">
        <v>0</v>
      </c>
      <c r="BI63" s="763">
        <f>SUM(AW63:BH63)</f>
        <v>776358.7</v>
      </c>
      <c r="BJ63" s="540">
        <f>BI63-AW63</f>
        <v>32043</v>
      </c>
    </row>
    <row r="64" spans="1:71">
      <c r="A64" s="618">
        <v>34</v>
      </c>
      <c r="B64" s="755"/>
      <c r="C64" s="755" t="s">
        <v>61</v>
      </c>
      <c r="D64" s="755"/>
      <c r="E64" s="764">
        <f>'ROO INPUT 1.00'!$F65</f>
        <v>161473</v>
      </c>
      <c r="F64" s="765">
        <v>0</v>
      </c>
      <c r="G64" s="765">
        <v>0</v>
      </c>
      <c r="H64" s="765">
        <v>0</v>
      </c>
      <c r="I64" s="765">
        <v>0</v>
      </c>
      <c r="J64" s="765">
        <v>0</v>
      </c>
      <c r="K64" s="765">
        <v>0</v>
      </c>
      <c r="L64" s="765">
        <v>0</v>
      </c>
      <c r="M64" s="765">
        <v>0</v>
      </c>
      <c r="N64" s="765">
        <v>0</v>
      </c>
      <c r="O64" s="765">
        <v>0</v>
      </c>
      <c r="P64" s="765">
        <v>0</v>
      </c>
      <c r="Q64" s="765">
        <v>0</v>
      </c>
      <c r="R64" s="765">
        <v>0</v>
      </c>
      <c r="S64" s="765">
        <v>0</v>
      </c>
      <c r="T64" s="766">
        <v>0</v>
      </c>
      <c r="U64" s="799">
        <v>0</v>
      </c>
      <c r="V64" s="765">
        <v>0</v>
      </c>
      <c r="W64" s="765">
        <f>1184+1613</f>
        <v>2797</v>
      </c>
      <c r="X64" s="799">
        <v>0</v>
      </c>
      <c r="Y64" s="767">
        <f>SUM(E64:X64)</f>
        <v>164270</v>
      </c>
      <c r="Z64" s="765">
        <v>0</v>
      </c>
      <c r="AA64" s="765">
        <v>0</v>
      </c>
      <c r="AB64" s="765">
        <v>0</v>
      </c>
      <c r="AC64" s="765">
        <v>0</v>
      </c>
      <c r="AD64" s="800">
        <v>0</v>
      </c>
      <c r="AE64" s="801">
        <v>0</v>
      </c>
      <c r="AF64" s="801">
        <v>0</v>
      </c>
      <c r="AG64" s="801">
        <v>0</v>
      </c>
      <c r="AH64" s="801">
        <v>0</v>
      </c>
      <c r="AI64" s="765">
        <v>0</v>
      </c>
      <c r="AJ64" s="765">
        <v>0</v>
      </c>
      <c r="AK64" s="765">
        <v>0</v>
      </c>
      <c r="AL64" s="765">
        <v>0</v>
      </c>
      <c r="AM64" s="765">
        <v>0</v>
      </c>
      <c r="AN64" s="765">
        <f>-1695+3554</f>
        <v>1859</v>
      </c>
      <c r="AO64" s="765">
        <v>0</v>
      </c>
      <c r="AP64" s="765">
        <f>-781+2931</f>
        <v>2150</v>
      </c>
      <c r="AQ64" s="765">
        <v>0</v>
      </c>
      <c r="AR64" s="765">
        <v>0</v>
      </c>
      <c r="AS64" s="765">
        <v>0</v>
      </c>
      <c r="AT64" s="765">
        <f>-1095+2236</f>
        <v>1141</v>
      </c>
      <c r="AU64" s="765">
        <v>0</v>
      </c>
      <c r="AV64" s="765">
        <v>0</v>
      </c>
      <c r="AW64" s="769">
        <f>SUM(Y64:AV64)</f>
        <v>169420</v>
      </c>
      <c r="AX64" s="762"/>
      <c r="AY64" s="765">
        <v>0</v>
      </c>
      <c r="AZ64" s="765">
        <v>0</v>
      </c>
      <c r="BA64" s="800">
        <v>0</v>
      </c>
      <c r="BB64" s="801">
        <v>0</v>
      </c>
      <c r="BC64" s="765">
        <v>0</v>
      </c>
      <c r="BD64" s="765">
        <v>0</v>
      </c>
      <c r="BE64" s="765">
        <v>0</v>
      </c>
      <c r="BF64" s="765">
        <f>-1215+3508</f>
        <v>2293</v>
      </c>
      <c r="BG64" s="765">
        <v>0</v>
      </c>
      <c r="BH64" s="765">
        <v>0</v>
      </c>
      <c r="BI64" s="770">
        <f>SUM(AW64:BH64)</f>
        <v>171713</v>
      </c>
      <c r="BJ64" s="771">
        <f>BI64-AW64</f>
        <v>2293</v>
      </c>
    </row>
    <row r="65" spans="1:71" ht="15.75" customHeight="1">
      <c r="A65" s="618">
        <v>35</v>
      </c>
      <c r="B65" s="755" t="s">
        <v>62</v>
      </c>
      <c r="C65" s="755"/>
      <c r="E65" s="756">
        <f>SUM(E62:E64)</f>
        <v>846495.39999999991</v>
      </c>
      <c r="F65" s="772">
        <f t="shared" ref="F65:N65" si="170">SUM(F62:F64)</f>
        <v>0</v>
      </c>
      <c r="G65" s="772">
        <f t="shared" si="170"/>
        <v>0</v>
      </c>
      <c r="H65" s="772">
        <f t="shared" si="170"/>
        <v>0</v>
      </c>
      <c r="I65" s="772">
        <f t="shared" si="170"/>
        <v>0</v>
      </c>
      <c r="J65" s="772">
        <f>SUM(J62:J64)</f>
        <v>0</v>
      </c>
      <c r="K65" s="772">
        <f t="shared" si="170"/>
        <v>0</v>
      </c>
      <c r="L65" s="772">
        <f t="shared" si="170"/>
        <v>0</v>
      </c>
      <c r="M65" s="772">
        <f t="shared" si="170"/>
        <v>0</v>
      </c>
      <c r="N65" s="772">
        <f t="shared" si="170"/>
        <v>0</v>
      </c>
      <c r="O65" s="772">
        <f t="shared" ref="O65:Y65" si="171">SUM(O62:O64)</f>
        <v>0</v>
      </c>
      <c r="P65" s="772">
        <f t="shared" si="171"/>
        <v>0</v>
      </c>
      <c r="Q65" s="772">
        <f t="shared" ref="Q65:U65" si="172">SUM(Q62:Q64)</f>
        <v>0</v>
      </c>
      <c r="R65" s="772">
        <f t="shared" si="172"/>
        <v>0</v>
      </c>
      <c r="S65" s="772">
        <f t="shared" si="172"/>
        <v>0</v>
      </c>
      <c r="T65" s="773">
        <f t="shared" si="172"/>
        <v>0</v>
      </c>
      <c r="U65" s="773">
        <f t="shared" si="172"/>
        <v>0</v>
      </c>
      <c r="V65" s="772">
        <f t="shared" ref="V65" si="173">SUM(V62:V64)</f>
        <v>0</v>
      </c>
      <c r="W65" s="772">
        <f t="shared" ref="W65:X65" si="174">SUM(W62:W64)</f>
        <v>24607</v>
      </c>
      <c r="X65" s="773">
        <f t="shared" si="174"/>
        <v>0</v>
      </c>
      <c r="Y65" s="758">
        <f t="shared" si="171"/>
        <v>871102.39999999991</v>
      </c>
      <c r="Z65" s="772">
        <f>SUM(Z62:Z64)</f>
        <v>0</v>
      </c>
      <c r="AA65" s="772">
        <f>SUM(AA62:AA64)</f>
        <v>0</v>
      </c>
      <c r="AB65" s="772">
        <f>SUM(AB62:AB64)</f>
        <v>0</v>
      </c>
      <c r="AC65" s="772">
        <f t="shared" ref="AC65:AI65" si="175">SUM(AC62:AC64)</f>
        <v>0</v>
      </c>
      <c r="AD65" s="774">
        <f t="shared" si="175"/>
        <v>0</v>
      </c>
      <c r="AE65" s="772">
        <f t="shared" si="175"/>
        <v>0</v>
      </c>
      <c r="AF65" s="772">
        <f t="shared" si="175"/>
        <v>0</v>
      </c>
      <c r="AG65" s="772">
        <f t="shared" ref="AG65" si="176">SUM(AG62:AG64)</f>
        <v>0</v>
      </c>
      <c r="AH65" s="772">
        <f t="shared" si="175"/>
        <v>0</v>
      </c>
      <c r="AI65" s="772">
        <f t="shared" si="175"/>
        <v>0</v>
      </c>
      <c r="AJ65" s="772">
        <f t="shared" ref="AJ65:AK65" si="177">SUM(AJ62:AJ64)</f>
        <v>0</v>
      </c>
      <c r="AK65" s="772">
        <f t="shared" si="177"/>
        <v>0</v>
      </c>
      <c r="AL65" s="772">
        <f>SUM(AL62:AL64)</f>
        <v>0</v>
      </c>
      <c r="AM65" s="772">
        <f t="shared" ref="AM65:AO65" si="178">SUM(AM62:AM64)</f>
        <v>0</v>
      </c>
      <c r="AN65" s="772">
        <f t="shared" si="178"/>
        <v>24668</v>
      </c>
      <c r="AO65" s="772">
        <f t="shared" si="178"/>
        <v>0</v>
      </c>
      <c r="AP65" s="772">
        <f t="shared" ref="AP65:AQ65" si="179">SUM(AP62:AP64)</f>
        <v>39763</v>
      </c>
      <c r="AQ65" s="772">
        <f t="shared" si="179"/>
        <v>0</v>
      </c>
      <c r="AR65" s="772">
        <f t="shared" ref="AR65:AS65" si="180">SUM(AR62:AR64)</f>
        <v>0</v>
      </c>
      <c r="AS65" s="772">
        <f t="shared" si="180"/>
        <v>0</v>
      </c>
      <c r="AT65" s="775">
        <f>SUM(AT62:AT64)</f>
        <v>16641</v>
      </c>
      <c r="AU65" s="775">
        <f>SUM(AU62:AU64)</f>
        <v>0</v>
      </c>
      <c r="AV65" s="775">
        <f t="shared" ref="AV65" si="181">SUM(AV62:AV64)</f>
        <v>0</v>
      </c>
      <c r="AW65" s="761">
        <f t="shared" ref="AW65" si="182">SUM(AW62:AW64)</f>
        <v>952174.39999999991</v>
      </c>
      <c r="AX65" s="762"/>
      <c r="AY65" s="772">
        <f>SUM(AY62:AY64)</f>
        <v>0</v>
      </c>
      <c r="AZ65" s="772">
        <f t="shared" ref="AZ65" si="183">SUM(AZ62:AZ64)</f>
        <v>0</v>
      </c>
      <c r="BA65" s="774">
        <f t="shared" ref="BA65:BB65" si="184">SUM(BA62:BA64)</f>
        <v>0</v>
      </c>
      <c r="BB65" s="772">
        <f t="shared" si="184"/>
        <v>0</v>
      </c>
      <c r="BC65" s="772">
        <f>SUM(BC62:BC64)</f>
        <v>0</v>
      </c>
      <c r="BD65" s="772">
        <f>SUM(BD62:BD64)</f>
        <v>0</v>
      </c>
      <c r="BE65" s="772">
        <f t="shared" ref="BE65" si="185">SUM(BE62:BE64)</f>
        <v>0</v>
      </c>
      <c r="BF65" s="775">
        <f>SUM(BF62:BF64)</f>
        <v>35842</v>
      </c>
      <c r="BG65" s="775">
        <f>SUM(BG62:BG64)</f>
        <v>0</v>
      </c>
      <c r="BH65" s="775">
        <f>SUM(BH62:BH64)</f>
        <v>0</v>
      </c>
      <c r="BI65" s="776">
        <f>SUM(BI62:BI64)</f>
        <v>988016.39999999991</v>
      </c>
      <c r="BJ65" s="772">
        <f>SUM(BJ62:BJ64)</f>
        <v>35842</v>
      </c>
    </row>
    <row r="66" spans="1:71" ht="3.75" customHeight="1">
      <c r="B66" s="755"/>
      <c r="C66" s="755"/>
      <c r="E66" s="756"/>
      <c r="F66" s="772"/>
      <c r="G66" s="772"/>
      <c r="H66" s="772"/>
      <c r="I66" s="772"/>
      <c r="J66" s="772"/>
      <c r="K66" s="772"/>
      <c r="L66" s="772"/>
      <c r="M66" s="772"/>
      <c r="N66" s="772"/>
      <c r="O66" s="772"/>
      <c r="P66" s="772"/>
      <c r="Q66" s="772"/>
      <c r="R66" s="772"/>
      <c r="S66" s="772"/>
      <c r="T66" s="773"/>
      <c r="U66" s="773"/>
      <c r="V66" s="772"/>
      <c r="W66" s="772"/>
      <c r="X66" s="773"/>
      <c r="Y66" s="758"/>
      <c r="Z66" s="772"/>
      <c r="AA66" s="772"/>
      <c r="AB66" s="772"/>
      <c r="AC66" s="772"/>
      <c r="AD66" s="774"/>
      <c r="AE66" s="772"/>
      <c r="AF66" s="772"/>
      <c r="AG66" s="772"/>
      <c r="AH66" s="772"/>
      <c r="AI66" s="772"/>
      <c r="AJ66" s="772"/>
      <c r="AK66" s="772"/>
      <c r="AL66" s="772"/>
      <c r="AM66" s="772"/>
      <c r="AN66" s="772"/>
      <c r="AO66" s="772"/>
      <c r="AP66" s="772"/>
      <c r="AQ66" s="772"/>
      <c r="AR66" s="772"/>
      <c r="AS66" s="772"/>
      <c r="AT66" s="775"/>
      <c r="AU66" s="775"/>
      <c r="AV66" s="775"/>
      <c r="AW66" s="761"/>
      <c r="AX66" s="762"/>
      <c r="AY66" s="772"/>
      <c r="AZ66" s="772"/>
      <c r="BA66" s="774"/>
      <c r="BB66" s="772"/>
      <c r="BC66" s="772"/>
      <c r="BD66" s="772"/>
      <c r="BE66" s="772"/>
      <c r="BF66" s="775"/>
      <c r="BG66" s="775"/>
      <c r="BH66" s="775"/>
      <c r="BI66" s="776"/>
      <c r="BJ66" s="772"/>
    </row>
    <row r="67" spans="1:71">
      <c r="B67" s="755" t="s">
        <v>190</v>
      </c>
      <c r="C67" s="755"/>
      <c r="D67" s="755"/>
      <c r="E67" s="756"/>
      <c r="F67" s="746"/>
      <c r="G67" s="746"/>
      <c r="H67" s="746"/>
      <c r="I67" s="746"/>
      <c r="J67" s="746"/>
      <c r="K67" s="746"/>
      <c r="L67" s="746"/>
      <c r="M67" s="746"/>
      <c r="N67" s="746"/>
      <c r="O67" s="746"/>
      <c r="P67" s="746"/>
      <c r="Q67" s="746"/>
      <c r="R67" s="746"/>
      <c r="S67" s="746"/>
      <c r="T67" s="757"/>
      <c r="U67" s="757"/>
      <c r="V67" s="746"/>
      <c r="W67" s="746"/>
      <c r="X67" s="757"/>
      <c r="Y67" s="758"/>
      <c r="Z67" s="746"/>
      <c r="AA67" s="746"/>
      <c r="AB67" s="746"/>
      <c r="AC67" s="746"/>
      <c r="AD67" s="759"/>
      <c r="AE67" s="746"/>
      <c r="AF67" s="746"/>
      <c r="AG67" s="746"/>
      <c r="AH67" s="746"/>
      <c r="AI67" s="746"/>
      <c r="AJ67" s="746"/>
      <c r="AK67" s="746"/>
      <c r="AL67" s="746"/>
      <c r="AM67" s="746"/>
      <c r="AN67" s="746"/>
      <c r="AO67" s="746"/>
      <c r="AP67" s="746"/>
      <c r="AQ67" s="746"/>
      <c r="AR67" s="746"/>
      <c r="AS67" s="746"/>
      <c r="AT67" s="760"/>
      <c r="AU67" s="760"/>
      <c r="AV67" s="760"/>
      <c r="AW67" s="761"/>
      <c r="AX67" s="762"/>
      <c r="AY67" s="746"/>
      <c r="AZ67" s="746"/>
      <c r="BA67" s="759"/>
      <c r="BB67" s="746"/>
      <c r="BC67" s="746"/>
      <c r="BD67" s="746"/>
      <c r="BE67" s="746"/>
      <c r="BF67" s="760"/>
      <c r="BG67" s="760"/>
      <c r="BH67" s="760"/>
      <c r="BI67" s="777"/>
      <c r="BJ67" s="746"/>
    </row>
    <row r="68" spans="1:71">
      <c r="A68" s="618">
        <v>36</v>
      </c>
      <c r="B68" s="755"/>
      <c r="C68" s="755" t="s">
        <v>41</v>
      </c>
      <c r="D68" s="755"/>
      <c r="E68" s="756">
        <f>'ROO INPUT 1.00'!$F69</f>
        <v>-13149</v>
      </c>
      <c r="F68" s="746">
        <v>0</v>
      </c>
      <c r="G68" s="746">
        <v>0</v>
      </c>
      <c r="H68" s="746">
        <v>0</v>
      </c>
      <c r="I68" s="746">
        <v>0</v>
      </c>
      <c r="J68" s="746">
        <v>0</v>
      </c>
      <c r="K68" s="746">
        <v>0</v>
      </c>
      <c r="L68" s="746">
        <v>0</v>
      </c>
      <c r="M68" s="746">
        <v>0</v>
      </c>
      <c r="N68" s="746">
        <v>0</v>
      </c>
      <c r="O68" s="746">
        <v>0</v>
      </c>
      <c r="P68" s="746">
        <v>0</v>
      </c>
      <c r="Q68" s="746">
        <v>0</v>
      </c>
      <c r="R68" s="746">
        <v>0</v>
      </c>
      <c r="S68" s="746">
        <v>0</v>
      </c>
      <c r="T68" s="757">
        <v>0</v>
      </c>
      <c r="U68" s="757">
        <v>0</v>
      </c>
      <c r="V68" s="746">
        <v>0</v>
      </c>
      <c r="W68" s="746">
        <v>-258</v>
      </c>
      <c r="X68" s="757">
        <v>0</v>
      </c>
      <c r="Y68" s="758">
        <f>SUM(E68:X68)</f>
        <v>-13407</v>
      </c>
      <c r="Z68" s="746">
        <v>0</v>
      </c>
      <c r="AA68" s="746">
        <v>0</v>
      </c>
      <c r="AB68" s="746">
        <v>0</v>
      </c>
      <c r="AC68" s="746">
        <v>0</v>
      </c>
      <c r="AD68" s="759">
        <v>0</v>
      </c>
      <c r="AE68" s="746">
        <v>0</v>
      </c>
      <c r="AF68" s="746">
        <v>0</v>
      </c>
      <c r="AG68" s="746">
        <v>0</v>
      </c>
      <c r="AH68" s="746">
        <v>0</v>
      </c>
      <c r="AI68" s="746">
        <v>0</v>
      </c>
      <c r="AJ68" s="746">
        <v>0</v>
      </c>
      <c r="AK68" s="746">
        <v>0</v>
      </c>
      <c r="AL68" s="746">
        <v>0</v>
      </c>
      <c r="AM68" s="746">
        <v>0</v>
      </c>
      <c r="AN68" s="746">
        <v>-263.5</v>
      </c>
      <c r="AO68" s="746">
        <v>0</v>
      </c>
      <c r="AP68" s="746">
        <v>-542</v>
      </c>
      <c r="AQ68" s="746">
        <v>0</v>
      </c>
      <c r="AR68" s="746">
        <v>0</v>
      </c>
      <c r="AS68" s="746">
        <v>0</v>
      </c>
      <c r="AT68" s="469">
        <v>-280</v>
      </c>
      <c r="AU68" s="746">
        <v>0</v>
      </c>
      <c r="AV68" s="746">
        <v>0</v>
      </c>
      <c r="AW68" s="761">
        <f>SUM(Y68:AV68)</f>
        <v>-14492.5</v>
      </c>
      <c r="AX68" s="762"/>
      <c r="AY68" s="746">
        <v>0</v>
      </c>
      <c r="AZ68" s="746">
        <v>0</v>
      </c>
      <c r="BA68" s="759">
        <v>0</v>
      </c>
      <c r="BB68" s="746">
        <v>0</v>
      </c>
      <c r="BC68" s="746">
        <v>0</v>
      </c>
      <c r="BD68" s="746">
        <v>0</v>
      </c>
      <c r="BE68" s="746">
        <v>0</v>
      </c>
      <c r="BF68" s="469">
        <v>-574</v>
      </c>
      <c r="BG68" s="760">
        <v>0</v>
      </c>
      <c r="BH68" s="760">
        <v>0</v>
      </c>
      <c r="BI68" s="763">
        <f>SUM(AW68:BH68)</f>
        <v>-15066.5</v>
      </c>
      <c r="BJ68" s="540">
        <f>BI68-AW68</f>
        <v>-574</v>
      </c>
    </row>
    <row r="69" spans="1:71">
      <c r="A69" s="618">
        <v>37</v>
      </c>
      <c r="B69" s="755"/>
      <c r="C69" s="755" t="s">
        <v>60</v>
      </c>
      <c r="D69" s="755"/>
      <c r="E69" s="756">
        <f>'ROO INPUT 1.00'!$F70</f>
        <v>-188334</v>
      </c>
      <c r="F69" s="746">
        <v>0</v>
      </c>
      <c r="G69" s="746">
        <v>0</v>
      </c>
      <c r="H69" s="746">
        <v>0</v>
      </c>
      <c r="I69" s="746">
        <v>0</v>
      </c>
      <c r="J69" s="746">
        <v>0</v>
      </c>
      <c r="K69" s="746">
        <v>0</v>
      </c>
      <c r="L69" s="746">
        <v>0</v>
      </c>
      <c r="M69" s="746">
        <v>0</v>
      </c>
      <c r="N69" s="746">
        <v>0</v>
      </c>
      <c r="O69" s="746">
        <v>0</v>
      </c>
      <c r="P69" s="746">
        <v>0</v>
      </c>
      <c r="Q69" s="746">
        <v>0</v>
      </c>
      <c r="R69" s="746">
        <v>0</v>
      </c>
      <c r="S69" s="746">
        <v>0</v>
      </c>
      <c r="T69" s="757">
        <v>0</v>
      </c>
      <c r="U69" s="757">
        <v>0</v>
      </c>
      <c r="V69" s="746">
        <v>0</v>
      </c>
      <c r="W69" s="746">
        <v>-7739</v>
      </c>
      <c r="X69" s="757">
        <v>0</v>
      </c>
      <c r="Y69" s="758">
        <f>SUM(E69:X69)</f>
        <v>-196073</v>
      </c>
      <c r="Z69" s="746">
        <v>0</v>
      </c>
      <c r="AA69" s="746">
        <v>0</v>
      </c>
      <c r="AB69" s="746">
        <v>0</v>
      </c>
      <c r="AC69" s="746">
        <v>0</v>
      </c>
      <c r="AD69" s="759">
        <v>0</v>
      </c>
      <c r="AE69" s="746">
        <v>0</v>
      </c>
      <c r="AF69" s="746">
        <v>0</v>
      </c>
      <c r="AG69" s="746">
        <v>0</v>
      </c>
      <c r="AH69" s="746">
        <v>0</v>
      </c>
      <c r="AI69" s="746">
        <v>0</v>
      </c>
      <c r="AJ69" s="746">
        <v>0</v>
      </c>
      <c r="AK69" s="746">
        <v>0</v>
      </c>
      <c r="AL69" s="746">
        <v>0</v>
      </c>
      <c r="AM69" s="746">
        <v>0</v>
      </c>
      <c r="AN69" s="746">
        <v>-7160.6</v>
      </c>
      <c r="AO69" s="746">
        <v>0</v>
      </c>
      <c r="AP69" s="746">
        <v>-15082</v>
      </c>
      <c r="AQ69" s="746">
        <v>0</v>
      </c>
      <c r="AR69" s="746">
        <v>0</v>
      </c>
      <c r="AS69" s="746">
        <v>0</v>
      </c>
      <c r="AT69" s="760">
        <v>-8157.8</v>
      </c>
      <c r="AU69" s="760">
        <v>0</v>
      </c>
      <c r="AV69" s="760">
        <v>0</v>
      </c>
      <c r="AW69" s="761">
        <f>SUM(Y69:AV69)</f>
        <v>-226473.4</v>
      </c>
      <c r="AX69" s="762"/>
      <c r="AY69" s="746">
        <v>0</v>
      </c>
      <c r="AZ69" s="746">
        <v>0</v>
      </c>
      <c r="BA69" s="759">
        <v>0</v>
      </c>
      <c r="BB69" s="746">
        <v>0</v>
      </c>
      <c r="BC69" s="746">
        <v>0</v>
      </c>
      <c r="BD69" s="746">
        <v>0</v>
      </c>
      <c r="BE69" s="746">
        <v>0</v>
      </c>
      <c r="BF69" s="760">
        <v>-16739</v>
      </c>
      <c r="BG69" s="760">
        <v>0</v>
      </c>
      <c r="BH69" s="760">
        <v>0</v>
      </c>
      <c r="BI69" s="763">
        <f>SUM(AW69:BH69)</f>
        <v>-243212.4</v>
      </c>
      <c r="BJ69" s="540">
        <f>BI69-AW69</f>
        <v>-16739</v>
      </c>
    </row>
    <row r="70" spans="1:71">
      <c r="A70" s="618">
        <v>38</v>
      </c>
      <c r="B70" s="755"/>
      <c r="C70" s="755" t="s">
        <v>61</v>
      </c>
      <c r="D70" s="755"/>
      <c r="E70" s="756">
        <f>'ROO INPUT 1.00'!$F71</f>
        <v>-62353</v>
      </c>
      <c r="F70" s="746">
        <v>0</v>
      </c>
      <c r="G70" s="746">
        <v>0</v>
      </c>
      <c r="H70" s="746">
        <v>0</v>
      </c>
      <c r="I70" s="746">
        <v>0</v>
      </c>
      <c r="J70" s="746">
        <v>0</v>
      </c>
      <c r="K70" s="746">
        <v>0</v>
      </c>
      <c r="L70" s="746">
        <v>0</v>
      </c>
      <c r="M70" s="746">
        <v>0</v>
      </c>
      <c r="N70" s="746">
        <v>0</v>
      </c>
      <c r="O70" s="746">
        <v>0</v>
      </c>
      <c r="P70" s="746">
        <v>0</v>
      </c>
      <c r="Q70" s="746">
        <v>0</v>
      </c>
      <c r="R70" s="746">
        <v>0</v>
      </c>
      <c r="S70" s="746">
        <v>0</v>
      </c>
      <c r="T70" s="757">
        <v>0</v>
      </c>
      <c r="U70" s="757">
        <v>0</v>
      </c>
      <c r="V70" s="746">
        <v>0</v>
      </c>
      <c r="W70" s="746">
        <f>-2041-2278</f>
        <v>-4319</v>
      </c>
      <c r="X70" s="757">
        <v>0</v>
      </c>
      <c r="Y70" s="758">
        <f>SUM(E70:X70)</f>
        <v>-66672</v>
      </c>
      <c r="Z70" s="746">
        <v>0</v>
      </c>
      <c r="AA70" s="746">
        <v>0</v>
      </c>
      <c r="AB70" s="746">
        <v>0</v>
      </c>
      <c r="AC70" s="746"/>
      <c r="AD70" s="759">
        <v>0</v>
      </c>
      <c r="AE70" s="746">
        <v>0</v>
      </c>
      <c r="AF70" s="746">
        <v>0</v>
      </c>
      <c r="AG70" s="746">
        <v>0</v>
      </c>
      <c r="AH70" s="746">
        <v>0</v>
      </c>
      <c r="AI70" s="746">
        <v>0</v>
      </c>
      <c r="AJ70" s="746">
        <v>0</v>
      </c>
      <c r="AK70" s="746">
        <v>0</v>
      </c>
      <c r="AL70" s="746">
        <v>0</v>
      </c>
      <c r="AM70" s="746">
        <v>0</v>
      </c>
      <c r="AN70" s="746">
        <f>1680+335</f>
        <v>2015</v>
      </c>
      <c r="AO70" s="746">
        <v>0</v>
      </c>
      <c r="AP70" s="746">
        <f>-1994-1662</f>
        <v>-3656</v>
      </c>
      <c r="AQ70" s="746">
        <v>0</v>
      </c>
      <c r="AR70" s="746">
        <v>0</v>
      </c>
      <c r="AS70" s="746">
        <v>0</v>
      </c>
      <c r="AT70" s="765">
        <f>-1613.6-1989.7</f>
        <v>-3603.3</v>
      </c>
      <c r="AU70" s="765">
        <v>0</v>
      </c>
      <c r="AV70" s="765">
        <v>0</v>
      </c>
      <c r="AW70" s="761">
        <f>SUM(Y70:AV70)</f>
        <v>-71916.3</v>
      </c>
      <c r="AX70" s="762"/>
      <c r="AY70" s="746">
        <v>0</v>
      </c>
      <c r="AZ70" s="746">
        <v>0</v>
      </c>
      <c r="BA70" s="759">
        <v>0</v>
      </c>
      <c r="BB70" s="746">
        <v>0</v>
      </c>
      <c r="BC70" s="746">
        <v>0</v>
      </c>
      <c r="BD70" s="746">
        <v>0</v>
      </c>
      <c r="BE70" s="746">
        <v>0</v>
      </c>
      <c r="BF70" s="765">
        <f>1137.5-2650.6</f>
        <v>-1513.1</v>
      </c>
      <c r="BG70" s="765">
        <v>0</v>
      </c>
      <c r="BH70" s="765">
        <v>0</v>
      </c>
      <c r="BI70" s="770">
        <f>SUM(AW70:BH70)</f>
        <v>-73429.400000000009</v>
      </c>
      <c r="BJ70" s="771">
        <f>BI70-AW70</f>
        <v>-1513.1000000000058</v>
      </c>
    </row>
    <row r="71" spans="1:71">
      <c r="A71" s="618">
        <v>39</v>
      </c>
      <c r="B71" s="755" t="s">
        <v>374</v>
      </c>
      <c r="C71" s="755"/>
      <c r="E71" s="802">
        <f>SUM(E68:E70)</f>
        <v>-263836</v>
      </c>
      <c r="F71" s="803">
        <f t="shared" ref="F71:N71" si="186">SUM(F68:F70)</f>
        <v>0</v>
      </c>
      <c r="G71" s="803">
        <f t="shared" si="186"/>
        <v>0</v>
      </c>
      <c r="H71" s="803">
        <f t="shared" si="186"/>
        <v>0</v>
      </c>
      <c r="I71" s="803">
        <f t="shared" si="186"/>
        <v>0</v>
      </c>
      <c r="J71" s="803">
        <f>SUM(J68:J70)</f>
        <v>0</v>
      </c>
      <c r="K71" s="803">
        <f t="shared" si="186"/>
        <v>0</v>
      </c>
      <c r="L71" s="803">
        <f t="shared" si="186"/>
        <v>0</v>
      </c>
      <c r="M71" s="803">
        <f t="shared" si="186"/>
        <v>0</v>
      </c>
      <c r="N71" s="803">
        <f t="shared" si="186"/>
        <v>0</v>
      </c>
      <c r="O71" s="803">
        <f t="shared" ref="O71:P71" si="187">SUM(O68:O70)</f>
        <v>0</v>
      </c>
      <c r="P71" s="803">
        <f t="shared" si="187"/>
        <v>0</v>
      </c>
      <c r="Q71" s="803">
        <f t="shared" ref="Q71:T71" si="188">SUM(Q68:Q70)</f>
        <v>0</v>
      </c>
      <c r="R71" s="803">
        <f t="shared" si="188"/>
        <v>0</v>
      </c>
      <c r="S71" s="803">
        <f t="shared" si="188"/>
        <v>0</v>
      </c>
      <c r="T71" s="804">
        <f t="shared" si="188"/>
        <v>0</v>
      </c>
      <c r="U71" s="804">
        <f t="shared" ref="U71" si="189">SUM(U68:U70)</f>
        <v>0</v>
      </c>
      <c r="V71" s="803">
        <f>SUM(V68:V70)</f>
        <v>0</v>
      </c>
      <c r="W71" s="803">
        <f t="shared" ref="W71:X71" si="190">SUM(W68:W70)</f>
        <v>-12316</v>
      </c>
      <c r="X71" s="804">
        <f t="shared" si="190"/>
        <v>0</v>
      </c>
      <c r="Y71" s="805">
        <f t="shared" ref="Y71" si="191">SUM(Y68:Y70)</f>
        <v>-276152</v>
      </c>
      <c r="Z71" s="803">
        <f>SUM(Z68:Z70)</f>
        <v>0</v>
      </c>
      <c r="AA71" s="803">
        <f>SUM(AA68:AA70)</f>
        <v>0</v>
      </c>
      <c r="AB71" s="803">
        <f>SUM(AB68:AB70)</f>
        <v>0</v>
      </c>
      <c r="AC71" s="803">
        <f t="shared" ref="AC71:AI71" si="192">SUM(AC68:AC70)</f>
        <v>0</v>
      </c>
      <c r="AD71" s="806">
        <f t="shared" si="192"/>
        <v>0</v>
      </c>
      <c r="AE71" s="803">
        <f t="shared" si="192"/>
        <v>0</v>
      </c>
      <c r="AF71" s="803">
        <f t="shared" si="192"/>
        <v>0</v>
      </c>
      <c r="AG71" s="803">
        <f t="shared" ref="AG71" si="193">SUM(AG68:AG70)</f>
        <v>0</v>
      </c>
      <c r="AH71" s="803">
        <f t="shared" si="192"/>
        <v>0</v>
      </c>
      <c r="AI71" s="803">
        <f t="shared" si="192"/>
        <v>0</v>
      </c>
      <c r="AJ71" s="803">
        <f t="shared" ref="AJ71:AK71" si="194">SUM(AJ68:AJ70)</f>
        <v>0</v>
      </c>
      <c r="AK71" s="803">
        <f t="shared" si="194"/>
        <v>0</v>
      </c>
      <c r="AL71" s="803">
        <f>SUM(AL68:AL70)</f>
        <v>0</v>
      </c>
      <c r="AM71" s="803">
        <f t="shared" ref="AM71:AO71" si="195">SUM(AM68:AM70)</f>
        <v>0</v>
      </c>
      <c r="AN71" s="803">
        <f t="shared" si="195"/>
        <v>-5409.1</v>
      </c>
      <c r="AO71" s="803">
        <f t="shared" si="195"/>
        <v>0</v>
      </c>
      <c r="AP71" s="803">
        <f t="shared" ref="AP71:AQ71" si="196">SUM(AP68:AP70)</f>
        <v>-19280</v>
      </c>
      <c r="AQ71" s="803">
        <f t="shared" si="196"/>
        <v>0</v>
      </c>
      <c r="AR71" s="803">
        <f t="shared" ref="AR71:AS71" si="197">SUM(AR68:AR70)</f>
        <v>0</v>
      </c>
      <c r="AS71" s="803">
        <f t="shared" si="197"/>
        <v>0</v>
      </c>
      <c r="AT71" s="803">
        <f>SUM(AT68:AT70)</f>
        <v>-12041.099999999999</v>
      </c>
      <c r="AU71" s="803">
        <f>SUM(AU68:AU70)</f>
        <v>0</v>
      </c>
      <c r="AV71" s="803">
        <f t="shared" ref="AV71" si="198">SUM(AV68:AV70)</f>
        <v>0</v>
      </c>
      <c r="AW71" s="807">
        <f t="shared" ref="AW71" si="199">SUM(AW68:AW70)</f>
        <v>-312882.2</v>
      </c>
      <c r="AX71" s="762"/>
      <c r="AY71" s="803">
        <f>SUM(AY68:AY70)</f>
        <v>0</v>
      </c>
      <c r="AZ71" s="803">
        <f t="shared" ref="AZ71" si="200">SUM(AZ68:AZ70)</f>
        <v>0</v>
      </c>
      <c r="BA71" s="806">
        <f t="shared" ref="BA71:BB71" si="201">SUM(BA68:BA70)</f>
        <v>0</v>
      </c>
      <c r="BB71" s="803">
        <f t="shared" si="201"/>
        <v>0</v>
      </c>
      <c r="BC71" s="803">
        <f>SUM(BC68:BC70)</f>
        <v>0</v>
      </c>
      <c r="BD71" s="803">
        <f>SUM(BD68:BD70)</f>
        <v>0</v>
      </c>
      <c r="BE71" s="803">
        <f t="shared" ref="BE71" si="202">SUM(BE68:BE70)</f>
        <v>0</v>
      </c>
      <c r="BF71" s="803">
        <f>SUM(BF68:BF70)</f>
        <v>-18826.099999999999</v>
      </c>
      <c r="BG71" s="803">
        <f>SUM(BG68:BG70)</f>
        <v>0</v>
      </c>
      <c r="BH71" s="803">
        <f>SUM(BH68:BH70)</f>
        <v>0</v>
      </c>
      <c r="BI71" s="808">
        <f>SUM(BI68:BI70)</f>
        <v>-331708.3</v>
      </c>
      <c r="BJ71" s="803">
        <f>SUM(BJ68:BJ70)</f>
        <v>-18826.100000000006</v>
      </c>
    </row>
    <row r="72" spans="1:71">
      <c r="A72" s="618">
        <v>40</v>
      </c>
      <c r="B72" s="755" t="s">
        <v>164</v>
      </c>
      <c r="C72" s="755"/>
      <c r="D72" s="755"/>
      <c r="E72" s="809">
        <f>E65+E71</f>
        <v>582659.39999999991</v>
      </c>
      <c r="F72" s="775">
        <f t="shared" ref="F72:AW72" si="203">F65+F71</f>
        <v>0</v>
      </c>
      <c r="G72" s="775">
        <f t="shared" si="203"/>
        <v>0</v>
      </c>
      <c r="H72" s="775">
        <f t="shared" si="203"/>
        <v>0</v>
      </c>
      <c r="I72" s="775">
        <f t="shared" si="203"/>
        <v>0</v>
      </c>
      <c r="J72" s="775">
        <f t="shared" si="203"/>
        <v>0</v>
      </c>
      <c r="K72" s="775">
        <f t="shared" si="203"/>
        <v>0</v>
      </c>
      <c r="L72" s="775">
        <f t="shared" si="203"/>
        <v>0</v>
      </c>
      <c r="M72" s="775">
        <f t="shared" si="203"/>
        <v>0</v>
      </c>
      <c r="N72" s="775">
        <f t="shared" si="203"/>
        <v>0</v>
      </c>
      <c r="O72" s="775">
        <f t="shared" si="203"/>
        <v>0</v>
      </c>
      <c r="P72" s="775">
        <f t="shared" si="203"/>
        <v>0</v>
      </c>
      <c r="Q72" s="775">
        <f t="shared" si="203"/>
        <v>0</v>
      </c>
      <c r="R72" s="775">
        <f t="shared" si="203"/>
        <v>0</v>
      </c>
      <c r="S72" s="775">
        <f t="shared" ref="S72" si="204">S65+S71</f>
        <v>0</v>
      </c>
      <c r="T72" s="810">
        <f>T65+T71</f>
        <v>0</v>
      </c>
      <c r="U72" s="810">
        <f>U65+U71</f>
        <v>0</v>
      </c>
      <c r="V72" s="775">
        <f>V65+V71</f>
        <v>0</v>
      </c>
      <c r="W72" s="775">
        <f>W65+W71</f>
        <v>12291</v>
      </c>
      <c r="X72" s="810">
        <f>X65+X71</f>
        <v>0</v>
      </c>
      <c r="Y72" s="811">
        <f t="shared" si="203"/>
        <v>594950.39999999991</v>
      </c>
      <c r="Z72" s="775">
        <f t="shared" ref="Z72" si="205">Z65+Z71</f>
        <v>0</v>
      </c>
      <c r="AA72" s="775">
        <f>AA65+AA71</f>
        <v>0</v>
      </c>
      <c r="AB72" s="775">
        <f>AB65+AB71</f>
        <v>0</v>
      </c>
      <c r="AC72" s="775">
        <f t="shared" ref="AC72:AI72" si="206">AC65+AC71</f>
        <v>0</v>
      </c>
      <c r="AD72" s="812">
        <f t="shared" si="206"/>
        <v>0</v>
      </c>
      <c r="AE72" s="775">
        <f t="shared" si="206"/>
        <v>0</v>
      </c>
      <c r="AF72" s="775">
        <f t="shared" si="206"/>
        <v>0</v>
      </c>
      <c r="AG72" s="775">
        <f t="shared" ref="AG72" si="207">AG65+AG71</f>
        <v>0</v>
      </c>
      <c r="AH72" s="775">
        <f t="shared" si="206"/>
        <v>0</v>
      </c>
      <c r="AI72" s="775">
        <f t="shared" si="206"/>
        <v>0</v>
      </c>
      <c r="AJ72" s="775">
        <f t="shared" ref="AJ72:AK72" si="208">AJ65+AJ71</f>
        <v>0</v>
      </c>
      <c r="AK72" s="775">
        <f t="shared" si="208"/>
        <v>0</v>
      </c>
      <c r="AL72" s="775">
        <f>AL65+AL71</f>
        <v>0</v>
      </c>
      <c r="AM72" s="775">
        <f t="shared" ref="AM72" si="209">AM65+AM71</f>
        <v>0</v>
      </c>
      <c r="AN72" s="775">
        <f>AN65+AN71</f>
        <v>19258.900000000001</v>
      </c>
      <c r="AO72" s="775">
        <f t="shared" ref="AO72" si="210">AO65+AO71</f>
        <v>0</v>
      </c>
      <c r="AP72" s="775">
        <f t="shared" ref="AP72:AQ72" si="211">AP65+AP71</f>
        <v>20483</v>
      </c>
      <c r="AQ72" s="775">
        <f t="shared" si="211"/>
        <v>0</v>
      </c>
      <c r="AR72" s="775">
        <f>AR65+AR71</f>
        <v>0</v>
      </c>
      <c r="AS72" s="775">
        <f>AS65+AS71</f>
        <v>0</v>
      </c>
      <c r="AT72" s="775">
        <f t="shared" ref="AT72:AU72" si="212">AT65+AT71</f>
        <v>4599.9000000000015</v>
      </c>
      <c r="AU72" s="775">
        <f t="shared" si="212"/>
        <v>0</v>
      </c>
      <c r="AV72" s="775">
        <f t="shared" ref="AV72" si="213">AV65+AV71</f>
        <v>0</v>
      </c>
      <c r="AW72" s="761">
        <f t="shared" si="203"/>
        <v>639292.19999999995</v>
      </c>
      <c r="AX72" s="762"/>
      <c r="AY72" s="775">
        <f>AY65+AY71</f>
        <v>0</v>
      </c>
      <c r="AZ72" s="775">
        <f t="shared" ref="AZ72:BC72" si="214">AZ65+AZ71</f>
        <v>0</v>
      </c>
      <c r="BA72" s="812">
        <f t="shared" si="214"/>
        <v>0</v>
      </c>
      <c r="BB72" s="775">
        <f t="shared" si="214"/>
        <v>0</v>
      </c>
      <c r="BC72" s="775">
        <f t="shared" si="214"/>
        <v>0</v>
      </c>
      <c r="BD72" s="775">
        <f>BD65+BD71</f>
        <v>0</v>
      </c>
      <c r="BE72" s="775">
        <f t="shared" ref="BE72" si="215">BE65+BE71</f>
        <v>0</v>
      </c>
      <c r="BF72" s="775">
        <f t="shared" ref="BF72" si="216">BF65+BF71</f>
        <v>17015.900000000001</v>
      </c>
      <c r="BG72" s="775">
        <f t="shared" ref="BG72:BH72" si="217">BG65+BG71</f>
        <v>0</v>
      </c>
      <c r="BH72" s="775">
        <f t="shared" si="217"/>
        <v>0</v>
      </c>
      <c r="BI72" s="813">
        <f>BI65+BI71</f>
        <v>656308.09999999986</v>
      </c>
      <c r="BJ72" s="775">
        <f>BJ65+BJ71</f>
        <v>17015.899999999994</v>
      </c>
    </row>
    <row r="73" spans="1:71" s="816" customFormat="1" ht="13.5" customHeight="1">
      <c r="A73" s="814">
        <v>41</v>
      </c>
      <c r="B73" s="815" t="s">
        <v>109</v>
      </c>
      <c r="C73" s="815"/>
      <c r="D73" s="815"/>
      <c r="E73" s="764">
        <f>'ROO INPUT 1.00'!$F74</f>
        <v>-84772</v>
      </c>
      <c r="F73" s="765">
        <v>-224</v>
      </c>
      <c r="G73" s="765">
        <v>0</v>
      </c>
      <c r="H73" s="765">
        <v>0</v>
      </c>
      <c r="I73" s="765">
        <v>0</v>
      </c>
      <c r="J73" s="765">
        <v>0</v>
      </c>
      <c r="K73" s="765">
        <v>0</v>
      </c>
      <c r="L73" s="765">
        <v>0</v>
      </c>
      <c r="M73" s="765">
        <v>0</v>
      </c>
      <c r="N73" s="765">
        <v>0</v>
      </c>
      <c r="O73" s="765">
        <v>0</v>
      </c>
      <c r="P73" s="765">
        <v>0</v>
      </c>
      <c r="Q73" s="765">
        <v>0</v>
      </c>
      <c r="R73" s="765">
        <v>0</v>
      </c>
      <c r="S73" s="765">
        <v>0</v>
      </c>
      <c r="T73" s="766">
        <v>0</v>
      </c>
      <c r="U73" s="766">
        <v>0</v>
      </c>
      <c r="V73" s="765">
        <v>0</v>
      </c>
      <c r="W73" s="765">
        <v>117</v>
      </c>
      <c r="X73" s="766">
        <v>0</v>
      </c>
      <c r="Y73" s="767">
        <f>SUM(E73:X73)</f>
        <v>-84879</v>
      </c>
      <c r="Z73" s="765">
        <v>0</v>
      </c>
      <c r="AA73" s="765"/>
      <c r="AB73" s="765"/>
      <c r="AC73" s="765">
        <v>0</v>
      </c>
      <c r="AD73" s="768"/>
      <c r="AE73" s="765"/>
      <c r="AF73" s="765"/>
      <c r="AG73" s="765"/>
      <c r="AH73" s="765"/>
      <c r="AI73" s="765">
        <v>0</v>
      </c>
      <c r="AJ73" s="765">
        <v>0</v>
      </c>
      <c r="AK73" s="765"/>
      <c r="AL73" s="765"/>
      <c r="AM73" s="765"/>
      <c r="AN73" s="765">
        <v>229</v>
      </c>
      <c r="AO73" s="765"/>
      <c r="AP73" s="765">
        <v>85</v>
      </c>
      <c r="AQ73" s="765">
        <v>0</v>
      </c>
      <c r="AR73" s="765">
        <v>0</v>
      </c>
      <c r="AS73" s="765">
        <v>0</v>
      </c>
      <c r="AT73" s="765">
        <v>-1396</v>
      </c>
      <c r="AU73" s="765"/>
      <c r="AV73" s="765"/>
      <c r="AW73" s="769">
        <f>SUM(Y73:AV73)</f>
        <v>-85961</v>
      </c>
      <c r="AX73" s="762"/>
      <c r="AY73" s="765"/>
      <c r="AZ73" s="765">
        <v>0</v>
      </c>
      <c r="BA73" s="768"/>
      <c r="BB73" s="765"/>
      <c r="BC73" s="765">
        <v>0</v>
      </c>
      <c r="BD73" s="765"/>
      <c r="BE73" s="765">
        <v>0</v>
      </c>
      <c r="BF73" s="765">
        <v>73</v>
      </c>
      <c r="BG73" s="765"/>
      <c r="BH73" s="765"/>
      <c r="BI73" s="770">
        <f>SUM(AW73:BH73)</f>
        <v>-85888</v>
      </c>
      <c r="BJ73" s="771">
        <f>BI73-AW73</f>
        <v>73</v>
      </c>
      <c r="BK73" s="629"/>
      <c r="BL73" s="630"/>
      <c r="BM73" s="630"/>
      <c r="BN73" s="630"/>
      <c r="BO73" s="630"/>
      <c r="BP73" s="630"/>
      <c r="BQ73" s="630"/>
      <c r="BR73" s="630"/>
      <c r="BS73" s="630"/>
    </row>
    <row r="74" spans="1:71" s="816" customFormat="1">
      <c r="A74" s="814">
        <v>42</v>
      </c>
      <c r="B74" s="815" t="s">
        <v>191</v>
      </c>
      <c r="C74" s="815"/>
      <c r="D74" s="815"/>
      <c r="E74" s="809">
        <f>E72+E73</f>
        <v>497887.39999999991</v>
      </c>
      <c r="F74" s="775">
        <f>F72+F73</f>
        <v>-224</v>
      </c>
      <c r="G74" s="775">
        <f t="shared" ref="G74:P74" si="218">G72+G73</f>
        <v>0</v>
      </c>
      <c r="H74" s="775">
        <f t="shared" si="218"/>
        <v>0</v>
      </c>
      <c r="I74" s="775">
        <f t="shared" si="218"/>
        <v>0</v>
      </c>
      <c r="J74" s="775">
        <f>J72+J73</f>
        <v>0</v>
      </c>
      <c r="K74" s="775">
        <f t="shared" si="218"/>
        <v>0</v>
      </c>
      <c r="L74" s="775">
        <f t="shared" si="218"/>
        <v>0</v>
      </c>
      <c r="M74" s="775">
        <f t="shared" si="218"/>
        <v>0</v>
      </c>
      <c r="N74" s="775">
        <f t="shared" si="218"/>
        <v>0</v>
      </c>
      <c r="O74" s="775">
        <f t="shared" si="218"/>
        <v>0</v>
      </c>
      <c r="P74" s="775">
        <f t="shared" si="218"/>
        <v>0</v>
      </c>
      <c r="Q74" s="775">
        <f t="shared" ref="Q74:Y74" si="219">Q72+Q73</f>
        <v>0</v>
      </c>
      <c r="R74" s="775">
        <f t="shared" si="219"/>
        <v>0</v>
      </c>
      <c r="S74" s="775">
        <f t="shared" si="219"/>
        <v>0</v>
      </c>
      <c r="T74" s="810">
        <f t="shared" si="219"/>
        <v>0</v>
      </c>
      <c r="U74" s="810">
        <f>U72+U73</f>
        <v>0</v>
      </c>
      <c r="V74" s="775">
        <f>V72+V73</f>
        <v>0</v>
      </c>
      <c r="W74" s="775">
        <f>W72+W73</f>
        <v>12408</v>
      </c>
      <c r="X74" s="810">
        <f>X72+X73</f>
        <v>0</v>
      </c>
      <c r="Y74" s="811">
        <f t="shared" si="219"/>
        <v>510071.39999999991</v>
      </c>
      <c r="Z74" s="775">
        <f>Z72+Z73</f>
        <v>0</v>
      </c>
      <c r="AA74" s="775">
        <f>AA72+AA73</f>
        <v>0</v>
      </c>
      <c r="AB74" s="775">
        <f>AB72+AB73</f>
        <v>0</v>
      </c>
      <c r="AC74" s="775">
        <f t="shared" ref="AC74:AI74" si="220">AC72+AC73</f>
        <v>0</v>
      </c>
      <c r="AD74" s="812">
        <f t="shared" si="220"/>
        <v>0</v>
      </c>
      <c r="AE74" s="775">
        <f t="shared" si="220"/>
        <v>0</v>
      </c>
      <c r="AF74" s="775">
        <f t="shared" si="220"/>
        <v>0</v>
      </c>
      <c r="AG74" s="775">
        <f t="shared" ref="AG74" si="221">AG72+AG73</f>
        <v>0</v>
      </c>
      <c r="AH74" s="775">
        <f t="shared" si="220"/>
        <v>0</v>
      </c>
      <c r="AI74" s="775">
        <f t="shared" si="220"/>
        <v>0</v>
      </c>
      <c r="AJ74" s="775">
        <f t="shared" ref="AJ74:AK74" si="222">AJ72+AJ73</f>
        <v>0</v>
      </c>
      <c r="AK74" s="775">
        <f t="shared" si="222"/>
        <v>0</v>
      </c>
      <c r="AL74" s="775">
        <f>AL72+AL73</f>
        <v>0</v>
      </c>
      <c r="AM74" s="775">
        <f t="shared" ref="AM74" si="223">AM72+AM73</f>
        <v>0</v>
      </c>
      <c r="AN74" s="775">
        <f>AN72+AN73</f>
        <v>19487.900000000001</v>
      </c>
      <c r="AO74" s="775">
        <f t="shared" ref="AO74" si="224">AO72+AO73</f>
        <v>0</v>
      </c>
      <c r="AP74" s="775">
        <f t="shared" ref="AP74:AQ74" si="225">AP72+AP73</f>
        <v>20568</v>
      </c>
      <c r="AQ74" s="775">
        <f t="shared" si="225"/>
        <v>0</v>
      </c>
      <c r="AR74" s="775">
        <f>AR72+AR73</f>
        <v>0</v>
      </c>
      <c r="AS74" s="775">
        <f>AS72+AS73</f>
        <v>0</v>
      </c>
      <c r="AT74" s="775">
        <f>AT72+AT73</f>
        <v>3203.9000000000015</v>
      </c>
      <c r="AU74" s="775">
        <f>AU72+AU73</f>
        <v>0</v>
      </c>
      <c r="AV74" s="775">
        <f t="shared" ref="AV74" si="226">AV72+AV73</f>
        <v>0</v>
      </c>
      <c r="AW74" s="761">
        <f t="shared" ref="AW74" si="227">AW72+AW73</f>
        <v>553331.19999999995</v>
      </c>
      <c r="AX74" s="762"/>
      <c r="AY74" s="775">
        <f>AY72+AY73</f>
        <v>0</v>
      </c>
      <c r="AZ74" s="775">
        <f t="shared" ref="AZ74" si="228">AZ72+AZ73</f>
        <v>0</v>
      </c>
      <c r="BA74" s="775">
        <f t="shared" ref="BA74:BJ74" si="229">BA72+BA73</f>
        <v>0</v>
      </c>
      <c r="BB74" s="775">
        <f t="shared" si="229"/>
        <v>0</v>
      </c>
      <c r="BC74" s="775">
        <f t="shared" si="229"/>
        <v>0</v>
      </c>
      <c r="BD74" s="775">
        <f t="shared" ref="BD74:BG74" si="230">BD72+BD73</f>
        <v>0</v>
      </c>
      <c r="BE74" s="775">
        <f t="shared" si="230"/>
        <v>0</v>
      </c>
      <c r="BF74" s="775">
        <f t="shared" si="230"/>
        <v>17088.900000000001</v>
      </c>
      <c r="BG74" s="775">
        <f t="shared" si="230"/>
        <v>0</v>
      </c>
      <c r="BH74" s="775">
        <f t="shared" si="229"/>
        <v>0</v>
      </c>
      <c r="BI74" s="813">
        <f t="shared" si="229"/>
        <v>570420.09999999986</v>
      </c>
      <c r="BJ74" s="775">
        <f t="shared" si="229"/>
        <v>17088.899999999994</v>
      </c>
      <c r="BK74" s="629"/>
      <c r="BL74" s="630"/>
      <c r="BM74" s="630"/>
      <c r="BN74" s="630"/>
      <c r="BO74" s="630"/>
      <c r="BP74" s="630"/>
      <c r="BQ74" s="630"/>
      <c r="BR74" s="630"/>
      <c r="BS74" s="630"/>
    </row>
    <row r="75" spans="1:71">
      <c r="A75" s="618">
        <v>43</v>
      </c>
      <c r="B75" s="755" t="s">
        <v>65</v>
      </c>
      <c r="C75" s="755"/>
      <c r="D75" s="755"/>
      <c r="E75" s="756">
        <f>'ROO INPUT 1.00'!$F76</f>
        <v>19552</v>
      </c>
      <c r="F75" s="746">
        <v>0</v>
      </c>
      <c r="G75" s="746">
        <v>0</v>
      </c>
      <c r="H75" s="746">
        <v>0</v>
      </c>
      <c r="I75" s="746">
        <v>0</v>
      </c>
      <c r="J75" s="746">
        <v>0</v>
      </c>
      <c r="K75" s="746">
        <v>0</v>
      </c>
      <c r="L75" s="746">
        <v>0</v>
      </c>
      <c r="M75" s="746">
        <v>0</v>
      </c>
      <c r="N75" s="746">
        <v>0</v>
      </c>
      <c r="O75" s="746">
        <v>0</v>
      </c>
      <c r="P75" s="746">
        <v>0</v>
      </c>
      <c r="Q75" s="746">
        <v>0</v>
      </c>
      <c r="R75" s="746">
        <v>0</v>
      </c>
      <c r="S75" s="746">
        <v>0</v>
      </c>
      <c r="T75" s="757">
        <v>0</v>
      </c>
      <c r="U75" s="757">
        <v>0</v>
      </c>
      <c r="V75" s="746">
        <v>0</v>
      </c>
      <c r="W75" s="746">
        <v>0</v>
      </c>
      <c r="X75" s="757">
        <v>0</v>
      </c>
      <c r="Y75" s="758">
        <f>SUM(E75:X75)</f>
        <v>19552</v>
      </c>
      <c r="Z75" s="746">
        <v>0</v>
      </c>
      <c r="AA75" s="746">
        <v>0</v>
      </c>
      <c r="AB75" s="746">
        <v>0</v>
      </c>
      <c r="AC75" s="746">
        <v>0</v>
      </c>
      <c r="AD75" s="746">
        <v>0</v>
      </c>
      <c r="AE75" s="746">
        <v>0</v>
      </c>
      <c r="AF75" s="746">
        <v>0</v>
      </c>
      <c r="AG75" s="746">
        <v>0</v>
      </c>
      <c r="AH75" s="746">
        <v>0</v>
      </c>
      <c r="AI75" s="746">
        <v>0</v>
      </c>
      <c r="AJ75" s="746">
        <v>0</v>
      </c>
      <c r="AK75" s="746">
        <v>0</v>
      </c>
      <c r="AL75" s="746">
        <v>0</v>
      </c>
      <c r="AM75" s="746">
        <v>0</v>
      </c>
      <c r="AN75" s="746">
        <v>0</v>
      </c>
      <c r="AO75" s="746">
        <v>0</v>
      </c>
      <c r="AP75" s="746">
        <v>0</v>
      </c>
      <c r="AQ75" s="746">
        <v>0</v>
      </c>
      <c r="AR75" s="746">
        <v>0</v>
      </c>
      <c r="AS75" s="746">
        <v>0</v>
      </c>
      <c r="AT75" s="760">
        <v>0</v>
      </c>
      <c r="AU75" s="760">
        <v>0</v>
      </c>
      <c r="AV75" s="760"/>
      <c r="AW75" s="761">
        <f>SUM(Y75:AV75)</f>
        <v>19552</v>
      </c>
      <c r="AX75" s="762"/>
      <c r="AY75" s="746">
        <v>0</v>
      </c>
      <c r="AZ75" s="746">
        <v>0</v>
      </c>
      <c r="BA75" s="746">
        <v>0</v>
      </c>
      <c r="BB75" s="746">
        <v>0</v>
      </c>
      <c r="BC75" s="746">
        <v>0</v>
      </c>
      <c r="BD75" s="746">
        <v>0</v>
      </c>
      <c r="BE75" s="746">
        <v>0</v>
      </c>
      <c r="BF75" s="746">
        <v>0</v>
      </c>
      <c r="BG75" s="746">
        <v>0</v>
      </c>
      <c r="BH75" s="746">
        <v>0</v>
      </c>
      <c r="BI75" s="763">
        <f>SUM(AW75:BH75)</f>
        <v>19552</v>
      </c>
      <c r="BJ75" s="540">
        <f>BI75-AW75</f>
        <v>0</v>
      </c>
    </row>
    <row r="76" spans="1:71" s="816" customFormat="1">
      <c r="A76" s="814">
        <v>44</v>
      </c>
      <c r="B76" s="815" t="s">
        <v>66</v>
      </c>
      <c r="C76" s="815"/>
      <c r="D76" s="815"/>
      <c r="E76" s="756">
        <f>'ROO INPUT 1.00'!$F77</f>
        <v>0</v>
      </c>
      <c r="F76" s="760">
        <v>0</v>
      </c>
      <c r="G76" s="760">
        <v>0</v>
      </c>
      <c r="H76" s="760">
        <v>0</v>
      </c>
      <c r="I76" s="760">
        <v>0</v>
      </c>
      <c r="J76" s="760">
        <v>0</v>
      </c>
      <c r="K76" s="760">
        <v>0</v>
      </c>
      <c r="L76" s="760">
        <v>0</v>
      </c>
      <c r="M76" s="760">
        <v>0</v>
      </c>
      <c r="N76" s="760">
        <v>0</v>
      </c>
      <c r="O76" s="760">
        <v>0</v>
      </c>
      <c r="P76" s="760">
        <v>0</v>
      </c>
      <c r="Q76" s="760">
        <v>0</v>
      </c>
      <c r="R76" s="760">
        <v>0</v>
      </c>
      <c r="S76" s="760">
        <v>0</v>
      </c>
      <c r="T76" s="817">
        <v>0</v>
      </c>
      <c r="U76" s="817">
        <v>0</v>
      </c>
      <c r="V76" s="760">
        <v>0</v>
      </c>
      <c r="W76" s="760">
        <v>0</v>
      </c>
      <c r="X76" s="817">
        <v>0</v>
      </c>
      <c r="Y76" s="811">
        <f>SUM(E76:X76)</f>
        <v>0</v>
      </c>
      <c r="Z76" s="760">
        <v>0</v>
      </c>
      <c r="AA76" s="746">
        <v>0</v>
      </c>
      <c r="AB76" s="760">
        <v>0</v>
      </c>
      <c r="AC76" s="760">
        <v>0</v>
      </c>
      <c r="AD76" s="760">
        <v>0</v>
      </c>
      <c r="AE76" s="760">
        <v>0</v>
      </c>
      <c r="AF76" s="760">
        <v>0</v>
      </c>
      <c r="AG76" s="760">
        <v>0</v>
      </c>
      <c r="AH76" s="760">
        <v>0</v>
      </c>
      <c r="AI76" s="760">
        <v>0</v>
      </c>
      <c r="AJ76" s="760">
        <v>0</v>
      </c>
      <c r="AK76" s="760">
        <v>0</v>
      </c>
      <c r="AL76" s="760">
        <v>0</v>
      </c>
      <c r="AM76" s="760">
        <v>0</v>
      </c>
      <c r="AN76" s="760">
        <v>0</v>
      </c>
      <c r="AO76" s="760">
        <v>0</v>
      </c>
      <c r="AP76" s="760">
        <v>0</v>
      </c>
      <c r="AQ76" s="760">
        <v>0</v>
      </c>
      <c r="AR76" s="760">
        <v>0</v>
      </c>
      <c r="AS76" s="760">
        <v>0</v>
      </c>
      <c r="AT76" s="760">
        <v>0</v>
      </c>
      <c r="AU76" s="760">
        <v>0</v>
      </c>
      <c r="AV76" s="760"/>
      <c r="AW76" s="761">
        <f>SUM(Y76:AV76)</f>
        <v>0</v>
      </c>
      <c r="AX76" s="762"/>
      <c r="AY76" s="760">
        <v>0</v>
      </c>
      <c r="AZ76" s="760">
        <v>0</v>
      </c>
      <c r="BA76" s="760">
        <v>0</v>
      </c>
      <c r="BB76" s="760">
        <v>0</v>
      </c>
      <c r="BC76" s="760">
        <v>0</v>
      </c>
      <c r="BD76" s="760">
        <v>0</v>
      </c>
      <c r="BE76" s="760">
        <v>0</v>
      </c>
      <c r="BF76" s="760">
        <v>0</v>
      </c>
      <c r="BG76" s="760">
        <v>0</v>
      </c>
      <c r="BH76" s="760">
        <v>0</v>
      </c>
      <c r="BI76" s="763">
        <f>SUM(AW76:BH76)</f>
        <v>0</v>
      </c>
      <c r="BJ76" s="540">
        <f>BI76-AW76</f>
        <v>0</v>
      </c>
      <c r="BK76" s="629"/>
      <c r="BL76" s="630"/>
      <c r="BM76" s="630"/>
      <c r="BN76" s="630"/>
      <c r="BO76" s="630"/>
      <c r="BP76" s="630"/>
      <c r="BQ76" s="630"/>
      <c r="BR76" s="630"/>
      <c r="BS76" s="630"/>
    </row>
    <row r="77" spans="1:71" s="816" customFormat="1">
      <c r="A77" s="814">
        <v>45</v>
      </c>
      <c r="B77" s="815" t="s">
        <v>377</v>
      </c>
      <c r="C77" s="815"/>
      <c r="D77" s="815"/>
      <c r="E77" s="756">
        <f>'ROO INPUT 1.00'!$F78</f>
        <v>943</v>
      </c>
      <c r="F77" s="760">
        <v>0</v>
      </c>
      <c r="G77" s="760">
        <v>0</v>
      </c>
      <c r="H77" s="760">
        <v>0</v>
      </c>
      <c r="I77" s="760">
        <v>0</v>
      </c>
      <c r="J77" s="760">
        <v>0</v>
      </c>
      <c r="K77" s="760">
        <v>0</v>
      </c>
      <c r="L77" s="760">
        <v>0</v>
      </c>
      <c r="M77" s="760">
        <v>0</v>
      </c>
      <c r="N77" s="760">
        <v>0</v>
      </c>
      <c r="O77" s="760">
        <v>0</v>
      </c>
      <c r="P77" s="760">
        <v>0</v>
      </c>
      <c r="Q77" s="760">
        <v>0</v>
      </c>
      <c r="R77" s="760">
        <v>0</v>
      </c>
      <c r="S77" s="760">
        <v>0</v>
      </c>
      <c r="T77" s="760">
        <v>0</v>
      </c>
      <c r="U77" s="760">
        <v>0</v>
      </c>
      <c r="V77" s="760">
        <v>0</v>
      </c>
      <c r="W77" s="760">
        <v>0</v>
      </c>
      <c r="X77" s="760">
        <v>0</v>
      </c>
      <c r="Y77" s="811">
        <f>SUM(E77:X77)</f>
        <v>943</v>
      </c>
      <c r="Z77" s="760">
        <v>0</v>
      </c>
      <c r="AA77" s="760">
        <v>0</v>
      </c>
      <c r="AB77" s="746">
        <v>0</v>
      </c>
      <c r="AC77" s="760">
        <v>-2141</v>
      </c>
      <c r="AD77" s="760">
        <v>0</v>
      </c>
      <c r="AE77" s="760">
        <v>0</v>
      </c>
      <c r="AF77" s="760">
        <v>0</v>
      </c>
      <c r="AG77" s="760">
        <v>0</v>
      </c>
      <c r="AH77" s="760">
        <v>0</v>
      </c>
      <c r="AI77" s="760">
        <v>0</v>
      </c>
      <c r="AJ77" s="760">
        <v>0</v>
      </c>
      <c r="AK77" s="760">
        <v>0</v>
      </c>
      <c r="AL77" s="760">
        <v>0</v>
      </c>
      <c r="AM77" s="760">
        <v>0</v>
      </c>
      <c r="AN77" s="760">
        <v>0</v>
      </c>
      <c r="AO77" s="760">
        <v>0</v>
      </c>
      <c r="AP77" s="760">
        <v>0</v>
      </c>
      <c r="AQ77" s="760">
        <v>0</v>
      </c>
      <c r="AR77" s="760">
        <v>0</v>
      </c>
      <c r="AS77" s="760">
        <v>0</v>
      </c>
      <c r="AT77" s="760">
        <v>0</v>
      </c>
      <c r="AU77" s="760">
        <v>0</v>
      </c>
      <c r="AV77" s="760"/>
      <c r="AW77" s="761">
        <f>SUM(Y77:AV77)</f>
        <v>-1198</v>
      </c>
      <c r="AX77" s="762"/>
      <c r="AY77" s="760">
        <v>0</v>
      </c>
      <c r="AZ77" s="760">
        <v>-848</v>
      </c>
      <c r="BA77" s="760">
        <v>0</v>
      </c>
      <c r="BB77" s="760">
        <v>0</v>
      </c>
      <c r="BC77" s="760">
        <v>0</v>
      </c>
      <c r="BD77" s="760">
        <v>0</v>
      </c>
      <c r="BE77" s="760">
        <v>0</v>
      </c>
      <c r="BF77" s="760">
        <v>0</v>
      </c>
      <c r="BG77" s="760">
        <v>0</v>
      </c>
      <c r="BH77" s="760">
        <v>0</v>
      </c>
      <c r="BI77" s="763">
        <f>SUM(AW77:BH77)</f>
        <v>-2046</v>
      </c>
      <c r="BJ77" s="540">
        <f>BI77-AW77</f>
        <v>-848</v>
      </c>
      <c r="BK77" s="629"/>
      <c r="BL77" s="630"/>
      <c r="BM77" s="630"/>
      <c r="BN77" s="630"/>
      <c r="BO77" s="630"/>
      <c r="BP77" s="630"/>
      <c r="BQ77" s="630"/>
      <c r="BR77" s="630"/>
      <c r="BS77" s="630"/>
    </row>
    <row r="78" spans="1:71">
      <c r="A78" s="618">
        <v>46</v>
      </c>
      <c r="B78" s="755" t="s">
        <v>165</v>
      </c>
      <c r="C78" s="755"/>
      <c r="D78" s="755"/>
      <c r="E78" s="764">
        <f>'ROO INPUT 1.00'!$F79</f>
        <v>15047</v>
      </c>
      <c r="F78" s="765">
        <v>0</v>
      </c>
      <c r="G78" s="765">
        <v>0</v>
      </c>
      <c r="H78" s="765">
        <v>-648</v>
      </c>
      <c r="I78" s="765">
        <v>0</v>
      </c>
      <c r="J78" s="765">
        <v>0</v>
      </c>
      <c r="K78" s="765">
        <v>0</v>
      </c>
      <c r="L78" s="765">
        <v>0</v>
      </c>
      <c r="M78" s="765">
        <v>0</v>
      </c>
      <c r="N78" s="765">
        <v>0</v>
      </c>
      <c r="O78" s="765">
        <v>0</v>
      </c>
      <c r="P78" s="765">
        <v>0</v>
      </c>
      <c r="Q78" s="765">
        <v>0</v>
      </c>
      <c r="R78" s="765">
        <v>0</v>
      </c>
      <c r="S78" s="765">
        <v>0</v>
      </c>
      <c r="T78" s="766">
        <v>0</v>
      </c>
      <c r="U78" s="766">
        <v>0</v>
      </c>
      <c r="V78" s="765">
        <v>0</v>
      </c>
      <c r="W78" s="765">
        <v>0</v>
      </c>
      <c r="X78" s="766">
        <v>0</v>
      </c>
      <c r="Y78" s="767">
        <f>SUM(E78:X78)</f>
        <v>14399</v>
      </c>
      <c r="Z78" s="765">
        <v>0</v>
      </c>
      <c r="AA78" s="765">
        <v>0</v>
      </c>
      <c r="AB78" s="765">
        <v>0</v>
      </c>
      <c r="AC78" s="765">
        <v>0</v>
      </c>
      <c r="AD78" s="765">
        <v>0</v>
      </c>
      <c r="AE78" s="765">
        <v>0</v>
      </c>
      <c r="AF78" s="765">
        <v>0</v>
      </c>
      <c r="AG78" s="765">
        <v>0</v>
      </c>
      <c r="AH78" s="765">
        <v>0</v>
      </c>
      <c r="AI78" s="765">
        <v>0</v>
      </c>
      <c r="AJ78" s="765">
        <v>0</v>
      </c>
      <c r="AK78" s="765">
        <v>0</v>
      </c>
      <c r="AL78" s="765">
        <v>0</v>
      </c>
      <c r="AM78" s="765">
        <v>0</v>
      </c>
      <c r="AN78" s="765">
        <v>0</v>
      </c>
      <c r="AO78" s="765">
        <v>0</v>
      </c>
      <c r="AP78" s="765">
        <v>0</v>
      </c>
      <c r="AQ78" s="765">
        <v>0</v>
      </c>
      <c r="AR78" s="765">
        <v>0</v>
      </c>
      <c r="AS78" s="765">
        <v>0</v>
      </c>
      <c r="AT78" s="765">
        <v>0</v>
      </c>
      <c r="AU78" s="765">
        <v>0</v>
      </c>
      <c r="AV78" s="765"/>
      <c r="AW78" s="769">
        <f>SUM(Y78:AV78)</f>
        <v>14399</v>
      </c>
      <c r="AX78" s="762"/>
      <c r="AY78" s="765">
        <v>0</v>
      </c>
      <c r="AZ78" s="765">
        <v>0</v>
      </c>
      <c r="BA78" s="765">
        <v>0</v>
      </c>
      <c r="BB78" s="765">
        <v>0</v>
      </c>
      <c r="BC78" s="765">
        <v>0</v>
      </c>
      <c r="BD78" s="765">
        <v>0</v>
      </c>
      <c r="BE78" s="765">
        <v>0</v>
      </c>
      <c r="BF78" s="765">
        <v>0</v>
      </c>
      <c r="BG78" s="765">
        <v>0</v>
      </c>
      <c r="BH78" s="765">
        <v>0</v>
      </c>
      <c r="BI78" s="770">
        <f>SUM(AW78:BH78)</f>
        <v>14399</v>
      </c>
      <c r="BJ78" s="771">
        <f>BI78-AW78</f>
        <v>0</v>
      </c>
    </row>
    <row r="79" spans="1:71" ht="4.5" customHeight="1">
      <c r="Y79" s="738"/>
      <c r="AT79" s="740"/>
      <c r="AU79" s="740"/>
      <c r="AV79" s="740"/>
      <c r="AW79" s="741"/>
      <c r="BF79" s="740"/>
      <c r="BG79" s="740"/>
      <c r="BH79" s="740"/>
      <c r="BI79" s="742"/>
    </row>
    <row r="80" spans="1:71" ht="2.25" customHeight="1">
      <c r="E80" s="756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3"/>
      <c r="U80" s="773"/>
      <c r="V80" s="772"/>
      <c r="W80" s="772"/>
      <c r="X80" s="773"/>
      <c r="Y80" s="758"/>
      <c r="Z80" s="772"/>
      <c r="AA80" s="772"/>
      <c r="AB80" s="772"/>
      <c r="AC80" s="772"/>
      <c r="AD80" s="774"/>
      <c r="AE80" s="772"/>
      <c r="AF80" s="772"/>
      <c r="AG80" s="772"/>
      <c r="AH80" s="772"/>
      <c r="AI80" s="772"/>
      <c r="AJ80" s="772"/>
      <c r="AK80" s="772"/>
      <c r="AL80" s="772"/>
      <c r="AM80" s="772"/>
      <c r="AN80" s="772"/>
      <c r="AO80" s="772"/>
      <c r="AP80" s="772"/>
      <c r="AQ80" s="772"/>
      <c r="AR80" s="772"/>
      <c r="AS80" s="772"/>
      <c r="AT80" s="775"/>
      <c r="AU80" s="775"/>
      <c r="AV80" s="775"/>
      <c r="AW80" s="761"/>
      <c r="AX80" s="762"/>
      <c r="AY80" s="772"/>
      <c r="AZ80" s="772"/>
      <c r="BA80" s="774"/>
      <c r="BB80" s="772"/>
      <c r="BC80" s="772"/>
      <c r="BD80" s="772"/>
      <c r="BE80" s="772"/>
      <c r="BF80" s="775"/>
      <c r="BG80" s="775"/>
      <c r="BH80" s="775"/>
      <c r="BI80" s="776"/>
      <c r="BJ80" s="772"/>
    </row>
    <row r="81" spans="1:71" s="819" customFormat="1" ht="13.8" thickBot="1">
      <c r="A81" s="818">
        <v>47</v>
      </c>
      <c r="B81" s="819" t="s">
        <v>67</v>
      </c>
      <c r="E81" s="820">
        <f>E74+E75+E76+E78+E77</f>
        <v>533429.39999999991</v>
      </c>
      <c r="F81" s="821">
        <f t="shared" ref="F81:Y81" si="231">F74+F75+F76+F78+F77</f>
        <v>-224</v>
      </c>
      <c r="G81" s="821">
        <f>G74+G75+G76+G78+G77</f>
        <v>0</v>
      </c>
      <c r="H81" s="821">
        <f t="shared" si="231"/>
        <v>-648</v>
      </c>
      <c r="I81" s="821">
        <f t="shared" si="231"/>
        <v>0</v>
      </c>
      <c r="J81" s="821">
        <f>J74+J75+J76+J78+J77</f>
        <v>0</v>
      </c>
      <c r="K81" s="821">
        <f t="shared" si="231"/>
        <v>0</v>
      </c>
      <c r="L81" s="821">
        <f t="shared" si="231"/>
        <v>0</v>
      </c>
      <c r="M81" s="821">
        <f t="shared" si="231"/>
        <v>0</v>
      </c>
      <c r="N81" s="821">
        <f t="shared" si="231"/>
        <v>0</v>
      </c>
      <c r="O81" s="821">
        <f t="shared" si="231"/>
        <v>0</v>
      </c>
      <c r="P81" s="821">
        <f t="shared" si="231"/>
        <v>0</v>
      </c>
      <c r="Q81" s="821">
        <f t="shared" ref="Q81:T81" si="232">Q74+Q75+Q76+Q78+Q77</f>
        <v>0</v>
      </c>
      <c r="R81" s="821">
        <f t="shared" si="232"/>
        <v>0</v>
      </c>
      <c r="S81" s="821">
        <f t="shared" si="232"/>
        <v>0</v>
      </c>
      <c r="T81" s="822">
        <f t="shared" si="232"/>
        <v>0</v>
      </c>
      <c r="U81" s="822">
        <f>U74+U75+U76+U78+U77</f>
        <v>0</v>
      </c>
      <c r="V81" s="821">
        <f>V74+V75+V76+V78+V77</f>
        <v>0</v>
      </c>
      <c r="W81" s="821">
        <f>W74+W75+W76+W78+W77</f>
        <v>12408</v>
      </c>
      <c r="X81" s="822">
        <f>X74+X75+X76+X78+X77</f>
        <v>0</v>
      </c>
      <c r="Y81" s="786">
        <f t="shared" si="231"/>
        <v>544965.39999999991</v>
      </c>
      <c r="Z81" s="821">
        <f t="shared" ref="Z81:AC81" si="233">Z74+Z75+Z76+Z78+Z77</f>
        <v>0</v>
      </c>
      <c r="AA81" s="821">
        <f t="shared" si="233"/>
        <v>0</v>
      </c>
      <c r="AB81" s="821">
        <f t="shared" si="233"/>
        <v>0</v>
      </c>
      <c r="AC81" s="821">
        <f t="shared" si="233"/>
        <v>-2141</v>
      </c>
      <c r="AD81" s="823">
        <f t="shared" ref="AD81:AI81" si="234">AD74+AD75+AD76+AD78+AD77</f>
        <v>0</v>
      </c>
      <c r="AE81" s="821">
        <f t="shared" si="234"/>
        <v>0</v>
      </c>
      <c r="AF81" s="821">
        <f t="shared" si="234"/>
        <v>0</v>
      </c>
      <c r="AG81" s="821">
        <f t="shared" ref="AG81" si="235">AG74+AG75+AG76+AG78+AG77</f>
        <v>0</v>
      </c>
      <c r="AH81" s="821">
        <f t="shared" si="234"/>
        <v>0</v>
      </c>
      <c r="AI81" s="821">
        <f t="shared" si="234"/>
        <v>0</v>
      </c>
      <c r="AJ81" s="821">
        <f t="shared" ref="AJ81:AK81" si="236">AJ74+AJ75+AJ76+AJ78+AJ77</f>
        <v>0</v>
      </c>
      <c r="AK81" s="821">
        <f t="shared" si="236"/>
        <v>0</v>
      </c>
      <c r="AL81" s="821">
        <f>AL74+AL75+AL76+AL78+AL77</f>
        <v>0</v>
      </c>
      <c r="AM81" s="821">
        <f t="shared" ref="AM81" si="237">AM74+AM75+AM76+AM78+AM77</f>
        <v>0</v>
      </c>
      <c r="AN81" s="821">
        <f>AN74+AN75+AN76+AN78+AN77</f>
        <v>19487.900000000001</v>
      </c>
      <c r="AO81" s="821">
        <f t="shared" ref="AO81" si="238">AO74+AO75+AO76+AO78+AO77</f>
        <v>0</v>
      </c>
      <c r="AP81" s="821">
        <f t="shared" ref="AP81:AQ81" si="239">AP74+AP75+AP76+AP78+AP77</f>
        <v>20568</v>
      </c>
      <c r="AQ81" s="821">
        <f t="shared" si="239"/>
        <v>0</v>
      </c>
      <c r="AR81" s="821">
        <f>AR74+AR75+AR76+AR78+AR77</f>
        <v>0</v>
      </c>
      <c r="AS81" s="821">
        <f>AS74+AS75+AS76+AS78+AS77</f>
        <v>0</v>
      </c>
      <c r="AT81" s="821">
        <f>AT74+AT75+AT76+AT78+AT77</f>
        <v>3203.9000000000015</v>
      </c>
      <c r="AU81" s="821">
        <f>AU74+AU75+AU76+AU78+AU77</f>
        <v>0</v>
      </c>
      <c r="AV81" s="821">
        <f t="shared" ref="AV81" si="240">AV74+AV75+AV76+AV78+AV77</f>
        <v>0</v>
      </c>
      <c r="AW81" s="788">
        <f t="shared" ref="AW81" si="241">AW74+AW75+AW76+AW78+AW77</f>
        <v>586084.19999999995</v>
      </c>
      <c r="AX81" s="752"/>
      <c r="AY81" s="821">
        <f t="shared" ref="AY81" si="242">AY74+AY75+AY76+AY78+AY77</f>
        <v>0</v>
      </c>
      <c r="AZ81" s="821">
        <f>AZ74+AZ75+AZ76+AZ78+AZ77</f>
        <v>-848</v>
      </c>
      <c r="BA81" s="823">
        <f>BA74+BA75+BA76+BA78+BA77</f>
        <v>0</v>
      </c>
      <c r="BB81" s="821">
        <f t="shared" ref="BB81" si="243">BB74+BB75+BB76+BB78+BB77</f>
        <v>0</v>
      </c>
      <c r="BC81" s="821">
        <f>BC74+BC75+BC76+BC78+BC77</f>
        <v>0</v>
      </c>
      <c r="BD81" s="821">
        <f>BD74+BD75+BD76+BD78+BD77</f>
        <v>0</v>
      </c>
      <c r="BE81" s="821">
        <f t="shared" ref="BE81" si="244">BE74+BE75+BE76+BE78+BE77</f>
        <v>0</v>
      </c>
      <c r="BF81" s="821">
        <f>BF74+BF75+BF76+BF78+BF77</f>
        <v>17088.900000000001</v>
      </c>
      <c r="BG81" s="821">
        <f>BG74+BG75+BG76+BG78+BG77</f>
        <v>0</v>
      </c>
      <c r="BH81" s="821">
        <f>BH74+BH75+BH76+BH78+BH77</f>
        <v>0</v>
      </c>
      <c r="BI81" s="789">
        <f>BI74+BI75+BI76+BI78+BI77</f>
        <v>602325.09999999986</v>
      </c>
      <c r="BJ81" s="821">
        <f>BJ74+BJ75+BJ76+BJ78+BJ77</f>
        <v>16240.899999999994</v>
      </c>
      <c r="BK81" s="824"/>
      <c r="BL81" s="531"/>
      <c r="BM81" s="531"/>
      <c r="BN81" s="531"/>
      <c r="BO81" s="531"/>
      <c r="BP81" s="531"/>
      <c r="BQ81" s="531"/>
      <c r="BR81" s="531"/>
      <c r="BS81" s="531"/>
    </row>
    <row r="82" spans="1:71" ht="12" customHeight="1" thickTop="1">
      <c r="A82" s="618">
        <v>48</v>
      </c>
      <c r="B82" s="619" t="s">
        <v>409</v>
      </c>
      <c r="E82" s="825">
        <f>ROUND(E58/E81,4)</f>
        <v>6.8199999999999997E-2</v>
      </c>
      <c r="F82" s="772"/>
      <c r="G82" s="772"/>
      <c r="H82" s="772"/>
      <c r="I82" s="772"/>
      <c r="J82" s="772"/>
      <c r="K82" s="772"/>
      <c r="L82" s="772"/>
      <c r="M82" s="772"/>
      <c r="N82" s="772"/>
      <c r="O82" s="772"/>
      <c r="P82" s="772"/>
      <c r="Q82" s="772"/>
      <c r="R82" s="772"/>
      <c r="S82" s="772"/>
      <c r="T82" s="773"/>
      <c r="U82" s="790"/>
      <c r="V82" s="772"/>
      <c r="W82" s="772"/>
      <c r="X82" s="790"/>
      <c r="Y82" s="826" t="s">
        <v>396</v>
      </c>
      <c r="Z82" s="772"/>
      <c r="AA82" s="772"/>
      <c r="AB82" s="772"/>
      <c r="AC82" s="772"/>
      <c r="AD82" s="791"/>
      <c r="AE82" s="792"/>
      <c r="AF82" s="792"/>
      <c r="AG82" s="792"/>
      <c r="AH82" s="792"/>
      <c r="AI82" s="772"/>
      <c r="AJ82" s="772"/>
      <c r="AK82" s="772"/>
      <c r="AL82" s="772"/>
      <c r="AM82" s="772"/>
      <c r="AN82" s="772"/>
      <c r="AO82" s="772"/>
      <c r="AP82" s="772"/>
      <c r="AQ82" s="772"/>
      <c r="AR82" s="772"/>
      <c r="AS82" s="772"/>
      <c r="AT82" s="762"/>
      <c r="AU82" s="762"/>
      <c r="AV82" s="762"/>
      <c r="AW82" s="827"/>
      <c r="AX82" s="828"/>
      <c r="AY82" s="772"/>
      <c r="AZ82" s="772"/>
      <c r="BA82" s="791"/>
      <c r="BB82" s="792"/>
      <c r="BC82" s="772"/>
      <c r="BD82" s="772"/>
      <c r="BE82" s="772"/>
      <c r="BF82" s="762"/>
      <c r="BG82" s="762"/>
      <c r="BH82" s="762"/>
      <c r="BI82" s="776"/>
      <c r="BJ82" s="772"/>
    </row>
    <row r="83" spans="1:71">
      <c r="A83" s="618">
        <v>50</v>
      </c>
      <c r="B83" s="619" t="s">
        <v>158</v>
      </c>
      <c r="E83" s="622">
        <f>E89</f>
        <v>5582.9175884110527</v>
      </c>
      <c r="F83" s="622">
        <f t="shared" ref="F83:Y83" si="245">F89</f>
        <v>-21.042307901824088</v>
      </c>
      <c r="G83" s="622">
        <f t="shared" si="245"/>
        <v>0</v>
      </c>
      <c r="H83" s="622">
        <f t="shared" si="245"/>
        <v>-60.872390715991123</v>
      </c>
      <c r="I83" s="622">
        <f t="shared" si="245"/>
        <v>-44.084294272629073</v>
      </c>
      <c r="J83" s="622">
        <f t="shared" ref="J83" si="246">J89</f>
        <v>302.29230358374224</v>
      </c>
      <c r="K83" s="622">
        <f t="shared" si="245"/>
        <v>973.00335216017027</v>
      </c>
      <c r="L83" s="622">
        <f t="shared" si="245"/>
        <v>417.75116953586598</v>
      </c>
      <c r="M83" s="622">
        <f t="shared" si="245"/>
        <v>-18.89326897398389</v>
      </c>
      <c r="N83" s="622">
        <f t="shared" si="245"/>
        <v>-134.19269805712889</v>
      </c>
      <c r="O83" s="622">
        <f t="shared" si="245"/>
        <v>-10.496260541102162</v>
      </c>
      <c r="P83" s="622">
        <f t="shared" si="245"/>
        <v>-4.1985042164408641</v>
      </c>
      <c r="Q83" s="622">
        <f t="shared" ref="Q83:T83" si="247">Q89</f>
        <v>-11.545886595212375</v>
      </c>
      <c r="R83" s="622">
        <f t="shared" si="247"/>
        <v>45.133920326739286</v>
      </c>
      <c r="S83" s="622">
        <f t="shared" si="247"/>
        <v>-10.695556627324653</v>
      </c>
      <c r="T83" s="623">
        <f t="shared" si="247"/>
        <v>-435.80473766656166</v>
      </c>
      <c r="U83" s="623">
        <f>U89</f>
        <v>262.70355770086718</v>
      </c>
      <c r="V83" s="622">
        <f>V89</f>
        <v>75.732512764914318</v>
      </c>
      <c r="W83" s="622">
        <f>W89</f>
        <v>1165.5935555617559</v>
      </c>
      <c r="X83" s="623">
        <f>X89</f>
        <v>0</v>
      </c>
      <c r="Y83" s="622">
        <f t="shared" si="245"/>
        <v>8073.3020544769261</v>
      </c>
      <c r="Z83" s="622">
        <f>Z89</f>
        <v>-2553.7401896501556</v>
      </c>
      <c r="AA83" s="622">
        <f>AA89</f>
        <v>-256.10875720289272</v>
      </c>
      <c r="AB83" s="622">
        <f>AB89</f>
        <v>180.69511817593593</v>
      </c>
      <c r="AC83" s="622">
        <f t="shared" ref="AC83:AI83" si="248">AC89</f>
        <v>-1043.9728518871348</v>
      </c>
      <c r="AD83" s="739">
        <f t="shared" si="248"/>
        <v>1915.8824365673775</v>
      </c>
      <c r="AE83" s="622">
        <f t="shared" si="248"/>
        <v>19.948143158364655</v>
      </c>
      <c r="AF83" s="622">
        <f t="shared" si="248"/>
        <v>-1773.0283306029771</v>
      </c>
      <c r="AG83" s="622">
        <f t="shared" ref="AG83" si="249">AG89</f>
        <v>387.10208875584766</v>
      </c>
      <c r="AH83" s="622">
        <f t="shared" si="248"/>
        <v>81.870832220596853</v>
      </c>
      <c r="AI83" s="622">
        <f t="shared" si="248"/>
        <v>118.51222814353041</v>
      </c>
      <c r="AJ83" s="622">
        <f t="shared" ref="AJ83:AK83" si="250">AJ89</f>
        <v>992.94624718826446</v>
      </c>
      <c r="AK83" s="622">
        <f t="shared" si="250"/>
        <v>627.67638035790924</v>
      </c>
      <c r="AL83" s="622">
        <f>AL89</f>
        <v>21.622296714670451</v>
      </c>
      <c r="AM83" s="622">
        <f t="shared" ref="AM83" si="251">AM89</f>
        <v>1714.7341988098035</v>
      </c>
      <c r="AN83" s="622">
        <f>AN89</f>
        <v>3163.6964822912146</v>
      </c>
      <c r="AO83" s="622">
        <f t="shared" ref="AO83" si="252">AO89</f>
        <v>-949.07187812645736</v>
      </c>
      <c r="AP83" s="622">
        <f t="shared" ref="AP83:AQ83" si="253">AP89</f>
        <v>3986.2529598790402</v>
      </c>
      <c r="AQ83" s="622">
        <f t="shared" si="253"/>
        <v>314.88781623306483</v>
      </c>
      <c r="AR83" s="622">
        <f>AR89</f>
        <v>186.83343763161847</v>
      </c>
      <c r="AS83" s="622">
        <f>AS89</f>
        <v>157.44390811653241</v>
      </c>
      <c r="AT83" s="622">
        <f>AT89</f>
        <v>2578.6592976274464</v>
      </c>
      <c r="AU83" s="622">
        <f>AU89</f>
        <v>-653.60949127681033</v>
      </c>
      <c r="AV83" s="622">
        <f t="shared" ref="AV83" si="254">AV89</f>
        <v>0</v>
      </c>
      <c r="AW83" s="829">
        <f>AW89</f>
        <v>17292.53442760168</v>
      </c>
      <c r="AY83" s="622">
        <f>AY89</f>
        <v>0</v>
      </c>
      <c r="AZ83" s="622">
        <f t="shared" ref="AZ83" si="255">AZ89</f>
        <v>-189.87090130990671</v>
      </c>
      <c r="BA83" s="739">
        <f t="shared" ref="BA83:BB83" si="256">BA89</f>
        <v>771.37018716559783</v>
      </c>
      <c r="BB83" s="622">
        <f t="shared" si="256"/>
        <v>154.08510474337973</v>
      </c>
      <c r="BC83" s="622">
        <f>BC89</f>
        <v>31.48878162330648</v>
      </c>
      <c r="BD83" s="622">
        <f>BD89</f>
        <v>-68.225693517164046</v>
      </c>
      <c r="BE83" s="622">
        <f t="shared" ref="BE83" si="257">BE89</f>
        <v>685.89493907518647</v>
      </c>
      <c r="BF83" s="622">
        <f>BF89</f>
        <v>3431.6613676494621</v>
      </c>
      <c r="BG83" s="622">
        <f>BG89</f>
        <v>-251.78324823390452</v>
      </c>
      <c r="BH83" s="622">
        <f>BH89</f>
        <v>0</v>
      </c>
      <c r="BI83" s="830">
        <f>BI89</f>
        <v>21857.154964797639</v>
      </c>
      <c r="BJ83" s="831">
        <f>BJ89</f>
        <v>4564.6205371959586</v>
      </c>
    </row>
    <row r="84" spans="1:71" s="737" customFormat="1" ht="58.5" customHeight="1">
      <c r="A84" s="659"/>
      <c r="E84" s="772"/>
      <c r="F84" s="772"/>
      <c r="G84" s="772"/>
      <c r="H84" s="772"/>
      <c r="I84" s="772"/>
      <c r="J84" s="772"/>
      <c r="K84" s="772"/>
      <c r="L84" s="772"/>
      <c r="M84" s="772"/>
      <c r="N84" s="772"/>
      <c r="O84" s="772"/>
      <c r="P84" s="772"/>
      <c r="Q84" s="772"/>
      <c r="R84" s="772"/>
      <c r="S84" s="772"/>
      <c r="T84" s="773"/>
      <c r="U84" s="832"/>
      <c r="V84" s="832"/>
      <c r="W84" s="832"/>
      <c r="X84" s="832"/>
      <c r="Y84" s="833"/>
      <c r="Z84" s="772"/>
      <c r="AA84" s="772"/>
      <c r="AB84" s="772"/>
      <c r="AC84" s="772"/>
      <c r="AD84" s="791"/>
      <c r="AE84" s="792"/>
      <c r="AF84" s="792"/>
      <c r="AG84" s="792"/>
      <c r="AH84" s="792"/>
      <c r="AI84" s="772"/>
      <c r="AJ84" s="772"/>
      <c r="AK84" s="772"/>
      <c r="AL84" s="772"/>
      <c r="AM84" s="772"/>
      <c r="AN84" s="772"/>
      <c r="AO84" s="772"/>
      <c r="AP84" s="772"/>
      <c r="AQ84" s="772"/>
      <c r="AR84" s="772"/>
      <c r="AS84" s="772"/>
      <c r="AT84" s="772"/>
      <c r="AU84" s="772"/>
      <c r="AV84" s="772"/>
      <c r="AW84" s="792"/>
      <c r="AX84" s="762"/>
      <c r="AY84" s="772"/>
      <c r="AZ84" s="772"/>
      <c r="BA84" s="791"/>
      <c r="BB84" s="792"/>
      <c r="BC84" s="772"/>
      <c r="BD84" s="772"/>
      <c r="BE84" s="772"/>
      <c r="BF84" s="772"/>
      <c r="BG84" s="772"/>
      <c r="BH84" s="772"/>
      <c r="BI84" s="792"/>
      <c r="BJ84" s="772"/>
      <c r="BK84" s="629"/>
      <c r="BL84" s="630"/>
      <c r="BM84" s="630"/>
      <c r="BN84" s="630"/>
      <c r="BO84" s="630"/>
      <c r="BP84" s="630"/>
      <c r="BQ84" s="630"/>
      <c r="BR84" s="630"/>
      <c r="BS84" s="630"/>
    </row>
    <row r="85" spans="1:71" s="737" customFormat="1" ht="21.75" customHeight="1">
      <c r="A85" s="659"/>
      <c r="E85" s="834"/>
      <c r="F85" s="772"/>
      <c r="G85" s="772"/>
      <c r="H85" s="772"/>
      <c r="I85" s="772"/>
      <c r="J85" s="772"/>
      <c r="K85" s="772"/>
      <c r="L85" s="772"/>
      <c r="M85" s="772"/>
      <c r="N85" s="772"/>
      <c r="O85" s="772"/>
      <c r="P85" s="772"/>
      <c r="Q85" s="772"/>
      <c r="R85" s="772"/>
      <c r="S85" s="772"/>
      <c r="T85" s="773"/>
      <c r="U85" s="564"/>
      <c r="V85" s="772"/>
      <c r="W85" s="772"/>
      <c r="X85" s="790"/>
      <c r="Y85" s="792"/>
      <c r="Z85" s="772"/>
      <c r="AA85" s="775"/>
      <c r="AB85" s="772"/>
      <c r="AC85" s="775"/>
      <c r="AD85" s="791"/>
      <c r="AE85" s="792"/>
      <c r="AF85" s="792"/>
      <c r="AG85" s="792"/>
      <c r="AH85" s="792"/>
      <c r="AI85" s="772"/>
      <c r="AJ85" s="772"/>
      <c r="AK85" s="772"/>
      <c r="AL85" s="772"/>
      <c r="AM85" s="775"/>
      <c r="AN85" s="772"/>
      <c r="AO85" s="775"/>
      <c r="AP85" s="775"/>
      <c r="AQ85" s="775"/>
      <c r="AR85" s="775"/>
      <c r="AS85" s="775"/>
      <c r="AT85" s="772"/>
      <c r="AU85" s="772"/>
      <c r="AV85" s="772"/>
      <c r="AW85" s="762"/>
      <c r="AX85" s="762"/>
      <c r="AY85" s="772"/>
      <c r="AZ85" s="775"/>
      <c r="BA85" s="791"/>
      <c r="BB85" s="792"/>
      <c r="BC85" s="772"/>
      <c r="BD85" s="775"/>
      <c r="BE85" s="772"/>
      <c r="BF85" s="772"/>
      <c r="BG85" s="772"/>
      <c r="BH85" s="772"/>
      <c r="BI85" s="792"/>
      <c r="BJ85" s="772"/>
      <c r="BK85" s="629"/>
      <c r="BL85" s="630"/>
      <c r="BM85" s="630"/>
      <c r="BN85" s="630"/>
      <c r="BO85" s="630"/>
      <c r="BP85" s="630"/>
      <c r="BQ85" s="630"/>
      <c r="BR85" s="630"/>
      <c r="BS85" s="630"/>
    </row>
    <row r="86" spans="1:71" s="737" customFormat="1" ht="16.5" customHeight="1">
      <c r="A86" s="835"/>
      <c r="D86" s="836" t="s">
        <v>382</v>
      </c>
      <c r="E86" s="837">
        <f>'RR SUMMARY'!O15</f>
        <v>7.6100000000000001E-2</v>
      </c>
      <c r="F86" s="772"/>
      <c r="G86" s="772"/>
      <c r="H86" s="772"/>
      <c r="I86" s="772"/>
      <c r="J86" s="772"/>
      <c r="K86" s="772"/>
      <c r="L86" s="772"/>
      <c r="M86" s="772"/>
      <c r="N86" s="772"/>
      <c r="O86" s="772"/>
      <c r="P86" s="772"/>
      <c r="Q86" s="772"/>
      <c r="R86" s="772"/>
      <c r="S86" s="772"/>
      <c r="T86" s="773"/>
      <c r="U86" s="790"/>
      <c r="V86" s="772"/>
      <c r="W86" s="772"/>
      <c r="X86" s="790"/>
      <c r="Y86" s="792"/>
      <c r="Z86" s="772"/>
      <c r="AA86" s="775"/>
      <c r="AB86" s="772"/>
      <c r="AC86" s="775"/>
      <c r="AD86" s="791"/>
      <c r="AE86" s="792"/>
      <c r="AF86" s="792"/>
      <c r="AG86" s="792"/>
      <c r="AH86" s="792"/>
      <c r="AI86" s="772"/>
      <c r="AJ86" s="772"/>
      <c r="AK86" s="772"/>
      <c r="AL86" s="772"/>
      <c r="AM86" s="775"/>
      <c r="AN86" s="772"/>
      <c r="AO86" s="775"/>
      <c r="AP86" s="775"/>
      <c r="AQ86" s="775"/>
      <c r="AR86" s="775"/>
      <c r="AS86" s="775"/>
      <c r="AT86" s="772"/>
      <c r="AU86" s="772"/>
      <c r="AV86" s="772"/>
      <c r="AW86" s="762"/>
      <c r="AX86" s="762"/>
      <c r="AY86" s="772"/>
      <c r="AZ86" s="775"/>
      <c r="BA86" s="791"/>
      <c r="BB86" s="792"/>
      <c r="BC86" s="772"/>
      <c r="BD86" s="775"/>
      <c r="BE86" s="772"/>
      <c r="BF86" s="772"/>
      <c r="BG86" s="772"/>
      <c r="BH86" s="772"/>
      <c r="BI86" s="792"/>
      <c r="BJ86" s="772"/>
      <c r="BK86" s="629"/>
      <c r="BL86" s="630"/>
      <c r="BM86" s="630"/>
      <c r="BN86" s="630"/>
      <c r="BO86" s="630"/>
      <c r="BP86" s="630"/>
      <c r="BQ86" s="630"/>
      <c r="BR86" s="630"/>
      <c r="BS86" s="630"/>
    </row>
    <row r="87" spans="1:71" s="737" customFormat="1" ht="17.25" customHeight="1">
      <c r="A87" s="659"/>
      <c r="D87" s="836" t="s">
        <v>533</v>
      </c>
      <c r="E87" s="838">
        <f>CF!E27</f>
        <v>0.75264900000000001</v>
      </c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3"/>
      <c r="U87" s="790"/>
      <c r="V87" s="772"/>
      <c r="W87" s="772"/>
      <c r="X87" s="790"/>
      <c r="Y87" s="792"/>
      <c r="Z87" s="772"/>
      <c r="AA87" s="772"/>
      <c r="AB87" s="772"/>
      <c r="AC87" s="772"/>
      <c r="AD87" s="791"/>
      <c r="AE87" s="792"/>
      <c r="AF87" s="792"/>
      <c r="AG87" s="792"/>
      <c r="AH87" s="792"/>
      <c r="AI87" s="772"/>
      <c r="AJ87" s="772"/>
      <c r="AK87" s="772"/>
      <c r="AL87" s="772"/>
      <c r="AM87" s="772"/>
      <c r="AN87" s="772"/>
      <c r="AO87" s="772"/>
      <c r="AP87" s="772"/>
      <c r="AQ87" s="772"/>
      <c r="AR87" s="772"/>
      <c r="AS87" s="772"/>
      <c r="AT87" s="772"/>
      <c r="AU87" s="772"/>
      <c r="AV87" s="772"/>
      <c r="AW87" s="792"/>
      <c r="AX87" s="762"/>
      <c r="AY87" s="772"/>
      <c r="AZ87" s="772"/>
      <c r="BA87" s="791"/>
      <c r="BB87" s="792"/>
      <c r="BC87" s="772"/>
      <c r="BD87" s="772"/>
      <c r="BE87" s="772"/>
      <c r="BF87" s="772"/>
      <c r="BG87" s="772"/>
      <c r="BH87" s="772"/>
      <c r="BI87" s="792"/>
      <c r="BJ87" s="772"/>
      <c r="BK87" s="629"/>
      <c r="BL87" s="630"/>
      <c r="BM87" s="630"/>
      <c r="BN87" s="630"/>
      <c r="BO87" s="630"/>
      <c r="BP87" s="630"/>
      <c r="BQ87" s="630"/>
      <c r="BR87" s="630"/>
      <c r="BS87" s="630"/>
    </row>
    <row r="88" spans="1:71" s="737" customFormat="1" ht="29.25" customHeight="1">
      <c r="A88" s="659"/>
      <c r="D88" s="836" t="s">
        <v>153</v>
      </c>
      <c r="E88" s="621">
        <f t="shared" ref="E88:AV88" si="258">E81*$E$86-E58</f>
        <v>4201.9773399999904</v>
      </c>
      <c r="F88" s="621">
        <f t="shared" si="258"/>
        <v>-15.837471999999998</v>
      </c>
      <c r="G88" s="621">
        <f t="shared" si="258"/>
        <v>0</v>
      </c>
      <c r="H88" s="621">
        <f t="shared" si="258"/>
        <v>-45.815544000000003</v>
      </c>
      <c r="I88" s="621">
        <f t="shared" si="258"/>
        <v>-33.18</v>
      </c>
      <c r="J88" s="621">
        <f t="shared" si="258"/>
        <v>227.52</v>
      </c>
      <c r="K88" s="621">
        <f t="shared" si="258"/>
        <v>732.33</v>
      </c>
      <c r="L88" s="621">
        <f t="shared" si="258"/>
        <v>314.42</v>
      </c>
      <c r="M88" s="621">
        <f t="shared" si="258"/>
        <v>-14.22</v>
      </c>
      <c r="N88" s="621">
        <f t="shared" si="258"/>
        <v>-101</v>
      </c>
      <c r="O88" s="621">
        <f t="shared" si="258"/>
        <v>-7.9</v>
      </c>
      <c r="P88" s="621">
        <f t="shared" si="258"/>
        <v>-3.16</v>
      </c>
      <c r="Q88" s="621">
        <f t="shared" si="258"/>
        <v>-8.69</v>
      </c>
      <c r="R88" s="621">
        <f t="shared" si="258"/>
        <v>33.97</v>
      </c>
      <c r="S88" s="621">
        <f t="shared" si="258"/>
        <v>-8.0499999999992724</v>
      </c>
      <c r="T88" s="839">
        <f t="shared" si="258"/>
        <v>-328.00799999999998</v>
      </c>
      <c r="U88" s="839">
        <f t="shared" si="258"/>
        <v>197.72357</v>
      </c>
      <c r="V88" s="621">
        <f t="shared" si="258"/>
        <v>57</v>
      </c>
      <c r="W88" s="621">
        <f>W81*$E$86-W58</f>
        <v>877.28282400000001</v>
      </c>
      <c r="X88" s="839">
        <f t="shared" ref="X88" si="259">X81*$E$86-X58</f>
        <v>0</v>
      </c>
      <c r="Y88" s="621">
        <f t="shared" si="258"/>
        <v>6076.362718000004</v>
      </c>
      <c r="Z88" s="621">
        <f t="shared" si="258"/>
        <v>-1922.07</v>
      </c>
      <c r="AA88" s="621">
        <f t="shared" ref="AA88:AB88" si="260">AA81*$E$86-AA58</f>
        <v>-192.76</v>
      </c>
      <c r="AB88" s="621">
        <f t="shared" si="260"/>
        <v>136</v>
      </c>
      <c r="AC88" s="621">
        <f t="shared" ref="AC88:AH88" si="261">AC81*$E$86-AC58</f>
        <v>-785.74512300000004</v>
      </c>
      <c r="AD88" s="840">
        <f t="shared" si="261"/>
        <v>1441.9870000000001</v>
      </c>
      <c r="AE88" s="621">
        <f t="shared" si="261"/>
        <v>15.013949999999999</v>
      </c>
      <c r="AF88" s="621">
        <f t="shared" si="261"/>
        <v>-1334.4680000000001</v>
      </c>
      <c r="AG88" s="621">
        <f t="shared" ref="AG88" si="262">AG81*$E$86-AG58</f>
        <v>291.35199999999998</v>
      </c>
      <c r="AH88" s="621">
        <f t="shared" si="261"/>
        <v>61.620000000000005</v>
      </c>
      <c r="AI88" s="621">
        <f>AI81*$E$86-AI58</f>
        <v>89.198110000000014</v>
      </c>
      <c r="AJ88" s="621">
        <f>AJ81*$E$86-AJ58</f>
        <v>747.34</v>
      </c>
      <c r="AK88" s="621">
        <f t="shared" ref="AK88:AO88" si="263">AK81*$E$86-AK58</f>
        <v>472.42</v>
      </c>
      <c r="AL88" s="621">
        <f t="shared" si="263"/>
        <v>16.274000000000001</v>
      </c>
      <c r="AM88" s="621">
        <f t="shared" si="263"/>
        <v>1290.5929799999999</v>
      </c>
      <c r="AN88" s="621">
        <f t="shared" si="263"/>
        <v>2381.1529937000005</v>
      </c>
      <c r="AO88" s="621">
        <f t="shared" si="263"/>
        <v>-714.31799999999998</v>
      </c>
      <c r="AP88" s="621">
        <f t="shared" ref="AP88:AQ88" si="264">AP81*$E$86-AP58</f>
        <v>3000.2493039999999</v>
      </c>
      <c r="AQ88" s="621">
        <f t="shared" si="264"/>
        <v>237</v>
      </c>
      <c r="AR88" s="621">
        <f t="shared" ref="AR88:AS88" si="265">AR81*$E$86-AR58</f>
        <v>140.62</v>
      </c>
      <c r="AS88" s="621">
        <f t="shared" si="265"/>
        <v>118.5</v>
      </c>
      <c r="AT88" s="621">
        <f t="shared" ref="AT88:AU88" si="266">AT81*$E$86-AT58</f>
        <v>1940.8253417000001</v>
      </c>
      <c r="AU88" s="621">
        <f t="shared" si="266"/>
        <v>-491.93853000000001</v>
      </c>
      <c r="AV88" s="621">
        <f t="shared" si="258"/>
        <v>0</v>
      </c>
      <c r="AW88" s="841">
        <f>AW81*$E$86-AW58</f>
        <v>13015.208744399977</v>
      </c>
      <c r="AX88" s="842"/>
      <c r="AY88" s="621">
        <f>AY81*$E$86-AY58</f>
        <v>0</v>
      </c>
      <c r="AZ88" s="621">
        <f t="shared" ref="AZ88:BC88" si="267">AZ81*$E$86-AZ58</f>
        <v>-142.90614399999998</v>
      </c>
      <c r="BA88" s="840">
        <f t="shared" si="267"/>
        <v>580.57100000000003</v>
      </c>
      <c r="BB88" s="621">
        <f t="shared" si="267"/>
        <v>115.97200000000001</v>
      </c>
      <c r="BC88" s="621">
        <f t="shared" si="267"/>
        <v>23.7</v>
      </c>
      <c r="BD88" s="621">
        <f>BD81*$E$86-BD58</f>
        <v>-51.35</v>
      </c>
      <c r="BE88" s="621">
        <f t="shared" ref="BE88" si="268">BE81*$E$86-BE58</f>
        <v>516.23814000000004</v>
      </c>
      <c r="BF88" s="621">
        <f t="shared" ref="BF88" si="269">BF81*$E$86-BF58</f>
        <v>2582.8364967000002</v>
      </c>
      <c r="BG88" s="621">
        <f t="shared" ref="BG88:BH88" si="270">BG81*$E$86-BG58</f>
        <v>-189.50441000000001</v>
      </c>
      <c r="BH88" s="621">
        <f t="shared" si="270"/>
        <v>0</v>
      </c>
      <c r="BI88" s="841">
        <f>BI81*$E$86-BI58</f>
        <v>16450.765827099978</v>
      </c>
      <c r="BJ88" s="621">
        <f>BJ81*$E$86-BJ58</f>
        <v>3435.557082700001</v>
      </c>
      <c r="BK88" s="629"/>
      <c r="BL88" s="630"/>
      <c r="BM88" s="630"/>
      <c r="BN88" s="630"/>
      <c r="BO88" s="630"/>
      <c r="BP88" s="630"/>
      <c r="BQ88" s="630"/>
      <c r="BR88" s="630"/>
      <c r="BS88" s="630"/>
    </row>
    <row r="89" spans="1:71" s="737" customFormat="1">
      <c r="A89" s="659"/>
      <c r="D89" s="836" t="s">
        <v>470</v>
      </c>
      <c r="E89" s="621">
        <f>E88/$E$87</f>
        <v>5582.9175884110527</v>
      </c>
      <c r="F89" s="621">
        <f>F88/$E$87</f>
        <v>-21.042307901824088</v>
      </c>
      <c r="G89" s="621">
        <f>G88/$E$87</f>
        <v>0</v>
      </c>
      <c r="H89" s="621">
        <f>H88/$E$87</f>
        <v>-60.872390715991123</v>
      </c>
      <c r="I89" s="621">
        <f t="shared" ref="I89:P89" si="271">I88/$E$87</f>
        <v>-44.084294272629073</v>
      </c>
      <c r="J89" s="621">
        <f>J88/$E$87</f>
        <v>302.29230358374224</v>
      </c>
      <c r="K89" s="621">
        <f t="shared" si="271"/>
        <v>973.00335216017027</v>
      </c>
      <c r="L89" s="621">
        <f t="shared" si="271"/>
        <v>417.75116953586598</v>
      </c>
      <c r="M89" s="621">
        <f t="shared" si="271"/>
        <v>-18.89326897398389</v>
      </c>
      <c r="N89" s="621">
        <f t="shared" si="271"/>
        <v>-134.19269805712889</v>
      </c>
      <c r="O89" s="621">
        <f t="shared" si="271"/>
        <v>-10.496260541102162</v>
      </c>
      <c r="P89" s="621">
        <f t="shared" si="271"/>
        <v>-4.1985042164408641</v>
      </c>
      <c r="Q89" s="621">
        <f t="shared" ref="Q89:R89" si="272">Q88/$E$87</f>
        <v>-11.545886595212375</v>
      </c>
      <c r="R89" s="621">
        <f t="shared" si="272"/>
        <v>45.133920326739286</v>
      </c>
      <c r="S89" s="621">
        <f t="shared" ref="S89" si="273">S88/$E$87</f>
        <v>-10.695556627324653</v>
      </c>
      <c r="T89" s="839">
        <f>T88/$E$87</f>
        <v>-435.80473766656166</v>
      </c>
      <c r="U89" s="839">
        <f>U88/$E$87</f>
        <v>262.70355770086718</v>
      </c>
      <c r="V89" s="621">
        <f>V88/$E$87</f>
        <v>75.732512764914318</v>
      </c>
      <c r="W89" s="621">
        <f>W88/$E$87</f>
        <v>1165.5935555617559</v>
      </c>
      <c r="X89" s="839">
        <f>X88/$E$87</f>
        <v>0</v>
      </c>
      <c r="Y89" s="621">
        <f t="shared" ref="Y89" si="274">Y88/$E$87</f>
        <v>8073.3020544769261</v>
      </c>
      <c r="Z89" s="621">
        <f>Z88/$E$87</f>
        <v>-2553.7401896501556</v>
      </c>
      <c r="AA89" s="621">
        <f>AA88/$E$87</f>
        <v>-256.10875720289272</v>
      </c>
      <c r="AB89" s="621">
        <f>AB88/$E$87</f>
        <v>180.69511817593593</v>
      </c>
      <c r="AC89" s="621">
        <f t="shared" ref="AC89:AI89" si="275">AC88/$E$87</f>
        <v>-1043.9728518871348</v>
      </c>
      <c r="AD89" s="840">
        <f t="shared" si="275"/>
        <v>1915.8824365673775</v>
      </c>
      <c r="AE89" s="621">
        <f t="shared" si="275"/>
        <v>19.948143158364655</v>
      </c>
      <c r="AF89" s="621">
        <f t="shared" si="275"/>
        <v>-1773.0283306029771</v>
      </c>
      <c r="AG89" s="621">
        <f t="shared" ref="AG89" si="276">AG88/$E$87</f>
        <v>387.10208875584766</v>
      </c>
      <c r="AH89" s="621">
        <f t="shared" si="275"/>
        <v>81.870832220596853</v>
      </c>
      <c r="AI89" s="621">
        <f t="shared" si="275"/>
        <v>118.51222814353041</v>
      </c>
      <c r="AJ89" s="621">
        <f t="shared" ref="AJ89:AK89" si="277">AJ88/$E$87</f>
        <v>992.94624718826446</v>
      </c>
      <c r="AK89" s="621">
        <f t="shared" si="277"/>
        <v>627.67638035790924</v>
      </c>
      <c r="AL89" s="621">
        <f>AL88/$E$87</f>
        <v>21.622296714670451</v>
      </c>
      <c r="AM89" s="621">
        <f t="shared" ref="AM89" si="278">AM88/$E$87</f>
        <v>1714.7341988098035</v>
      </c>
      <c r="AN89" s="621">
        <f>AN88/$E$87</f>
        <v>3163.6964822912146</v>
      </c>
      <c r="AO89" s="621">
        <f t="shared" ref="AO89" si="279">AO88/$E$87</f>
        <v>-949.07187812645736</v>
      </c>
      <c r="AP89" s="621">
        <f t="shared" ref="AP89:AQ89" si="280">AP88/$E$87</f>
        <v>3986.2529598790402</v>
      </c>
      <c r="AQ89" s="621">
        <f t="shared" si="280"/>
        <v>314.88781623306483</v>
      </c>
      <c r="AR89" s="621">
        <f>AR88/$E$87</f>
        <v>186.83343763161847</v>
      </c>
      <c r="AS89" s="621">
        <f>AS88/$E$87</f>
        <v>157.44390811653241</v>
      </c>
      <c r="AT89" s="621">
        <f>AT88/$E$87</f>
        <v>2578.6592976274464</v>
      </c>
      <c r="AU89" s="621">
        <f>AU88/$E$87</f>
        <v>-653.60949127681033</v>
      </c>
      <c r="AV89" s="621">
        <f t="shared" ref="AV89" si="281">AV88/$E$87</f>
        <v>0</v>
      </c>
      <c r="AW89" s="841">
        <f>AW88/$E$87</f>
        <v>17292.53442760168</v>
      </c>
      <c r="AX89" s="842"/>
      <c r="AY89" s="621">
        <f>AY88/$E$87</f>
        <v>0</v>
      </c>
      <c r="AZ89" s="621">
        <f t="shared" ref="AZ89" si="282">AZ88/$E$87</f>
        <v>-189.87090130990671</v>
      </c>
      <c r="BA89" s="840">
        <f t="shared" ref="BA89:BB89" si="283">BA88/$E$87</f>
        <v>771.37018716559783</v>
      </c>
      <c r="BB89" s="621">
        <f t="shared" si="283"/>
        <v>154.08510474337973</v>
      </c>
      <c r="BC89" s="621">
        <f>BC88/$E$87</f>
        <v>31.48878162330648</v>
      </c>
      <c r="BD89" s="621">
        <f>BD88/$E$87</f>
        <v>-68.225693517164046</v>
      </c>
      <c r="BE89" s="621">
        <f t="shared" ref="BE89" si="284">BE88/$E$87</f>
        <v>685.89493907518647</v>
      </c>
      <c r="BF89" s="621">
        <f>BF88/$E$87</f>
        <v>3431.6613676494621</v>
      </c>
      <c r="BG89" s="621">
        <f>BG88/$E$87</f>
        <v>-251.78324823390452</v>
      </c>
      <c r="BH89" s="621">
        <f>BH88/$E$87</f>
        <v>0</v>
      </c>
      <c r="BI89" s="841">
        <f>BI88/$E$87</f>
        <v>21857.154964797639</v>
      </c>
      <c r="BJ89" s="621">
        <f>BJ88/$E$87</f>
        <v>4564.6205371959586</v>
      </c>
      <c r="BK89" s="629"/>
      <c r="BL89" s="630"/>
      <c r="BM89" s="630"/>
      <c r="BN89" s="630"/>
      <c r="BO89" s="630"/>
      <c r="BP89" s="630"/>
      <c r="BQ89" s="630"/>
      <c r="BR89" s="630"/>
      <c r="BS89" s="630"/>
    </row>
    <row r="90" spans="1:71" s="737" customFormat="1">
      <c r="A90" s="659"/>
      <c r="E90" s="843"/>
      <c r="F90" s="843"/>
      <c r="G90" s="843"/>
      <c r="H90" s="843"/>
      <c r="I90" s="843"/>
      <c r="J90" s="843"/>
      <c r="K90" s="843"/>
      <c r="L90" s="843"/>
      <c r="M90" s="843"/>
      <c r="N90" s="843"/>
      <c r="O90" s="843"/>
      <c r="P90" s="843"/>
      <c r="Q90" s="843"/>
      <c r="R90" s="843"/>
      <c r="S90" s="843"/>
      <c r="T90" s="844"/>
      <c r="U90" s="844"/>
      <c r="V90" s="843"/>
      <c r="W90" s="843"/>
      <c r="X90" s="844"/>
      <c r="Y90" s="625"/>
      <c r="Z90" s="843"/>
      <c r="AA90" s="843"/>
      <c r="AB90" s="843"/>
      <c r="AC90" s="843"/>
      <c r="AD90" s="845"/>
      <c r="AE90" s="843"/>
      <c r="AF90" s="843"/>
      <c r="AG90" s="843"/>
      <c r="AH90" s="843"/>
      <c r="AI90" s="843"/>
      <c r="AJ90" s="843"/>
      <c r="AK90" s="843"/>
      <c r="AL90" s="843"/>
      <c r="AM90" s="843"/>
      <c r="AN90" s="843"/>
      <c r="AO90" s="843"/>
      <c r="AP90" s="843"/>
      <c r="AQ90" s="843"/>
      <c r="AR90" s="843"/>
      <c r="AS90" s="843"/>
      <c r="AT90" s="843"/>
      <c r="AU90" s="843"/>
      <c r="AV90" s="843"/>
      <c r="AW90" s="846"/>
      <c r="AX90" s="847"/>
      <c r="AY90" s="843"/>
      <c r="AZ90" s="843"/>
      <c r="BA90" s="845"/>
      <c r="BB90" s="843"/>
      <c r="BC90" s="843"/>
      <c r="BD90" s="843"/>
      <c r="BE90" s="843"/>
      <c r="BF90" s="843"/>
      <c r="BG90" s="843"/>
      <c r="BH90" s="843"/>
      <c r="BI90" s="846"/>
      <c r="BJ90" s="843"/>
      <c r="BK90" s="629"/>
      <c r="BL90" s="630"/>
      <c r="BM90" s="630"/>
      <c r="BN90" s="630"/>
      <c r="BO90" s="630"/>
      <c r="BP90" s="630"/>
      <c r="BQ90" s="630"/>
      <c r="BR90" s="630"/>
      <c r="BS90" s="630"/>
    </row>
    <row r="91" spans="1:71" s="737" customFormat="1">
      <c r="A91" s="659"/>
      <c r="D91" s="836"/>
      <c r="E91" s="843"/>
      <c r="F91" s="843"/>
      <c r="G91" s="843"/>
      <c r="H91" s="843"/>
      <c r="I91" s="843"/>
      <c r="J91" s="843"/>
      <c r="K91" s="843"/>
      <c r="L91" s="843"/>
      <c r="M91" s="843"/>
      <c r="N91" s="843"/>
      <c r="O91" s="843"/>
      <c r="P91" s="843"/>
      <c r="Q91" s="843"/>
      <c r="R91" s="843"/>
      <c r="S91" s="843"/>
      <c r="T91" s="844"/>
      <c r="U91" s="844"/>
      <c r="V91" s="843"/>
      <c r="W91" s="843"/>
      <c r="X91" s="844"/>
      <c r="Y91" s="625"/>
      <c r="Z91" s="843"/>
      <c r="AA91" s="843"/>
      <c r="AB91" s="843"/>
      <c r="AC91" s="843"/>
      <c r="AD91" s="845"/>
      <c r="AE91" s="843"/>
      <c r="AF91" s="843"/>
      <c r="AG91" s="843"/>
      <c r="AH91" s="843"/>
      <c r="AI91" s="843"/>
      <c r="AJ91" s="843"/>
      <c r="AK91" s="843"/>
      <c r="AL91" s="843"/>
      <c r="AM91" s="843"/>
      <c r="AN91" s="843"/>
      <c r="AO91" s="843"/>
      <c r="AP91" s="843"/>
      <c r="AQ91" s="843"/>
      <c r="AR91" s="843"/>
      <c r="AS91" s="843"/>
      <c r="AT91" s="843"/>
      <c r="AU91" s="843"/>
      <c r="AV91" s="843"/>
      <c r="AW91" s="846"/>
      <c r="AX91" s="847"/>
      <c r="AY91" s="843"/>
      <c r="AZ91" s="843"/>
      <c r="BA91" s="845"/>
      <c r="BB91" s="843"/>
      <c r="BC91" s="843"/>
      <c r="BD91" s="630"/>
      <c r="BE91" s="630"/>
      <c r="BF91" s="630"/>
      <c r="BG91" s="843"/>
      <c r="BH91" s="843"/>
      <c r="BI91" s="846"/>
      <c r="BJ91" s="843"/>
      <c r="BK91" s="629"/>
      <c r="BL91" s="630"/>
      <c r="BM91" s="630"/>
      <c r="BN91" s="630"/>
      <c r="BO91" s="630"/>
      <c r="BP91" s="630"/>
      <c r="BQ91" s="630"/>
      <c r="BR91" s="630"/>
      <c r="BS91" s="630"/>
    </row>
    <row r="92" spans="1:71" s="629" customFormat="1" ht="13.8">
      <c r="A92" s="848"/>
      <c r="D92" s="849"/>
      <c r="E92" s="850"/>
      <c r="F92" s="850"/>
      <c r="G92" s="850"/>
      <c r="H92" s="850"/>
      <c r="I92" s="850"/>
      <c r="J92" s="850"/>
      <c r="K92" s="850"/>
      <c r="L92" s="850"/>
      <c r="M92" s="850"/>
      <c r="N92" s="850"/>
      <c r="O92" s="850"/>
      <c r="P92" s="850"/>
      <c r="Q92" s="850"/>
      <c r="R92" s="850"/>
      <c r="S92" s="850"/>
      <c r="T92" s="851"/>
      <c r="U92" s="851"/>
      <c r="V92" s="850"/>
      <c r="W92" s="850"/>
      <c r="X92" s="851"/>
      <c r="Y92" s="628"/>
      <c r="Z92" s="850"/>
      <c r="AA92" s="850"/>
      <c r="AB92" s="850"/>
      <c r="AC92" s="850"/>
      <c r="AD92" s="852"/>
      <c r="AE92" s="850"/>
      <c r="AF92" s="850"/>
      <c r="AG92" s="850"/>
      <c r="AH92" s="850"/>
      <c r="AI92" s="850"/>
      <c r="AJ92" s="850"/>
      <c r="AK92" s="850"/>
      <c r="AL92" s="850"/>
      <c r="AM92" s="850"/>
      <c r="AN92" s="850"/>
      <c r="AO92" s="850"/>
      <c r="AP92" s="850"/>
      <c r="AQ92" s="850"/>
      <c r="AR92" s="850"/>
      <c r="AS92" s="850"/>
      <c r="AT92" s="853"/>
      <c r="AU92" s="630"/>
      <c r="AV92" s="630"/>
      <c r="AW92" s="630"/>
      <c r="AX92" s="630"/>
      <c r="AY92" s="630"/>
      <c r="AZ92" s="630"/>
      <c r="BA92" s="852"/>
      <c r="BB92" s="850"/>
      <c r="BC92" s="850"/>
      <c r="BD92" s="630"/>
      <c r="BE92" s="630"/>
      <c r="BF92" s="630"/>
      <c r="BG92" s="853"/>
      <c r="BH92" s="853"/>
      <c r="BI92" s="847"/>
      <c r="BJ92" s="850"/>
      <c r="BL92" s="630"/>
      <c r="BM92" s="630"/>
      <c r="BN92" s="630"/>
      <c r="BO92" s="630"/>
      <c r="BP92" s="630"/>
      <c r="BQ92" s="630"/>
      <c r="BR92" s="630"/>
      <c r="BS92" s="630"/>
    </row>
    <row r="93" spans="1:71" s="629" customFormat="1">
      <c r="A93" s="848"/>
      <c r="D93" s="854"/>
      <c r="E93" s="850"/>
      <c r="F93" s="850"/>
      <c r="G93" s="850"/>
      <c r="H93" s="850"/>
      <c r="I93" s="850"/>
      <c r="J93" s="850"/>
      <c r="K93" s="850"/>
      <c r="L93" s="850"/>
      <c r="M93" s="850"/>
      <c r="N93" s="850"/>
      <c r="O93" s="850"/>
      <c r="P93" s="850"/>
      <c r="Q93" s="850"/>
      <c r="R93" s="850"/>
      <c r="S93" s="850"/>
      <c r="T93" s="851"/>
      <c r="U93" s="851"/>
      <c r="V93" s="850"/>
      <c r="W93" s="850"/>
      <c r="X93" s="851"/>
      <c r="Y93" s="628"/>
      <c r="Z93" s="850"/>
      <c r="AA93" s="850"/>
      <c r="AB93" s="850"/>
      <c r="AC93" s="850"/>
      <c r="AD93" s="852"/>
      <c r="AE93" s="850"/>
      <c r="AF93" s="850"/>
      <c r="AG93" s="850"/>
      <c r="AH93" s="850"/>
      <c r="AI93" s="850"/>
      <c r="AJ93" s="850"/>
      <c r="AK93" s="850"/>
      <c r="AL93" s="850"/>
      <c r="AM93" s="850"/>
      <c r="AN93" s="850"/>
      <c r="AO93" s="850"/>
      <c r="AP93" s="850"/>
      <c r="AQ93" s="850"/>
      <c r="AR93" s="850"/>
      <c r="AS93" s="850"/>
      <c r="AT93" s="850"/>
      <c r="AU93" s="630"/>
      <c r="AV93" s="630"/>
      <c r="AW93" s="630"/>
      <c r="AX93" s="630"/>
      <c r="AY93" s="630"/>
      <c r="AZ93" s="630"/>
      <c r="BA93" s="852"/>
      <c r="BB93" s="850"/>
      <c r="BC93" s="850"/>
      <c r="BD93" s="630"/>
      <c r="BE93" s="630"/>
      <c r="BF93" s="630"/>
      <c r="BG93" s="850"/>
      <c r="BH93" s="850"/>
      <c r="BI93" s="847"/>
      <c r="BJ93" s="850"/>
      <c r="BL93" s="630"/>
      <c r="BM93" s="630"/>
      <c r="BN93" s="630"/>
      <c r="BO93" s="630"/>
      <c r="BP93" s="630"/>
      <c r="BQ93" s="630"/>
      <c r="BR93" s="630"/>
      <c r="BS93" s="630"/>
    </row>
    <row r="94" spans="1:71" s="629" customFormat="1">
      <c r="A94" s="848"/>
      <c r="E94" s="740"/>
      <c r="F94" s="740"/>
      <c r="G94" s="855"/>
      <c r="H94" s="636"/>
      <c r="I94" s="740"/>
      <c r="J94" s="740"/>
      <c r="K94" s="740"/>
      <c r="L94" s="740"/>
      <c r="M94" s="740"/>
      <c r="N94" s="740"/>
      <c r="O94" s="740"/>
      <c r="P94" s="740"/>
      <c r="Q94" s="740"/>
      <c r="R94" s="740"/>
      <c r="S94" s="740"/>
      <c r="T94" s="856"/>
      <c r="U94" s="857"/>
      <c r="V94" s="740"/>
      <c r="W94" s="740"/>
      <c r="X94" s="857"/>
      <c r="Y94" s="628"/>
      <c r="Z94" s="740"/>
      <c r="AA94" s="740"/>
      <c r="AB94" s="740"/>
      <c r="AC94" s="740"/>
      <c r="AD94" s="858"/>
      <c r="AE94" s="628"/>
      <c r="AF94" s="628"/>
      <c r="AG94" s="628"/>
      <c r="AH94" s="628"/>
      <c r="AI94" s="740"/>
      <c r="AJ94" s="740"/>
      <c r="AK94" s="740"/>
      <c r="AL94" s="740"/>
      <c r="AM94" s="740"/>
      <c r="AN94" s="740"/>
      <c r="AO94" s="740"/>
      <c r="AP94" s="740"/>
      <c r="AQ94" s="740"/>
      <c r="AR94" s="740"/>
      <c r="AS94" s="740"/>
      <c r="AT94" s="740"/>
      <c r="AU94" s="630"/>
      <c r="AV94" s="630"/>
      <c r="AW94" s="630"/>
      <c r="AX94" s="630"/>
      <c r="AY94" s="630"/>
      <c r="AZ94" s="630"/>
      <c r="BA94" s="858"/>
      <c r="BB94" s="628"/>
      <c r="BC94" s="740"/>
      <c r="BD94" s="630"/>
      <c r="BE94" s="630"/>
      <c r="BF94" s="630"/>
      <c r="BG94" s="740"/>
      <c r="BH94" s="740"/>
      <c r="BI94" s="628"/>
      <c r="BJ94" s="740"/>
      <c r="BL94" s="630"/>
      <c r="BM94" s="630"/>
      <c r="BN94" s="630"/>
      <c r="BO94" s="630"/>
      <c r="BP94" s="630"/>
      <c r="BQ94" s="630"/>
      <c r="BR94" s="630"/>
      <c r="BS94" s="630"/>
    </row>
    <row r="95" spans="1:71" s="629" customFormat="1">
      <c r="A95" s="848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0"/>
      <c r="Q95" s="740"/>
      <c r="R95" s="740"/>
      <c r="S95" s="740"/>
      <c r="T95" s="856"/>
      <c r="U95" s="857"/>
      <c r="V95" s="740"/>
      <c r="W95" s="740"/>
      <c r="X95" s="857"/>
      <c r="Y95" s="628"/>
      <c r="Z95" s="740"/>
      <c r="AA95" s="740"/>
      <c r="AB95" s="740"/>
      <c r="AC95" s="740"/>
      <c r="AD95" s="858"/>
      <c r="AE95" s="628"/>
      <c r="AF95" s="628"/>
      <c r="AG95" s="628"/>
      <c r="AH95" s="628"/>
      <c r="AI95" s="740"/>
      <c r="AJ95" s="740"/>
      <c r="AK95" s="740"/>
      <c r="AL95" s="740"/>
      <c r="AM95" s="740"/>
      <c r="AN95" s="740"/>
      <c r="AO95" s="740"/>
      <c r="AP95" s="740"/>
      <c r="AQ95" s="740"/>
      <c r="AR95" s="740"/>
      <c r="AS95" s="740"/>
      <c r="AU95" s="630"/>
      <c r="AV95" s="630"/>
      <c r="AW95" s="630"/>
      <c r="AX95" s="630"/>
      <c r="AY95" s="630"/>
      <c r="AZ95" s="630"/>
      <c r="BA95" s="858"/>
      <c r="BB95" s="628"/>
      <c r="BC95" s="740"/>
      <c r="BD95" s="630"/>
      <c r="BE95" s="630"/>
      <c r="BF95" s="630"/>
      <c r="BG95" s="740"/>
      <c r="BH95" s="740"/>
      <c r="BI95" s="628"/>
      <c r="BJ95" s="740"/>
      <c r="BL95" s="630"/>
      <c r="BM95" s="630"/>
      <c r="BN95" s="630"/>
      <c r="BO95" s="630"/>
      <c r="BP95" s="630"/>
      <c r="BQ95" s="630"/>
      <c r="BR95" s="630"/>
      <c r="BS95" s="630"/>
    </row>
    <row r="96" spans="1:71" s="816" customFormat="1">
      <c r="A96" s="814"/>
      <c r="E96" s="859"/>
      <c r="F96" s="740"/>
      <c r="G96" s="740"/>
      <c r="H96" s="740"/>
      <c r="I96" s="740"/>
      <c r="J96" s="740"/>
      <c r="K96" s="740"/>
      <c r="L96" s="740"/>
      <c r="M96" s="740"/>
      <c r="N96" s="740"/>
      <c r="O96" s="740"/>
      <c r="P96" s="740"/>
      <c r="Q96" s="740"/>
      <c r="R96" s="740"/>
      <c r="S96" s="740"/>
      <c r="T96" s="856"/>
      <c r="U96" s="857"/>
      <c r="V96" s="740"/>
      <c r="W96" s="740"/>
      <c r="X96" s="857"/>
      <c r="Y96" s="628"/>
      <c r="Z96" s="740"/>
      <c r="AA96" s="740"/>
      <c r="AB96" s="740"/>
      <c r="AC96" s="740"/>
      <c r="AD96" s="858"/>
      <c r="AE96" s="628"/>
      <c r="AF96" s="628"/>
      <c r="AG96" s="628"/>
      <c r="AH96" s="628"/>
      <c r="AI96" s="740"/>
      <c r="AJ96" s="740"/>
      <c r="AK96" s="740"/>
      <c r="AL96" s="740"/>
      <c r="AM96" s="740"/>
      <c r="AN96" s="740"/>
      <c r="AO96" s="740"/>
      <c r="AP96" s="740"/>
      <c r="AQ96" s="740"/>
      <c r="AR96" s="740"/>
      <c r="AS96" s="740"/>
      <c r="AT96" s="740"/>
      <c r="AU96" s="630"/>
      <c r="AV96" s="630"/>
      <c r="AW96" s="630"/>
      <c r="AX96" s="630"/>
      <c r="AY96" s="630"/>
      <c r="AZ96" s="630"/>
      <c r="BA96" s="858"/>
      <c r="BB96" s="628"/>
      <c r="BC96" s="740"/>
      <c r="BD96" s="630"/>
      <c r="BE96" s="630"/>
      <c r="BF96" s="630"/>
      <c r="BG96" s="740"/>
      <c r="BH96" s="740"/>
      <c r="BI96" s="628"/>
      <c r="BJ96" s="740"/>
      <c r="BK96" s="629"/>
      <c r="BL96" s="630"/>
      <c r="BM96" s="630"/>
      <c r="BN96" s="630"/>
      <c r="BO96" s="630"/>
      <c r="BP96" s="630"/>
      <c r="BQ96" s="630"/>
      <c r="BR96" s="630"/>
      <c r="BS96" s="630"/>
    </row>
    <row r="97" spans="1:71" s="816" customFormat="1">
      <c r="A97" s="814"/>
      <c r="E97" s="859"/>
      <c r="F97" s="740"/>
      <c r="G97" s="740"/>
      <c r="H97" s="740"/>
      <c r="I97" s="740"/>
      <c r="J97" s="740"/>
      <c r="K97" s="740"/>
      <c r="L97" s="740"/>
      <c r="M97" s="740"/>
      <c r="N97" s="740"/>
      <c r="O97" s="740"/>
      <c r="P97" s="740"/>
      <c r="Q97" s="740"/>
      <c r="R97" s="740"/>
      <c r="S97" s="740"/>
      <c r="T97" s="856"/>
      <c r="U97" s="857"/>
      <c r="V97" s="740"/>
      <c r="W97" s="740"/>
      <c r="X97" s="857"/>
      <c r="Y97" s="628"/>
      <c r="Z97" s="740"/>
      <c r="AA97" s="740"/>
      <c r="AB97" s="740"/>
      <c r="AC97" s="740"/>
      <c r="AD97" s="858"/>
      <c r="AE97" s="628"/>
      <c r="AF97" s="628"/>
      <c r="AG97" s="628"/>
      <c r="AH97" s="628"/>
      <c r="AI97" s="740"/>
      <c r="AJ97" s="740"/>
      <c r="AK97" s="740"/>
      <c r="AL97" s="740"/>
      <c r="AM97" s="740"/>
      <c r="AN97" s="740"/>
      <c r="AO97" s="740"/>
      <c r="AP97" s="740"/>
      <c r="AQ97" s="740"/>
      <c r="AR97" s="740"/>
      <c r="AS97" s="740"/>
      <c r="AT97" s="740"/>
      <c r="AU97" s="630"/>
      <c r="AV97" s="630"/>
      <c r="AW97" s="630"/>
      <c r="AX97" s="630"/>
      <c r="AY97" s="630"/>
      <c r="AZ97" s="630"/>
      <c r="BA97" s="858"/>
      <c r="BB97" s="628"/>
      <c r="BC97" s="740"/>
      <c r="BD97" s="630"/>
      <c r="BE97" s="630"/>
      <c r="BF97" s="630"/>
      <c r="BG97" s="740"/>
      <c r="BH97" s="740"/>
      <c r="BI97" s="628"/>
      <c r="BJ97" s="740"/>
      <c r="BK97" s="629"/>
      <c r="BL97" s="630"/>
      <c r="BM97" s="630"/>
      <c r="BN97" s="630"/>
      <c r="BO97" s="630"/>
      <c r="BP97" s="630"/>
      <c r="BQ97" s="630"/>
      <c r="BR97" s="630"/>
      <c r="BS97" s="630"/>
    </row>
    <row r="98" spans="1:71" s="816" customFormat="1">
      <c r="A98" s="814"/>
      <c r="E98" s="859"/>
      <c r="F98" s="740"/>
      <c r="G98" s="740"/>
      <c r="H98" s="740"/>
      <c r="I98" s="740"/>
      <c r="J98" s="740"/>
      <c r="K98" s="740"/>
      <c r="L98" s="740"/>
      <c r="M98" s="740"/>
      <c r="N98" s="740"/>
      <c r="O98" s="740"/>
      <c r="P98" s="740"/>
      <c r="Q98" s="740"/>
      <c r="R98" s="740"/>
      <c r="S98" s="740"/>
      <c r="T98" s="856"/>
      <c r="U98" s="857"/>
      <c r="V98" s="740"/>
      <c r="W98" s="740"/>
      <c r="X98" s="857"/>
      <c r="Y98" s="628"/>
      <c r="Z98" s="740"/>
      <c r="AA98" s="740"/>
      <c r="AB98" s="740"/>
      <c r="AC98" s="740"/>
      <c r="AD98" s="858"/>
      <c r="AE98" s="628"/>
      <c r="AF98" s="628"/>
      <c r="AG98" s="628"/>
      <c r="AH98" s="628"/>
      <c r="AI98" s="740"/>
      <c r="AJ98" s="740"/>
      <c r="AK98" s="740"/>
      <c r="AL98" s="740"/>
      <c r="AM98" s="740"/>
      <c r="AN98" s="740"/>
      <c r="AO98" s="740"/>
      <c r="AP98" s="740"/>
      <c r="AQ98" s="740"/>
      <c r="AR98" s="740"/>
      <c r="AS98" s="740"/>
      <c r="AT98" s="740"/>
      <c r="AU98" s="740"/>
      <c r="AV98" s="740"/>
      <c r="AW98" s="721"/>
      <c r="AX98" s="721"/>
      <c r="AY98" s="740"/>
      <c r="AZ98" s="740"/>
      <c r="BA98" s="858"/>
      <c r="BB98" s="628"/>
      <c r="BC98" s="740"/>
      <c r="BD98" s="630"/>
      <c r="BE98" s="630"/>
      <c r="BF98" s="630"/>
      <c r="BG98" s="740"/>
      <c r="BH98" s="740"/>
      <c r="BI98" s="628"/>
      <c r="BJ98" s="740"/>
      <c r="BK98" s="629"/>
      <c r="BL98" s="630"/>
      <c r="BM98" s="630"/>
      <c r="BN98" s="630"/>
      <c r="BO98" s="630"/>
      <c r="BP98" s="630"/>
      <c r="BQ98" s="630"/>
      <c r="BR98" s="630"/>
      <c r="BS98" s="630"/>
    </row>
  </sheetData>
  <customSheetViews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2">
    <mergeCell ref="AW4:AW5"/>
    <mergeCell ref="BI4:BI5"/>
  </mergeCells>
  <phoneticPr fontId="0" type="noConversion"/>
  <pageMargins left="0.8" right="0.75" top="0.9" bottom="0.5" header="0.5" footer="0.5"/>
  <pageSetup scale="66" firstPageNumber="4" fitToWidth="7" orientation="portrait" r:id="rId3"/>
  <headerFooter scaleWithDoc="0" alignWithMargins="0">
    <oddHeader>&amp;RExh. KJS-3</oddHeader>
    <oddFooter>&amp;RPage &amp;P of &amp;N</oddFooter>
  </headerFooter>
  <colBreaks count="7" manualBreakCount="7">
    <brk id="12" min="1" max="83" man="1"/>
    <brk id="19" min="1" max="83" man="1"/>
    <brk id="25" min="1" max="83" man="1"/>
    <brk id="32" min="1" max="83" man="1"/>
    <brk id="39" min="1" max="83" man="1"/>
    <brk id="49" min="1" max="83" man="1"/>
    <brk id="57" min="1" max="83" man="1"/>
  </colBreaks>
  <ignoredErrors>
    <ignoredError sqref="AW7 BI7" numberStoredAsText="1"/>
    <ignoredError sqref="Y50:Y85 V53" formula="1"/>
  </ignoredError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M70"/>
  <sheetViews>
    <sheetView zoomScaleNormal="100" workbookViewId="0">
      <pane xSplit="3" ySplit="6" topLeftCell="D7" activePane="bottomRight" state="frozen"/>
      <selection pane="topRight"/>
      <selection pane="bottomLeft"/>
      <selection pane="bottomRight" sqref="A1:G1"/>
    </sheetView>
  </sheetViews>
  <sheetFormatPr defaultColWidth="11.44140625" defaultRowHeight="13.2" outlineLevelRow="1"/>
  <cols>
    <col min="1" max="1" width="10" style="11" customWidth="1"/>
    <col min="2" max="2" width="12.5546875" style="157" customWidth="1"/>
    <col min="3" max="3" width="41.6640625" style="11" customWidth="1"/>
    <col min="4" max="5" width="11.44140625" style="11" customWidth="1"/>
    <col min="6" max="6" width="11.44140625" style="247" customWidth="1"/>
    <col min="7" max="7" width="8.44140625" style="216" customWidth="1"/>
    <col min="8" max="8" width="8.44140625" style="494" bestFit="1" customWidth="1"/>
    <col min="9" max="9" width="16.33203125" style="25" bestFit="1" customWidth="1"/>
    <col min="10" max="10" width="10.33203125" style="478" bestFit="1" customWidth="1"/>
    <col min="11" max="11" width="8.44140625" customWidth="1"/>
    <col min="12" max="12" width="8.44140625" style="11" customWidth="1"/>
    <col min="13" max="16384" width="11.44140625" style="11"/>
  </cols>
  <sheetData>
    <row r="1" spans="1:13">
      <c r="A1" s="912" t="str">
        <f>'ADJ DETAIL INPUT'!A2</f>
        <v>AVISTA UTILITIES</v>
      </c>
      <c r="B1" s="912"/>
      <c r="C1" s="912"/>
      <c r="D1" s="912"/>
      <c r="E1" s="912"/>
      <c r="F1" s="912"/>
      <c r="G1" s="912"/>
      <c r="J1" s="497"/>
    </row>
    <row r="2" spans="1:13">
      <c r="A2" s="913" t="s">
        <v>68</v>
      </c>
      <c r="B2" s="913"/>
      <c r="C2" s="913"/>
      <c r="D2" s="913"/>
      <c r="E2" s="913"/>
      <c r="F2" s="913"/>
      <c r="G2" s="913"/>
      <c r="J2" s="497"/>
    </row>
    <row r="3" spans="1:13" s="18" customFormat="1">
      <c r="A3" s="914" t="s">
        <v>142</v>
      </c>
      <c r="B3" s="914"/>
      <c r="C3" s="914"/>
      <c r="D3" s="914"/>
      <c r="E3" s="914"/>
      <c r="F3" s="914"/>
      <c r="G3" s="914"/>
      <c r="H3" s="495"/>
      <c r="I3" s="500"/>
      <c r="J3" s="498"/>
      <c r="K3"/>
    </row>
    <row r="4" spans="1:13" s="18" customFormat="1">
      <c r="A4" s="911" t="str">
        <f>'PROPOSED RATES-12.2024'!A3</f>
        <v>TWELVE MONTHS ENDED JUNE 30, 2023</v>
      </c>
      <c r="B4" s="911"/>
      <c r="C4" s="911"/>
      <c r="D4" s="911"/>
      <c r="E4" s="911"/>
      <c r="F4" s="911"/>
      <c r="G4" s="911"/>
      <c r="H4" s="495"/>
      <c r="I4" s="500"/>
      <c r="J4" s="498"/>
      <c r="K4"/>
    </row>
    <row r="5" spans="1:13" s="18" customFormat="1">
      <c r="A5" s="11"/>
      <c r="B5" s="157"/>
      <c r="C5" s="11"/>
      <c r="D5" s="915" t="s">
        <v>68</v>
      </c>
      <c r="E5" s="915"/>
      <c r="F5" s="915"/>
      <c r="G5" s="450">
        <f>'RR SUMMARY'!O15</f>
        <v>7.6100000000000001E-2</v>
      </c>
      <c r="H5" s="495"/>
      <c r="I5" s="500"/>
      <c r="J5" s="498"/>
      <c r="K5"/>
    </row>
    <row r="6" spans="1:13" ht="26.4">
      <c r="A6" s="218" t="s">
        <v>69</v>
      </c>
      <c r="B6" s="218" t="s">
        <v>199</v>
      </c>
      <c r="C6" s="218" t="s">
        <v>70</v>
      </c>
      <c r="D6" s="218" t="s">
        <v>71</v>
      </c>
      <c r="E6" s="218" t="s">
        <v>18</v>
      </c>
      <c r="F6" s="452" t="s">
        <v>534</v>
      </c>
      <c r="G6" s="451" t="s">
        <v>72</v>
      </c>
      <c r="H6" s="501" t="s">
        <v>169</v>
      </c>
      <c r="I6" s="268" t="s">
        <v>168</v>
      </c>
      <c r="J6" s="499" t="s">
        <v>378</v>
      </c>
    </row>
    <row r="7" spans="1:13">
      <c r="A7" s="251" t="s">
        <v>415</v>
      </c>
      <c r="B7" s="217"/>
      <c r="C7" s="217"/>
      <c r="D7" s="217"/>
      <c r="E7" s="217"/>
      <c r="F7" s="446"/>
      <c r="G7" s="217"/>
      <c r="H7" s="495"/>
      <c r="I7" s="500"/>
      <c r="J7" s="462"/>
    </row>
    <row r="8" spans="1:13">
      <c r="A8" s="220">
        <f>'ADJ DETAIL INPUT'!E$10</f>
        <v>1</v>
      </c>
      <c r="B8" s="159" t="str">
        <f>'ADJ DETAIL INPUT'!E$11</f>
        <v>G-ROO</v>
      </c>
      <c r="C8" s="23" t="str">
        <f>TRIM(CONCATENATE('ADJ DETAIL INPUT'!E$7," ",'ADJ DETAIL INPUT'!E$8," ",'ADJ DETAIL INPUT'!E$9))</f>
        <v>Results of Operations</v>
      </c>
      <c r="D8" s="24">
        <f>'ADJ DETAIL INPUT'!E$58</f>
        <v>36392</v>
      </c>
      <c r="E8" s="24">
        <f>'ADJ DETAIL INPUT'!E$81</f>
        <v>533429.39999999991</v>
      </c>
      <c r="F8" s="463">
        <f>((E8*$G$5)-D8)/$G$54</f>
        <v>5582.9175884110527</v>
      </c>
      <c r="G8" s="262">
        <f>D8/E8</f>
        <v>6.8222711384111942E-2</v>
      </c>
      <c r="I8" s="494" t="s">
        <v>573</v>
      </c>
      <c r="J8" s="496" t="s">
        <v>619</v>
      </c>
      <c r="L8" s="250"/>
      <c r="M8" s="250"/>
    </row>
    <row r="9" spans="1:13">
      <c r="A9" s="220">
        <f>'ADJ DETAIL INPUT'!F$10</f>
        <v>1.01</v>
      </c>
      <c r="B9" s="159" t="str">
        <f>'ADJ DETAIL INPUT'!F$11</f>
        <v>G-DFIT</v>
      </c>
      <c r="C9" s="23" t="str">
        <f>TRIM(CONCATENATE('ADJ DETAIL INPUT'!F$7," ",'ADJ DETAIL INPUT'!F$8," ",'ADJ DETAIL INPUT'!F$9))</f>
        <v>Deferred FIT Rate Base</v>
      </c>
      <c r="D9" s="80">
        <f>'ADJ DETAIL INPUT'!F$58</f>
        <v>-1.208928</v>
      </c>
      <c r="E9" s="80">
        <f>'ADJ DETAIL INPUT'!F$81</f>
        <v>-224</v>
      </c>
      <c r="F9" s="466">
        <f>((E9*$G$5)-D9)/$G$54</f>
        <v>-21.042307901824088</v>
      </c>
      <c r="I9" s="525" t="s">
        <v>627</v>
      </c>
      <c r="J9" s="529" t="s">
        <v>619</v>
      </c>
      <c r="L9" s="250"/>
      <c r="M9" s="250"/>
    </row>
    <row r="10" spans="1:13">
      <c r="A10" s="220">
        <f>'ADJ DETAIL INPUT'!G$10</f>
        <v>1.02</v>
      </c>
      <c r="B10" s="159" t="str">
        <f>'ADJ DETAIL INPUT'!G$11</f>
        <v>G-DDC</v>
      </c>
      <c r="C10" s="23" t="str">
        <f>TRIM(CONCATENATE('ADJ DETAIL INPUT'!G$7," ",'ADJ DETAIL INPUT'!G$8," ",'ADJ DETAIL INPUT'!G$9))</f>
        <v>Deferred Debits and Credits</v>
      </c>
      <c r="D10" s="80">
        <f>'ADJ DETAIL INPUT'!G$58</f>
        <v>0</v>
      </c>
      <c r="E10" s="80">
        <f>'ADJ DETAIL INPUT'!G$81</f>
        <v>0</v>
      </c>
      <c r="F10" s="466">
        <f t="shared" ref="F10:F27" si="0">((E10*$G$5)-D10)/$G$54</f>
        <v>0</v>
      </c>
      <c r="I10" s="527" t="s">
        <v>421</v>
      </c>
      <c r="J10" s="539" t="s">
        <v>619</v>
      </c>
      <c r="L10" s="250"/>
      <c r="M10" s="250"/>
    </row>
    <row r="11" spans="1:13">
      <c r="A11" s="220">
        <f>'ADJ DETAIL INPUT'!H$10</f>
        <v>1.03</v>
      </c>
      <c r="B11" s="159" t="str">
        <f>'ADJ DETAIL INPUT'!H$11</f>
        <v>G-WC</v>
      </c>
      <c r="C11" s="23" t="str">
        <f>TRIM(CONCATENATE('ADJ DETAIL INPUT'!H$7," ",'ADJ DETAIL INPUT'!H$8," ",'ADJ DETAIL INPUT'!H$9))</f>
        <v>Working Capital</v>
      </c>
      <c r="D11" s="80">
        <f>'ADJ DETAIL INPUT'!H$58</f>
        <v>-3.4972560000000001</v>
      </c>
      <c r="E11" s="80">
        <f>'ADJ DETAIL INPUT'!H$81</f>
        <v>-648</v>
      </c>
      <c r="F11" s="466">
        <f t="shared" si="0"/>
        <v>-60.872390715991123</v>
      </c>
      <c r="I11" s="494" t="s">
        <v>621</v>
      </c>
      <c r="J11" s="539" t="s">
        <v>619</v>
      </c>
    </row>
    <row r="12" spans="1:13">
      <c r="A12" s="220">
        <f>'ADJ DETAIL INPUT'!I$10</f>
        <v>2.0099999999999998</v>
      </c>
      <c r="B12" s="159" t="str">
        <f>'ADJ DETAIL INPUT'!I$11</f>
        <v>G-EBO</v>
      </c>
      <c r="C12" s="23" t="str">
        <f>TRIM(CONCATENATE('ADJ DETAIL INPUT'!I$7," ",'ADJ DETAIL INPUT'!I$8," ",'ADJ DETAIL INPUT'!I$9))</f>
        <v>Eliminate B &amp; O Taxes</v>
      </c>
      <c r="D12" s="80">
        <f>'ADJ DETAIL INPUT'!I$58</f>
        <v>33.18</v>
      </c>
      <c r="E12" s="80">
        <f>'ADJ DETAIL INPUT'!I$81</f>
        <v>0</v>
      </c>
      <c r="F12" s="466">
        <f t="shared" si="0"/>
        <v>-44.084294272629073</v>
      </c>
      <c r="I12" s="524" t="s">
        <v>499</v>
      </c>
      <c r="J12" s="529" t="s">
        <v>619</v>
      </c>
    </row>
    <row r="13" spans="1:13">
      <c r="A13" s="220">
        <f>'ADJ DETAIL INPUT'!J$10</f>
        <v>2.0199999999999996</v>
      </c>
      <c r="B13" s="159" t="str">
        <f>'ADJ DETAIL INPUT'!J$11</f>
        <v>G-RPT</v>
      </c>
      <c r="C13" s="23" t="str">
        <f>TRIM(CONCATENATE('ADJ DETAIL INPUT'!J$7," ",'ADJ DETAIL INPUT'!J$8," ",'ADJ DETAIL INPUT'!J$9))</f>
        <v>Restate Property Tax</v>
      </c>
      <c r="D13" s="80">
        <f>'ADJ DETAIL INPUT'!J$58</f>
        <v>-227.52</v>
      </c>
      <c r="E13" s="80">
        <f>'ADJ DETAIL INPUT'!J$81</f>
        <v>0</v>
      </c>
      <c r="F13" s="466">
        <f t="shared" si="0"/>
        <v>302.29230358374224</v>
      </c>
      <c r="I13" s="532" t="s">
        <v>499</v>
      </c>
      <c r="J13" s="537" t="s">
        <v>619</v>
      </c>
    </row>
    <row r="14" spans="1:13">
      <c r="A14" s="220">
        <f>'ADJ DETAIL INPUT'!K$10</f>
        <v>2.0299999999999994</v>
      </c>
      <c r="B14" s="159" t="str">
        <f>'ADJ DETAIL INPUT'!K$11</f>
        <v>G-UE</v>
      </c>
      <c r="C14" s="23" t="str">
        <f>TRIM(CONCATENATE('ADJ DETAIL INPUT'!K$7," ",'ADJ DETAIL INPUT'!K$8," ",'ADJ DETAIL INPUT'!K$9))</f>
        <v>Uncollectible Expense</v>
      </c>
      <c r="D14" s="80">
        <f>'ADJ DETAIL INPUT'!K$58</f>
        <v>-732.33</v>
      </c>
      <c r="E14" s="80">
        <f>'ADJ DETAIL INPUT'!K$81</f>
        <v>0</v>
      </c>
      <c r="F14" s="466">
        <f t="shared" si="0"/>
        <v>973.00335216017027</v>
      </c>
      <c r="I14" s="494" t="s">
        <v>499</v>
      </c>
      <c r="J14" s="529" t="s">
        <v>619</v>
      </c>
    </row>
    <row r="15" spans="1:13">
      <c r="A15" s="220">
        <f>'ADJ DETAIL INPUT'!L$10</f>
        <v>2.0399999999999991</v>
      </c>
      <c r="B15" s="159" t="str">
        <f>'ADJ DETAIL INPUT'!L$11</f>
        <v>G-RE</v>
      </c>
      <c r="C15" s="23" t="str">
        <f>TRIM(CONCATENATE('ADJ DETAIL INPUT'!L$7," ",'ADJ DETAIL INPUT'!L$8," ",'ADJ DETAIL INPUT'!L$9))</f>
        <v>Regulatory Expense</v>
      </c>
      <c r="D15" s="80">
        <f>'ADJ DETAIL INPUT'!L$58</f>
        <v>-314.42</v>
      </c>
      <c r="E15" s="80">
        <f>'ADJ DETAIL INPUT'!L$81</f>
        <v>0</v>
      </c>
      <c r="F15" s="466">
        <f t="shared" si="0"/>
        <v>417.75116953586598</v>
      </c>
      <c r="I15" s="25" t="s">
        <v>421</v>
      </c>
      <c r="J15" s="529" t="s">
        <v>619</v>
      </c>
    </row>
    <row r="16" spans="1:13">
      <c r="A16" s="220">
        <f>'ADJ DETAIL INPUT'!M$10</f>
        <v>2.0499999999999989</v>
      </c>
      <c r="B16" s="159" t="str">
        <f>'ADJ DETAIL INPUT'!M$11</f>
        <v>G-ID</v>
      </c>
      <c r="C16" s="23" t="str">
        <f>TRIM(CONCATENATE('ADJ DETAIL INPUT'!M$7," ",'ADJ DETAIL INPUT'!M$8," ",'ADJ DETAIL INPUT'!M$9))</f>
        <v>Injuries &amp; Damages</v>
      </c>
      <c r="D16" s="80">
        <f>'ADJ DETAIL INPUT'!M$58</f>
        <v>14.22</v>
      </c>
      <c r="E16" s="80">
        <f>'ADJ DETAIL INPUT'!M$81</f>
        <v>0</v>
      </c>
      <c r="F16" s="466">
        <f t="shared" si="0"/>
        <v>-18.89326897398389</v>
      </c>
      <c r="I16" s="25" t="s">
        <v>421</v>
      </c>
      <c r="J16" s="533" t="s">
        <v>619</v>
      </c>
    </row>
    <row r="17" spans="1:12">
      <c r="A17" s="220">
        <f>'ADJ DETAIL INPUT'!N$10</f>
        <v>2.0599999999999987</v>
      </c>
      <c r="B17" s="159" t="str">
        <f>'ADJ DETAIL INPUT'!N$11</f>
        <v>G-FIT</v>
      </c>
      <c r="C17" s="23" t="str">
        <f>TRIM(CONCATENATE('ADJ DETAIL INPUT'!N$7," ",'ADJ DETAIL INPUT'!N$8," ",'ADJ DETAIL INPUT'!N$9))</f>
        <v>FIT / DFIT Expense</v>
      </c>
      <c r="D17" s="221">
        <f>'ADJ DETAIL INPUT'!N$58</f>
        <v>101</v>
      </c>
      <c r="E17" s="80">
        <f>'ADJ DETAIL INPUT'!N$81</f>
        <v>0</v>
      </c>
      <c r="F17" s="466">
        <f t="shared" si="0"/>
        <v>-134.19269805712889</v>
      </c>
      <c r="I17" s="536" t="s">
        <v>499</v>
      </c>
      <c r="J17" s="546" t="s">
        <v>619</v>
      </c>
    </row>
    <row r="18" spans="1:12">
      <c r="A18" s="220">
        <f>'ADJ DETAIL INPUT'!O$10</f>
        <v>2.0699999999999985</v>
      </c>
      <c r="B18" s="159" t="str">
        <f>'ADJ DETAIL INPUT'!O$11</f>
        <v>G-OSC</v>
      </c>
      <c r="C18" s="23" t="str">
        <f>TRIM(CONCATENATE('ADJ DETAIL INPUT'!O$7," ",'ADJ DETAIL INPUT'!O$8," ",'ADJ DETAIL INPUT'!O$9))</f>
        <v>Office Space Charges to Non-Utility</v>
      </c>
      <c r="D18" s="80">
        <f>'ADJ DETAIL INPUT'!O$58</f>
        <v>7.9</v>
      </c>
      <c r="E18" s="80">
        <f>'ADJ DETAIL INPUT'!O$81</f>
        <v>0</v>
      </c>
      <c r="F18" s="466">
        <f t="shared" si="0"/>
        <v>-10.496260541102162</v>
      </c>
      <c r="I18" s="527" t="s">
        <v>421</v>
      </c>
      <c r="J18" s="533" t="s">
        <v>619</v>
      </c>
    </row>
    <row r="19" spans="1:12">
      <c r="A19" s="220">
        <f>'ADJ DETAIL INPUT'!P$10</f>
        <v>2.0799999999999983</v>
      </c>
      <c r="B19" s="159" t="str">
        <f>'ADJ DETAIL INPUT'!P$11</f>
        <v>G-RET</v>
      </c>
      <c r="C19" s="23" t="str">
        <f>TRIM(CONCATENATE('ADJ DETAIL INPUT'!P$7," ",'ADJ DETAIL INPUT'!P$8," ",'ADJ DETAIL INPUT'!P$9))</f>
        <v>Restate Excise Taxes</v>
      </c>
      <c r="D19" s="80">
        <f>'ADJ DETAIL INPUT'!P$58</f>
        <v>3.16</v>
      </c>
      <c r="E19" s="80">
        <f>'ADJ DETAIL INPUT'!P$81</f>
        <v>0</v>
      </c>
      <c r="F19" s="466">
        <f t="shared" si="0"/>
        <v>-4.1985042164408641</v>
      </c>
      <c r="I19" s="526" t="s">
        <v>499</v>
      </c>
      <c r="J19" s="533" t="s">
        <v>619</v>
      </c>
    </row>
    <row r="20" spans="1:12">
      <c r="A20" s="220">
        <f>'ADJ DETAIL INPUT'!Q$10</f>
        <v>2.0899999999999981</v>
      </c>
      <c r="B20" s="159" t="str">
        <f>'ADJ DETAIL INPUT'!Q$11</f>
        <v>G-NGL</v>
      </c>
      <c r="C20" s="23" t="str">
        <f>TRIM(CONCATENATE('ADJ DETAIL INPUT'!Q$7," ",'ADJ DETAIL INPUT'!Q$8," ",'ADJ DETAIL INPUT'!Q$9))</f>
        <v>Net Gains &amp; Losses</v>
      </c>
      <c r="D20" s="80">
        <f>'ADJ DETAIL INPUT'!Q$58</f>
        <v>8.69</v>
      </c>
      <c r="E20" s="80">
        <f>'ADJ DETAIL INPUT'!Q$81</f>
        <v>0</v>
      </c>
      <c r="F20" s="466">
        <f t="shared" si="0"/>
        <v>-11.545886595212375</v>
      </c>
      <c r="I20" s="25" t="s">
        <v>421</v>
      </c>
      <c r="J20" s="546" t="s">
        <v>619</v>
      </c>
    </row>
    <row r="21" spans="1:12">
      <c r="A21" s="220">
        <f>'ADJ DETAIL INPUT'!R$10</f>
        <v>2.0999999999999979</v>
      </c>
      <c r="B21" s="159" t="str">
        <f>'ADJ DETAIL INPUT'!R$11</f>
        <v>G-WNGC</v>
      </c>
      <c r="C21" s="23" t="str">
        <f>TRIM(CONCATENATE('ADJ DETAIL INPUT'!R$7," ",'ADJ DETAIL INPUT'!R$8," ",'ADJ DETAIL INPUT'!R$9))</f>
        <v>Weather Normalization / Gas Cost Adjust</v>
      </c>
      <c r="D21" s="80">
        <f>'ADJ DETAIL INPUT'!R$58</f>
        <v>-33.97</v>
      </c>
      <c r="E21" s="80">
        <f>'ADJ DETAIL INPUT'!R$81</f>
        <v>0</v>
      </c>
      <c r="F21" s="466">
        <f t="shared" si="0"/>
        <v>45.133920326739286</v>
      </c>
      <c r="I21" s="524" t="s">
        <v>499</v>
      </c>
      <c r="J21" s="546" t="s">
        <v>619</v>
      </c>
    </row>
    <row r="22" spans="1:12" s="225" customFormat="1">
      <c r="A22" s="237">
        <f>'ADJ DETAIL INPUT'!S$10</f>
        <v>2.1099999999999977</v>
      </c>
      <c r="B22" s="238" t="str">
        <f>'ADJ DETAIL INPUT'!S$11</f>
        <v>G-EAS</v>
      </c>
      <c r="C22" s="229" t="str">
        <f>TRIM(CONCATENATE('ADJ DETAIL INPUT'!S$7," ",'ADJ DETAIL INPUT'!S$8," ",'ADJ DETAIL INPUT'!S$9))</f>
        <v>Eliminate Adder Schedules</v>
      </c>
      <c r="D22" s="230">
        <f>'ADJ DETAIL INPUT'!S$58</f>
        <v>8.0499999999992724</v>
      </c>
      <c r="E22" s="230">
        <f>'ADJ DETAIL INPUT'!S$81</f>
        <v>0</v>
      </c>
      <c r="F22" s="466">
        <f t="shared" si="0"/>
        <v>-10.695556627324653</v>
      </c>
      <c r="G22" s="227"/>
      <c r="H22" s="25"/>
      <c r="I22" s="524" t="s">
        <v>499</v>
      </c>
      <c r="J22" s="546" t="s">
        <v>619</v>
      </c>
      <c r="K22"/>
    </row>
    <row r="23" spans="1:12" s="60" customFormat="1">
      <c r="A23" s="220">
        <f>'ADJ DETAIL INPUT'!T$10</f>
        <v>2.1199999999999974</v>
      </c>
      <c r="B23" s="159" t="str">
        <f>'ADJ DETAIL INPUT'!T$11</f>
        <v>G-MR</v>
      </c>
      <c r="C23" s="252" t="str">
        <f>TRIM(CONCATENATE('ADJ DETAIL INPUT'!T$7," ",'ADJ DETAIL INPUT'!T$8," ",'ADJ DETAIL INPUT'!T$9))</f>
        <v>Misc. Restating Non-Util / Non- Recurring Expense</v>
      </c>
      <c r="D23" s="221">
        <f>'ADJ DETAIL INPUT'!T$58</f>
        <v>328.00799999999998</v>
      </c>
      <c r="E23" s="221">
        <f>'ADJ DETAIL INPUT'!T$81</f>
        <v>0</v>
      </c>
      <c r="F23" s="466">
        <f t="shared" si="0"/>
        <v>-435.80473766656166</v>
      </c>
      <c r="G23" s="25"/>
      <c r="H23" s="494"/>
      <c r="I23" s="25" t="s">
        <v>421</v>
      </c>
      <c r="J23" s="547" t="s">
        <v>619</v>
      </c>
      <c r="K23"/>
    </row>
    <row r="24" spans="1:12" s="247" customFormat="1" ht="13.5" customHeight="1">
      <c r="A24" s="253">
        <f>'ADJ DETAIL INPUT'!U$10</f>
        <v>2.1299999999999972</v>
      </c>
      <c r="B24" s="254" t="str">
        <f>'ADJ DETAIL INPUT'!U$11</f>
        <v>G-RI</v>
      </c>
      <c r="C24" s="252" t="str">
        <f>TRIM(CONCATENATE('ADJ DETAIL INPUT'!U$7," ",'ADJ DETAIL INPUT'!U$8," ",'ADJ DETAIL INPUT'!U$9))</f>
        <v>Restating Incentives Expense</v>
      </c>
      <c r="D24" s="249">
        <f>'ADJ DETAIL INPUT'!U$58</f>
        <v>-197.72357</v>
      </c>
      <c r="E24" s="249">
        <f>'ADJ DETAIL INPUT'!U$81</f>
        <v>0</v>
      </c>
      <c r="F24" s="466">
        <f t="shared" si="0"/>
        <v>262.70355770086718</v>
      </c>
      <c r="G24" s="266"/>
      <c r="I24" s="494" t="s">
        <v>500</v>
      </c>
      <c r="J24" s="547" t="s">
        <v>619</v>
      </c>
      <c r="K24"/>
    </row>
    <row r="25" spans="1:12" s="60" customFormat="1" ht="13.5" customHeight="1">
      <c r="A25" s="220">
        <f>'ADJ DETAIL INPUT'!V$10</f>
        <v>2.139999999999997</v>
      </c>
      <c r="B25" s="159" t="str">
        <f>'ADJ DETAIL INPUT'!V$11</f>
        <v>G-RDI</v>
      </c>
      <c r="C25" s="222" t="str">
        <f>TRIM(CONCATENATE('ADJ DETAIL INPUT'!V$7," ",'ADJ DETAIL INPUT'!V$8," ",'ADJ DETAIL INPUT'!V$9))</f>
        <v>Restate Debt Interest</v>
      </c>
      <c r="D25" s="221">
        <f>'ADJ DETAIL INPUT'!V$58</f>
        <v>-57</v>
      </c>
      <c r="E25" s="221">
        <f>'ADJ DETAIL INPUT'!V$81</f>
        <v>0</v>
      </c>
      <c r="F25" s="466">
        <f t="shared" si="0"/>
        <v>75.732512764914318</v>
      </c>
      <c r="G25" s="25"/>
      <c r="I25" s="25" t="s">
        <v>573</v>
      </c>
      <c r="J25" s="25" t="s">
        <v>573</v>
      </c>
      <c r="K25"/>
    </row>
    <row r="26" spans="1:12" s="250" customFormat="1" ht="13.5" customHeight="1">
      <c r="A26" s="253">
        <f>'ADJ DETAIL INPUT'!W$10</f>
        <v>2.1499999999999968</v>
      </c>
      <c r="B26" s="254" t="str">
        <f>'ADJ DETAIL INPUT'!W$11</f>
        <v>G-RCAP</v>
      </c>
      <c r="C26" s="252" t="str">
        <f>TRIM(CONCATENATE('ADJ DETAIL INPUT'!W$7," ",'ADJ DETAIL INPUT'!W$8," ",'ADJ DETAIL INPUT'!W$9))</f>
        <v>Restate Capital 06.2023 EOP</v>
      </c>
      <c r="D26" s="221">
        <f>'ADJ DETAIL INPUT'!W$58</f>
        <v>66.965975999999998</v>
      </c>
      <c r="E26" s="221">
        <f>'ADJ DETAIL INPUT'!W$81</f>
        <v>12408</v>
      </c>
      <c r="F26" s="466">
        <f t="shared" si="0"/>
        <v>1165.5935555617559</v>
      </c>
      <c r="G26" s="25"/>
      <c r="I26" s="25" t="s">
        <v>500</v>
      </c>
      <c r="J26" s="538" t="s">
        <v>619</v>
      </c>
      <c r="K26"/>
    </row>
    <row r="27" spans="1:12" s="250" customFormat="1" ht="13.5" hidden="1" customHeight="1" outlineLevel="1">
      <c r="A27" s="253">
        <f>'ADJ DETAIL INPUT'!X$10</f>
        <v>0</v>
      </c>
      <c r="B27" s="254">
        <f>'ADJ DETAIL INPUT'!X$11</f>
        <v>0</v>
      </c>
      <c r="C27" s="252" t="str">
        <f>TRIM(CONCATENATE('ADJ DETAIL INPUT'!X$7," ",'ADJ DETAIL INPUT'!X$8," ",'ADJ DETAIL INPUT'!X$9))</f>
        <v/>
      </c>
      <c r="D27" s="221">
        <f>'ADJ DETAIL INPUT'!X$58</f>
        <v>0</v>
      </c>
      <c r="E27" s="221">
        <f>'ADJ DETAIL INPUT'!X$81</f>
        <v>0</v>
      </c>
      <c r="F27" s="466">
        <f t="shared" si="0"/>
        <v>0</v>
      </c>
      <c r="G27" s="25"/>
      <c r="I27" s="494"/>
      <c r="J27" s="494"/>
      <c r="K27"/>
    </row>
    <row r="28" spans="1:12" collapsed="1">
      <c r="A28" s="133"/>
      <c r="B28" s="158"/>
      <c r="C28" s="11" t="s">
        <v>74</v>
      </c>
      <c r="D28" s="455">
        <f>SUM(D8:D27)</f>
        <v>35395.50422200001</v>
      </c>
      <c r="E28" s="455">
        <f>SUM(E8:E27)</f>
        <v>544965.39999999991</v>
      </c>
      <c r="F28" s="455">
        <f>SUM(F8:F27)</f>
        <v>8073.3020544769097</v>
      </c>
      <c r="G28" s="454">
        <f>D28/E28</f>
        <v>6.4950002737788518E-2</v>
      </c>
      <c r="H28" s="495"/>
      <c r="I28" s="500"/>
      <c r="J28" s="462"/>
    </row>
    <row r="29" spans="1:12" ht="13.5" customHeight="1">
      <c r="A29" s="458" t="s">
        <v>575</v>
      </c>
      <c r="B29" s="159"/>
      <c r="D29" s="23"/>
      <c r="H29" s="495"/>
      <c r="J29" s="462"/>
    </row>
    <row r="30" spans="1:12" s="225" customFormat="1">
      <c r="A30" s="237">
        <f>'ADJ DETAIL INPUT'!Z$10</f>
        <v>3.01</v>
      </c>
      <c r="B30" s="238" t="str">
        <f>'ADJ DETAIL INPUT'!Z$11</f>
        <v>G-PREV</v>
      </c>
      <c r="C30" s="236" t="str">
        <f>TRIM(CONCATENATE('ADJ DETAIL INPUT'!Z$7," ",'ADJ DETAIL INPUT'!Z$8," ",'ADJ DETAIL INPUT'!Z$9))</f>
        <v>Pro Forma Revenue Normalization</v>
      </c>
      <c r="D30" s="230">
        <f>'ADJ DETAIL INPUT'!Z$58</f>
        <v>1922.07</v>
      </c>
      <c r="E30" s="230">
        <f>'ADJ DETAIL INPUT'!Z$81</f>
        <v>0</v>
      </c>
      <c r="F30" s="466">
        <f>((E30*$G$5)-D30)/$G$54</f>
        <v>-2553.7401896501556</v>
      </c>
      <c r="G30" s="267"/>
      <c r="I30" s="494" t="s">
        <v>626</v>
      </c>
      <c r="J30" s="547" t="s">
        <v>619</v>
      </c>
      <c r="K30"/>
      <c r="L30" s="232"/>
    </row>
    <row r="31" spans="1:12" s="247" customFormat="1">
      <c r="A31" s="253">
        <f>'ADJ DETAIL INPUT'!AA$10</f>
        <v>3.0199999999999996</v>
      </c>
      <c r="B31" s="158" t="str">
        <f>'ADJ DETAIL INPUT'!AA$11</f>
        <v>G-PRA</v>
      </c>
      <c r="C31" s="252" t="str">
        <f>TRIM(CONCATENATE('ADJ DETAIL INPUT'!AA$7," ",'ADJ DETAIL INPUT'!AA$8," ",'ADJ DETAIL INPUT'!AA$9))</f>
        <v>Pro Forma Def. Debits, Credits &amp; Regulatory Amorts</v>
      </c>
      <c r="D31" s="249">
        <f>'ADJ DETAIL INPUT'!AA$58</f>
        <v>192.76</v>
      </c>
      <c r="E31" s="249">
        <f>'ADJ DETAIL INPUT'!AA$81</f>
        <v>0</v>
      </c>
      <c r="F31" s="466">
        <f t="shared" ref="F31:F51" si="1">((E31*$G$5)-D31)/$G$54</f>
        <v>-256.10875720289272</v>
      </c>
      <c r="G31" s="267"/>
      <c r="H31" s="494"/>
      <c r="I31" s="494" t="s">
        <v>421</v>
      </c>
      <c r="J31" s="547" t="s">
        <v>619</v>
      </c>
      <c r="K31"/>
      <c r="L31" s="250"/>
    </row>
    <row r="32" spans="1:12" s="247" customFormat="1">
      <c r="A32" s="253">
        <f>'ADJ DETAIL INPUT'!AB$10</f>
        <v>3.0299999999999994</v>
      </c>
      <c r="B32" s="254" t="str">
        <f>'ADJ DETAIL INPUT'!AB$11</f>
        <v>G-EDIT</v>
      </c>
      <c r="C32" s="252" t="str">
        <f>TRIM(CONCATENATE('ADJ DETAIL INPUT'!AB$7," ",'ADJ DETAIL INPUT'!AB$8," ",'ADJ DETAIL INPUT'!AB$9))</f>
        <v>Pro Forma EDIT (RSGM)</v>
      </c>
      <c r="D32" s="249">
        <f>'ADJ DETAIL INPUT'!AB$58</f>
        <v>-136</v>
      </c>
      <c r="E32" s="249">
        <f>'ADJ DETAIL INPUT'!AB$81</f>
        <v>0</v>
      </c>
      <c r="F32" s="466">
        <f t="shared" si="1"/>
        <v>180.69511817593593</v>
      </c>
      <c r="G32" s="267"/>
      <c r="I32" s="494" t="s">
        <v>633</v>
      </c>
      <c r="J32" s="538" t="s">
        <v>619</v>
      </c>
      <c r="K32"/>
      <c r="L32" s="250"/>
    </row>
    <row r="33" spans="1:12" s="247" customFormat="1">
      <c r="A33" s="253">
        <f>'ADJ DETAIL INPUT'!AC$10</f>
        <v>3.0399999999999991</v>
      </c>
      <c r="B33" s="254" t="str">
        <f>'ADJ DETAIL INPUT'!AC$11</f>
        <v>G-PAMI</v>
      </c>
      <c r="C33" s="252" t="str">
        <f>TRIM(CONCATENATE('ADJ DETAIL INPUT'!AC$7," ",'ADJ DETAIL INPUT'!AC$8," ",'ADJ DETAIL INPUT'!AC$9))</f>
        <v>Pro Forma AMI Amortization</v>
      </c>
      <c r="D33" s="249">
        <f>'ADJ DETAIL INPUT'!AC$58</f>
        <v>622.815023</v>
      </c>
      <c r="E33" s="249">
        <f>'ADJ DETAIL INPUT'!AC$81</f>
        <v>-2141</v>
      </c>
      <c r="F33" s="466">
        <f t="shared" si="1"/>
        <v>-1043.9728518871348</v>
      </c>
      <c r="G33" s="339"/>
      <c r="I33" s="494" t="s">
        <v>462</v>
      </c>
      <c r="J33" s="530" t="s">
        <v>462</v>
      </c>
      <c r="K33"/>
      <c r="L33" s="250"/>
    </row>
    <row r="34" spans="1:12" s="247" customFormat="1">
      <c r="A34" s="253">
        <f>'ADJ DETAIL INPUT'!AD$10</f>
        <v>3.0499999999999989</v>
      </c>
      <c r="B34" s="254" t="str">
        <f>'ADJ DETAIL INPUT'!AD$11</f>
        <v>G-PLN</v>
      </c>
      <c r="C34" s="252" t="str">
        <f>TRIM(CONCATENATE('ADJ DETAIL INPUT'!AD$7," ",'ADJ DETAIL INPUT'!AD$8," ",'ADJ DETAIL INPUT'!AD$9))</f>
        <v>Pro Forma Labor Non-Exec</v>
      </c>
      <c r="D34" s="249">
        <f>'ADJ DETAIL INPUT'!AD$58</f>
        <v>-1441.9870000000001</v>
      </c>
      <c r="E34" s="249">
        <f>'ADJ DETAIL INPUT'!AD$81</f>
        <v>0</v>
      </c>
      <c r="F34" s="466">
        <f t="shared" si="1"/>
        <v>1915.8824365673775</v>
      </c>
      <c r="G34" s="248"/>
      <c r="I34" s="25" t="s">
        <v>574</v>
      </c>
      <c r="J34" s="548" t="s">
        <v>619</v>
      </c>
      <c r="K34"/>
      <c r="L34" s="250"/>
    </row>
    <row r="35" spans="1:12" s="247" customFormat="1">
      <c r="A35" s="253">
        <f>'ADJ DETAIL INPUT'!AE$10</f>
        <v>3.0599999999999987</v>
      </c>
      <c r="B35" s="158" t="str">
        <f>'ADJ DETAIL INPUT'!AE$11</f>
        <v>G-PLE</v>
      </c>
      <c r="C35" s="252" t="str">
        <f>TRIM(CONCATENATE('ADJ DETAIL INPUT'!AE$7," ",'ADJ DETAIL INPUT'!AE$8," ",'ADJ DETAIL INPUT'!AE$9))</f>
        <v>Pro Forma Labor Exec</v>
      </c>
      <c r="D35" s="249">
        <f>'ADJ DETAIL INPUT'!AE$58</f>
        <v>-15.013949999999999</v>
      </c>
      <c r="E35" s="249">
        <f>'ADJ DETAIL INPUT'!AE$81</f>
        <v>0</v>
      </c>
      <c r="F35" s="466">
        <f t="shared" si="1"/>
        <v>19.948143158364655</v>
      </c>
      <c r="G35" s="260"/>
      <c r="I35" s="494" t="s">
        <v>574</v>
      </c>
      <c r="J35" s="548" t="s">
        <v>619</v>
      </c>
      <c r="K35"/>
      <c r="L35" s="250"/>
    </row>
    <row r="36" spans="1:12">
      <c r="A36" s="220">
        <f>'ADJ DETAIL INPUT'!AF$10</f>
        <v>3.0699999999999985</v>
      </c>
      <c r="B36" s="159" t="str">
        <f>'ADJ DETAIL INPUT'!AF$11</f>
        <v>G-PEB</v>
      </c>
      <c r="C36" s="252" t="str">
        <f>TRIM(CONCATENATE('ADJ DETAIL INPUT'!AF$7," ",'ADJ DETAIL INPUT'!AF$8," ",'ADJ DETAIL INPUT'!AF$9))</f>
        <v>Pro Forma Employee Benefits</v>
      </c>
      <c r="D36" s="80">
        <f>'ADJ DETAIL INPUT'!AF$58</f>
        <v>1334.4680000000001</v>
      </c>
      <c r="E36" s="80">
        <f>'ADJ DETAIL INPUT'!AF$81</f>
        <v>0</v>
      </c>
      <c r="F36" s="466">
        <f t="shared" si="1"/>
        <v>-1773.0283306029771</v>
      </c>
      <c r="I36" s="494" t="s">
        <v>574</v>
      </c>
      <c r="J36" s="548" t="s">
        <v>619</v>
      </c>
    </row>
    <row r="37" spans="1:12" s="478" customFormat="1">
      <c r="A37" s="253">
        <f>'ADJ DETAIL INPUT'!AG$10</f>
        <v>3.0799999999999983</v>
      </c>
      <c r="B37" s="254" t="str">
        <f>'ADJ DETAIL INPUT'!AG$11</f>
        <v>G-PI</v>
      </c>
      <c r="C37" s="252" t="str">
        <f>TRIM(CONCATENATE('ADJ DETAIL INPUT'!AG$7," ",'ADJ DETAIL INPUT'!AG$8," ",'ADJ DETAIL INPUT'!AG$9))</f>
        <v>Pro Forma Incentives</v>
      </c>
      <c r="D37" s="249">
        <f>'ADJ DETAIL INPUT'!AG$58</f>
        <v>-291.35199999999998</v>
      </c>
      <c r="E37" s="249">
        <f>'ADJ DETAIL INPUT'!AG$81</f>
        <v>0</v>
      </c>
      <c r="F37" s="466">
        <f t="shared" ref="F37" si="2">((E37*$G$5)-D37)/$G$54</f>
        <v>387.10208875584766</v>
      </c>
      <c r="G37" s="545"/>
      <c r="H37" s="545"/>
      <c r="I37" s="545" t="s">
        <v>462</v>
      </c>
      <c r="J37" s="547" t="s">
        <v>619</v>
      </c>
      <c r="K37"/>
    </row>
    <row r="38" spans="1:12" ht="13.5" customHeight="1">
      <c r="A38" s="220">
        <f>'ADJ DETAIL INPUT'!AH$10</f>
        <v>3.0899999999999981</v>
      </c>
      <c r="B38" s="159" t="str">
        <f>'ADJ DETAIL INPUT'!AH$11</f>
        <v>G-LIRAP</v>
      </c>
      <c r="C38" s="252" t="str">
        <f>TRIM(CONCATENATE('ADJ DETAIL INPUT'!AH$7," ",'ADJ DETAIL INPUT'!AH$8," ",'ADJ DETAIL INPUT'!AH$9))</f>
        <v>Pro Forma LIRAP Labor</v>
      </c>
      <c r="D38" s="80">
        <f>'ADJ DETAIL INPUT'!AH$58</f>
        <v>-61.620000000000005</v>
      </c>
      <c r="E38" s="80">
        <f>'ADJ DETAIL INPUT'!AH$81</f>
        <v>0</v>
      </c>
      <c r="F38" s="466">
        <f t="shared" si="1"/>
        <v>81.870832220596853</v>
      </c>
      <c r="I38" s="25" t="s">
        <v>462</v>
      </c>
      <c r="J38" s="539" t="s">
        <v>619</v>
      </c>
    </row>
    <row r="39" spans="1:12">
      <c r="A39" s="220">
        <f>'ADJ DETAIL INPUT'!AI$10</f>
        <v>3.0999999999999979</v>
      </c>
      <c r="B39" s="159" t="str">
        <f>'ADJ DETAIL INPUT'!AI$11</f>
        <v>G-CCA</v>
      </c>
      <c r="C39" s="252" t="str">
        <f>TRIM(CONCATENATE('ADJ DETAIL INPUT'!AI$7," ",'ADJ DETAIL INPUT'!AI$8," ",'ADJ DETAIL INPUT'!AI$9))</f>
        <v>Pro Forma CCA Labor</v>
      </c>
      <c r="D39" s="80">
        <f>'ADJ DETAIL INPUT'!AI$58</f>
        <v>-89.198110000000014</v>
      </c>
      <c r="E39" s="80">
        <f>'ADJ DETAIL INPUT'!AI$81</f>
        <v>0</v>
      </c>
      <c r="F39" s="466">
        <f t="shared" si="1"/>
        <v>118.51222814353041</v>
      </c>
      <c r="I39" s="494" t="s">
        <v>618</v>
      </c>
      <c r="J39" s="537" t="s">
        <v>619</v>
      </c>
    </row>
    <row r="40" spans="1:12" s="247" customFormat="1">
      <c r="A40" s="253">
        <f>'ADJ DETAIL INPUT'!AJ$10</f>
        <v>3.1099999999999977</v>
      </c>
      <c r="B40" s="254" t="str">
        <f>'ADJ DETAIL INPUT'!AJ$11</f>
        <v>G-PPT</v>
      </c>
      <c r="C40" s="252" t="str">
        <f>TRIM(CONCATENATE('ADJ DETAIL INPUT'!AJ$7," ",'ADJ DETAIL INPUT'!AJ$8," ",'ADJ DETAIL INPUT'!AJ$9))</f>
        <v>Pro Forma Property Tax</v>
      </c>
      <c r="D40" s="249">
        <f>'ADJ DETAIL INPUT'!AJ$58</f>
        <v>-747.34</v>
      </c>
      <c r="E40" s="249">
        <f>'ADJ DETAIL INPUT'!AJ$81</f>
        <v>0</v>
      </c>
      <c r="F40" s="466">
        <f t="shared" si="1"/>
        <v>992.94624718826446</v>
      </c>
      <c r="G40" s="440"/>
      <c r="H40" s="494"/>
      <c r="I40" s="532" t="s">
        <v>499</v>
      </c>
      <c r="J40" s="537" t="s">
        <v>619</v>
      </c>
      <c r="K40"/>
    </row>
    <row r="41" spans="1:12">
      <c r="A41" s="220">
        <f>'ADJ DETAIL INPUT'!AK$10</f>
        <v>3.1199999999999974</v>
      </c>
      <c r="B41" s="159" t="str">
        <f>'ADJ DETAIL INPUT'!AK$11</f>
        <v>G-PINS</v>
      </c>
      <c r="C41" s="252" t="str">
        <f>TRIM(CONCATENATE('ADJ DETAIL INPUT'!AK$7," ",'ADJ DETAIL INPUT'!AK$8," ",'ADJ DETAIL INPUT'!AK$9))</f>
        <v>Pro Forma Insurance Expense</v>
      </c>
      <c r="D41" s="80">
        <f>'ADJ DETAIL INPUT'!AK$58</f>
        <v>-472.42</v>
      </c>
      <c r="E41" s="80">
        <f>'ADJ DETAIL INPUT'!AK$81</f>
        <v>0</v>
      </c>
      <c r="F41" s="466">
        <f t="shared" si="1"/>
        <v>627.67638035790924</v>
      </c>
      <c r="I41" s="25" t="s">
        <v>421</v>
      </c>
      <c r="J41" s="548" t="s">
        <v>619</v>
      </c>
      <c r="L41" s="60"/>
    </row>
    <row r="42" spans="1:12" s="60" customFormat="1" ht="14.25" customHeight="1">
      <c r="A42" s="220">
        <f>'ADJ DETAIL INPUT'!AL$10</f>
        <v>3.1299999999999972</v>
      </c>
      <c r="B42" s="159" t="str">
        <f>'ADJ DETAIL INPUT'!AL$11</f>
        <v>G-PIT</v>
      </c>
      <c r="C42" s="252" t="str">
        <f>TRIM(CONCATENATE('ADJ DETAIL INPUT'!AL$7," ",'ADJ DETAIL INPUT'!AL$8," ",'ADJ DETAIL INPUT'!AL$9))</f>
        <v>Pro Forma IS/IT Expense</v>
      </c>
      <c r="D42" s="221">
        <f>'ADJ DETAIL INPUT'!AL$58</f>
        <v>-16.274000000000001</v>
      </c>
      <c r="E42" s="221">
        <f>'ADJ DETAIL INPUT'!AL$81</f>
        <v>0</v>
      </c>
      <c r="F42" s="466">
        <f t="shared" si="1"/>
        <v>21.622296714670451</v>
      </c>
      <c r="G42" s="25"/>
      <c r="H42" s="494"/>
      <c r="I42" s="494" t="s">
        <v>421</v>
      </c>
      <c r="J42" s="548" t="s">
        <v>619</v>
      </c>
      <c r="K42"/>
    </row>
    <row r="43" spans="1:12" s="247" customFormat="1">
      <c r="A43" s="253">
        <f>'ADJ DETAIL INPUT'!AM$10</f>
        <v>3.139999999999997</v>
      </c>
      <c r="B43" s="254" t="str">
        <f>'ADJ DETAIL INPUT'!AM$11</f>
        <v>G-PMisc</v>
      </c>
      <c r="C43" s="252" t="str">
        <f>TRIM(CONCATENATE('ADJ DETAIL INPUT'!AM$7," ",'ADJ DETAIL INPUT'!AM$8," ",'ADJ DETAIL INPUT'!AM$9))</f>
        <v>Pro Forma Misc O&amp;M Exp</v>
      </c>
      <c r="D43" s="249">
        <f>'ADJ DETAIL INPUT'!AM$58</f>
        <v>-1290.5929799999999</v>
      </c>
      <c r="E43" s="249">
        <f>'ADJ DETAIL INPUT'!AM$81</f>
        <v>0</v>
      </c>
      <c r="F43" s="466">
        <f t="shared" si="1"/>
        <v>1714.7341988098035</v>
      </c>
      <c r="G43" s="248"/>
      <c r="I43" s="502" t="s">
        <v>462</v>
      </c>
      <c r="J43" s="534" t="s">
        <v>462</v>
      </c>
      <c r="K43"/>
      <c r="L43" s="250"/>
    </row>
    <row r="44" spans="1:12" s="247" customFormat="1">
      <c r="A44" s="253">
        <f>'ADJ DETAIL INPUT'!AN$10</f>
        <v>3.1499999999999968</v>
      </c>
      <c r="B44" s="254" t="str">
        <f>'ADJ DETAIL INPUT'!AN$11</f>
        <v>G-CAP23E</v>
      </c>
      <c r="C44" s="252" t="str">
        <f>TRIM(CONCATENATE('ADJ DETAIL INPUT'!AN$7," ",'ADJ DETAIL INPUT'!AN$8," ",'ADJ DETAIL INPUT'!AN$9))</f>
        <v>Pro Forma Capital Additions to 12.31.2023 EOP</v>
      </c>
      <c r="D44" s="249">
        <f>'ADJ DETAIL INPUT'!AN$58</f>
        <v>-898.12380370000005</v>
      </c>
      <c r="E44" s="249">
        <f>'ADJ DETAIL INPUT'!AN$81</f>
        <v>19487.900000000001</v>
      </c>
      <c r="F44" s="466">
        <f t="shared" si="1"/>
        <v>3163.6964822912146</v>
      </c>
      <c r="G44" s="407"/>
      <c r="I44" s="502" t="s">
        <v>500</v>
      </c>
      <c r="J44" s="25" t="s">
        <v>619</v>
      </c>
      <c r="K44"/>
      <c r="L44" s="250"/>
    </row>
    <row r="45" spans="1:12" s="478" customFormat="1">
      <c r="A45" s="253">
        <f>'ADJ DETAIL INPUT'!AO$10</f>
        <v>3.1599999999999966</v>
      </c>
      <c r="B45" s="254" t="str">
        <f>'ADJ DETAIL INPUT'!AO$11</f>
        <v>G-DEP</v>
      </c>
      <c r="C45" s="252" t="str">
        <f>TRIM(CONCATENATE('ADJ DETAIL INPUT'!AO$7," ",'ADJ DETAIL INPUT'!AO$8," ",'ADJ DETAIL INPUT'!AO$9))</f>
        <v>Pro Forma Depreciation Expense</v>
      </c>
      <c r="D45" s="249">
        <f>'ADJ DETAIL INPUT'!AO$58</f>
        <v>714.31799999999998</v>
      </c>
      <c r="E45" s="249">
        <f>'ADJ DETAIL INPUT'!AO$81</f>
        <v>0</v>
      </c>
      <c r="F45" s="466">
        <f t="shared" ref="F45:F47" si="3">((E45*$G$5)-D45)/$G$54</f>
        <v>-949.07187812645736</v>
      </c>
      <c r="G45" s="517"/>
      <c r="I45" s="502" t="s">
        <v>500</v>
      </c>
      <c r="J45" s="25" t="s">
        <v>619</v>
      </c>
      <c r="K45"/>
      <c r="L45" s="493"/>
    </row>
    <row r="46" spans="1:12" s="478" customFormat="1">
      <c r="A46" s="253">
        <f>'ADJ DETAIL INPUT'!AP$10</f>
        <v>3.1699999999999964</v>
      </c>
      <c r="B46" s="254" t="str">
        <f>'ADJ DETAIL INPUT'!AP$11</f>
        <v>G-CAP24E</v>
      </c>
      <c r="C46" s="252" t="str">
        <f>TRIM(CONCATENATE('ADJ DETAIL INPUT'!AP$7," ",'ADJ DETAIL INPUT'!AP$8," ",'ADJ DETAIL INPUT'!AP$9))</f>
        <v>Pro Forma Capital Additions to 12.31.2024 EOP</v>
      </c>
      <c r="D46" s="249">
        <f>'ADJ DETAIL INPUT'!AP$58</f>
        <v>-1435.024504</v>
      </c>
      <c r="E46" s="249">
        <f>'ADJ DETAIL INPUT'!AP$81</f>
        <v>20568</v>
      </c>
      <c r="F46" s="466">
        <f t="shared" si="3"/>
        <v>3986.2529598790402</v>
      </c>
      <c r="G46" s="517"/>
      <c r="I46" s="502" t="s">
        <v>500</v>
      </c>
      <c r="J46" s="25" t="s">
        <v>619</v>
      </c>
      <c r="K46"/>
      <c r="L46" s="493"/>
    </row>
    <row r="47" spans="1:12" s="478" customFormat="1">
      <c r="A47" s="253">
        <f>'ADJ DETAIL INPUT'!AQ$10</f>
        <v>3.1799999999999962</v>
      </c>
      <c r="B47" s="254" t="str">
        <f>'ADJ DETAIL INPUT'!AQ$11</f>
        <v>G-NRA</v>
      </c>
      <c r="C47" s="252" t="str">
        <f>TRIM(CONCATENATE('ADJ DETAIL INPUT'!AQ$7," ",'ADJ DETAIL INPUT'!AQ$8," ",'ADJ DETAIL INPUT'!AQ$9))</f>
        <v>Pro Forma New Regulatory Amortizations</v>
      </c>
      <c r="D47" s="249">
        <f>'ADJ DETAIL INPUT'!AQ$58</f>
        <v>-237</v>
      </c>
      <c r="E47" s="249">
        <f>'ADJ DETAIL INPUT'!AQ$81</f>
        <v>0</v>
      </c>
      <c r="F47" s="466">
        <f t="shared" si="3"/>
        <v>314.88781623306483</v>
      </c>
      <c r="G47" s="517"/>
      <c r="I47" s="517" t="s">
        <v>573</v>
      </c>
      <c r="J47" s="25" t="s">
        <v>619</v>
      </c>
      <c r="K47"/>
      <c r="L47" s="493"/>
    </row>
    <row r="48" spans="1:12" s="247" customFormat="1">
      <c r="A48" s="253">
        <f>'ADJ DETAIL INPUT'!AR$10</f>
        <v>3.1899999999999959</v>
      </c>
      <c r="B48" s="254" t="str">
        <f>'ADJ DETAIL INPUT'!AR$11</f>
        <v>G-ETRM</v>
      </c>
      <c r="C48" s="252" t="str">
        <f>TRIM(CONCATENATE('ADJ DETAIL INPUT'!AR$7," ",'ADJ DETAIL INPUT'!AR$8," ",'ADJ DETAIL INPUT'!AR$9))</f>
        <v>Pro Forma Nucleus/ETRM Expense</v>
      </c>
      <c r="D48" s="249">
        <f>'ADJ DETAIL INPUT'!AR$58</f>
        <v>-140.62</v>
      </c>
      <c r="E48" s="249">
        <f>'ADJ DETAIL INPUT'!AR$81</f>
        <v>0</v>
      </c>
      <c r="F48" s="466">
        <f t="shared" si="1"/>
        <v>186.83343763161847</v>
      </c>
      <c r="G48" s="267"/>
      <c r="I48" s="528" t="s">
        <v>462</v>
      </c>
      <c r="J48" s="548" t="s">
        <v>619</v>
      </c>
      <c r="K48"/>
      <c r="L48" s="250"/>
    </row>
    <row r="49" spans="1:12" s="247" customFormat="1">
      <c r="A49" s="253">
        <f>'ADJ DETAIL INPUT'!AS$10</f>
        <v>3.1999999999999957</v>
      </c>
      <c r="B49" s="254" t="str">
        <f>'ADJ DETAIL INPUT'!AS$11</f>
        <v>G-PBOD</v>
      </c>
      <c r="C49" s="252" t="str">
        <f>TRIM(CONCATENATE('ADJ DETAIL INPUT'!AS$7," ",'ADJ DETAIL INPUT'!AS$8," ",'ADJ DETAIL INPUT'!AS$9))</f>
        <v>Pro Forma BOD Fees Expense</v>
      </c>
      <c r="D49" s="249">
        <f>'ADJ DETAIL INPUT'!AS$58</f>
        <v>-118.5</v>
      </c>
      <c r="E49" s="249">
        <f>'ADJ DETAIL INPUT'!AS$81</f>
        <v>0</v>
      </c>
      <c r="F49" s="466">
        <f t="shared" si="1"/>
        <v>157.44390811653241</v>
      </c>
      <c r="G49" s="248"/>
      <c r="H49" s="494"/>
      <c r="I49" s="546" t="s">
        <v>573</v>
      </c>
      <c r="J49" s="546" t="s">
        <v>573</v>
      </c>
      <c r="K49"/>
      <c r="L49" s="250"/>
    </row>
    <row r="50" spans="1:12" s="247" customFormat="1">
      <c r="A50" s="253">
        <f>'ADJ DETAIL INPUT'!AT$10</f>
        <v>4.01</v>
      </c>
      <c r="B50" s="254" t="str">
        <f>'ADJ DETAIL INPUT'!AT$11</f>
        <v>G-CAP25A</v>
      </c>
      <c r="C50" s="252" t="str">
        <f>TRIM(CONCATENATE('ADJ DETAIL INPUT'!AT$7," ",'ADJ DETAIL INPUT'!AT$8," ",'ADJ DETAIL INPUT'!AT$9))</f>
        <v>Provisional Capital Additions to 12.31.2025 AMA</v>
      </c>
      <c r="D50" s="249">
        <f>'ADJ DETAIL INPUT'!AT$58</f>
        <v>-1697.0085517</v>
      </c>
      <c r="E50" s="249">
        <f>'ADJ DETAIL INPUT'!AT$81</f>
        <v>3203.9000000000015</v>
      </c>
      <c r="F50" s="466">
        <f t="shared" si="1"/>
        <v>2578.6592976274464</v>
      </c>
      <c r="G50" s="339"/>
      <c r="I50" s="494" t="s">
        <v>523</v>
      </c>
      <c r="J50" s="25" t="s">
        <v>619</v>
      </c>
      <c r="K50"/>
      <c r="L50" s="250"/>
    </row>
    <row r="51" spans="1:12" s="247" customFormat="1" ht="15" customHeight="1">
      <c r="A51" s="253">
        <f>'ADJ DETAIL INPUT'!AU$10</f>
        <v>4.0199999999999996</v>
      </c>
      <c r="B51" s="254" t="str">
        <f>'ADJ DETAIL INPUT'!AU$11</f>
        <v>G-Offsets25</v>
      </c>
      <c r="C51" s="252" t="str">
        <f>TRIM(CONCATENATE('ADJ DETAIL INPUT'!AU$7," ",'ADJ DETAIL INPUT'!AU$8," ",'ADJ DETAIL INPUT'!AU$9))</f>
        <v>2024-2025 Capital Adds O&amp;M &amp; Revenue Offsets</v>
      </c>
      <c r="D51" s="249">
        <f>'ADJ DETAIL INPUT'!AU$58</f>
        <v>491.93853000000001</v>
      </c>
      <c r="E51" s="249">
        <f>'ADJ DETAIL INPUT'!AU$81</f>
        <v>0</v>
      </c>
      <c r="F51" s="466">
        <f t="shared" si="1"/>
        <v>-653.60949127681033</v>
      </c>
      <c r="G51" s="339"/>
      <c r="H51" s="494"/>
      <c r="I51" s="474" t="s">
        <v>634</v>
      </c>
      <c r="J51" s="494" t="s">
        <v>462</v>
      </c>
      <c r="K51"/>
      <c r="L51" s="250"/>
    </row>
    <row r="52" spans="1:12" s="247" customFormat="1" hidden="1" outlineLevel="1">
      <c r="A52" s="253">
        <f>'ADJ DETAIL INPUT'!AV$10</f>
        <v>0</v>
      </c>
      <c r="B52" s="254">
        <f>'ADJ DETAIL INPUT'!AV$11</f>
        <v>0</v>
      </c>
      <c r="C52" s="252" t="str">
        <f>TRIM(CONCATENATE('ADJ DETAIL INPUT'!AV$7," ",'ADJ DETAIL INPUT'!AV$8," ",'ADJ DETAIL INPUT'!AV$9))</f>
        <v/>
      </c>
      <c r="D52" s="249">
        <f>'ADJ DETAIL INPUT'!AV$58</f>
        <v>0</v>
      </c>
      <c r="E52" s="249">
        <f>'ADJ DETAIL INPUT'!AV$81</f>
        <v>0</v>
      </c>
      <c r="F52" s="249"/>
      <c r="G52" s="248"/>
      <c r="H52" s="494"/>
      <c r="I52" s="25"/>
      <c r="J52" s="494"/>
      <c r="K52"/>
      <c r="L52" s="250"/>
    </row>
    <row r="53" spans="1:12" s="247" customFormat="1" ht="13.8" collapsed="1" thickBot="1">
      <c r="A53" s="253"/>
      <c r="B53" s="254"/>
      <c r="C53" s="460" t="s">
        <v>576</v>
      </c>
      <c r="D53" s="26">
        <f>SUM(D28:D51)</f>
        <v>31585.798875600016</v>
      </c>
      <c r="E53" s="26">
        <f>SUM(E28:E51)</f>
        <v>586084.19999999995</v>
      </c>
      <c r="F53" s="26">
        <f>SUM(F28:F51)</f>
        <v>17292.534427601702</v>
      </c>
      <c r="G53" s="457">
        <f>D53/E53</f>
        <v>5.3892937014169667E-2</v>
      </c>
      <c r="H53" s="494"/>
      <c r="I53" s="25"/>
      <c r="J53" s="478"/>
      <c r="K53"/>
      <c r="L53" s="250"/>
    </row>
    <row r="54" spans="1:12" ht="17.25" customHeight="1" thickTop="1">
      <c r="A54" s="69" t="s">
        <v>471</v>
      </c>
      <c r="B54" s="69" t="s">
        <v>572</v>
      </c>
      <c r="C54" s="11" t="s">
        <v>137</v>
      </c>
      <c r="G54" s="216">
        <f>CF!E27</f>
        <v>0.75264900000000001</v>
      </c>
      <c r="I54" s="494" t="s">
        <v>421</v>
      </c>
      <c r="J54" s="25" t="s">
        <v>619</v>
      </c>
    </row>
    <row r="55" spans="1:12" s="247" customFormat="1" ht="17.25" customHeight="1">
      <c r="A55" s="69"/>
      <c r="B55" s="69"/>
      <c r="G55" s="407"/>
      <c r="H55" s="25"/>
      <c r="I55" s="25"/>
      <c r="J55" s="25"/>
      <c r="K55"/>
    </row>
    <row r="56" spans="1:12" s="247" customFormat="1" ht="17.25" customHeight="1">
      <c r="A56" s="459" t="s">
        <v>577</v>
      </c>
      <c r="B56" s="69"/>
      <c r="G56" s="407"/>
      <c r="H56" s="25"/>
      <c r="I56" s="25"/>
      <c r="J56" s="25"/>
      <c r="K56"/>
    </row>
    <row r="57" spans="1:12" s="247" customFormat="1" hidden="1" outlineLevel="1">
      <c r="A57" s="253">
        <f>'ADJ DETAIL INPUT'!AY$10</f>
        <v>0</v>
      </c>
      <c r="B57" s="254">
        <f>'ADJ DETAIL INPUT'!AY$11</f>
        <v>0</v>
      </c>
      <c r="C57" s="252" t="str">
        <f>TRIM(CONCATENATE('ADJ DETAIL INPUT'!AY$7," ",'ADJ DETAIL INPUT'!AY$8," ",'ADJ DETAIL INPUT'!AY$9))</f>
        <v/>
      </c>
      <c r="D57" s="249">
        <f>'ADJ DETAIL INPUT'!AY$58</f>
        <v>0</v>
      </c>
      <c r="E57" s="249">
        <f>'ADJ DETAIL INPUT'!AY$81</f>
        <v>0</v>
      </c>
      <c r="F57" s="466">
        <f>((E57*$G$5)-D57)/$G$54</f>
        <v>0</v>
      </c>
      <c r="G57" s="441"/>
      <c r="H57" s="494"/>
      <c r="I57" s="494"/>
      <c r="J57" s="494"/>
      <c r="K57"/>
      <c r="L57" s="250"/>
    </row>
    <row r="58" spans="1:12" s="247" customFormat="1" collapsed="1">
      <c r="A58" s="253">
        <f>'ADJ DETAIL INPUT'!AZ$10</f>
        <v>5.01</v>
      </c>
      <c r="B58" s="254" t="str">
        <f>'ADJ DETAIL INPUT'!AZ$11</f>
        <v>G-PAMI26</v>
      </c>
      <c r="C58" s="252" t="str">
        <f>TRIM(CONCATENATE('ADJ DETAIL INPUT'!AZ$7," ",'ADJ DETAIL INPUT'!AZ$8," ",'ADJ DETAIL INPUT'!AZ$9))</f>
        <v>Pro Forma AMI Amortization</v>
      </c>
      <c r="D58" s="249">
        <f>'ADJ DETAIL INPUT'!AZ$58</f>
        <v>78.373344000000003</v>
      </c>
      <c r="E58" s="249">
        <f>'ADJ DETAIL INPUT'!AZ$81</f>
        <v>-848</v>
      </c>
      <c r="F58" s="466">
        <f t="shared" ref="F58:F66" si="4">((E58*$G$5)-D58)/$G$54</f>
        <v>-189.87090130990671</v>
      </c>
      <c r="G58" s="410"/>
      <c r="I58" s="502" t="s">
        <v>462</v>
      </c>
      <c r="J58" s="502" t="s">
        <v>462</v>
      </c>
      <c r="K58"/>
      <c r="L58" s="250"/>
    </row>
    <row r="59" spans="1:12" s="247" customFormat="1">
      <c r="A59" s="253">
        <f>'ADJ DETAIL INPUT'!BA$10</f>
        <v>5.0199999999999996</v>
      </c>
      <c r="B59" s="254" t="str">
        <f>'ADJ DETAIL INPUT'!BA$11</f>
        <v>G-PLN26</v>
      </c>
      <c r="C59" s="252" t="str">
        <f>TRIM(CONCATENATE('ADJ DETAIL INPUT'!BA$7," ",'ADJ DETAIL INPUT'!BA$8," ",'ADJ DETAIL INPUT'!BA$9))</f>
        <v>Pro Forma Labor Non-Exec</v>
      </c>
      <c r="D59" s="249">
        <f>'ADJ DETAIL INPUT'!BA$58</f>
        <v>-580.57100000000003</v>
      </c>
      <c r="E59" s="249">
        <f>'ADJ DETAIL INPUT'!BA$81</f>
        <v>0</v>
      </c>
      <c r="F59" s="466">
        <f t="shared" si="4"/>
        <v>771.37018716559783</v>
      </c>
      <c r="G59" s="410"/>
      <c r="I59" s="502" t="s">
        <v>500</v>
      </c>
      <c r="J59" s="548" t="s">
        <v>619</v>
      </c>
      <c r="K59"/>
      <c r="L59" s="250"/>
    </row>
    <row r="60" spans="1:12" s="247" customFormat="1">
      <c r="A60" s="253">
        <f>'ADJ DETAIL INPUT'!BB$10</f>
        <v>5.0299999999999994</v>
      </c>
      <c r="B60" s="254" t="str">
        <f>'ADJ DETAIL INPUT'!BB$11</f>
        <v>G-PEB26</v>
      </c>
      <c r="C60" s="252" t="str">
        <f>TRIM(CONCATENATE('ADJ DETAIL INPUT'!BB$7," ",'ADJ DETAIL INPUT'!BB$8," ",'ADJ DETAIL INPUT'!BB$9))</f>
        <v>Pro Forma Employee Benefits</v>
      </c>
      <c r="D60" s="249">
        <f>'ADJ DETAIL INPUT'!BB$58</f>
        <v>-115.97200000000001</v>
      </c>
      <c r="E60" s="249">
        <f>'ADJ DETAIL INPUT'!BB$81</f>
        <v>0</v>
      </c>
      <c r="F60" s="466">
        <f t="shared" si="4"/>
        <v>154.08510474337973</v>
      </c>
      <c r="G60" s="410"/>
      <c r="I60" s="502" t="s">
        <v>500</v>
      </c>
      <c r="J60" s="548" t="s">
        <v>619</v>
      </c>
      <c r="K60"/>
      <c r="L60" s="250"/>
    </row>
    <row r="61" spans="1:12" s="247" customFormat="1">
      <c r="A61" s="253">
        <f>'ADJ DETAIL INPUT'!BC$10</f>
        <v>5.0399999999999991</v>
      </c>
      <c r="B61" s="254" t="str">
        <f>'ADJ DETAIL INPUT'!BC$11</f>
        <v>G-PPT26</v>
      </c>
      <c r="C61" s="252" t="str">
        <f>TRIM(CONCATENATE('ADJ DETAIL INPUT'!BC$7," ",'ADJ DETAIL INPUT'!BC$8," ",'ADJ DETAIL INPUT'!BC$9))</f>
        <v>Pro Forma Property Tax</v>
      </c>
      <c r="D61" s="249">
        <f>'ADJ DETAIL INPUT'!BC$58</f>
        <v>-23.7</v>
      </c>
      <c r="E61" s="249">
        <f>'ADJ DETAIL INPUT'!BC$81</f>
        <v>0</v>
      </c>
      <c r="F61" s="466">
        <f t="shared" si="4"/>
        <v>31.48878162330648</v>
      </c>
      <c r="G61" s="410"/>
      <c r="H61" s="502"/>
      <c r="I61" s="502" t="s">
        <v>499</v>
      </c>
      <c r="J61" s="537" t="s">
        <v>619</v>
      </c>
      <c r="K61"/>
      <c r="L61" s="250"/>
    </row>
    <row r="62" spans="1:12" s="247" customFormat="1">
      <c r="A62" s="253">
        <f>'ADJ DETAIL INPUT'!BD$10</f>
        <v>5.0499999999999989</v>
      </c>
      <c r="B62" s="254" t="str">
        <f>'ADJ DETAIL INPUT'!BD$11</f>
        <v>G-ETRM26</v>
      </c>
      <c r="C62" s="252" t="str">
        <f>TRIM(CONCATENATE('ADJ DETAIL INPUT'!BD$7," ",'ADJ DETAIL INPUT'!BD$8," ",'ADJ DETAIL INPUT'!BD$9))</f>
        <v>Pro Forma Nucleus/ETRM Expense</v>
      </c>
      <c r="D62" s="249">
        <f>'ADJ DETAIL INPUT'!BD$58</f>
        <v>51.35</v>
      </c>
      <c r="E62" s="249">
        <f>'ADJ DETAIL INPUT'!BD$81</f>
        <v>0</v>
      </c>
      <c r="F62" s="466">
        <f t="shared" si="4"/>
        <v>-68.225693517164046</v>
      </c>
      <c r="G62" s="410"/>
      <c r="I62" s="502" t="s">
        <v>462</v>
      </c>
      <c r="J62" s="548" t="s">
        <v>619</v>
      </c>
      <c r="K62"/>
      <c r="L62" s="250"/>
    </row>
    <row r="63" spans="1:12" s="247" customFormat="1">
      <c r="A63" s="253">
        <f>'ADJ DETAIL INPUT'!BE$10</f>
        <v>5.0599999999999987</v>
      </c>
      <c r="B63" s="254" t="str">
        <f>'ADJ DETAIL INPUT'!BE$11</f>
        <v>G-PMisc26</v>
      </c>
      <c r="C63" s="252" t="str">
        <f>TRIM(CONCATENATE('ADJ DETAIL INPUT'!BE$7," ",'ADJ DETAIL INPUT'!BE$8," ",'ADJ DETAIL INPUT'!BE$9))</f>
        <v>Pro Forma Misc O&amp;M Exp</v>
      </c>
      <c r="D63" s="249">
        <f>'ADJ DETAIL INPUT'!BE$58</f>
        <v>-516.23814000000004</v>
      </c>
      <c r="E63" s="249">
        <f>'ADJ DETAIL INPUT'!BE$81</f>
        <v>0</v>
      </c>
      <c r="F63" s="466">
        <f t="shared" si="4"/>
        <v>685.89493907518647</v>
      </c>
      <c r="G63" s="410"/>
      <c r="I63" s="502" t="s">
        <v>462</v>
      </c>
      <c r="J63" s="534" t="s">
        <v>462</v>
      </c>
      <c r="K63"/>
      <c r="L63" s="250"/>
    </row>
    <row r="64" spans="1:12" s="247" customFormat="1">
      <c r="A64" s="253">
        <f>'ADJ DETAIL INPUT'!BF$10</f>
        <v>5.0699999999999985</v>
      </c>
      <c r="B64" s="254" t="str">
        <f>'ADJ DETAIL INPUT'!BF$11</f>
        <v>G-CAP26A</v>
      </c>
      <c r="C64" s="252" t="str">
        <f>TRIM(CONCATENATE('ADJ DETAIL INPUT'!BF$7," ",'ADJ DETAIL INPUT'!BF$8," ",'ADJ DETAIL INPUT'!BF$9))</f>
        <v>Provisional Capital Adds to 12.31.2026 AMA</v>
      </c>
      <c r="D64" s="249">
        <f>'ADJ DETAIL INPUT'!BF$58</f>
        <v>-1282.3712067000001</v>
      </c>
      <c r="E64" s="249">
        <f>'ADJ DETAIL INPUT'!BF$81</f>
        <v>17088.900000000001</v>
      </c>
      <c r="F64" s="466">
        <f t="shared" si="4"/>
        <v>3431.6613676494621</v>
      </c>
      <c r="G64" s="410"/>
      <c r="I64" s="502" t="s">
        <v>500</v>
      </c>
      <c r="J64" s="25" t="s">
        <v>619</v>
      </c>
      <c r="K64"/>
      <c r="L64" s="250"/>
    </row>
    <row r="65" spans="1:12" s="247" customFormat="1">
      <c r="A65" s="253">
        <f>'ADJ DETAIL INPUT'!BG$10</f>
        <v>5.0799999999999983</v>
      </c>
      <c r="B65" s="254" t="str">
        <f>'ADJ DETAIL INPUT'!BG$11</f>
        <v>G-Offsets26</v>
      </c>
      <c r="C65" s="252" t="str">
        <f>TRIM(CONCATENATE('ADJ DETAIL INPUT'!BG$7," ",'ADJ DETAIL INPUT'!BG$8," ",'ADJ DETAIL INPUT'!BG$9))</f>
        <v>2026 Capital Adds O&amp;M &amp; Revenue Offsets</v>
      </c>
      <c r="D65" s="249">
        <f>'ADJ DETAIL INPUT'!BG$58</f>
        <v>189.50441000000001</v>
      </c>
      <c r="E65" s="249">
        <f>'ADJ DETAIL INPUT'!BG$81</f>
        <v>0</v>
      </c>
      <c r="F65" s="466">
        <f t="shared" si="4"/>
        <v>-251.78324823390452</v>
      </c>
      <c r="G65" s="410"/>
      <c r="H65" s="502"/>
      <c r="I65" s="474" t="s">
        <v>634</v>
      </c>
      <c r="J65" s="535" t="s">
        <v>462</v>
      </c>
      <c r="K65"/>
      <c r="L65" s="250"/>
    </row>
    <row r="66" spans="1:12" s="493" customFormat="1" hidden="1" outlineLevel="1">
      <c r="A66" s="133">
        <f>'ADJ DETAIL INPUT'!BH$10</f>
        <v>0</v>
      </c>
      <c r="B66" s="158">
        <f>'ADJ DETAIL INPUT'!BH$11</f>
        <v>0</v>
      </c>
      <c r="C66" s="252" t="str">
        <f>TRIM(CONCATENATE('ADJ DETAIL INPUT'!BH$7," ",'ADJ DETAIL INPUT'!BH$8," ",'ADJ DETAIL INPUT'!BH$9))</f>
        <v/>
      </c>
      <c r="D66" s="221">
        <f>'ADJ DETAIL INPUT'!BH$58</f>
        <v>0</v>
      </c>
      <c r="E66" s="221">
        <f>'ADJ DETAIL INPUT'!BH$81</f>
        <v>0</v>
      </c>
      <c r="F66" s="540">
        <f t="shared" si="4"/>
        <v>0</v>
      </c>
      <c r="G66" s="25"/>
      <c r="H66" s="541"/>
      <c r="I66" s="474"/>
      <c r="J66" s="25"/>
      <c r="K66"/>
    </row>
    <row r="67" spans="1:12" collapsed="1"/>
    <row r="68" spans="1:12" s="247" customFormat="1" ht="13.8" thickBot="1">
      <c r="A68" s="253"/>
      <c r="B68" s="254"/>
      <c r="C68" s="465" t="s">
        <v>578</v>
      </c>
      <c r="D68" s="26">
        <f>SUM(D53:D66)</f>
        <v>29386.17428290001</v>
      </c>
      <c r="E68" s="26">
        <f>SUM(E53:E66)</f>
        <v>602325.1</v>
      </c>
      <c r="F68" s="26">
        <f>SUM(F53:F66)</f>
        <v>21857.154964797661</v>
      </c>
      <c r="G68" s="457">
        <f>D68/E68</f>
        <v>4.8787895910198678E-2</v>
      </c>
      <c r="I68" s="25"/>
      <c r="J68" s="478"/>
      <c r="K68"/>
      <c r="L68" s="250"/>
    </row>
    <row r="69" spans="1:12" ht="14.4" thickTop="1" thickBot="1">
      <c r="C69" s="474" t="s">
        <v>579</v>
      </c>
      <c r="F69" s="456">
        <f>F68-F53</f>
        <v>4564.6205371959586</v>
      </c>
    </row>
    <row r="70" spans="1:12" ht="13.8" thickTop="1"/>
  </sheetData>
  <customSheetViews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5">
    <mergeCell ref="A4:G4"/>
    <mergeCell ref="A1:G1"/>
    <mergeCell ref="A2:G2"/>
    <mergeCell ref="A3:G3"/>
    <mergeCell ref="D5:F5"/>
  </mergeCells>
  <phoneticPr fontId="0" type="noConversion"/>
  <pageMargins left="1" right="0.5" top="1" bottom="1" header="0.5" footer="0.5"/>
  <pageSetup scale="77" orientation="portrait" r:id="rId3"/>
  <headerFooter alignWithMargins="0">
    <oddHeader>&amp;RExh. KJS-3</oddHeader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1137-EC0A-457F-B0D2-5BAB10BC5066}">
  <sheetPr codeName="Sheet9"/>
  <dimension ref="A1:K43"/>
  <sheetViews>
    <sheetView showWhiteSpace="0" zoomScaleNormal="100" workbookViewId="0"/>
  </sheetViews>
  <sheetFormatPr defaultColWidth="9.33203125" defaultRowHeight="13.2"/>
  <cols>
    <col min="1" max="1" width="30.6640625" style="387" customWidth="1"/>
    <col min="2" max="3" width="9.33203125" style="387" customWidth="1"/>
    <col min="4" max="4" width="16.5546875" style="387" customWidth="1"/>
    <col min="5" max="5" width="16.33203125" style="387" customWidth="1"/>
    <col min="6" max="9" width="9.33203125" style="387"/>
    <col min="10" max="10" width="9.44140625" style="387" customWidth="1"/>
    <col min="11" max="16384" width="9.33203125" style="387"/>
  </cols>
  <sheetData>
    <row r="1" spans="1:11" s="385" customFormat="1">
      <c r="A1" s="383" t="s">
        <v>111</v>
      </c>
      <c r="B1" s="383"/>
      <c r="C1" s="383"/>
      <c r="D1" s="383"/>
      <c r="E1" s="384"/>
    </row>
    <row r="2" spans="1:11" s="385" customFormat="1">
      <c r="A2" s="383" t="s">
        <v>476</v>
      </c>
      <c r="B2" s="383"/>
      <c r="C2" s="383"/>
      <c r="E2" s="386"/>
    </row>
    <row r="3" spans="1:11" s="385" customFormat="1">
      <c r="A3" s="523" t="s">
        <v>580</v>
      </c>
      <c r="B3" s="383"/>
      <c r="C3" s="383"/>
      <c r="D3" s="383"/>
      <c r="E3" s="383"/>
    </row>
    <row r="4" spans="1:11">
      <c r="A4" s="239"/>
      <c r="B4" s="239"/>
      <c r="C4" s="239"/>
      <c r="D4" s="239"/>
      <c r="E4" s="239"/>
    </row>
    <row r="5" spans="1:11">
      <c r="A5" s="239" t="s">
        <v>145</v>
      </c>
      <c r="B5" s="239"/>
      <c r="C5" s="239"/>
      <c r="D5" s="239"/>
      <c r="E5" s="239">
        <v>1</v>
      </c>
    </row>
    <row r="6" spans="1:11">
      <c r="A6" s="239"/>
      <c r="B6" s="239"/>
      <c r="C6" s="239"/>
      <c r="D6" s="239"/>
      <c r="E6" s="239"/>
    </row>
    <row r="7" spans="1:11">
      <c r="A7" s="239" t="s">
        <v>146</v>
      </c>
      <c r="B7" s="239"/>
      <c r="C7" s="239"/>
      <c r="D7" s="239"/>
      <c r="E7" s="239"/>
    </row>
    <row r="8" spans="1:11">
      <c r="A8" s="239"/>
      <c r="B8" s="239"/>
      <c r="C8" s="239"/>
      <c r="D8" s="239"/>
      <c r="E8" s="239"/>
    </row>
    <row r="9" spans="1:11">
      <c r="A9" s="239" t="s">
        <v>477</v>
      </c>
      <c r="B9" s="239"/>
      <c r="C9" s="239"/>
      <c r="D9" s="239"/>
      <c r="E9" s="239">
        <f>E29</f>
        <v>4.9508674374747468E-3</v>
      </c>
    </row>
    <row r="10" spans="1:11">
      <c r="A10" s="239"/>
      <c r="B10" s="239"/>
      <c r="C10" s="239"/>
      <c r="D10" s="239"/>
      <c r="E10" s="239"/>
    </row>
    <row r="11" spans="1:11">
      <c r="A11" s="239" t="s">
        <v>478</v>
      </c>
      <c r="B11" s="239"/>
      <c r="C11" s="239"/>
      <c r="D11" s="239"/>
      <c r="E11" s="519">
        <v>4.0000000000000001E-3</v>
      </c>
    </row>
    <row r="12" spans="1:11">
      <c r="A12" s="239"/>
      <c r="B12" s="239"/>
      <c r="C12" s="239"/>
      <c r="D12" s="239"/>
      <c r="E12" s="239"/>
    </row>
    <row r="13" spans="1:11">
      <c r="A13" s="239" t="s">
        <v>479</v>
      </c>
      <c r="B13" s="239"/>
      <c r="C13" s="239"/>
      <c r="D13" s="239"/>
      <c r="E13" s="239">
        <f>E41</f>
        <v>3.8329292586308468E-2</v>
      </c>
    </row>
    <row r="14" spans="1:11">
      <c r="A14" s="239"/>
      <c r="B14" s="239"/>
      <c r="C14" s="239"/>
      <c r="D14" s="239"/>
      <c r="E14" s="239"/>
    </row>
    <row r="15" spans="1:11">
      <c r="A15" s="239"/>
      <c r="B15" s="239"/>
      <c r="C15" s="239"/>
      <c r="D15" s="239"/>
    </row>
    <row r="16" spans="1:11">
      <c r="A16" s="239" t="s">
        <v>150</v>
      </c>
      <c r="B16" s="239"/>
      <c r="C16" s="239"/>
      <c r="D16" s="239"/>
      <c r="E16" s="388">
        <f>SUM(E8:E14)</f>
        <v>4.7280160023783213E-2</v>
      </c>
      <c r="K16" s="389"/>
    </row>
    <row r="17" spans="1:5">
      <c r="A17" s="239"/>
      <c r="B17" s="239"/>
      <c r="C17" s="239"/>
      <c r="D17" s="239"/>
      <c r="E17" s="239"/>
    </row>
    <row r="18" spans="1:5">
      <c r="A18" s="239" t="s">
        <v>151</v>
      </c>
      <c r="C18" s="239"/>
      <c r="D18" s="239"/>
      <c r="E18" s="239">
        <f>E5-E16</f>
        <v>0.95271983997621679</v>
      </c>
    </row>
    <row r="19" spans="1:5">
      <c r="A19" s="239"/>
      <c r="B19" s="239"/>
      <c r="C19" s="239"/>
      <c r="D19" s="239"/>
      <c r="E19" s="239"/>
    </row>
    <row r="20" spans="1:5">
      <c r="A20" s="239" t="s">
        <v>480</v>
      </c>
      <c r="B20" s="522">
        <v>0.21</v>
      </c>
      <c r="C20" s="390" t="s">
        <v>481</v>
      </c>
      <c r="D20" s="239"/>
      <c r="E20" s="239">
        <f>E18*$B$20</f>
        <v>0.20007116639500552</v>
      </c>
    </row>
    <row r="21" spans="1:5">
      <c r="A21" s="239"/>
      <c r="B21" s="239"/>
      <c r="C21" s="239"/>
      <c r="E21" s="239"/>
    </row>
    <row r="22" spans="1:5">
      <c r="A22" s="239" t="s">
        <v>152</v>
      </c>
      <c r="B22" s="239"/>
      <c r="C22" s="239"/>
      <c r="E22" s="391">
        <f>E18-E20</f>
        <v>0.75264867358121124</v>
      </c>
    </row>
    <row r="23" spans="1:5">
      <c r="A23" s="239"/>
      <c r="B23" s="239"/>
      <c r="C23" s="239"/>
      <c r="E23" s="239"/>
    </row>
    <row r="24" spans="1:5">
      <c r="A24" s="239" t="s">
        <v>482</v>
      </c>
      <c r="B24" s="239"/>
      <c r="C24" s="239"/>
      <c r="E24" s="239"/>
    </row>
    <row r="25" spans="1:5">
      <c r="A25" s="239" t="s">
        <v>483</v>
      </c>
      <c r="B25" s="239"/>
      <c r="C25" s="239"/>
      <c r="E25" s="239"/>
    </row>
    <row r="26" spans="1:5">
      <c r="A26" s="239" t="s">
        <v>484</v>
      </c>
      <c r="B26" s="239"/>
      <c r="C26" s="392" t="s">
        <v>485</v>
      </c>
      <c r="D26" s="520">
        <v>1246234</v>
      </c>
      <c r="E26" s="239"/>
    </row>
    <row r="27" spans="1:5">
      <c r="A27" s="239" t="s">
        <v>486</v>
      </c>
      <c r="B27" s="239"/>
      <c r="C27" s="239"/>
      <c r="D27" s="518"/>
      <c r="E27" s="239"/>
    </row>
    <row r="28" spans="1:5">
      <c r="A28" s="239" t="s">
        <v>487</v>
      </c>
      <c r="B28" s="239"/>
      <c r="C28" s="392" t="s">
        <v>481</v>
      </c>
      <c r="D28" s="521">
        <v>251720333</v>
      </c>
      <c r="E28" s="239"/>
    </row>
    <row r="29" spans="1:5">
      <c r="A29" s="239" t="s">
        <v>488</v>
      </c>
      <c r="B29" s="239"/>
      <c r="C29" s="239"/>
      <c r="E29" s="388">
        <f>D26/D28</f>
        <v>4.9508674374747468E-3</v>
      </c>
    </row>
    <row r="30" spans="1:5">
      <c r="A30" s="239" t="s">
        <v>489</v>
      </c>
      <c r="B30" s="239"/>
      <c r="C30" s="239"/>
      <c r="E30" s="239"/>
    </row>
    <row r="31" spans="1:5">
      <c r="A31" s="239" t="s">
        <v>490</v>
      </c>
      <c r="B31" s="239"/>
      <c r="C31" s="239"/>
      <c r="E31" s="239"/>
    </row>
    <row r="32" spans="1:5">
      <c r="A32" s="239"/>
      <c r="B32" s="239"/>
      <c r="E32" s="239"/>
    </row>
    <row r="33" spans="1:5" ht="27.75" customHeight="1">
      <c r="A33" s="916" t="s">
        <v>620</v>
      </c>
      <c r="B33" s="916"/>
      <c r="C33" s="916"/>
      <c r="D33" s="916"/>
      <c r="E33" s="916"/>
    </row>
    <row r="34" spans="1:5">
      <c r="A34" s="239"/>
      <c r="B34" s="239"/>
      <c r="C34" s="239"/>
      <c r="E34" s="239"/>
    </row>
    <row r="35" spans="1:5">
      <c r="A35" s="239" t="s">
        <v>491</v>
      </c>
      <c r="B35" s="239"/>
      <c r="C35" s="239"/>
      <c r="E35" s="239"/>
    </row>
    <row r="36" spans="1:5">
      <c r="A36" s="239" t="s">
        <v>492</v>
      </c>
      <c r="B36" s="239"/>
      <c r="C36" s="239"/>
      <c r="D36" s="239">
        <v>3.8519999999999999E-2</v>
      </c>
      <c r="E36" s="239"/>
    </row>
    <row r="37" spans="1:5">
      <c r="A37" s="239" t="s">
        <v>493</v>
      </c>
      <c r="B37" s="239"/>
      <c r="C37" s="239"/>
      <c r="D37" s="239"/>
      <c r="E37" s="239"/>
    </row>
    <row r="38" spans="1:5">
      <c r="A38" s="239" t="s">
        <v>494</v>
      </c>
      <c r="B38" s="239"/>
      <c r="C38" s="239"/>
      <c r="D38" s="239"/>
      <c r="E38" s="239"/>
    </row>
    <row r="39" spans="1:5">
      <c r="A39" s="239" t="s">
        <v>495</v>
      </c>
      <c r="C39" s="239">
        <v>1</v>
      </c>
      <c r="D39" s="239"/>
      <c r="E39" s="239"/>
    </row>
    <row r="40" spans="1:5">
      <c r="A40" s="239" t="s">
        <v>496</v>
      </c>
      <c r="C40" s="393">
        <f>E29</f>
        <v>4.9508674374747468E-3</v>
      </c>
      <c r="D40" s="393">
        <f>C39-C40</f>
        <v>0.99504913256252525</v>
      </c>
      <c r="E40" s="393"/>
    </row>
    <row r="41" spans="1:5">
      <c r="A41" s="239" t="s">
        <v>497</v>
      </c>
      <c r="B41" s="239"/>
      <c r="C41" s="239"/>
      <c r="D41" s="239"/>
      <c r="E41" s="393">
        <f>D36*D40</f>
        <v>3.8329292586308468E-2</v>
      </c>
    </row>
    <row r="42" spans="1:5">
      <c r="A42" s="239" t="s">
        <v>498</v>
      </c>
      <c r="B42" s="239"/>
      <c r="C42" s="239"/>
      <c r="D42" s="239"/>
      <c r="E42" s="239"/>
    </row>
    <row r="43" spans="1:5">
      <c r="A43" s="239"/>
      <c r="B43" s="239"/>
      <c r="C43" s="239"/>
      <c r="D43" s="239"/>
      <c r="E43" s="239"/>
    </row>
  </sheetData>
  <mergeCells count="1">
    <mergeCell ref="A33:E33"/>
  </mergeCells>
  <printOptions horizontalCentered="1"/>
  <pageMargins left="0.75" right="0.75" top="0.75" bottom="0.75" header="0.5" footer="0.5"/>
  <pageSetup orientation="portrait" horizontalDpi="300" verticalDpi="300" r:id="rId1"/>
  <headerFooter alignWithMargins="0"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S333"/>
  <sheetViews>
    <sheetView zoomScaleNormal="100" workbookViewId="0"/>
  </sheetViews>
  <sheetFormatPr defaultColWidth="9.33203125" defaultRowHeight="11.25" customHeight="1"/>
  <cols>
    <col min="1" max="1" width="8.44140625" style="224" customWidth="1"/>
    <col min="2" max="2" width="26.33203125" style="224" customWidth="1"/>
    <col min="3" max="3" width="12.44140625" style="224" customWidth="1"/>
    <col min="4" max="4" width="6.5546875" style="224" customWidth="1"/>
    <col min="5" max="5" width="12.44140625" style="341" customWidth="1"/>
    <col min="6" max="6" width="12.44140625" style="342" customWidth="1"/>
    <col min="7" max="7" width="12.44140625" style="341" customWidth="1"/>
    <col min="8" max="8" width="12.6640625" style="224" bestFit="1" customWidth="1"/>
    <col min="9" max="9" width="12.33203125" style="515" bestFit="1" customWidth="1"/>
    <col min="20" max="16384" width="9.33203125" style="7"/>
  </cols>
  <sheetData>
    <row r="1" spans="1:8" ht="16.5" customHeight="1">
      <c r="F1" s="215"/>
    </row>
    <row r="2" spans="1:8" ht="4.5" customHeight="1"/>
    <row r="3" spans="1:8" ht="13.2">
      <c r="A3" s="917" t="s">
        <v>111</v>
      </c>
      <c r="B3" s="917"/>
      <c r="C3" s="917"/>
      <c r="E3" s="343"/>
      <c r="F3" s="344"/>
      <c r="G3" s="343"/>
    </row>
    <row r="4" spans="1:8" ht="13.2">
      <c r="A4" s="345" t="s">
        <v>189</v>
      </c>
      <c r="B4" s="345"/>
      <c r="C4" s="345"/>
      <c r="E4" s="346" t="s">
        <v>75</v>
      </c>
      <c r="F4" s="346"/>
      <c r="G4" s="346"/>
    </row>
    <row r="5" spans="1:8" ht="13.2">
      <c r="A5" s="917" t="s">
        <v>580</v>
      </c>
      <c r="B5" s="917"/>
      <c r="C5" s="917"/>
      <c r="E5" s="346" t="s">
        <v>76</v>
      </c>
      <c r="F5" s="346"/>
      <c r="G5" s="346"/>
    </row>
    <row r="6" spans="1:8" ht="13.2">
      <c r="A6" s="345" t="s">
        <v>77</v>
      </c>
      <c r="B6" s="345"/>
      <c r="C6" s="345"/>
      <c r="E6" s="347"/>
      <c r="F6" s="348" t="s">
        <v>78</v>
      </c>
      <c r="G6" s="347"/>
    </row>
    <row r="7" spans="1:8" ht="13.2">
      <c r="A7" s="340" t="s">
        <v>6</v>
      </c>
      <c r="E7" s="343"/>
      <c r="F7" s="349"/>
      <c r="G7" s="343"/>
    </row>
    <row r="8" spans="1:8" ht="13.2">
      <c r="A8" s="350" t="s">
        <v>15</v>
      </c>
      <c r="B8" s="351" t="s">
        <v>70</v>
      </c>
      <c r="C8" s="351"/>
      <c r="E8" s="352" t="s">
        <v>79</v>
      </c>
      <c r="F8" s="353" t="s">
        <v>80</v>
      </c>
      <c r="G8" s="352" t="s">
        <v>81</v>
      </c>
      <c r="H8" s="8" t="s">
        <v>82</v>
      </c>
    </row>
    <row r="9" spans="1:8" ht="13.2">
      <c r="A9" s="340"/>
      <c r="B9" s="224" t="s">
        <v>31</v>
      </c>
      <c r="E9" s="354"/>
      <c r="F9" s="349"/>
      <c r="G9" s="354"/>
    </row>
    <row r="10" spans="1:8" ht="13.2">
      <c r="A10" s="340"/>
      <c r="B10" s="78"/>
      <c r="E10" s="56"/>
      <c r="F10" s="355"/>
      <c r="G10" s="355"/>
    </row>
    <row r="11" spans="1:8" ht="13.2">
      <c r="A11" s="340"/>
      <c r="B11" s="78"/>
      <c r="E11" s="56"/>
      <c r="F11" s="355"/>
      <c r="G11" s="355"/>
    </row>
    <row r="12" spans="1:8" ht="13.2">
      <c r="A12" s="340"/>
      <c r="E12" s="354"/>
      <c r="F12" s="349"/>
      <c r="G12" s="349"/>
    </row>
    <row r="13" spans="1:8" ht="5.25" customHeight="1">
      <c r="A13" s="340"/>
      <c r="E13" s="354"/>
      <c r="F13" s="349"/>
      <c r="G13" s="349"/>
    </row>
    <row r="14" spans="1:8" ht="13.2">
      <c r="A14" s="340"/>
      <c r="E14" s="354"/>
      <c r="F14" s="349"/>
      <c r="G14" s="349"/>
    </row>
    <row r="15" spans="1:8" ht="13.2">
      <c r="A15" s="340">
        <v>1</v>
      </c>
      <c r="B15" s="224" t="s">
        <v>83</v>
      </c>
      <c r="E15" s="17">
        <f>F15+G15</f>
        <v>246541</v>
      </c>
      <c r="F15" s="256">
        <f>F94</f>
        <v>246541</v>
      </c>
      <c r="G15" s="256">
        <f>G94</f>
        <v>0</v>
      </c>
      <c r="H15" s="356" t="str">
        <f>IF(E15=F15+G15," ","ERROR")</f>
        <v xml:space="preserve"> </v>
      </c>
    </row>
    <row r="16" spans="1:8" ht="13.2">
      <c r="A16" s="340">
        <v>2</v>
      </c>
      <c r="B16" s="224" t="s">
        <v>84</v>
      </c>
      <c r="E16" s="9">
        <f>F16+G16</f>
        <v>5180</v>
      </c>
      <c r="F16" s="357">
        <f>F99</f>
        <v>5180</v>
      </c>
      <c r="G16" s="357">
        <f>G99</f>
        <v>0</v>
      </c>
      <c r="H16" s="356" t="str">
        <f>IF(E16=F16+G16," ","ERROR")</f>
        <v xml:space="preserve"> </v>
      </c>
    </row>
    <row r="17" spans="1:9" ht="13.2">
      <c r="A17" s="340">
        <v>3</v>
      </c>
      <c r="B17" s="224" t="s">
        <v>34</v>
      </c>
      <c r="E17" s="358">
        <f>F17+G17</f>
        <v>37118</v>
      </c>
      <c r="F17" s="359">
        <f>F104-F99</f>
        <v>37118</v>
      </c>
      <c r="G17" s="359">
        <f>G104-G99</f>
        <v>0</v>
      </c>
      <c r="H17" s="356" t="str">
        <f>IF(E17=F17+G17," ","ERROR")</f>
        <v xml:space="preserve"> </v>
      </c>
    </row>
    <row r="18" spans="1:9" ht="13.2">
      <c r="A18" s="340">
        <v>4</v>
      </c>
      <c r="B18" s="224" t="s">
        <v>85</v>
      </c>
      <c r="E18" s="9">
        <f>SUM(E15:E17)</f>
        <v>288839</v>
      </c>
      <c r="F18" s="9">
        <f>SUM(F15:F17)</f>
        <v>288839</v>
      </c>
      <c r="G18" s="9">
        <f>SUM(G15:G17)</f>
        <v>0</v>
      </c>
      <c r="H18" s="356" t="str">
        <f>IF(E18=F18+G18," ","ERROR")</f>
        <v xml:space="preserve"> </v>
      </c>
      <c r="I18" s="515">
        <f>F18-(SUM(H88:H93,H97:H103)/1000)</f>
        <v>0.25799999997252598</v>
      </c>
    </row>
    <row r="19" spans="1:9" ht="13.2">
      <c r="A19" s="340"/>
      <c r="E19" s="9"/>
      <c r="F19" s="9"/>
      <c r="G19" s="9"/>
      <c r="H19" s="356"/>
    </row>
    <row r="20" spans="1:9" ht="13.2">
      <c r="A20" s="340"/>
      <c r="B20" s="224" t="s">
        <v>36</v>
      </c>
      <c r="E20" s="9"/>
      <c r="F20" s="9"/>
      <c r="G20" s="9"/>
      <c r="H20" s="356"/>
    </row>
    <row r="21" spans="1:9" ht="13.2">
      <c r="A21" s="340"/>
      <c r="B21" s="224" t="s">
        <v>192</v>
      </c>
      <c r="E21" s="9"/>
      <c r="F21" s="357"/>
      <c r="G21" s="357"/>
      <c r="H21" s="360" t="str">
        <f>IF(E21=F21+G21," ","ERROR")</f>
        <v xml:space="preserve"> </v>
      </c>
    </row>
    <row r="22" spans="1:9" ht="13.2">
      <c r="A22" s="340">
        <v>5</v>
      </c>
      <c r="B22" s="224" t="s">
        <v>86</v>
      </c>
      <c r="E22" s="9">
        <f>F22+G22</f>
        <v>139821</v>
      </c>
      <c r="F22" s="357">
        <f>F108</f>
        <v>139821</v>
      </c>
      <c r="G22" s="357">
        <f>G108</f>
        <v>0</v>
      </c>
      <c r="H22" s="356" t="str">
        <f>IF(E22=F22+G22," ","ERROR")</f>
        <v xml:space="preserve"> </v>
      </c>
    </row>
    <row r="23" spans="1:9" ht="13.2">
      <c r="A23" s="340">
        <v>6</v>
      </c>
      <c r="B23" s="224" t="s">
        <v>87</v>
      </c>
      <c r="E23" s="9">
        <f>F23+G23</f>
        <v>869</v>
      </c>
      <c r="F23" s="357">
        <f>F111+F112-1</f>
        <v>869</v>
      </c>
      <c r="G23" s="357">
        <f>G110+G111+G112</f>
        <v>0</v>
      </c>
      <c r="H23" s="356" t="str">
        <f>IF(E23=F23+G23," ","ERROR")</f>
        <v xml:space="preserve"> </v>
      </c>
    </row>
    <row r="24" spans="1:9" ht="13.2">
      <c r="A24" s="340">
        <v>7</v>
      </c>
      <c r="B24" s="224" t="s">
        <v>88</v>
      </c>
      <c r="E24" s="358">
        <f>F24+G24</f>
        <v>8789</v>
      </c>
      <c r="F24" s="359">
        <f>F109+F110</f>
        <v>8789</v>
      </c>
      <c r="G24" s="359">
        <f>G109</f>
        <v>0</v>
      </c>
      <c r="H24" s="356" t="str">
        <f>IF(E24=F24+G24," ","ERROR")</f>
        <v xml:space="preserve"> </v>
      </c>
    </row>
    <row r="25" spans="1:9" ht="13.2">
      <c r="A25" s="340">
        <v>8</v>
      </c>
      <c r="B25" s="224" t="s">
        <v>89</v>
      </c>
      <c r="E25" s="9">
        <f>SUM(E22:E24)</f>
        <v>149479</v>
      </c>
      <c r="F25" s="9">
        <f>SUM(F22:F24)</f>
        <v>149479</v>
      </c>
      <c r="G25" s="9">
        <f>SUM(G22:G24)</f>
        <v>0</v>
      </c>
      <c r="H25" s="356" t="str">
        <f>IF(E25=F25+G25," ","ERROR")</f>
        <v xml:space="preserve"> </v>
      </c>
      <c r="I25" s="515">
        <f>F25-(SUM(H108:H114)/1000)</f>
        <v>0.3060000000114087</v>
      </c>
    </row>
    <row r="26" spans="1:9" ht="13.2">
      <c r="A26" s="340"/>
      <c r="E26" s="9"/>
      <c r="F26" s="9"/>
      <c r="G26" s="9"/>
      <c r="H26" s="356"/>
    </row>
    <row r="27" spans="1:9" ht="13.2">
      <c r="A27" s="340"/>
      <c r="B27" s="224" t="s">
        <v>41</v>
      </c>
      <c r="E27" s="9"/>
      <c r="F27" s="9"/>
      <c r="G27" s="9"/>
      <c r="H27" s="356"/>
    </row>
    <row r="28" spans="1:9" ht="13.2">
      <c r="A28" s="340">
        <v>9</v>
      </c>
      <c r="B28" s="224" t="s">
        <v>90</v>
      </c>
      <c r="E28" s="9">
        <f>F28+G28</f>
        <v>2062</v>
      </c>
      <c r="F28" s="357">
        <f>F121</f>
        <v>2062</v>
      </c>
      <c r="G28" s="357">
        <f>G121</f>
        <v>0</v>
      </c>
      <c r="H28" s="356" t="str">
        <f>IF(E28=F28+G28," ","ERROR")</f>
        <v xml:space="preserve"> </v>
      </c>
    </row>
    <row r="29" spans="1:9" ht="13.2">
      <c r="A29" s="340">
        <v>10</v>
      </c>
      <c r="B29" s="224" t="s">
        <v>91</v>
      </c>
      <c r="E29" s="9">
        <f>F29+G29</f>
        <v>512</v>
      </c>
      <c r="F29" s="357">
        <f>F123+F124</f>
        <v>512</v>
      </c>
      <c r="G29" s="357">
        <f>G123+G124</f>
        <v>0</v>
      </c>
      <c r="H29" s="356" t="str">
        <f>IF(E29=F29+G29," ","ERROR")</f>
        <v xml:space="preserve"> </v>
      </c>
    </row>
    <row r="30" spans="1:9" ht="13.2">
      <c r="A30" s="340">
        <v>11</v>
      </c>
      <c r="B30" s="224" t="s">
        <v>92</v>
      </c>
      <c r="E30" s="358">
        <f>F30+G30</f>
        <v>161</v>
      </c>
      <c r="F30" s="359">
        <f>F125</f>
        <v>161</v>
      </c>
      <c r="G30" s="359">
        <f>G125</f>
        <v>0</v>
      </c>
      <c r="H30" s="356" t="str">
        <f>IF(E30=F30+G30," ","ERROR")</f>
        <v xml:space="preserve"> </v>
      </c>
    </row>
    <row r="31" spans="1:9" ht="13.2">
      <c r="A31" s="81">
        <v>12</v>
      </c>
      <c r="B31" s="224" t="s">
        <v>93</v>
      </c>
      <c r="E31" s="9">
        <f>SUM(E28:E30)</f>
        <v>2735</v>
      </c>
      <c r="F31" s="357">
        <f>SUM(F28:F30)</f>
        <v>2735</v>
      </c>
      <c r="G31" s="357">
        <f>SUM(G28:G30)</f>
        <v>0</v>
      </c>
      <c r="H31" s="356" t="str">
        <f>IF(E31=F31+G31," ","ERROR")</f>
        <v xml:space="preserve"> </v>
      </c>
      <c r="I31" s="515">
        <f>F31-(SUM(H118:H120,H123:H125)/1000)</f>
        <v>0.16600000000016735</v>
      </c>
    </row>
    <row r="32" spans="1:9" ht="13.2">
      <c r="A32" s="340"/>
      <c r="E32" s="9"/>
      <c r="F32" s="357"/>
      <c r="G32" s="357"/>
      <c r="H32" s="356"/>
    </row>
    <row r="33" spans="1:9" ht="13.2">
      <c r="A33" s="340"/>
      <c r="B33" s="224" t="s">
        <v>45</v>
      </c>
      <c r="E33" s="9"/>
      <c r="F33" s="357"/>
      <c r="G33" s="357"/>
      <c r="H33" s="356"/>
    </row>
    <row r="34" spans="1:9" ht="13.2">
      <c r="A34" s="340">
        <v>13</v>
      </c>
      <c r="B34" s="224" t="s">
        <v>90</v>
      </c>
      <c r="E34" s="9">
        <f>F34+G34</f>
        <v>12916</v>
      </c>
      <c r="F34" s="357">
        <f>F152</f>
        <v>12916</v>
      </c>
      <c r="G34" s="357">
        <f>G152</f>
        <v>0</v>
      </c>
      <c r="H34" s="356" t="str">
        <f t="shared" ref="H34:H41" si="0">IF(E34=F34+G34," ","ERROR")</f>
        <v xml:space="preserve"> </v>
      </c>
    </row>
    <row r="35" spans="1:9" ht="13.2">
      <c r="A35" s="340">
        <v>14</v>
      </c>
      <c r="B35" s="224" t="s">
        <v>91</v>
      </c>
      <c r="E35" s="9">
        <f>F35+G35</f>
        <v>16440</v>
      </c>
      <c r="F35" s="357">
        <f>F154</f>
        <v>16440</v>
      </c>
      <c r="G35" s="357">
        <f>G154</f>
        <v>0</v>
      </c>
      <c r="H35" s="356" t="str">
        <f t="shared" si="0"/>
        <v xml:space="preserve"> </v>
      </c>
    </row>
    <row r="36" spans="1:9" ht="13.2">
      <c r="A36" s="340">
        <v>15</v>
      </c>
      <c r="B36" s="224" t="s">
        <v>92</v>
      </c>
      <c r="E36" s="358">
        <f>F36+G36</f>
        <v>21003</v>
      </c>
      <c r="F36" s="359">
        <f>F155</f>
        <v>21003</v>
      </c>
      <c r="G36" s="359">
        <f>G155</f>
        <v>0</v>
      </c>
      <c r="H36" s="356" t="str">
        <f t="shared" si="0"/>
        <v xml:space="preserve"> </v>
      </c>
    </row>
    <row r="37" spans="1:9" ht="12" customHeight="1">
      <c r="A37" s="340">
        <v>16</v>
      </c>
      <c r="B37" s="224" t="s">
        <v>94</v>
      </c>
      <c r="E37" s="9">
        <f>SUM(E34:E36)</f>
        <v>50359</v>
      </c>
      <c r="F37" s="9">
        <f>SUM(F34:F36)</f>
        <v>50359</v>
      </c>
      <c r="G37" s="9">
        <f>SUM(G34:G36)</f>
        <v>0</v>
      </c>
      <c r="H37" s="356" t="str">
        <f t="shared" si="0"/>
        <v xml:space="preserve"> </v>
      </c>
      <c r="I37" s="515">
        <f>F37-(SUM(H132:H151,H154:H155)/1000)</f>
        <v>-0.37999999999738066</v>
      </c>
    </row>
    <row r="38" spans="1:9" ht="12" customHeight="1">
      <c r="A38" s="340"/>
      <c r="E38" s="9"/>
      <c r="F38" s="9"/>
      <c r="G38" s="9"/>
      <c r="H38" s="356"/>
    </row>
    <row r="39" spans="1:9" ht="12" customHeight="1">
      <c r="A39" s="340">
        <v>17</v>
      </c>
      <c r="B39" s="224" t="s">
        <v>47</v>
      </c>
      <c r="E39" s="9">
        <f>F39+G39</f>
        <v>3993</v>
      </c>
      <c r="F39" s="357">
        <f>F166</f>
        <v>3993</v>
      </c>
      <c r="G39" s="357">
        <f>G166</f>
        <v>0</v>
      </c>
      <c r="H39" s="356" t="str">
        <f t="shared" si="0"/>
        <v xml:space="preserve"> </v>
      </c>
      <c r="I39" s="515">
        <f>F39-(SUM(H161:H165)/1000)</f>
        <v>0.49800000000004729</v>
      </c>
    </row>
    <row r="40" spans="1:9" ht="13.2">
      <c r="A40" s="340">
        <v>18</v>
      </c>
      <c r="B40" s="224" t="s">
        <v>48</v>
      </c>
      <c r="E40" s="9">
        <f>F40+G40</f>
        <v>14067</v>
      </c>
      <c r="F40" s="357">
        <f>F172</f>
        <v>14067</v>
      </c>
      <c r="G40" s="357">
        <f>G172</f>
        <v>0</v>
      </c>
      <c r="H40" s="356" t="str">
        <f t="shared" si="0"/>
        <v xml:space="preserve"> </v>
      </c>
      <c r="I40" s="515">
        <f>F40-(SUM(H169:H171)/1000)</f>
        <v>-9.7999999999956344E-2</v>
      </c>
    </row>
    <row r="41" spans="1:9" ht="13.2">
      <c r="A41" s="340">
        <v>19</v>
      </c>
      <c r="B41" s="224" t="s">
        <v>95</v>
      </c>
      <c r="E41" s="9">
        <f>F41+G41</f>
        <v>0</v>
      </c>
      <c r="F41" s="357">
        <f>F178</f>
        <v>0</v>
      </c>
      <c r="G41" s="357">
        <f>G178</f>
        <v>0</v>
      </c>
      <c r="H41" s="356" t="str">
        <f t="shared" si="0"/>
        <v xml:space="preserve"> </v>
      </c>
      <c r="I41" s="515">
        <f>F41-(SUM(H175:H177)/1000)</f>
        <v>-0.27900000000000003</v>
      </c>
    </row>
    <row r="42" spans="1:9" ht="13.2">
      <c r="A42" s="340"/>
      <c r="E42" s="9"/>
      <c r="F42" s="357"/>
      <c r="G42" s="357"/>
      <c r="H42" s="356"/>
    </row>
    <row r="43" spans="1:9" ht="13.2">
      <c r="A43" s="340"/>
      <c r="B43" s="224" t="s">
        <v>96</v>
      </c>
      <c r="E43" s="9"/>
      <c r="F43" s="357"/>
      <c r="G43" s="357"/>
      <c r="H43" s="356"/>
    </row>
    <row r="44" spans="1:9" ht="13.2">
      <c r="A44" s="340">
        <v>20</v>
      </c>
      <c r="B44" s="224" t="s">
        <v>90</v>
      </c>
      <c r="E44" s="9">
        <f>F44+G44</f>
        <v>24398</v>
      </c>
      <c r="F44" s="357">
        <f>F192</f>
        <v>24398</v>
      </c>
      <c r="G44" s="357">
        <f>G192</f>
        <v>0</v>
      </c>
      <c r="H44" s="356" t="str">
        <f>IF(E44=F44+G44," ","ERROR")</f>
        <v xml:space="preserve"> </v>
      </c>
    </row>
    <row r="45" spans="1:9" ht="13.2">
      <c r="A45" s="340">
        <v>21</v>
      </c>
      <c r="B45" s="224" t="s">
        <v>371</v>
      </c>
      <c r="E45" s="9">
        <f>F45+G45</f>
        <v>12802</v>
      </c>
      <c r="F45" s="357">
        <f>F194+F195+F196+F197</f>
        <v>12802</v>
      </c>
      <c r="G45" s="357">
        <f>G194+G195+G196+G197</f>
        <v>0</v>
      </c>
      <c r="H45" s="356" t="str">
        <f>IF(E45=F45+G45," ","ERROR")</f>
        <v xml:space="preserve"> </v>
      </c>
    </row>
    <row r="46" spans="1:9" ht="13.2">
      <c r="A46" s="340">
        <v>22</v>
      </c>
      <c r="B46" s="224" t="s">
        <v>369</v>
      </c>
      <c r="E46" s="9">
        <f>F46+G46</f>
        <v>1612</v>
      </c>
      <c r="F46" s="357">
        <f>SUM(F198:F217)</f>
        <v>1612</v>
      </c>
      <c r="G46" s="357">
        <f>SUM(G209:G218)</f>
        <v>0</v>
      </c>
      <c r="H46" s="356"/>
    </row>
    <row r="47" spans="1:9" ht="13.2">
      <c r="A47" s="340">
        <v>23</v>
      </c>
      <c r="B47" s="224" t="s">
        <v>92</v>
      </c>
      <c r="E47" s="358">
        <f>F47+G47</f>
        <v>1132</v>
      </c>
      <c r="F47" s="359">
        <f>F218</f>
        <v>1132</v>
      </c>
      <c r="G47" s="359">
        <v>0</v>
      </c>
      <c r="H47" s="356" t="str">
        <f>IF(E47=F47+G47," ","ERROR")</f>
        <v xml:space="preserve"> </v>
      </c>
    </row>
    <row r="48" spans="1:9" ht="13.2">
      <c r="A48" s="340">
        <v>24</v>
      </c>
      <c r="B48" s="224" t="s">
        <v>97</v>
      </c>
      <c r="E48" s="358">
        <f>SUM(E44:E47)</f>
        <v>39944</v>
      </c>
      <c r="F48" s="358">
        <f>SUM(F44:F47)</f>
        <v>39944</v>
      </c>
      <c r="G48" s="358">
        <f>SUM(G44:G47)</f>
        <v>0</v>
      </c>
      <c r="H48" s="356" t="str">
        <f>IF(E48=F48+G48," ","ERROR")</f>
        <v xml:space="preserve"> </v>
      </c>
      <c r="I48" s="515">
        <f>F48-(SUM(H181:H191,H194:H218)/1000)</f>
        <v>-0.37900000000081491</v>
      </c>
    </row>
    <row r="49" spans="1:9" ht="13.2">
      <c r="A49" s="340">
        <v>25</v>
      </c>
      <c r="B49" s="224" t="s">
        <v>52</v>
      </c>
      <c r="E49" s="358">
        <f>E25+E31+E37+E39+E40+E41+E48</f>
        <v>260577</v>
      </c>
      <c r="F49" s="358">
        <f>F25+F31+F37+F39+F40+F41+F48</f>
        <v>260577</v>
      </c>
      <c r="G49" s="358">
        <f>G25+G31+G37+G39+G40+G41+G48+G21</f>
        <v>0</v>
      </c>
      <c r="H49" s="356" t="str">
        <f>IF(E49=F49+G49," ","ERROR")</f>
        <v xml:space="preserve"> </v>
      </c>
    </row>
    <row r="50" spans="1:9" ht="13.2">
      <c r="A50" s="340"/>
      <c r="E50" s="9"/>
      <c r="F50" s="9"/>
      <c r="G50" s="9"/>
      <c r="H50" s="356"/>
    </row>
    <row r="51" spans="1:9" ht="13.2">
      <c r="A51" s="340">
        <v>26</v>
      </c>
      <c r="B51" s="224" t="s">
        <v>98</v>
      </c>
      <c r="E51" s="9">
        <f>E18-E49</f>
        <v>28262</v>
      </c>
      <c r="F51" s="9">
        <f>F18-F49</f>
        <v>28262</v>
      </c>
      <c r="G51" s="9">
        <f>G18-G49</f>
        <v>0</v>
      </c>
      <c r="H51" s="356" t="str">
        <f>IF(E51=F51+G51," ","ERROR")</f>
        <v xml:space="preserve"> </v>
      </c>
    </row>
    <row r="52" spans="1:9" ht="12" customHeight="1">
      <c r="A52" s="340"/>
      <c r="E52" s="9"/>
      <c r="F52" s="9"/>
      <c r="G52" s="9"/>
      <c r="H52" s="356"/>
    </row>
    <row r="53" spans="1:9" ht="12" customHeight="1">
      <c r="A53" s="340"/>
      <c r="B53" s="224" t="s">
        <v>99</v>
      </c>
      <c r="E53" s="9"/>
      <c r="F53" s="9"/>
      <c r="G53" s="9"/>
      <c r="H53" s="356"/>
    </row>
    <row r="54" spans="1:9" ht="13.2">
      <c r="A54" s="340">
        <v>27</v>
      </c>
      <c r="B54" s="361" t="s">
        <v>100</v>
      </c>
      <c r="D54" s="362">
        <v>0.21</v>
      </c>
      <c r="E54" s="9">
        <f>F54+G54</f>
        <v>-4387</v>
      </c>
      <c r="F54" s="357">
        <f>F227</f>
        <v>-4387</v>
      </c>
      <c r="G54" s="357">
        <f>G227</f>
        <v>0</v>
      </c>
      <c r="H54" s="356" t="str">
        <f>IF(E54=F54+G54," ","ERROR")</f>
        <v xml:space="preserve"> </v>
      </c>
    </row>
    <row r="55" spans="1:9" ht="13.2">
      <c r="A55" s="340">
        <v>28</v>
      </c>
      <c r="B55" s="361" t="s">
        <v>204</v>
      </c>
      <c r="D55" s="362"/>
      <c r="E55" s="9"/>
      <c r="F55" s="357"/>
      <c r="G55" s="357"/>
      <c r="H55" s="356"/>
    </row>
    <row r="56" spans="1:9" ht="13.2">
      <c r="A56" s="340">
        <v>29</v>
      </c>
      <c r="B56" s="224" t="s">
        <v>101</v>
      </c>
      <c r="E56" s="9">
        <f>F56+G56</f>
        <v>-3743</v>
      </c>
      <c r="F56" s="357">
        <f>F228</f>
        <v>-3743</v>
      </c>
      <c r="G56" s="357">
        <f>G228</f>
        <v>0</v>
      </c>
      <c r="H56" s="356" t="str">
        <f>IF(E56=F56+G56," ","ERROR")</f>
        <v xml:space="preserve"> </v>
      </c>
    </row>
    <row r="57" spans="1:9" ht="13.2">
      <c r="A57" s="340">
        <v>30</v>
      </c>
      <c r="B57" s="224" t="s">
        <v>102</v>
      </c>
      <c r="E57" s="358">
        <f>F57+G57</f>
        <v>0</v>
      </c>
      <c r="F57" s="359">
        <f>F229</f>
        <v>0</v>
      </c>
      <c r="G57" s="359">
        <f>G229</f>
        <v>0</v>
      </c>
      <c r="H57" s="356" t="str">
        <f>IF(E57=F57+G57," ","ERROR")</f>
        <v xml:space="preserve"> </v>
      </c>
    </row>
    <row r="58" spans="1:9" ht="13.2">
      <c r="A58" s="340"/>
      <c r="G58" s="342"/>
      <c r="H58" s="356"/>
    </row>
    <row r="59" spans="1:9" ht="13.8" thickBot="1">
      <c r="A59" s="340">
        <v>31</v>
      </c>
      <c r="B59" s="363" t="s">
        <v>58</v>
      </c>
      <c r="E59" s="10">
        <f>E51-(+E54+E56+E57)</f>
        <v>36392</v>
      </c>
      <c r="F59" s="10">
        <f>F51-(F54+F56+F57)</f>
        <v>36392</v>
      </c>
      <c r="G59" s="10">
        <f>G51-(G54+G56+G57)</f>
        <v>0</v>
      </c>
      <c r="H59" s="356" t="str">
        <f>IF(E59=F59+G59," ","ERROR")</f>
        <v xml:space="preserve"> </v>
      </c>
    </row>
    <row r="60" spans="1:9" ht="13.8" thickTop="1">
      <c r="A60" s="340"/>
      <c r="E60" s="349"/>
      <c r="F60" s="349"/>
      <c r="G60" s="349"/>
      <c r="H60" s="356"/>
    </row>
    <row r="61" spans="1:9" ht="13.2">
      <c r="A61" s="340"/>
      <c r="B61" s="361" t="s">
        <v>103</v>
      </c>
      <c r="G61" s="342"/>
      <c r="H61" s="356"/>
    </row>
    <row r="62" spans="1:9" ht="13.2">
      <c r="A62" s="340"/>
      <c r="B62" s="361" t="s">
        <v>104</v>
      </c>
      <c r="G62" s="342"/>
      <c r="H62" s="356"/>
    </row>
    <row r="63" spans="1:9" ht="13.2">
      <c r="A63" s="340">
        <v>32</v>
      </c>
      <c r="B63" s="224" t="s">
        <v>105</v>
      </c>
      <c r="E63" s="17">
        <f>F63+G63</f>
        <v>34499.699999999997</v>
      </c>
      <c r="F63" s="256">
        <f>F247-0.3</f>
        <v>34499.699999999997</v>
      </c>
      <c r="G63" s="256">
        <f>G247</f>
        <v>0</v>
      </c>
      <c r="H63" s="356" t="str">
        <f t="shared" ref="H63:H76" si="1">IF(E63=F63+G63," ","ERROR")</f>
        <v xml:space="preserve"> </v>
      </c>
      <c r="I63" s="515">
        <f>F63-(SUM(H239:H246)/1000)</f>
        <v>-1.6999999999825377E-2</v>
      </c>
    </row>
    <row r="64" spans="1:9" ht="13.2">
      <c r="A64" s="340">
        <v>33</v>
      </c>
      <c r="B64" s="224" t="s">
        <v>106</v>
      </c>
      <c r="E64" s="9">
        <f>F64+G64</f>
        <v>650522.69999999995</v>
      </c>
      <c r="F64" s="357">
        <f>F263-0.3</f>
        <v>650522.69999999995</v>
      </c>
      <c r="G64" s="357">
        <f>G263</f>
        <v>0</v>
      </c>
      <c r="H64" s="356" t="str">
        <f t="shared" si="1"/>
        <v xml:space="preserve"> </v>
      </c>
      <c r="I64" s="515">
        <f>F64-(SUM(H250:H262)/1000)</f>
        <v>0.14099999994505197</v>
      </c>
    </row>
    <row r="65" spans="1:9" ht="13.2">
      <c r="A65" s="340">
        <v>34</v>
      </c>
      <c r="B65" s="224" t="s">
        <v>107</v>
      </c>
      <c r="E65" s="358">
        <f>F65+G65</f>
        <v>161473</v>
      </c>
      <c r="F65" s="359">
        <f>F276+F236</f>
        <v>161473</v>
      </c>
      <c r="G65" s="359">
        <f>G276+G236</f>
        <v>0</v>
      </c>
      <c r="H65" s="356" t="str">
        <f t="shared" si="1"/>
        <v xml:space="preserve"> </v>
      </c>
      <c r="I65" s="515">
        <f>F65-(SUM(H234:H235,H266:H275)/1000)</f>
        <v>-7.19999999855645E-2</v>
      </c>
    </row>
    <row r="66" spans="1:9" ht="13.2">
      <c r="A66" s="340">
        <v>35</v>
      </c>
      <c r="B66" s="224" t="s">
        <v>108</v>
      </c>
      <c r="E66" s="9">
        <f>SUM(E63:E65)</f>
        <v>846495.39999999991</v>
      </c>
      <c r="F66" s="357">
        <f>SUM(F63:F65)</f>
        <v>846495.39999999991</v>
      </c>
      <c r="G66" s="357">
        <f>SUM(G63:G65)</f>
        <v>0</v>
      </c>
      <c r="H66" s="356" t="str">
        <f t="shared" si="1"/>
        <v xml:space="preserve"> </v>
      </c>
    </row>
    <row r="67" spans="1:9" ht="13.2">
      <c r="A67" s="340"/>
      <c r="E67" s="9"/>
      <c r="F67" s="357"/>
      <c r="G67" s="357"/>
      <c r="H67" s="356"/>
    </row>
    <row r="68" spans="1:9" ht="13.2">
      <c r="A68" s="340"/>
      <c r="B68" s="224" t="s">
        <v>372</v>
      </c>
      <c r="E68" s="9"/>
      <c r="F68" s="357"/>
      <c r="G68" s="357"/>
      <c r="H68" s="356" t="str">
        <f t="shared" si="1"/>
        <v xml:space="preserve"> </v>
      </c>
    </row>
    <row r="69" spans="1:9" ht="13.2">
      <c r="A69" s="340">
        <v>36</v>
      </c>
      <c r="B69" s="224" t="s">
        <v>105</v>
      </c>
      <c r="E69" s="9">
        <f>F69+G69</f>
        <v>-13149</v>
      </c>
      <c r="F69" s="357">
        <f>F282+F290</f>
        <v>-13149</v>
      </c>
      <c r="G69" s="357">
        <f>G282+G290</f>
        <v>0</v>
      </c>
      <c r="H69" s="356" t="str">
        <f t="shared" si="1"/>
        <v xml:space="preserve"> </v>
      </c>
    </row>
    <row r="70" spans="1:9" ht="13.2">
      <c r="A70" s="340">
        <v>37</v>
      </c>
      <c r="B70" s="224" t="s">
        <v>106</v>
      </c>
      <c r="E70" s="9">
        <f>F70+G70</f>
        <v>-188334</v>
      </c>
      <c r="F70" s="357">
        <f>F283</f>
        <v>-188334</v>
      </c>
      <c r="G70" s="357">
        <f>G283</f>
        <v>0</v>
      </c>
      <c r="H70" s="356" t="str">
        <f t="shared" si="1"/>
        <v xml:space="preserve"> </v>
      </c>
    </row>
    <row r="71" spans="1:9" ht="13.2">
      <c r="A71" s="340">
        <v>38</v>
      </c>
      <c r="B71" s="224" t="s">
        <v>107</v>
      </c>
      <c r="E71" s="358">
        <f>F71+G71</f>
        <v>-62353</v>
      </c>
      <c r="F71" s="359">
        <f>F284+F288+F289+F291</f>
        <v>-62353</v>
      </c>
      <c r="G71" s="359">
        <f>G284+G288+G289+G291</f>
        <v>0</v>
      </c>
      <c r="H71" s="356" t="str">
        <f t="shared" si="1"/>
        <v xml:space="preserve"> </v>
      </c>
    </row>
    <row r="72" spans="1:9" ht="13.2">
      <c r="A72" s="340">
        <v>39</v>
      </c>
      <c r="B72" s="224" t="s">
        <v>373</v>
      </c>
      <c r="E72" s="364">
        <f>SUM(E69:E71)</f>
        <v>-263836</v>
      </c>
      <c r="F72" s="364">
        <f>SUM(F69:F71)</f>
        <v>-263836</v>
      </c>
      <c r="G72" s="364">
        <f>SUM(G69:G71)</f>
        <v>0</v>
      </c>
      <c r="H72" s="356" t="str">
        <f t="shared" si="1"/>
        <v xml:space="preserve"> </v>
      </c>
    </row>
    <row r="73" spans="1:9" ht="13.2">
      <c r="A73" s="340">
        <v>40</v>
      </c>
      <c r="B73" s="224" t="s">
        <v>164</v>
      </c>
      <c r="E73" s="9">
        <f>E66+E72</f>
        <v>582659.39999999991</v>
      </c>
      <c r="F73" s="9">
        <f>F66+F72</f>
        <v>582659.39999999991</v>
      </c>
      <c r="G73" s="9">
        <f>G66+G72</f>
        <v>0</v>
      </c>
      <c r="H73" s="356"/>
    </row>
    <row r="74" spans="1:9" ht="13.2">
      <c r="A74" s="340">
        <v>41</v>
      </c>
      <c r="B74" s="361" t="s">
        <v>109</v>
      </c>
      <c r="E74" s="365">
        <f>F74+G74</f>
        <v>-84772</v>
      </c>
      <c r="F74" s="365">
        <f>F304</f>
        <v>-84772</v>
      </c>
      <c r="G74" s="365">
        <f>G304</f>
        <v>0</v>
      </c>
      <c r="H74" s="356" t="str">
        <f t="shared" si="1"/>
        <v xml:space="preserve"> </v>
      </c>
    </row>
    <row r="75" spans="1:9" ht="13.2">
      <c r="A75" s="340">
        <v>42</v>
      </c>
      <c r="B75" s="120" t="s">
        <v>191</v>
      </c>
      <c r="E75" s="9">
        <f>E73+E74</f>
        <v>497887.39999999991</v>
      </c>
      <c r="F75" s="9">
        <f>F73+F74</f>
        <v>497887.39999999991</v>
      </c>
      <c r="G75" s="9">
        <f>G73+G74</f>
        <v>0</v>
      </c>
      <c r="H75" s="356"/>
    </row>
    <row r="76" spans="1:9" ht="13.2">
      <c r="A76" s="340">
        <v>43</v>
      </c>
      <c r="B76" s="224" t="s">
        <v>65</v>
      </c>
      <c r="E76" s="9">
        <f t="shared" ref="E76:E79" si="2">F76+G76</f>
        <v>19552</v>
      </c>
      <c r="F76" s="9">
        <f>F312+F313+F314</f>
        <v>19552</v>
      </c>
      <c r="G76" s="9">
        <f>G324+G325</f>
        <v>0</v>
      </c>
      <c r="H76" s="356" t="str">
        <f t="shared" si="1"/>
        <v xml:space="preserve"> </v>
      </c>
    </row>
    <row r="77" spans="1:9" ht="13.2">
      <c r="A77" s="340">
        <v>44</v>
      </c>
      <c r="B77" s="361" t="s">
        <v>66</v>
      </c>
      <c r="E77" s="9">
        <f t="shared" si="2"/>
        <v>0</v>
      </c>
      <c r="F77" s="342">
        <v>0</v>
      </c>
      <c r="G77" s="342">
        <f>G310+G311</f>
        <v>0</v>
      </c>
      <c r="H77" s="356" t="str">
        <f>IF(E79=F79+G79," ","ERROR")</f>
        <v xml:space="preserve"> </v>
      </c>
    </row>
    <row r="78" spans="1:9" ht="13.2">
      <c r="A78" s="340">
        <v>45</v>
      </c>
      <c r="B78" s="361" t="s">
        <v>377</v>
      </c>
      <c r="E78" s="9">
        <f t="shared" si="2"/>
        <v>943</v>
      </c>
      <c r="F78" s="342">
        <f>F309+F326+F310+F311+F315+F316+F317+F318+F319+F320+F324+F321+F322+F323</f>
        <v>943</v>
      </c>
      <c r="G78" s="342">
        <f t="shared" ref="G78:G79" si="3">G311+G312</f>
        <v>0</v>
      </c>
      <c r="H78" s="356"/>
    </row>
    <row r="79" spans="1:9" ht="13.2">
      <c r="A79" s="340">
        <v>46</v>
      </c>
      <c r="B79" s="224" t="s">
        <v>166</v>
      </c>
      <c r="E79" s="358">
        <f t="shared" si="2"/>
        <v>15047</v>
      </c>
      <c r="F79" s="358">
        <f>F325</f>
        <v>15047</v>
      </c>
      <c r="G79" s="409">
        <f t="shared" si="3"/>
        <v>0</v>
      </c>
      <c r="H79" s="356"/>
    </row>
    <row r="80" spans="1:9" ht="11.25" customHeight="1">
      <c r="G80" s="342"/>
    </row>
    <row r="81" spans="1:19" ht="9" customHeight="1">
      <c r="A81" s="340"/>
      <c r="B81" s="224" t="s">
        <v>110</v>
      </c>
      <c r="G81" s="342"/>
      <c r="H81" s="356"/>
    </row>
    <row r="82" spans="1:19" ht="13.8" thickBot="1">
      <c r="A82" s="340">
        <v>47</v>
      </c>
      <c r="B82" s="363" t="s">
        <v>67</v>
      </c>
      <c r="E82" s="366">
        <f>E75+E76+E79+E77+E78</f>
        <v>533429.39999999991</v>
      </c>
      <c r="F82" s="366">
        <f>F75+F76+F79+F77+F78</f>
        <v>533429.39999999991</v>
      </c>
      <c r="G82" s="366">
        <f>G75+G76+G79+G77+G78</f>
        <v>0</v>
      </c>
      <c r="H82" s="356" t="str">
        <f>IF(E82=F82+G82," ","ERROR")</f>
        <v xml:space="preserve"> </v>
      </c>
    </row>
    <row r="83" spans="1:19" ht="11.25" customHeight="1" thickTop="1">
      <c r="E83" s="349"/>
      <c r="F83" s="349"/>
      <c r="G83" s="349"/>
    </row>
    <row r="84" spans="1:19" ht="11.25" customHeight="1">
      <c r="E84" s="6">
        <f>E59/E82</f>
        <v>6.8222711384111942E-2</v>
      </c>
      <c r="F84" s="6">
        <f>F59/F82</f>
        <v>6.8222711384111942E-2</v>
      </c>
      <c r="G84" s="6"/>
    </row>
    <row r="86" spans="1:19" s="509" customFormat="1" ht="13.2">
      <c r="A86" s="504"/>
      <c r="B86" s="505" t="s">
        <v>31</v>
      </c>
      <c r="C86" s="506"/>
      <c r="D86" s="506"/>
      <c r="E86" s="507"/>
      <c r="F86" s="508"/>
      <c r="G86" s="507"/>
      <c r="H86" s="506"/>
      <c r="I86" s="515"/>
      <c r="J86"/>
      <c r="K86"/>
      <c r="L86"/>
      <c r="M86"/>
      <c r="N86"/>
      <c r="O86"/>
      <c r="P86"/>
      <c r="Q86"/>
      <c r="R86"/>
      <c r="S86"/>
    </row>
    <row r="87" spans="1:19" ht="13.2">
      <c r="A87" s="181"/>
      <c r="B87" s="183" t="s">
        <v>205</v>
      </c>
    </row>
    <row r="88" spans="1:19" ht="13.2">
      <c r="A88" s="184">
        <v>480000</v>
      </c>
      <c r="B88" s="183" t="s">
        <v>206</v>
      </c>
      <c r="F88" s="342">
        <f>ROUND(H88/1000,0)</f>
        <v>160653</v>
      </c>
      <c r="H88" s="56">
        <v>160653358</v>
      </c>
    </row>
    <row r="89" spans="1:19" ht="13.2">
      <c r="A89" s="184" t="s">
        <v>207</v>
      </c>
      <c r="B89" s="183" t="s">
        <v>208</v>
      </c>
      <c r="F89" s="342">
        <f t="shared" ref="F89:F156" si="4">ROUND(H89/1000,0)</f>
        <v>83079</v>
      </c>
      <c r="H89" s="56">
        <v>83079107</v>
      </c>
    </row>
    <row r="90" spans="1:19" ht="13.2">
      <c r="A90" s="184" t="s">
        <v>209</v>
      </c>
      <c r="B90" s="183" t="s">
        <v>210</v>
      </c>
      <c r="F90" s="342">
        <f t="shared" si="4"/>
        <v>2465</v>
      </c>
      <c r="H90" s="56">
        <v>2464839</v>
      </c>
    </row>
    <row r="91" spans="1:19" ht="13.2">
      <c r="A91" s="184">
        <v>481400</v>
      </c>
      <c r="B91" s="183" t="s">
        <v>211</v>
      </c>
      <c r="F91" s="342">
        <f t="shared" si="4"/>
        <v>0</v>
      </c>
      <c r="H91" s="56">
        <v>0</v>
      </c>
    </row>
    <row r="92" spans="1:19" ht="13.2">
      <c r="A92" s="184">
        <v>484000</v>
      </c>
      <c r="B92" s="183" t="s">
        <v>214</v>
      </c>
      <c r="F92" s="342">
        <f t="shared" si="4"/>
        <v>444</v>
      </c>
      <c r="H92" s="56">
        <v>443572</v>
      </c>
    </row>
    <row r="93" spans="1:19" ht="13.2">
      <c r="A93" s="181" t="s">
        <v>212</v>
      </c>
      <c r="B93" s="183" t="s">
        <v>213</v>
      </c>
      <c r="F93" s="342">
        <f t="shared" si="4"/>
        <v>-100</v>
      </c>
      <c r="H93" s="56">
        <v>-100104</v>
      </c>
    </row>
    <row r="94" spans="1:19" ht="13.2">
      <c r="A94" s="181"/>
      <c r="B94" s="183" t="s">
        <v>215</v>
      </c>
      <c r="F94" s="342">
        <f t="shared" si="4"/>
        <v>246541</v>
      </c>
      <c r="H94" s="56">
        <v>246540772</v>
      </c>
    </row>
    <row r="95" spans="1:19" ht="13.2">
      <c r="A95" s="181"/>
      <c r="B95" s="183"/>
      <c r="F95" s="342">
        <f t="shared" si="4"/>
        <v>0</v>
      </c>
      <c r="H95" s="56"/>
    </row>
    <row r="96" spans="1:19" ht="13.2">
      <c r="A96" s="181"/>
      <c r="B96" s="183" t="s">
        <v>216</v>
      </c>
      <c r="F96" s="342">
        <f t="shared" si="4"/>
        <v>0</v>
      </c>
      <c r="H96" s="56"/>
    </row>
    <row r="97" spans="1:8" ht="13.2">
      <c r="A97" s="185" t="s">
        <v>581</v>
      </c>
      <c r="B97" s="186" t="s">
        <v>217</v>
      </c>
      <c r="F97" s="342">
        <f t="shared" si="4"/>
        <v>36675</v>
      </c>
      <c r="H97" s="56">
        <v>36674988</v>
      </c>
    </row>
    <row r="98" spans="1:8" ht="13.2">
      <c r="A98" s="184">
        <v>488000</v>
      </c>
      <c r="B98" s="183" t="s">
        <v>218</v>
      </c>
      <c r="F98" s="342">
        <f t="shared" si="4"/>
        <v>3</v>
      </c>
      <c r="H98" s="56">
        <v>3075</v>
      </c>
    </row>
    <row r="99" spans="1:8" ht="13.2">
      <c r="A99" s="184" t="s">
        <v>582</v>
      </c>
      <c r="B99" s="183" t="s">
        <v>219</v>
      </c>
      <c r="F99" s="342">
        <f t="shared" si="4"/>
        <v>5180</v>
      </c>
      <c r="H99" s="56">
        <v>5179561</v>
      </c>
    </row>
    <row r="100" spans="1:8" ht="13.2">
      <c r="A100" s="184">
        <v>493000</v>
      </c>
      <c r="B100" s="183" t="s">
        <v>220</v>
      </c>
      <c r="F100" s="342">
        <f t="shared" si="4"/>
        <v>0</v>
      </c>
      <c r="H100" s="56">
        <v>-209</v>
      </c>
    </row>
    <row r="101" spans="1:8" ht="13.2">
      <c r="A101" s="184" t="s">
        <v>583</v>
      </c>
      <c r="B101" s="183" t="s">
        <v>221</v>
      </c>
      <c r="F101" s="342">
        <f t="shared" si="4"/>
        <v>441</v>
      </c>
      <c r="H101" s="56">
        <v>440555</v>
      </c>
    </row>
    <row r="102" spans="1:8" ht="13.2">
      <c r="A102" s="184">
        <v>496100</v>
      </c>
      <c r="B102" s="183" t="s">
        <v>412</v>
      </c>
      <c r="F102" s="342">
        <f t="shared" si="4"/>
        <v>0</v>
      </c>
      <c r="H102" s="56">
        <v>0</v>
      </c>
    </row>
    <row r="103" spans="1:8" ht="15.6">
      <c r="A103" s="334">
        <v>496110</v>
      </c>
      <c r="B103" s="240" t="s">
        <v>456</v>
      </c>
      <c r="F103" s="342">
        <f t="shared" si="4"/>
        <v>0</v>
      </c>
      <c r="H103" s="56">
        <v>0</v>
      </c>
    </row>
    <row r="104" spans="1:8" ht="13.2">
      <c r="A104" s="181"/>
      <c r="B104" s="183" t="s">
        <v>222</v>
      </c>
      <c r="F104" s="342">
        <f t="shared" si="4"/>
        <v>42298</v>
      </c>
      <c r="H104" s="56">
        <v>42297970</v>
      </c>
    </row>
    <row r="105" spans="1:8" ht="13.2">
      <c r="A105" s="181"/>
      <c r="B105" s="183" t="s">
        <v>223</v>
      </c>
      <c r="F105" s="342">
        <f t="shared" si="4"/>
        <v>288839</v>
      </c>
      <c r="H105" s="56">
        <v>288838742</v>
      </c>
    </row>
    <row r="106" spans="1:8" ht="13.2">
      <c r="A106" s="181"/>
      <c r="B106" s="183"/>
      <c r="F106" s="342">
        <f t="shared" si="4"/>
        <v>0</v>
      </c>
      <c r="H106" s="56"/>
    </row>
    <row r="107" spans="1:8" ht="13.2">
      <c r="A107" s="181"/>
      <c r="B107" s="183" t="s">
        <v>224</v>
      </c>
      <c r="F107" s="342">
        <f t="shared" si="4"/>
        <v>0</v>
      </c>
      <c r="H107" s="56"/>
    </row>
    <row r="108" spans="1:8" ht="13.2">
      <c r="A108" s="187" t="s">
        <v>225</v>
      </c>
      <c r="B108" s="183" t="s">
        <v>37</v>
      </c>
      <c r="F108" s="342">
        <f t="shared" si="4"/>
        <v>139821</v>
      </c>
      <c r="H108" s="56">
        <v>139820536</v>
      </c>
    </row>
    <row r="109" spans="1:8" ht="13.2">
      <c r="A109" s="184" t="s">
        <v>226</v>
      </c>
      <c r="B109" s="183" t="s">
        <v>227</v>
      </c>
      <c r="F109" s="342">
        <f t="shared" si="4"/>
        <v>9133</v>
      </c>
      <c r="H109" s="56">
        <v>9132838</v>
      </c>
    </row>
    <row r="110" spans="1:8" ht="13.2">
      <c r="A110" s="185">
        <v>811000</v>
      </c>
      <c r="B110" s="186" t="s">
        <v>228</v>
      </c>
      <c r="F110" s="342">
        <f t="shared" si="4"/>
        <v>-344</v>
      </c>
      <c r="H110" s="56">
        <v>-343977</v>
      </c>
    </row>
    <row r="111" spans="1:8" ht="13.2">
      <c r="A111" s="184">
        <v>813000</v>
      </c>
      <c r="B111" s="183" t="s">
        <v>229</v>
      </c>
      <c r="F111" s="342">
        <f t="shared" si="4"/>
        <v>781</v>
      </c>
      <c r="H111" s="56">
        <v>780647</v>
      </c>
    </row>
    <row r="112" spans="1:8" ht="13.2">
      <c r="A112" s="184">
        <v>813010</v>
      </c>
      <c r="B112" s="183" t="s">
        <v>230</v>
      </c>
      <c r="F112" s="342">
        <f t="shared" si="4"/>
        <v>89</v>
      </c>
      <c r="H112" s="56">
        <v>88650</v>
      </c>
    </row>
    <row r="113" spans="1:19" s="509" customFormat="1" ht="13.2">
      <c r="A113" s="503">
        <v>813100</v>
      </c>
      <c r="B113" s="335" t="s">
        <v>584</v>
      </c>
      <c r="C113" s="367"/>
      <c r="D113" s="367"/>
      <c r="E113" s="368"/>
      <c r="F113" s="369"/>
      <c r="G113" s="368"/>
      <c r="H113" s="370">
        <v>31823848</v>
      </c>
      <c r="I113" s="515"/>
      <c r="J113"/>
      <c r="K113"/>
      <c r="L113" s="511"/>
      <c r="M113" s="511"/>
      <c r="N113" s="511"/>
      <c r="O113" s="511"/>
      <c r="P113" s="511"/>
      <c r="Q113" s="511"/>
      <c r="R113" s="511"/>
      <c r="S113" s="511"/>
    </row>
    <row r="114" spans="1:19" s="509" customFormat="1" ht="13.2">
      <c r="A114" s="503">
        <v>407417</v>
      </c>
      <c r="B114" s="335" t="s">
        <v>585</v>
      </c>
      <c r="C114" s="367"/>
      <c r="D114" s="367"/>
      <c r="E114" s="368"/>
      <c r="F114" s="369"/>
      <c r="G114" s="368"/>
      <c r="H114" s="370">
        <v>-31823848</v>
      </c>
      <c r="I114" s="515"/>
      <c r="J114"/>
      <c r="K114"/>
      <c r="L114" s="511"/>
      <c r="M114" s="511"/>
      <c r="N114" s="511"/>
      <c r="O114" s="511"/>
      <c r="P114" s="511"/>
      <c r="Q114" s="511"/>
      <c r="R114" s="511"/>
      <c r="S114" s="511"/>
    </row>
    <row r="115" spans="1:19" ht="13.2">
      <c r="A115" s="181"/>
      <c r="B115" s="183" t="s">
        <v>231</v>
      </c>
      <c r="F115" s="342">
        <f t="shared" si="4"/>
        <v>149479</v>
      </c>
      <c r="H115" s="56">
        <v>149478694</v>
      </c>
    </row>
    <row r="116" spans="1:19" ht="13.2">
      <c r="A116" s="181"/>
      <c r="B116" s="183"/>
      <c r="F116" s="342">
        <f t="shared" si="4"/>
        <v>0</v>
      </c>
      <c r="H116" s="56"/>
    </row>
    <row r="117" spans="1:19" ht="13.2">
      <c r="A117" s="181"/>
      <c r="B117" s="183" t="s">
        <v>232</v>
      </c>
      <c r="F117" s="342">
        <f t="shared" si="4"/>
        <v>0</v>
      </c>
      <c r="H117" s="56"/>
    </row>
    <row r="118" spans="1:19" ht="13.2">
      <c r="A118" s="184">
        <v>814000</v>
      </c>
      <c r="B118" s="183" t="s">
        <v>233</v>
      </c>
      <c r="F118" s="342">
        <f t="shared" si="4"/>
        <v>0</v>
      </c>
      <c r="H118" s="56">
        <v>0</v>
      </c>
    </row>
    <row r="119" spans="1:19" ht="13.2">
      <c r="A119" s="184">
        <v>824000</v>
      </c>
      <c r="B119" s="183" t="s">
        <v>234</v>
      </c>
      <c r="F119" s="342">
        <f t="shared" si="4"/>
        <v>571</v>
      </c>
      <c r="H119" s="56">
        <v>570704</v>
      </c>
    </row>
    <row r="120" spans="1:19" ht="13.2">
      <c r="A120" s="184">
        <v>837000</v>
      </c>
      <c r="B120" s="183" t="s">
        <v>235</v>
      </c>
      <c r="F120" s="342">
        <f t="shared" si="4"/>
        <v>1492</v>
      </c>
      <c r="H120" s="56">
        <v>1491595</v>
      </c>
    </row>
    <row r="121" spans="1:19" ht="13.2">
      <c r="A121" s="181"/>
      <c r="B121" s="183" t="s">
        <v>236</v>
      </c>
      <c r="F121" s="342">
        <f t="shared" si="4"/>
        <v>2062</v>
      </c>
      <c r="H121" s="56">
        <v>2062299</v>
      </c>
    </row>
    <row r="122" spans="1:19" ht="13.2">
      <c r="A122" s="181"/>
      <c r="B122" s="183"/>
      <c r="F122" s="342">
        <f t="shared" si="4"/>
        <v>0</v>
      </c>
      <c r="H122" s="56"/>
    </row>
    <row r="123" spans="1:19" ht="13.2">
      <c r="A123" s="182"/>
      <c r="B123" s="183" t="s">
        <v>237</v>
      </c>
      <c r="F123" s="342">
        <f t="shared" si="4"/>
        <v>512</v>
      </c>
      <c r="H123" s="56">
        <v>511824</v>
      </c>
    </row>
    <row r="124" spans="1:19" ht="13.2">
      <c r="A124" s="182"/>
      <c r="B124" s="183" t="s">
        <v>238</v>
      </c>
      <c r="F124" s="342">
        <f t="shared" si="4"/>
        <v>0</v>
      </c>
      <c r="H124" s="56">
        <v>0</v>
      </c>
    </row>
    <row r="125" spans="1:19" ht="13.2">
      <c r="A125" s="181"/>
      <c r="B125" s="183" t="s">
        <v>239</v>
      </c>
      <c r="F125" s="342">
        <f t="shared" si="4"/>
        <v>161</v>
      </c>
      <c r="H125" s="56">
        <v>160711</v>
      </c>
    </row>
    <row r="126" spans="1:19" ht="13.2">
      <c r="A126" s="181"/>
      <c r="B126" s="183" t="s">
        <v>240</v>
      </c>
      <c r="F126" s="342">
        <f t="shared" si="4"/>
        <v>673</v>
      </c>
      <c r="H126" s="56">
        <v>672535</v>
      </c>
    </row>
    <row r="127" spans="1:19" ht="13.2">
      <c r="A127" s="181"/>
      <c r="B127" s="183"/>
      <c r="F127" s="342">
        <f t="shared" si="4"/>
        <v>0</v>
      </c>
      <c r="H127" s="56"/>
    </row>
    <row r="128" spans="1:19" ht="13.2">
      <c r="A128" s="181"/>
      <c r="B128" s="183" t="s">
        <v>241</v>
      </c>
      <c r="F128" s="342">
        <f t="shared" si="4"/>
        <v>2735</v>
      </c>
      <c r="H128" s="56">
        <v>2734834</v>
      </c>
    </row>
    <row r="129" spans="1:8" ht="13.2">
      <c r="A129" s="181"/>
      <c r="B129" s="183"/>
      <c r="F129" s="342">
        <f t="shared" si="4"/>
        <v>0</v>
      </c>
      <c r="H129" s="56"/>
    </row>
    <row r="130" spans="1:8" ht="13.2">
      <c r="A130" s="181"/>
      <c r="B130" s="183" t="s">
        <v>242</v>
      </c>
      <c r="F130" s="342">
        <f t="shared" si="4"/>
        <v>0</v>
      </c>
      <c r="H130" s="56"/>
    </row>
    <row r="131" spans="1:8" ht="13.2">
      <c r="A131" s="181"/>
      <c r="B131" s="183" t="s">
        <v>243</v>
      </c>
      <c r="F131" s="342">
        <f t="shared" si="4"/>
        <v>0</v>
      </c>
      <c r="H131" s="56"/>
    </row>
    <row r="132" spans="1:8" ht="13.2">
      <c r="A132" s="184">
        <v>870000</v>
      </c>
      <c r="B132" s="183" t="s">
        <v>233</v>
      </c>
      <c r="F132" s="342">
        <f t="shared" si="4"/>
        <v>1610</v>
      </c>
      <c r="H132" s="56">
        <v>1609942</v>
      </c>
    </row>
    <row r="133" spans="1:8" ht="13.2">
      <c r="A133" s="184">
        <v>871000</v>
      </c>
      <c r="B133" s="183" t="s">
        <v>244</v>
      </c>
      <c r="F133" s="342">
        <f t="shared" si="4"/>
        <v>0</v>
      </c>
      <c r="H133" s="56">
        <v>0</v>
      </c>
    </row>
    <row r="134" spans="1:8" ht="13.2">
      <c r="A134" s="184">
        <v>874000</v>
      </c>
      <c r="B134" s="183" t="s">
        <v>245</v>
      </c>
      <c r="F134" s="342">
        <f t="shared" si="4"/>
        <v>3230</v>
      </c>
      <c r="H134" s="56">
        <v>3230198</v>
      </c>
    </row>
    <row r="135" spans="1:8" ht="13.2">
      <c r="A135" s="184">
        <v>875000</v>
      </c>
      <c r="B135" s="183" t="s">
        <v>246</v>
      </c>
      <c r="F135" s="342">
        <f t="shared" si="4"/>
        <v>89</v>
      </c>
      <c r="H135" s="56">
        <v>88889</v>
      </c>
    </row>
    <row r="136" spans="1:8" ht="13.2">
      <c r="A136" s="184">
        <v>876000</v>
      </c>
      <c r="B136" s="183" t="s">
        <v>247</v>
      </c>
      <c r="F136" s="342">
        <f t="shared" si="4"/>
        <v>6</v>
      </c>
      <c r="H136" s="56">
        <v>5860</v>
      </c>
    </row>
    <row r="137" spans="1:8" ht="13.2">
      <c r="A137" s="184">
        <v>877000</v>
      </c>
      <c r="B137" s="183" t="s">
        <v>248</v>
      </c>
      <c r="F137" s="342">
        <f t="shared" si="4"/>
        <v>47</v>
      </c>
      <c r="H137" s="56">
        <v>47365</v>
      </c>
    </row>
    <row r="138" spans="1:8" ht="13.2">
      <c r="A138" s="184">
        <v>878000</v>
      </c>
      <c r="B138" s="183" t="s">
        <v>249</v>
      </c>
      <c r="F138" s="342">
        <f t="shared" si="4"/>
        <v>357</v>
      </c>
      <c r="H138" s="56">
        <v>357349</v>
      </c>
    </row>
    <row r="139" spans="1:8" ht="13.2">
      <c r="A139" s="184">
        <v>879000</v>
      </c>
      <c r="B139" s="183" t="s">
        <v>250</v>
      </c>
      <c r="F139" s="342">
        <f t="shared" si="4"/>
        <v>1412</v>
      </c>
      <c r="H139" s="56">
        <v>1411593</v>
      </c>
    </row>
    <row r="140" spans="1:8" ht="13.2">
      <c r="A140" s="184">
        <v>880000</v>
      </c>
      <c r="B140" s="183" t="s">
        <v>234</v>
      </c>
      <c r="F140" s="342">
        <f t="shared" si="4"/>
        <v>2144</v>
      </c>
      <c r="H140" s="56">
        <v>2143569</v>
      </c>
    </row>
    <row r="141" spans="1:8" ht="13.2">
      <c r="A141" s="184">
        <v>881000</v>
      </c>
      <c r="B141" s="183" t="s">
        <v>251</v>
      </c>
      <c r="F141" s="342">
        <f t="shared" si="4"/>
        <v>-5</v>
      </c>
      <c r="H141" s="56">
        <v>-5121</v>
      </c>
    </row>
    <row r="142" spans="1:8" ht="13.2">
      <c r="A142" s="181"/>
      <c r="B142" s="183"/>
      <c r="F142" s="342">
        <f t="shared" si="4"/>
        <v>0</v>
      </c>
      <c r="H142" s="56"/>
    </row>
    <row r="143" spans="1:8" ht="13.2">
      <c r="A143" s="181"/>
      <c r="B143" s="183" t="s">
        <v>252</v>
      </c>
      <c r="F143" s="342">
        <f t="shared" si="4"/>
        <v>0</v>
      </c>
      <c r="H143" s="56"/>
    </row>
    <row r="144" spans="1:8" ht="13.2">
      <c r="A144" s="184">
        <v>885000</v>
      </c>
      <c r="B144" s="183" t="s">
        <v>233</v>
      </c>
      <c r="F144" s="342">
        <f t="shared" si="4"/>
        <v>15</v>
      </c>
      <c r="H144" s="56">
        <v>14914</v>
      </c>
    </row>
    <row r="145" spans="1:8" ht="13.2">
      <c r="A145" s="184">
        <v>887000</v>
      </c>
      <c r="B145" s="183" t="s">
        <v>253</v>
      </c>
      <c r="F145" s="342">
        <f t="shared" si="4"/>
        <v>982</v>
      </c>
      <c r="H145" s="56">
        <v>982204</v>
      </c>
    </row>
    <row r="146" spans="1:8" ht="13.2">
      <c r="A146" s="184">
        <v>889000</v>
      </c>
      <c r="B146" s="183" t="s">
        <v>246</v>
      </c>
      <c r="F146" s="342">
        <f t="shared" si="4"/>
        <v>212</v>
      </c>
      <c r="H146" s="56">
        <v>211901</v>
      </c>
    </row>
    <row r="147" spans="1:8" ht="13.2">
      <c r="A147" s="184">
        <v>890000</v>
      </c>
      <c r="B147" s="183" t="s">
        <v>247</v>
      </c>
      <c r="F147" s="342">
        <f t="shared" si="4"/>
        <v>8</v>
      </c>
      <c r="H147" s="56">
        <v>7827</v>
      </c>
    </row>
    <row r="148" spans="1:8" ht="13.2">
      <c r="A148" s="184">
        <v>891000</v>
      </c>
      <c r="B148" s="183" t="s">
        <v>248</v>
      </c>
      <c r="F148" s="342">
        <f t="shared" si="4"/>
        <v>83</v>
      </c>
      <c r="H148" s="56">
        <v>83430</v>
      </c>
    </row>
    <row r="149" spans="1:8" ht="13.2">
      <c r="A149" s="184">
        <v>892000</v>
      </c>
      <c r="B149" s="183" t="s">
        <v>254</v>
      </c>
      <c r="F149" s="342">
        <f t="shared" si="4"/>
        <v>1074</v>
      </c>
      <c r="H149" s="56">
        <v>1074003</v>
      </c>
    </row>
    <row r="150" spans="1:8" ht="13.2">
      <c r="A150" s="184">
        <v>893000</v>
      </c>
      <c r="B150" s="183" t="s">
        <v>255</v>
      </c>
      <c r="F150" s="342">
        <f t="shared" si="4"/>
        <v>1531</v>
      </c>
      <c r="H150" s="56">
        <v>1530870</v>
      </c>
    </row>
    <row r="151" spans="1:8" ht="13.2">
      <c r="A151" s="184">
        <v>894000</v>
      </c>
      <c r="B151" s="183" t="s">
        <v>235</v>
      </c>
      <c r="F151" s="342">
        <f t="shared" si="4"/>
        <v>121</v>
      </c>
      <c r="H151" s="56">
        <v>120823</v>
      </c>
    </row>
    <row r="152" spans="1:8" ht="13.2">
      <c r="A152" s="181"/>
      <c r="B152" s="183" t="s">
        <v>256</v>
      </c>
      <c r="F152" s="342">
        <f t="shared" si="4"/>
        <v>12916</v>
      </c>
      <c r="H152" s="56">
        <v>12915616</v>
      </c>
    </row>
    <row r="153" spans="1:8" ht="13.2">
      <c r="A153" s="181"/>
      <c r="B153" s="183"/>
      <c r="F153" s="342">
        <f t="shared" si="4"/>
        <v>0</v>
      </c>
      <c r="H153" s="56"/>
    </row>
    <row r="154" spans="1:8" ht="13.2">
      <c r="A154" s="181"/>
      <c r="B154" s="183" t="s">
        <v>257</v>
      </c>
      <c r="F154" s="342">
        <f t="shared" si="4"/>
        <v>16440</v>
      </c>
      <c r="H154" s="56">
        <v>16440378</v>
      </c>
    </row>
    <row r="155" spans="1:8" ht="13.2">
      <c r="A155" s="181"/>
      <c r="B155" s="183" t="s">
        <v>239</v>
      </c>
      <c r="F155" s="342">
        <f t="shared" si="4"/>
        <v>21003</v>
      </c>
      <c r="H155" s="56">
        <v>21003386</v>
      </c>
    </row>
    <row r="156" spans="1:8" ht="13.2">
      <c r="A156" s="181"/>
      <c r="B156" s="183" t="s">
        <v>258</v>
      </c>
      <c r="F156" s="342">
        <f t="shared" si="4"/>
        <v>37444</v>
      </c>
      <c r="H156" s="56">
        <v>37443764</v>
      </c>
    </row>
    <row r="157" spans="1:8" ht="13.2">
      <c r="A157" s="181"/>
      <c r="B157" s="183"/>
      <c r="F157" s="342">
        <f t="shared" ref="F157:F236" si="5">ROUND(H157/1000,0)</f>
        <v>0</v>
      </c>
      <c r="H157" s="56"/>
    </row>
    <row r="158" spans="1:8" ht="13.2">
      <c r="A158" s="181"/>
      <c r="B158" s="183" t="s">
        <v>259</v>
      </c>
      <c r="F158" s="342">
        <f t="shared" si="5"/>
        <v>50359</v>
      </c>
      <c r="H158" s="56">
        <v>50359380</v>
      </c>
    </row>
    <row r="159" spans="1:8" ht="13.2">
      <c r="A159" s="181"/>
      <c r="B159" s="183"/>
      <c r="F159" s="342">
        <f t="shared" si="5"/>
        <v>0</v>
      </c>
      <c r="H159" s="56"/>
    </row>
    <row r="160" spans="1:8" ht="13.2">
      <c r="A160" s="181"/>
      <c r="B160" s="183" t="s">
        <v>260</v>
      </c>
      <c r="F160" s="342">
        <f t="shared" si="5"/>
        <v>0</v>
      </c>
      <c r="H160" s="56"/>
    </row>
    <row r="161" spans="1:8" ht="13.2">
      <c r="A161" s="184">
        <v>901000</v>
      </c>
      <c r="B161" s="183" t="s">
        <v>261</v>
      </c>
      <c r="F161" s="342">
        <f t="shared" si="5"/>
        <v>56</v>
      </c>
      <c r="H161" s="56">
        <v>56410</v>
      </c>
    </row>
    <row r="162" spans="1:8" ht="13.2">
      <c r="A162" s="184">
        <v>902000</v>
      </c>
      <c r="B162" s="183" t="s">
        <v>262</v>
      </c>
      <c r="F162" s="342">
        <f t="shared" si="5"/>
        <v>334</v>
      </c>
      <c r="H162" s="56">
        <v>334068</v>
      </c>
    </row>
    <row r="163" spans="1:8" ht="13.2">
      <c r="A163" s="184" t="s">
        <v>263</v>
      </c>
      <c r="B163" s="183" t="s">
        <v>264</v>
      </c>
      <c r="F163" s="342">
        <f t="shared" si="5"/>
        <v>3432</v>
      </c>
      <c r="H163" s="56">
        <v>3431676</v>
      </c>
    </row>
    <row r="164" spans="1:8" ht="13.2">
      <c r="A164" s="184">
        <v>904000</v>
      </c>
      <c r="B164" s="183" t="s">
        <v>265</v>
      </c>
      <c r="F164" s="342">
        <f t="shared" si="5"/>
        <v>16</v>
      </c>
      <c r="H164" s="56">
        <v>15712</v>
      </c>
    </row>
    <row r="165" spans="1:8" ht="13.2">
      <c r="A165" s="184">
        <v>905000</v>
      </c>
      <c r="B165" s="183" t="s">
        <v>266</v>
      </c>
      <c r="F165" s="342">
        <f t="shared" si="5"/>
        <v>155</v>
      </c>
      <c r="H165" s="56">
        <v>154636</v>
      </c>
    </row>
    <row r="166" spans="1:8" ht="13.2">
      <c r="A166" s="181"/>
      <c r="B166" s="183" t="s">
        <v>267</v>
      </c>
      <c r="F166" s="342">
        <f t="shared" si="5"/>
        <v>3993</v>
      </c>
      <c r="H166" s="56">
        <v>3992502</v>
      </c>
    </row>
    <row r="167" spans="1:8" ht="13.2">
      <c r="A167" s="181"/>
      <c r="B167" s="183"/>
      <c r="F167" s="342">
        <f t="shared" si="5"/>
        <v>0</v>
      </c>
      <c r="H167" s="56"/>
    </row>
    <row r="168" spans="1:8" ht="13.2">
      <c r="A168" s="181"/>
      <c r="B168" s="183" t="s">
        <v>268</v>
      </c>
      <c r="F168" s="342">
        <f t="shared" si="5"/>
        <v>0</v>
      </c>
      <c r="H168" s="56"/>
    </row>
    <row r="169" spans="1:8" ht="13.2">
      <c r="A169" s="184" t="s">
        <v>269</v>
      </c>
      <c r="B169" s="183" t="s">
        <v>270</v>
      </c>
      <c r="F169" s="342">
        <f t="shared" si="5"/>
        <v>13606</v>
      </c>
      <c r="H169" s="56">
        <v>13605984</v>
      </c>
    </row>
    <row r="170" spans="1:8" ht="13.2">
      <c r="A170" s="184">
        <v>909000</v>
      </c>
      <c r="B170" s="183" t="s">
        <v>271</v>
      </c>
      <c r="F170" s="342">
        <f t="shared" si="5"/>
        <v>358</v>
      </c>
      <c r="H170" s="56">
        <v>358346</v>
      </c>
    </row>
    <row r="171" spans="1:8" ht="13.2">
      <c r="A171" s="184">
        <v>910000</v>
      </c>
      <c r="B171" s="183" t="s">
        <v>272</v>
      </c>
      <c r="F171" s="342">
        <f t="shared" si="5"/>
        <v>103</v>
      </c>
      <c r="H171" s="56">
        <v>102768</v>
      </c>
    </row>
    <row r="172" spans="1:8" ht="13.2">
      <c r="A172" s="181"/>
      <c r="B172" s="183" t="s">
        <v>273</v>
      </c>
      <c r="F172" s="342">
        <f t="shared" si="5"/>
        <v>14067</v>
      </c>
      <c r="H172" s="56">
        <v>14067098</v>
      </c>
    </row>
    <row r="173" spans="1:8" ht="13.2">
      <c r="A173" s="181"/>
      <c r="B173" s="183"/>
      <c r="F173" s="342">
        <f t="shared" si="5"/>
        <v>0</v>
      </c>
      <c r="H173" s="56"/>
    </row>
    <row r="174" spans="1:8" ht="13.2">
      <c r="A174" s="181"/>
      <c r="B174" s="183" t="s">
        <v>274</v>
      </c>
      <c r="F174" s="342">
        <f t="shared" si="5"/>
        <v>0</v>
      </c>
      <c r="H174" s="56"/>
    </row>
    <row r="175" spans="1:8" ht="13.2">
      <c r="A175" s="184">
        <v>912000</v>
      </c>
      <c r="B175" s="183" t="s">
        <v>275</v>
      </c>
      <c r="F175" s="342">
        <f t="shared" si="5"/>
        <v>0</v>
      </c>
      <c r="H175" s="56">
        <v>0</v>
      </c>
    </row>
    <row r="176" spans="1:8" ht="13.2">
      <c r="A176" s="184">
        <v>913000</v>
      </c>
      <c r="B176" s="183" t="s">
        <v>271</v>
      </c>
      <c r="F176" s="342">
        <f t="shared" si="5"/>
        <v>0</v>
      </c>
      <c r="H176" s="56">
        <v>0</v>
      </c>
    </row>
    <row r="177" spans="1:8" ht="13.2">
      <c r="A177" s="184">
        <v>916000</v>
      </c>
      <c r="B177" s="183" t="s">
        <v>276</v>
      </c>
      <c r="F177" s="342">
        <f t="shared" si="5"/>
        <v>0</v>
      </c>
      <c r="H177" s="56">
        <v>279</v>
      </c>
    </row>
    <row r="178" spans="1:8" ht="13.2">
      <c r="A178" s="181"/>
      <c r="B178" s="183" t="s">
        <v>277</v>
      </c>
      <c r="F178" s="342">
        <f t="shared" si="5"/>
        <v>0</v>
      </c>
      <c r="H178" s="56">
        <v>279</v>
      </c>
    </row>
    <row r="179" spans="1:8" ht="13.2">
      <c r="A179" s="181"/>
      <c r="B179" s="183"/>
      <c r="F179" s="342">
        <f t="shared" si="5"/>
        <v>0</v>
      </c>
      <c r="H179" s="56"/>
    </row>
    <row r="180" spans="1:8" ht="13.2">
      <c r="A180" s="181"/>
      <c r="B180" s="183" t="s">
        <v>278</v>
      </c>
      <c r="F180" s="342">
        <f t="shared" si="5"/>
        <v>0</v>
      </c>
      <c r="H180" s="56"/>
    </row>
    <row r="181" spans="1:8" ht="13.2">
      <c r="A181" s="184">
        <v>920000</v>
      </c>
      <c r="B181" s="183" t="s">
        <v>279</v>
      </c>
      <c r="F181" s="342">
        <f t="shared" si="5"/>
        <v>6401</v>
      </c>
      <c r="H181" s="56">
        <v>6401276</v>
      </c>
    </row>
    <row r="182" spans="1:8" ht="13.2">
      <c r="A182" s="184">
        <v>921000</v>
      </c>
      <c r="B182" s="183" t="s">
        <v>280</v>
      </c>
      <c r="F182" s="342">
        <f t="shared" si="5"/>
        <v>856</v>
      </c>
      <c r="H182" s="56">
        <v>855551</v>
      </c>
    </row>
    <row r="183" spans="1:8" ht="13.2">
      <c r="A183" s="184">
        <v>922000</v>
      </c>
      <c r="B183" s="183" t="s">
        <v>281</v>
      </c>
      <c r="F183" s="342">
        <f t="shared" si="5"/>
        <v>-14</v>
      </c>
      <c r="H183" s="56">
        <v>-13733</v>
      </c>
    </row>
    <row r="184" spans="1:8" ht="13.2">
      <c r="A184" s="184">
        <v>923000</v>
      </c>
      <c r="B184" s="183" t="s">
        <v>282</v>
      </c>
      <c r="F184" s="342">
        <f t="shared" si="5"/>
        <v>3098</v>
      </c>
      <c r="H184" s="56">
        <v>3098211</v>
      </c>
    </row>
    <row r="185" spans="1:8" ht="13.2">
      <c r="A185" s="184">
        <v>924000</v>
      </c>
      <c r="B185" s="183" t="s">
        <v>283</v>
      </c>
      <c r="F185" s="342">
        <f t="shared" si="5"/>
        <v>445</v>
      </c>
      <c r="H185" s="56">
        <v>445161</v>
      </c>
    </row>
    <row r="186" spans="1:8" ht="13.2">
      <c r="A186" s="181" t="s">
        <v>284</v>
      </c>
      <c r="B186" s="183" t="s">
        <v>285</v>
      </c>
      <c r="F186" s="342">
        <f t="shared" si="5"/>
        <v>1297</v>
      </c>
      <c r="H186" s="56">
        <v>1296904</v>
      </c>
    </row>
    <row r="187" spans="1:8" ht="13.2">
      <c r="A187" s="181" t="s">
        <v>286</v>
      </c>
      <c r="B187" s="183" t="s">
        <v>287</v>
      </c>
      <c r="F187" s="342">
        <f t="shared" si="5"/>
        <v>6987</v>
      </c>
      <c r="H187" s="56">
        <v>6986558</v>
      </c>
    </row>
    <row r="188" spans="1:8" ht="13.2">
      <c r="A188" s="184">
        <v>928000</v>
      </c>
      <c r="B188" s="183" t="s">
        <v>288</v>
      </c>
      <c r="F188" s="342">
        <f t="shared" si="5"/>
        <v>901</v>
      </c>
      <c r="H188" s="56">
        <v>901022</v>
      </c>
    </row>
    <row r="189" spans="1:8" ht="13.2">
      <c r="A189" s="184">
        <v>930000</v>
      </c>
      <c r="B189" s="183" t="s">
        <v>289</v>
      </c>
      <c r="F189" s="342">
        <f t="shared" si="5"/>
        <v>1217</v>
      </c>
      <c r="H189" s="56">
        <v>1217285</v>
      </c>
    </row>
    <row r="190" spans="1:8" ht="13.2">
      <c r="A190" s="184">
        <v>931000</v>
      </c>
      <c r="B190" s="183" t="s">
        <v>251</v>
      </c>
      <c r="F190" s="342">
        <f t="shared" si="5"/>
        <v>103</v>
      </c>
      <c r="H190" s="56">
        <v>102766</v>
      </c>
    </row>
    <row r="191" spans="1:8" ht="13.2">
      <c r="A191" s="184">
        <v>935000</v>
      </c>
      <c r="B191" s="183" t="s">
        <v>290</v>
      </c>
      <c r="F191" s="342">
        <f t="shared" si="5"/>
        <v>3107</v>
      </c>
      <c r="H191" s="56">
        <v>3107468</v>
      </c>
    </row>
    <row r="192" spans="1:8" ht="13.2">
      <c r="A192" s="181"/>
      <c r="B192" s="183" t="s">
        <v>291</v>
      </c>
      <c r="F192" s="342">
        <f t="shared" si="5"/>
        <v>24398</v>
      </c>
      <c r="H192" s="56">
        <v>24398469</v>
      </c>
    </row>
    <row r="193" spans="1:19" ht="13.2">
      <c r="A193" s="181"/>
      <c r="B193" s="183"/>
      <c r="F193" s="342">
        <f t="shared" si="5"/>
        <v>0</v>
      </c>
      <c r="H193" s="56"/>
    </row>
    <row r="194" spans="1:19" ht="13.2">
      <c r="A194" s="181"/>
      <c r="B194" s="183" t="s">
        <v>292</v>
      </c>
      <c r="F194" s="342">
        <f t="shared" si="5"/>
        <v>5143</v>
      </c>
      <c r="H194" s="56">
        <v>5143287</v>
      </c>
    </row>
    <row r="195" spans="1:19" ht="13.2">
      <c r="A195" s="181"/>
      <c r="B195" s="183" t="s">
        <v>293</v>
      </c>
      <c r="F195" s="342">
        <f t="shared" si="5"/>
        <v>88</v>
      </c>
      <c r="H195" s="56">
        <v>88089</v>
      </c>
    </row>
    <row r="196" spans="1:19" ht="13.2">
      <c r="A196" s="181"/>
      <c r="B196" s="183" t="s">
        <v>294</v>
      </c>
      <c r="F196" s="342">
        <f t="shared" si="5"/>
        <v>7571</v>
      </c>
      <c r="H196" s="56">
        <v>7570602</v>
      </c>
    </row>
    <row r="197" spans="1:19" ht="13.2">
      <c r="A197" s="182"/>
      <c r="B197" s="183" t="s">
        <v>295</v>
      </c>
      <c r="F197" s="342">
        <f t="shared" si="5"/>
        <v>0</v>
      </c>
      <c r="H197" s="56">
        <v>0</v>
      </c>
    </row>
    <row r="198" spans="1:19" s="509" customFormat="1" ht="15.6">
      <c r="A198" s="510">
        <v>407230</v>
      </c>
      <c r="B198" s="241" t="s">
        <v>450</v>
      </c>
      <c r="C198" s="506"/>
      <c r="D198" s="506"/>
      <c r="E198" s="507"/>
      <c r="F198" s="508">
        <f t="shared" si="5"/>
        <v>-31</v>
      </c>
      <c r="G198" s="507"/>
      <c r="H198" s="411">
        <v>-30596</v>
      </c>
      <c r="I198" s="515"/>
      <c r="J198"/>
      <c r="K198"/>
      <c r="L198"/>
      <c r="M198"/>
      <c r="N198"/>
      <c r="O198"/>
      <c r="P198"/>
      <c r="Q198"/>
      <c r="R198"/>
      <c r="S198"/>
    </row>
    <row r="199" spans="1:19" ht="15.6">
      <c r="A199" s="334">
        <v>407302</v>
      </c>
      <c r="B199" s="240" t="s">
        <v>451</v>
      </c>
      <c r="F199" s="342">
        <f t="shared" si="5"/>
        <v>2037</v>
      </c>
      <c r="H199" s="56">
        <v>2037268</v>
      </c>
    </row>
    <row r="200" spans="1:19" ht="15.6">
      <c r="A200" s="334">
        <v>407305</v>
      </c>
      <c r="B200" s="240" t="s">
        <v>463</v>
      </c>
      <c r="F200" s="342">
        <f t="shared" si="5"/>
        <v>0</v>
      </c>
      <c r="H200" s="56">
        <v>0</v>
      </c>
    </row>
    <row r="201" spans="1:19" ht="15.6">
      <c r="A201" s="334">
        <v>407306</v>
      </c>
      <c r="B201" s="240" t="s">
        <v>586</v>
      </c>
      <c r="F201" s="342">
        <f t="shared" si="5"/>
        <v>847</v>
      </c>
      <c r="H201" s="56">
        <v>846808</v>
      </c>
    </row>
    <row r="202" spans="1:19" ht="15.6">
      <c r="A202" s="334">
        <v>407307</v>
      </c>
      <c r="B202" s="240" t="s">
        <v>587</v>
      </c>
      <c r="F202" s="342">
        <f t="shared" si="5"/>
        <v>338</v>
      </c>
      <c r="H202" s="56">
        <v>337810</v>
      </c>
    </row>
    <row r="203" spans="1:19" ht="15.6">
      <c r="A203" s="334">
        <v>407311</v>
      </c>
      <c r="B203" s="240" t="s">
        <v>452</v>
      </c>
      <c r="F203" s="342">
        <f t="shared" si="5"/>
        <v>208</v>
      </c>
      <c r="H203" s="56">
        <v>207898</v>
      </c>
    </row>
    <row r="204" spans="1:19" ht="15.6">
      <c r="A204" s="334">
        <v>407314</v>
      </c>
      <c r="B204" s="240" t="s">
        <v>501</v>
      </c>
      <c r="F204" s="342">
        <f t="shared" si="5"/>
        <v>0</v>
      </c>
      <c r="H204" s="56">
        <v>0</v>
      </c>
    </row>
    <row r="205" spans="1:19" ht="15.6">
      <c r="A205" s="334">
        <v>407319</v>
      </c>
      <c r="B205" s="240" t="s">
        <v>453</v>
      </c>
      <c r="F205" s="342">
        <f t="shared" si="5"/>
        <v>0</v>
      </c>
      <c r="H205" s="56">
        <v>0</v>
      </c>
    </row>
    <row r="206" spans="1:19" ht="15.6">
      <c r="A206" s="334">
        <v>407332</v>
      </c>
      <c r="B206" s="240" t="s">
        <v>454</v>
      </c>
      <c r="F206" s="342">
        <f t="shared" si="5"/>
        <v>0</v>
      </c>
      <c r="H206" s="56">
        <v>0</v>
      </c>
    </row>
    <row r="207" spans="1:19" ht="15.6">
      <c r="A207" s="334" t="s">
        <v>502</v>
      </c>
      <c r="B207" s="240" t="s">
        <v>503</v>
      </c>
      <c r="F207" s="342">
        <f t="shared" si="5"/>
        <v>0</v>
      </c>
      <c r="H207" s="56">
        <v>0</v>
      </c>
    </row>
    <row r="208" spans="1:19" ht="15.6">
      <c r="A208" s="242" t="s">
        <v>588</v>
      </c>
      <c r="B208" s="240" t="s">
        <v>589</v>
      </c>
      <c r="F208" s="342">
        <f t="shared" si="5"/>
        <v>48</v>
      </c>
      <c r="H208" s="56">
        <v>48374</v>
      </c>
    </row>
    <row r="209" spans="1:8" ht="15.6">
      <c r="A209" s="242" t="s">
        <v>504</v>
      </c>
      <c r="B209" s="240" t="s">
        <v>505</v>
      </c>
      <c r="F209" s="342">
        <f t="shared" si="5"/>
        <v>0</v>
      </c>
      <c r="H209" s="56">
        <v>0</v>
      </c>
    </row>
    <row r="210" spans="1:8" ht="15.6">
      <c r="A210" s="242" t="s">
        <v>506</v>
      </c>
      <c r="B210" s="240" t="s">
        <v>507</v>
      </c>
      <c r="F210" s="342">
        <f t="shared" si="5"/>
        <v>-49</v>
      </c>
      <c r="H210" s="56">
        <v>-48910</v>
      </c>
    </row>
    <row r="211" spans="1:8" ht="15.6">
      <c r="A211" s="242" t="s">
        <v>455</v>
      </c>
      <c r="B211" s="240" t="s">
        <v>464</v>
      </c>
      <c r="F211" s="342">
        <f t="shared" si="5"/>
        <v>0</v>
      </c>
      <c r="H211" s="56">
        <v>0</v>
      </c>
    </row>
    <row r="212" spans="1:8" ht="15.6">
      <c r="A212" s="242" t="s">
        <v>590</v>
      </c>
      <c r="B212" s="240" t="s">
        <v>591</v>
      </c>
      <c r="F212" s="342">
        <f t="shared" si="5"/>
        <v>-279</v>
      </c>
      <c r="H212" s="56">
        <v>-278685</v>
      </c>
    </row>
    <row r="213" spans="1:8" ht="15.6">
      <c r="A213" s="242" t="s">
        <v>508</v>
      </c>
      <c r="B213" s="240" t="s">
        <v>509</v>
      </c>
      <c r="F213" s="342">
        <f t="shared" si="5"/>
        <v>304</v>
      </c>
      <c r="H213" s="56">
        <v>303710</v>
      </c>
    </row>
    <row r="214" spans="1:8" ht="15.6">
      <c r="A214" s="242" t="s">
        <v>592</v>
      </c>
      <c r="B214" s="240" t="s">
        <v>593</v>
      </c>
      <c r="F214" s="342">
        <f t="shared" si="5"/>
        <v>-38</v>
      </c>
      <c r="H214" s="56">
        <v>-37628</v>
      </c>
    </row>
    <row r="215" spans="1:8" ht="15.6">
      <c r="A215" s="242" t="s">
        <v>594</v>
      </c>
      <c r="B215" s="240" t="s">
        <v>595</v>
      </c>
      <c r="F215" s="342">
        <f t="shared" si="5"/>
        <v>-1731</v>
      </c>
      <c r="H215" s="56">
        <v>-1731369</v>
      </c>
    </row>
    <row r="216" spans="1:8" ht="15.6">
      <c r="A216" s="242" t="s">
        <v>596</v>
      </c>
      <c r="B216" s="240" t="s">
        <v>597</v>
      </c>
      <c r="F216" s="342">
        <f t="shared" si="5"/>
        <v>-8</v>
      </c>
      <c r="H216" s="56">
        <v>-8413</v>
      </c>
    </row>
    <row r="217" spans="1:8" ht="15.6">
      <c r="A217" s="242" t="s">
        <v>510</v>
      </c>
      <c r="B217" s="240" t="s">
        <v>598</v>
      </c>
      <c r="F217" s="342">
        <f t="shared" si="5"/>
        <v>-34</v>
      </c>
      <c r="H217" s="56">
        <v>-34010</v>
      </c>
    </row>
    <row r="218" spans="1:8" ht="15.6">
      <c r="A218" s="408"/>
      <c r="B218" s="240" t="s">
        <v>511</v>
      </c>
      <c r="F218" s="342">
        <f t="shared" si="5"/>
        <v>1132</v>
      </c>
      <c r="H218" s="56">
        <v>1131675</v>
      </c>
    </row>
    <row r="219" spans="1:8" ht="13.2">
      <c r="A219" s="181"/>
      <c r="B219" s="183" t="s">
        <v>296</v>
      </c>
      <c r="F219" s="342">
        <f t="shared" si="5"/>
        <v>15546</v>
      </c>
      <c r="H219" s="56">
        <v>15545910</v>
      </c>
    </row>
    <row r="220" spans="1:8" ht="13.2">
      <c r="A220" s="181"/>
      <c r="B220" s="183"/>
      <c r="F220" s="342">
        <f t="shared" si="5"/>
        <v>0</v>
      </c>
      <c r="H220" s="56"/>
    </row>
    <row r="221" spans="1:8" ht="13.2">
      <c r="A221" s="184"/>
      <c r="B221" s="183" t="s">
        <v>297</v>
      </c>
      <c r="F221" s="342">
        <f t="shared" si="5"/>
        <v>39944</v>
      </c>
      <c r="H221" s="56">
        <v>39944379</v>
      </c>
    </row>
    <row r="222" spans="1:8" ht="13.2">
      <c r="A222" s="184"/>
      <c r="B222" s="183"/>
      <c r="F222" s="342">
        <f t="shared" si="5"/>
        <v>0</v>
      </c>
      <c r="H222" s="56"/>
    </row>
    <row r="223" spans="1:8" ht="13.2">
      <c r="A223" s="184"/>
      <c r="B223" s="183" t="s">
        <v>298</v>
      </c>
      <c r="F223" s="342">
        <f t="shared" si="5"/>
        <v>260577</v>
      </c>
      <c r="H223" s="56">
        <v>260577166</v>
      </c>
    </row>
    <row r="224" spans="1:8" ht="13.2">
      <c r="A224" s="184"/>
      <c r="B224" s="183"/>
      <c r="F224" s="342">
        <f t="shared" si="5"/>
        <v>0</v>
      </c>
      <c r="H224" s="56"/>
    </row>
    <row r="225" spans="1:19" ht="13.2">
      <c r="A225" s="184"/>
      <c r="B225" s="183" t="s">
        <v>299</v>
      </c>
      <c r="F225" s="342">
        <f t="shared" si="5"/>
        <v>28262</v>
      </c>
      <c r="H225" s="56">
        <v>28261576</v>
      </c>
    </row>
    <row r="226" spans="1:19" ht="13.2">
      <c r="A226" s="184"/>
      <c r="B226" s="183"/>
      <c r="F226" s="342">
        <f t="shared" si="5"/>
        <v>0</v>
      </c>
      <c r="H226" s="56"/>
    </row>
    <row r="227" spans="1:19" ht="13.2">
      <c r="A227" s="184"/>
      <c r="B227" s="183" t="s">
        <v>54</v>
      </c>
      <c r="F227" s="342">
        <f t="shared" si="5"/>
        <v>-4387</v>
      </c>
      <c r="H227" s="56">
        <v>-4386873</v>
      </c>
    </row>
    <row r="228" spans="1:19" ht="13.2">
      <c r="A228" s="184"/>
      <c r="B228" s="183" t="s">
        <v>300</v>
      </c>
      <c r="F228" s="342">
        <f t="shared" si="5"/>
        <v>-3743</v>
      </c>
      <c r="H228" s="56">
        <v>-3743490</v>
      </c>
    </row>
    <row r="229" spans="1:19" ht="13.2">
      <c r="A229" s="184"/>
      <c r="B229" s="183" t="s">
        <v>301</v>
      </c>
      <c r="F229" s="342">
        <f t="shared" si="5"/>
        <v>0</v>
      </c>
      <c r="H229" s="56">
        <v>0</v>
      </c>
    </row>
    <row r="230" spans="1:19" s="509" customFormat="1" ht="13.2">
      <c r="A230" s="504"/>
      <c r="B230" s="186" t="s">
        <v>302</v>
      </c>
      <c r="C230" s="506"/>
      <c r="D230" s="506"/>
      <c r="E230" s="507"/>
      <c r="F230" s="508">
        <f t="shared" si="5"/>
        <v>36392</v>
      </c>
      <c r="G230" s="507"/>
      <c r="H230" s="411">
        <v>36391939</v>
      </c>
      <c r="I230" s="515"/>
      <c r="J230"/>
      <c r="K230"/>
      <c r="L230"/>
      <c r="M230"/>
      <c r="N230"/>
      <c r="O230"/>
      <c r="P230"/>
      <c r="Q230"/>
      <c r="R230"/>
      <c r="S230"/>
    </row>
    <row r="231" spans="1:19" ht="13.2"/>
    <row r="232" spans="1:19" s="509" customFormat="1" ht="14.4">
      <c r="A232" s="512"/>
      <c r="B232" s="191" t="s">
        <v>104</v>
      </c>
      <c r="C232" s="506"/>
      <c r="D232" s="506"/>
      <c r="E232" s="507"/>
      <c r="F232" s="508"/>
      <c r="G232" s="507"/>
      <c r="H232" s="506"/>
      <c r="I232" s="515"/>
      <c r="J232"/>
      <c r="K232"/>
      <c r="L232" s="511"/>
      <c r="M232" s="511"/>
      <c r="N232" s="511"/>
      <c r="O232" s="511"/>
      <c r="P232" s="511"/>
      <c r="Q232" s="511"/>
      <c r="R232" s="511"/>
      <c r="S232" s="511"/>
    </row>
    <row r="233" spans="1:19" ht="14.4">
      <c r="A233" s="188"/>
      <c r="B233" s="189" t="s">
        <v>303</v>
      </c>
    </row>
    <row r="234" spans="1:19" ht="14.4">
      <c r="A234" s="190">
        <v>303000</v>
      </c>
      <c r="B234" s="191" t="s">
        <v>304</v>
      </c>
      <c r="F234" s="342">
        <f t="shared" si="5"/>
        <v>1979</v>
      </c>
      <c r="H234" s="56">
        <v>1978903</v>
      </c>
    </row>
    <row r="235" spans="1:19" ht="14.4">
      <c r="A235" s="192" t="s">
        <v>305</v>
      </c>
      <c r="B235" s="189" t="s">
        <v>306</v>
      </c>
      <c r="F235" s="342">
        <f t="shared" si="5"/>
        <v>47323</v>
      </c>
      <c r="H235" s="56">
        <v>47322733</v>
      </c>
    </row>
    <row r="236" spans="1:19" ht="14.4">
      <c r="A236" s="193"/>
      <c r="B236" s="189" t="s">
        <v>307</v>
      </c>
      <c r="F236" s="342">
        <f t="shared" si="5"/>
        <v>49302</v>
      </c>
      <c r="H236" s="56">
        <v>49301636</v>
      </c>
    </row>
    <row r="237" spans="1:19" ht="14.4">
      <c r="A237" s="193"/>
      <c r="B237" s="189"/>
      <c r="F237" s="342">
        <f t="shared" ref="F237:F302" si="6">ROUND(H237/1000,0)</f>
        <v>0</v>
      </c>
      <c r="H237" s="56"/>
    </row>
    <row r="238" spans="1:19" ht="14.4">
      <c r="A238" s="193"/>
      <c r="B238" s="189" t="s">
        <v>308</v>
      </c>
      <c r="F238" s="342">
        <f t="shared" si="6"/>
        <v>0</v>
      </c>
      <c r="H238" s="56"/>
    </row>
    <row r="239" spans="1:19" ht="14.4">
      <c r="A239" s="194" t="s">
        <v>309</v>
      </c>
      <c r="B239" s="189" t="s">
        <v>310</v>
      </c>
      <c r="F239" s="342">
        <f t="shared" si="6"/>
        <v>911</v>
      </c>
      <c r="H239" s="56">
        <v>911162</v>
      </c>
    </row>
    <row r="240" spans="1:19" ht="14.4">
      <c r="A240" s="194" t="s">
        <v>311</v>
      </c>
      <c r="B240" s="189" t="s">
        <v>312</v>
      </c>
      <c r="F240" s="342">
        <f t="shared" si="6"/>
        <v>1926</v>
      </c>
      <c r="H240" s="56">
        <v>1925739</v>
      </c>
    </row>
    <row r="241" spans="1:8" ht="14.4">
      <c r="A241" s="194" t="s">
        <v>313</v>
      </c>
      <c r="B241" s="189" t="s">
        <v>314</v>
      </c>
      <c r="F241" s="342">
        <f t="shared" si="6"/>
        <v>16041</v>
      </c>
      <c r="H241" s="56">
        <v>16040909</v>
      </c>
    </row>
    <row r="242" spans="1:8" ht="14.4">
      <c r="A242" s="194">
        <v>353000</v>
      </c>
      <c r="B242" s="189" t="s">
        <v>315</v>
      </c>
      <c r="F242" s="342">
        <f t="shared" si="6"/>
        <v>1409</v>
      </c>
      <c r="H242" s="56">
        <v>1409241</v>
      </c>
    </row>
    <row r="243" spans="1:8" ht="14.4">
      <c r="A243" s="194">
        <v>354000</v>
      </c>
      <c r="B243" s="189" t="s">
        <v>316</v>
      </c>
      <c r="F243" s="342">
        <f t="shared" si="6"/>
        <v>10493</v>
      </c>
      <c r="H243" s="56">
        <v>10492782</v>
      </c>
    </row>
    <row r="244" spans="1:8" ht="14.4">
      <c r="A244" s="194">
        <v>355000</v>
      </c>
      <c r="B244" s="189" t="s">
        <v>317</v>
      </c>
      <c r="F244" s="342">
        <f t="shared" si="6"/>
        <v>1326</v>
      </c>
      <c r="H244" s="56">
        <v>1326369</v>
      </c>
    </row>
    <row r="245" spans="1:8" ht="14.4">
      <c r="A245" s="194">
        <v>356000</v>
      </c>
      <c r="B245" s="189" t="s">
        <v>318</v>
      </c>
      <c r="F245" s="342">
        <f t="shared" si="6"/>
        <v>373</v>
      </c>
      <c r="H245" s="56">
        <v>373150</v>
      </c>
    </row>
    <row r="246" spans="1:8" ht="14.4">
      <c r="A246" s="194">
        <v>357000</v>
      </c>
      <c r="B246" s="189" t="s">
        <v>235</v>
      </c>
      <c r="F246" s="342">
        <f t="shared" si="6"/>
        <v>2020</v>
      </c>
      <c r="H246" s="56">
        <v>2020365</v>
      </c>
    </row>
    <row r="247" spans="1:8" ht="14.4">
      <c r="A247" s="194"/>
      <c r="B247" s="189" t="s">
        <v>319</v>
      </c>
      <c r="F247" s="342">
        <f t="shared" si="6"/>
        <v>34500</v>
      </c>
      <c r="H247" s="56">
        <v>34499717</v>
      </c>
    </row>
    <row r="248" spans="1:8" ht="14.4">
      <c r="A248" s="194"/>
      <c r="B248" s="189"/>
      <c r="F248" s="342">
        <f t="shared" si="6"/>
        <v>0</v>
      </c>
      <c r="H248" s="56"/>
    </row>
    <row r="249" spans="1:8" ht="14.4">
      <c r="A249" s="194"/>
      <c r="B249" s="189" t="s">
        <v>320</v>
      </c>
      <c r="F249" s="342">
        <f t="shared" si="6"/>
        <v>0</v>
      </c>
      <c r="H249" s="56"/>
    </row>
    <row r="250" spans="1:8" ht="14.4">
      <c r="A250" s="194">
        <v>374200</v>
      </c>
      <c r="B250" s="189" t="s">
        <v>310</v>
      </c>
      <c r="F250" s="342">
        <f t="shared" si="6"/>
        <v>64</v>
      </c>
      <c r="H250" s="56">
        <v>63925</v>
      </c>
    </row>
    <row r="251" spans="1:8" ht="14.4">
      <c r="A251" s="194">
        <v>374400</v>
      </c>
      <c r="B251" s="189" t="s">
        <v>310</v>
      </c>
      <c r="F251" s="342">
        <f t="shared" si="6"/>
        <v>510</v>
      </c>
      <c r="H251" s="56">
        <v>510460</v>
      </c>
    </row>
    <row r="252" spans="1:8" ht="14.4">
      <c r="A252" s="194">
        <v>375000</v>
      </c>
      <c r="B252" s="189" t="s">
        <v>312</v>
      </c>
      <c r="F252" s="342">
        <f t="shared" si="6"/>
        <v>931</v>
      </c>
      <c r="H252" s="56">
        <v>930542</v>
      </c>
    </row>
    <row r="253" spans="1:8" ht="14.4">
      <c r="A253" s="194">
        <v>376000</v>
      </c>
      <c r="B253" s="195" t="s">
        <v>253</v>
      </c>
      <c r="F253" s="342">
        <f t="shared" si="6"/>
        <v>320529</v>
      </c>
      <c r="H253" s="56">
        <v>320529216</v>
      </c>
    </row>
    <row r="254" spans="1:8" ht="14.4">
      <c r="A254" s="194">
        <v>378000</v>
      </c>
      <c r="B254" s="189" t="s">
        <v>321</v>
      </c>
      <c r="F254" s="342">
        <f t="shared" si="6"/>
        <v>4781</v>
      </c>
      <c r="H254" s="56">
        <v>4781446</v>
      </c>
    </row>
    <row r="255" spans="1:8" ht="14.4">
      <c r="A255" s="194">
        <v>379000</v>
      </c>
      <c r="B255" s="189" t="s">
        <v>322</v>
      </c>
      <c r="F255" s="342">
        <f t="shared" si="6"/>
        <v>1945</v>
      </c>
      <c r="H255" s="56">
        <v>1944601</v>
      </c>
    </row>
    <row r="256" spans="1:8" ht="14.4">
      <c r="A256" s="194">
        <v>380000</v>
      </c>
      <c r="B256" s="189" t="s">
        <v>254</v>
      </c>
      <c r="F256" s="342">
        <f t="shared" si="6"/>
        <v>232926</v>
      </c>
      <c r="H256" s="56">
        <v>232926317</v>
      </c>
    </row>
    <row r="257" spans="1:8" ht="14.4">
      <c r="A257" s="194" t="s">
        <v>599</v>
      </c>
      <c r="B257" s="189" t="s">
        <v>323</v>
      </c>
      <c r="F257" s="342">
        <f t="shared" si="6"/>
        <v>85804</v>
      </c>
      <c r="H257" s="56">
        <v>85803781</v>
      </c>
    </row>
    <row r="258" spans="1:8" ht="14.4">
      <c r="A258" s="194">
        <v>382000</v>
      </c>
      <c r="B258" s="189" t="s">
        <v>324</v>
      </c>
      <c r="F258" s="342">
        <f t="shared" si="6"/>
        <v>0</v>
      </c>
      <c r="H258" s="56">
        <v>0</v>
      </c>
    </row>
    <row r="259" spans="1:8" ht="14.4">
      <c r="A259" s="194">
        <v>383000</v>
      </c>
      <c r="B259" s="189" t="s">
        <v>325</v>
      </c>
      <c r="F259" s="342">
        <f t="shared" si="6"/>
        <v>0</v>
      </c>
      <c r="H259" s="56">
        <v>0</v>
      </c>
    </row>
    <row r="260" spans="1:8" ht="14.4">
      <c r="A260" s="194">
        <v>384000</v>
      </c>
      <c r="B260" s="189" t="s">
        <v>326</v>
      </c>
      <c r="F260" s="342">
        <f t="shared" si="6"/>
        <v>0</v>
      </c>
      <c r="H260" s="56">
        <v>0</v>
      </c>
    </row>
    <row r="261" spans="1:8" ht="14.4">
      <c r="A261" s="194">
        <v>385000</v>
      </c>
      <c r="B261" s="189" t="s">
        <v>327</v>
      </c>
      <c r="F261" s="342">
        <f t="shared" si="6"/>
        <v>3032</v>
      </c>
      <c r="H261" s="56">
        <v>3032271</v>
      </c>
    </row>
    <row r="262" spans="1:8" ht="14.4">
      <c r="A262" s="194">
        <v>387000</v>
      </c>
      <c r="B262" s="189" t="s">
        <v>235</v>
      </c>
      <c r="F262" s="342">
        <f t="shared" si="6"/>
        <v>0</v>
      </c>
      <c r="H262" s="56">
        <v>0</v>
      </c>
    </row>
    <row r="263" spans="1:8" ht="14.4">
      <c r="A263" s="194"/>
      <c r="B263" s="189" t="s">
        <v>328</v>
      </c>
      <c r="F263" s="342">
        <f t="shared" si="6"/>
        <v>650523</v>
      </c>
      <c r="H263" s="56">
        <v>650522559</v>
      </c>
    </row>
    <row r="264" spans="1:8" ht="14.4">
      <c r="A264" s="194"/>
      <c r="B264" s="189"/>
      <c r="F264" s="342">
        <f t="shared" si="6"/>
        <v>0</v>
      </c>
      <c r="H264" s="56"/>
    </row>
    <row r="265" spans="1:8" ht="14.4">
      <c r="A265" s="194"/>
      <c r="B265" s="189" t="s">
        <v>329</v>
      </c>
      <c r="F265" s="342">
        <f t="shared" si="6"/>
        <v>0</v>
      </c>
      <c r="H265" s="56"/>
    </row>
    <row r="266" spans="1:8" ht="14.4">
      <c r="A266" s="194" t="s">
        <v>330</v>
      </c>
      <c r="B266" s="189" t="s">
        <v>310</v>
      </c>
      <c r="F266" s="342">
        <f t="shared" si="6"/>
        <v>5185</v>
      </c>
      <c r="H266" s="56">
        <v>5184912</v>
      </c>
    </row>
    <row r="267" spans="1:8" ht="14.4">
      <c r="A267" s="192" t="s">
        <v>331</v>
      </c>
      <c r="B267" s="189" t="s">
        <v>312</v>
      </c>
      <c r="F267" s="342">
        <f t="shared" si="6"/>
        <v>48957</v>
      </c>
      <c r="H267" s="56">
        <v>48956705</v>
      </c>
    </row>
    <row r="268" spans="1:8" ht="14.4">
      <c r="A268" s="192" t="s">
        <v>332</v>
      </c>
      <c r="B268" s="189" t="s">
        <v>333</v>
      </c>
      <c r="F268" s="342">
        <f t="shared" si="6"/>
        <v>12141</v>
      </c>
      <c r="H268" s="56">
        <v>12140749</v>
      </c>
    </row>
    <row r="269" spans="1:8" ht="14.4">
      <c r="A269" s="192" t="s">
        <v>334</v>
      </c>
      <c r="B269" s="189" t="s">
        <v>335</v>
      </c>
      <c r="F269" s="342">
        <f t="shared" si="6"/>
        <v>14284</v>
      </c>
      <c r="H269" s="56">
        <v>14284031</v>
      </c>
    </row>
    <row r="270" spans="1:8" ht="14.4">
      <c r="A270" s="194">
        <v>393000</v>
      </c>
      <c r="B270" s="189" t="s">
        <v>336</v>
      </c>
      <c r="F270" s="342">
        <f t="shared" si="6"/>
        <v>1127</v>
      </c>
      <c r="H270" s="56">
        <v>1126701</v>
      </c>
    </row>
    <row r="271" spans="1:8" ht="14.4">
      <c r="A271" s="194">
        <v>394000</v>
      </c>
      <c r="B271" s="189" t="s">
        <v>337</v>
      </c>
      <c r="F271" s="342">
        <f t="shared" si="6"/>
        <v>8317</v>
      </c>
      <c r="H271" s="56">
        <v>8316971</v>
      </c>
    </row>
    <row r="272" spans="1:8" ht="14.4">
      <c r="A272" s="194" t="s">
        <v>600</v>
      </c>
      <c r="B272" s="189" t="s">
        <v>338</v>
      </c>
      <c r="F272" s="342">
        <f t="shared" si="6"/>
        <v>500</v>
      </c>
      <c r="H272" s="56">
        <v>499663</v>
      </c>
    </row>
    <row r="273" spans="1:8" ht="14.4">
      <c r="A273" s="194" t="s">
        <v>339</v>
      </c>
      <c r="B273" s="189" t="s">
        <v>340</v>
      </c>
      <c r="F273" s="342">
        <f t="shared" si="6"/>
        <v>3377</v>
      </c>
      <c r="H273" s="56">
        <v>3376866</v>
      </c>
    </row>
    <row r="274" spans="1:8" ht="14.4">
      <c r="A274" s="194" t="s">
        <v>341</v>
      </c>
      <c r="B274" s="189" t="s">
        <v>342</v>
      </c>
      <c r="F274" s="342">
        <f t="shared" si="6"/>
        <v>18164</v>
      </c>
      <c r="H274" s="56">
        <v>18163808</v>
      </c>
    </row>
    <row r="275" spans="1:8" ht="14.4">
      <c r="A275" s="194">
        <v>398000</v>
      </c>
      <c r="B275" s="189" t="s">
        <v>343</v>
      </c>
      <c r="F275" s="342">
        <f t="shared" si="6"/>
        <v>121</v>
      </c>
      <c r="H275" s="56">
        <v>121030</v>
      </c>
    </row>
    <row r="276" spans="1:8" ht="14.4">
      <c r="A276" s="194"/>
      <c r="B276" s="189" t="s">
        <v>344</v>
      </c>
      <c r="F276" s="342">
        <f t="shared" si="6"/>
        <v>112171</v>
      </c>
      <c r="H276" s="56">
        <v>112171436</v>
      </c>
    </row>
    <row r="277" spans="1:8" ht="14.4">
      <c r="A277" s="194"/>
      <c r="B277" s="189"/>
      <c r="F277" s="342">
        <f t="shared" si="6"/>
        <v>0</v>
      </c>
      <c r="H277" s="56"/>
    </row>
    <row r="278" spans="1:8" ht="14.4">
      <c r="A278" s="194"/>
      <c r="B278" s="189" t="s">
        <v>345</v>
      </c>
      <c r="F278" s="342">
        <f t="shared" si="6"/>
        <v>846495</v>
      </c>
      <c r="H278" s="56">
        <v>846495348</v>
      </c>
    </row>
    <row r="279" spans="1:8" ht="14.4">
      <c r="A279" s="194"/>
      <c r="B279" s="189"/>
      <c r="F279" s="342">
        <f t="shared" si="6"/>
        <v>0</v>
      </c>
      <c r="H279" s="56"/>
    </row>
    <row r="280" spans="1:8" ht="14.4">
      <c r="A280" s="194"/>
      <c r="B280" s="189"/>
      <c r="F280" s="342">
        <f t="shared" si="6"/>
        <v>0</v>
      </c>
      <c r="H280" s="56"/>
    </row>
    <row r="281" spans="1:8" ht="14.4">
      <c r="A281" s="192"/>
      <c r="B281" s="189" t="s">
        <v>63</v>
      </c>
      <c r="F281" s="342">
        <f t="shared" si="6"/>
        <v>0</v>
      </c>
      <c r="H281" s="56"/>
    </row>
    <row r="282" spans="1:8" ht="14.4">
      <c r="A282" s="192"/>
      <c r="B282" s="189" t="s">
        <v>41</v>
      </c>
      <c r="F282" s="342">
        <f t="shared" si="6"/>
        <v>-13149</v>
      </c>
      <c r="H282" s="56">
        <v>-13149497</v>
      </c>
    </row>
    <row r="283" spans="1:8" ht="14.4">
      <c r="A283" s="192"/>
      <c r="B283" s="189" t="s">
        <v>60</v>
      </c>
      <c r="F283" s="342">
        <f t="shared" si="6"/>
        <v>-188334</v>
      </c>
      <c r="H283" s="56">
        <v>-188333960</v>
      </c>
    </row>
    <row r="284" spans="1:8" ht="14.4">
      <c r="A284" s="192"/>
      <c r="B284" s="189" t="s">
        <v>61</v>
      </c>
      <c r="F284" s="342">
        <f t="shared" si="6"/>
        <v>-35836</v>
      </c>
      <c r="H284" s="56">
        <v>-35836236</v>
      </c>
    </row>
    <row r="285" spans="1:8" ht="14.4">
      <c r="A285" s="188"/>
      <c r="B285" s="189" t="s">
        <v>346</v>
      </c>
      <c r="F285" s="342">
        <f t="shared" si="6"/>
        <v>-237320</v>
      </c>
      <c r="H285" s="56">
        <v>-237319693</v>
      </c>
    </row>
    <row r="286" spans="1:8" ht="14.4">
      <c r="A286" s="188"/>
      <c r="B286" s="189"/>
      <c r="F286" s="342">
        <f t="shared" si="6"/>
        <v>0</v>
      </c>
      <c r="H286" s="56"/>
    </row>
    <row r="287" spans="1:8" ht="14.4">
      <c r="A287" s="188"/>
      <c r="B287" s="189" t="s">
        <v>347</v>
      </c>
      <c r="F287" s="342">
        <f t="shared" si="6"/>
        <v>0</v>
      </c>
      <c r="H287" s="56"/>
    </row>
    <row r="288" spans="1:8" ht="14.4">
      <c r="A288" s="192"/>
      <c r="B288" s="189" t="s">
        <v>348</v>
      </c>
      <c r="F288" s="342">
        <f t="shared" si="6"/>
        <v>-1088</v>
      </c>
      <c r="H288" s="56">
        <v>-1087622</v>
      </c>
    </row>
    <row r="289" spans="1:8" ht="14.4">
      <c r="A289" s="192"/>
      <c r="B289" s="189" t="s">
        <v>349</v>
      </c>
      <c r="F289" s="342">
        <f t="shared" si="6"/>
        <v>-25429</v>
      </c>
      <c r="H289" s="56">
        <v>-25429065</v>
      </c>
    </row>
    <row r="290" spans="1:8" ht="14.4">
      <c r="A290" s="192"/>
      <c r="B290" s="189" t="s">
        <v>41</v>
      </c>
      <c r="F290" s="342">
        <f t="shared" si="6"/>
        <v>0</v>
      </c>
      <c r="H290" s="56">
        <v>0</v>
      </c>
    </row>
    <row r="291" spans="1:8" ht="14.4">
      <c r="A291" s="192"/>
      <c r="B291" s="189" t="s">
        <v>350</v>
      </c>
      <c r="F291" s="342">
        <f t="shared" si="6"/>
        <v>0</v>
      </c>
      <c r="H291" s="56">
        <v>0</v>
      </c>
    </row>
    <row r="292" spans="1:8" ht="14.4">
      <c r="A292" s="192"/>
      <c r="B292" s="189" t="s">
        <v>351</v>
      </c>
      <c r="F292" s="342">
        <f t="shared" si="6"/>
        <v>-26517</v>
      </c>
      <c r="H292" s="56">
        <v>-26516687</v>
      </c>
    </row>
    <row r="293" spans="1:8" ht="14.4">
      <c r="A293" s="192"/>
      <c r="B293" s="189"/>
      <c r="F293" s="342">
        <f t="shared" si="6"/>
        <v>0</v>
      </c>
      <c r="H293" s="56"/>
    </row>
    <row r="294" spans="1:8" ht="14.4">
      <c r="A294" s="192"/>
      <c r="B294" s="189" t="s">
        <v>352</v>
      </c>
      <c r="F294" s="342">
        <f t="shared" si="6"/>
        <v>-263836</v>
      </c>
      <c r="H294" s="56">
        <v>-263836380</v>
      </c>
    </row>
    <row r="295" spans="1:8" ht="14.4">
      <c r="A295" s="192"/>
      <c r="B295" s="189"/>
      <c r="F295" s="342">
        <f t="shared" si="6"/>
        <v>0</v>
      </c>
      <c r="H295" s="56"/>
    </row>
    <row r="296" spans="1:8" ht="14.4">
      <c r="A296" s="188"/>
      <c r="B296" s="189" t="s">
        <v>353</v>
      </c>
      <c r="F296" s="342">
        <f t="shared" si="6"/>
        <v>582659</v>
      </c>
      <c r="H296" s="56">
        <v>582658968</v>
      </c>
    </row>
    <row r="297" spans="1:8" ht="14.4">
      <c r="A297" s="188"/>
      <c r="B297" s="189"/>
      <c r="F297" s="342">
        <f t="shared" si="6"/>
        <v>0</v>
      </c>
      <c r="H297" s="56"/>
    </row>
    <row r="298" spans="1:8" ht="14.4">
      <c r="A298" s="196"/>
      <c r="B298" s="197" t="s">
        <v>354</v>
      </c>
      <c r="F298" s="342">
        <f t="shared" si="6"/>
        <v>0</v>
      </c>
      <c r="H298" s="56"/>
    </row>
    <row r="299" spans="1:8" ht="14.4">
      <c r="A299" s="198">
        <v>282900</v>
      </c>
      <c r="B299" s="197" t="s">
        <v>355</v>
      </c>
      <c r="F299" s="342">
        <f t="shared" si="6"/>
        <v>-72787</v>
      </c>
      <c r="H299" s="56">
        <v>-72787102</v>
      </c>
    </row>
    <row r="300" spans="1:8" ht="14.4">
      <c r="A300" s="198">
        <v>282900</v>
      </c>
      <c r="B300" s="197" t="s">
        <v>356</v>
      </c>
      <c r="F300" s="342">
        <f t="shared" si="6"/>
        <v>-11027</v>
      </c>
      <c r="H300" s="56">
        <v>-11027362</v>
      </c>
    </row>
    <row r="301" spans="1:8" ht="15.6">
      <c r="A301" s="264">
        <v>282919</v>
      </c>
      <c r="B301" s="245" t="s">
        <v>457</v>
      </c>
      <c r="F301" s="342">
        <f t="shared" si="6"/>
        <v>-789</v>
      </c>
      <c r="H301" s="56">
        <v>-789176</v>
      </c>
    </row>
    <row r="302" spans="1:8" ht="14.4">
      <c r="A302" s="198">
        <v>283750</v>
      </c>
      <c r="B302" s="197" t="s">
        <v>393</v>
      </c>
      <c r="F302" s="342">
        <f t="shared" si="6"/>
        <v>29</v>
      </c>
      <c r="H302" s="56">
        <v>29187</v>
      </c>
    </row>
    <row r="303" spans="1:8" ht="14.4">
      <c r="A303" s="198">
        <v>283850</v>
      </c>
      <c r="B303" s="197" t="s">
        <v>357</v>
      </c>
      <c r="F303" s="342">
        <f t="shared" ref="F303:F329" si="7">ROUND(H303/1000,0)</f>
        <v>-197</v>
      </c>
      <c r="H303" s="56">
        <v>-197140</v>
      </c>
    </row>
    <row r="304" spans="1:8" ht="14.4">
      <c r="A304" s="192"/>
      <c r="B304" s="189" t="s">
        <v>358</v>
      </c>
      <c r="F304" s="342">
        <f t="shared" si="7"/>
        <v>-84772</v>
      </c>
      <c r="H304" s="56">
        <v>-84771593</v>
      </c>
    </row>
    <row r="305" spans="1:19" ht="14.4">
      <c r="A305" s="188"/>
      <c r="B305" s="189"/>
      <c r="F305" s="342">
        <f t="shared" si="7"/>
        <v>0</v>
      </c>
      <c r="H305" s="56"/>
    </row>
    <row r="306" spans="1:19" ht="14.4">
      <c r="A306" s="188"/>
      <c r="B306" s="189" t="s">
        <v>359</v>
      </c>
      <c r="F306" s="342">
        <f t="shared" si="7"/>
        <v>497887</v>
      </c>
      <c r="H306" s="56">
        <v>497887375</v>
      </c>
    </row>
    <row r="307" spans="1:19" ht="13.2"/>
    <row r="308" spans="1:19" s="509" customFormat="1" ht="13.2">
      <c r="A308" s="513"/>
      <c r="B308" s="514" t="s">
        <v>360</v>
      </c>
      <c r="C308" s="506"/>
      <c r="D308" s="506"/>
      <c r="E308" s="507"/>
      <c r="F308" s="508"/>
      <c r="G308" s="507"/>
      <c r="H308" s="506"/>
      <c r="I308" s="516"/>
      <c r="J308" s="511"/>
      <c r="K308" s="511"/>
      <c r="L308" s="511"/>
      <c r="M308" s="511"/>
      <c r="N308" s="511"/>
      <c r="O308" s="511"/>
      <c r="P308" s="511"/>
      <c r="Q308" s="511"/>
      <c r="R308" s="511"/>
      <c r="S308" s="511"/>
    </row>
    <row r="309" spans="1:19" ht="15.6">
      <c r="A309" s="371">
        <v>108121</v>
      </c>
      <c r="B309" s="243" t="s">
        <v>465</v>
      </c>
      <c r="F309" s="342">
        <f t="shared" si="7"/>
        <v>0</v>
      </c>
      <c r="H309" s="224">
        <v>0</v>
      </c>
    </row>
    <row r="310" spans="1:19" ht="15.6">
      <c r="A310" s="371">
        <v>182332</v>
      </c>
      <c r="B310" s="243" t="s">
        <v>458</v>
      </c>
      <c r="F310" s="342">
        <f t="shared" si="7"/>
        <v>2412</v>
      </c>
      <c r="H310" s="56">
        <v>2412130</v>
      </c>
    </row>
    <row r="311" spans="1:19" ht="15.6">
      <c r="A311" s="371">
        <v>182318</v>
      </c>
      <c r="B311" s="243" t="s">
        <v>459</v>
      </c>
      <c r="F311" s="342">
        <f t="shared" si="7"/>
        <v>-818</v>
      </c>
      <c r="H311" s="56">
        <v>-817758</v>
      </c>
    </row>
    <row r="312" spans="1:19" ht="15.6">
      <c r="A312" s="264">
        <v>117100</v>
      </c>
      <c r="B312" s="245" t="s">
        <v>361</v>
      </c>
      <c r="F312" s="342">
        <f t="shared" si="7"/>
        <v>3923</v>
      </c>
      <c r="H312" s="56">
        <v>3922913</v>
      </c>
    </row>
    <row r="313" spans="1:19" ht="15.6">
      <c r="A313" s="264">
        <v>164100</v>
      </c>
      <c r="B313" s="245" t="s">
        <v>362</v>
      </c>
      <c r="F313" s="342">
        <f t="shared" si="7"/>
        <v>15608</v>
      </c>
      <c r="H313" s="56">
        <v>15608258</v>
      </c>
    </row>
    <row r="314" spans="1:19" ht="15.6">
      <c r="A314" s="264">
        <v>164115</v>
      </c>
      <c r="B314" s="245" t="s">
        <v>512</v>
      </c>
      <c r="F314" s="342">
        <f t="shared" si="7"/>
        <v>21</v>
      </c>
      <c r="H314" s="56">
        <v>20637</v>
      </c>
    </row>
    <row r="315" spans="1:19" ht="15.6">
      <c r="A315" s="264">
        <v>182331</v>
      </c>
      <c r="B315" s="245" t="s">
        <v>601</v>
      </c>
      <c r="F315" s="342">
        <f t="shared" si="7"/>
        <v>3398</v>
      </c>
      <c r="H315" s="56">
        <v>3397513</v>
      </c>
    </row>
    <row r="316" spans="1:19" ht="15.6">
      <c r="A316" s="264">
        <v>182337</v>
      </c>
      <c r="B316" s="243" t="s">
        <v>602</v>
      </c>
      <c r="F316" s="342">
        <f t="shared" si="7"/>
        <v>8075</v>
      </c>
      <c r="H316" s="56">
        <v>8074705</v>
      </c>
    </row>
    <row r="317" spans="1:19" ht="15.6">
      <c r="A317" s="264">
        <v>283436</v>
      </c>
      <c r="B317" s="245" t="s">
        <v>603</v>
      </c>
      <c r="F317" s="342">
        <f t="shared" si="7"/>
        <v>-2014</v>
      </c>
      <c r="H317" s="56">
        <v>-2013859</v>
      </c>
    </row>
    <row r="318" spans="1:19" ht="15.6">
      <c r="A318" s="264">
        <v>252000</v>
      </c>
      <c r="B318" s="246" t="s">
        <v>363</v>
      </c>
      <c r="F318" s="342">
        <f t="shared" si="7"/>
        <v>0</v>
      </c>
      <c r="H318" s="56">
        <v>0</v>
      </c>
    </row>
    <row r="319" spans="1:19" ht="15.6">
      <c r="A319" s="264">
        <v>254393</v>
      </c>
      <c r="B319" s="246" t="s">
        <v>513</v>
      </c>
      <c r="F319" s="342">
        <f t="shared" si="7"/>
        <v>-17132</v>
      </c>
      <c r="H319" s="56">
        <v>-17131511</v>
      </c>
    </row>
    <row r="320" spans="1:19" ht="15.6">
      <c r="A320" s="264">
        <v>190393</v>
      </c>
      <c r="B320" s="246" t="s">
        <v>514</v>
      </c>
      <c r="F320" s="342">
        <f t="shared" si="7"/>
        <v>3598</v>
      </c>
      <c r="H320" s="56">
        <v>3597617</v>
      </c>
    </row>
    <row r="321" spans="1:19" ht="15.6">
      <c r="A321" s="264">
        <v>235199</v>
      </c>
      <c r="B321" s="246" t="s">
        <v>364</v>
      </c>
      <c r="F321" s="342">
        <f t="shared" si="7"/>
        <v>-1</v>
      </c>
      <c r="H321" s="56">
        <v>-1377</v>
      </c>
      <c r="J321" s="477"/>
      <c r="K321" s="477"/>
      <c r="L321" s="477"/>
      <c r="M321" s="477"/>
      <c r="N321" s="477"/>
      <c r="O321" s="477"/>
      <c r="P321" s="477"/>
      <c r="Q321" s="477"/>
      <c r="R321" s="477"/>
      <c r="S321" s="477"/>
    </row>
    <row r="322" spans="1:19" ht="15.6">
      <c r="A322" s="264">
        <v>254911</v>
      </c>
      <c r="B322" s="246" t="s">
        <v>460</v>
      </c>
      <c r="F322" s="342">
        <f t="shared" si="7"/>
        <v>0</v>
      </c>
      <c r="H322" s="56">
        <v>0</v>
      </c>
      <c r="J322" s="477"/>
      <c r="K322" s="477"/>
      <c r="L322" s="477"/>
      <c r="M322" s="477"/>
      <c r="N322" s="477"/>
      <c r="O322" s="477"/>
      <c r="P322" s="477"/>
      <c r="Q322" s="477"/>
      <c r="R322" s="477"/>
      <c r="S322" s="477"/>
    </row>
    <row r="323" spans="1:19" ht="15.6">
      <c r="A323" s="264">
        <v>182302</v>
      </c>
      <c r="B323" s="246" t="s">
        <v>422</v>
      </c>
      <c r="F323" s="342">
        <f t="shared" si="7"/>
        <v>4336</v>
      </c>
      <c r="H323" s="56">
        <v>4336499</v>
      </c>
      <c r="J323" s="477"/>
      <c r="K323" s="477"/>
      <c r="L323" s="477"/>
      <c r="M323" s="477"/>
      <c r="N323" s="477"/>
      <c r="O323" s="477"/>
      <c r="P323" s="477"/>
      <c r="Q323" s="477"/>
      <c r="R323" s="477"/>
      <c r="S323" s="477"/>
    </row>
    <row r="324" spans="1:19" ht="15.6">
      <c r="A324" s="264">
        <v>283302</v>
      </c>
      <c r="B324" s="246" t="s">
        <v>461</v>
      </c>
      <c r="F324" s="342">
        <f t="shared" si="7"/>
        <v>-911</v>
      </c>
      <c r="H324" s="56">
        <v>-910665</v>
      </c>
    </row>
    <row r="325" spans="1:19" ht="15.6">
      <c r="A325" s="244"/>
      <c r="B325" s="246" t="s">
        <v>365</v>
      </c>
      <c r="F325" s="342">
        <f t="shared" si="7"/>
        <v>15047</v>
      </c>
      <c r="H325" s="56">
        <v>15046912</v>
      </c>
    </row>
    <row r="326" spans="1:19" ht="15.6">
      <c r="A326" s="264">
        <v>186710</v>
      </c>
      <c r="B326" s="245" t="s">
        <v>366</v>
      </c>
      <c r="F326" s="342">
        <f t="shared" si="7"/>
        <v>0</v>
      </c>
      <c r="H326" s="56">
        <v>0</v>
      </c>
    </row>
    <row r="327" spans="1:19" ht="13.2">
      <c r="A327" s="200"/>
      <c r="B327" s="199" t="s">
        <v>367</v>
      </c>
      <c r="F327" s="342">
        <f t="shared" si="7"/>
        <v>35542</v>
      </c>
      <c r="H327" s="56">
        <v>35542014</v>
      </c>
    </row>
    <row r="328" spans="1:19" ht="13.2">
      <c r="A328" s="200"/>
      <c r="B328" s="199"/>
      <c r="F328" s="342">
        <f t="shared" si="7"/>
        <v>0</v>
      </c>
      <c r="H328" s="56"/>
    </row>
    <row r="329" spans="1:19" ht="13.2">
      <c r="A329" s="200"/>
      <c r="B329" s="199" t="s">
        <v>368</v>
      </c>
      <c r="F329" s="342">
        <f t="shared" si="7"/>
        <v>533429</v>
      </c>
      <c r="H329" s="56">
        <v>533429389</v>
      </c>
    </row>
    <row r="330" spans="1:19" ht="13.2"/>
    <row r="331" spans="1:19" ht="13.2"/>
    <row r="332" spans="1:19" ht="13.2"/>
    <row r="333" spans="1:19" ht="13.2"/>
  </sheetData>
  <customSheetViews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3" orientation="portrait" horizontalDpi="300" verticalDpi="300" r:id="rId3"/>
  <headerFooter alignWithMargins="0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68BC8535C0754CA971EFD63AEB6665" ma:contentTypeVersion="7" ma:contentTypeDescription="" ma:contentTypeScope="" ma:versionID="4b378b6a71530ce8af4c273de5b39a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2024-01-18T08:00:00+00:00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240007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121E1AB-1983-4CAC-92DD-E68E9AD4256D}"/>
</file>

<file path=customXml/itemProps2.xml><?xml version="1.0" encoding="utf-8"?>
<ds:datastoreItem xmlns:ds="http://schemas.openxmlformats.org/officeDocument/2006/customXml" ds:itemID="{FD767655-0098-4FE4-955D-9D22728050ED}"/>
</file>

<file path=customXml/itemProps3.xml><?xml version="1.0" encoding="utf-8"?>
<ds:datastoreItem xmlns:ds="http://schemas.openxmlformats.org/officeDocument/2006/customXml" ds:itemID="{61D03268-7BBE-4BD9-A5DE-841B5468326A}"/>
</file>

<file path=customXml/itemProps4.xml><?xml version="1.0" encoding="utf-8"?>
<ds:datastoreItem xmlns:ds="http://schemas.openxmlformats.org/officeDocument/2006/customXml" ds:itemID="{FFAC660D-325C-4B9F-984B-6D1B375BF7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PROPOSED RATES-12.2024</vt:lpstr>
      <vt:lpstr>PROPOSED RATES-12.2025</vt:lpstr>
      <vt:lpstr>RR SUMMARY</vt:lpstr>
      <vt:lpstr>CF</vt:lpstr>
      <vt:lpstr>ADJ DETAIL INPUT</vt:lpstr>
      <vt:lpstr>ADJ SUMMARY</vt:lpstr>
      <vt:lpstr>CF WA Gas</vt:lpstr>
      <vt:lpstr>ROO INPUT 1.00</vt:lpstr>
      <vt:lpstr>DEBT CALC 2.14</vt:lpstr>
      <vt:lpstr>Recap Summary</vt:lpstr>
      <vt:lpstr>LEAD SHEETS-DO NOT ENTER</vt:lpstr>
      <vt:lpstr>'ADJ DETAIL INPUT'!Print_Area</vt:lpstr>
      <vt:lpstr>'ADJ SUMMARY'!Print_Area</vt:lpstr>
      <vt:lpstr>CF!Print_Area</vt:lpstr>
      <vt:lpstr>'DEBT CALC 2.14'!Print_Area</vt:lpstr>
      <vt:lpstr>'LEAD SHEETS-DO NOT ENTER'!Print_Area</vt:lpstr>
      <vt:lpstr>'PROPOSED RATES-12.2024'!Print_Area</vt:lpstr>
      <vt:lpstr>'PROPOSED RATES-12.2025'!Print_Area</vt:lpstr>
      <vt:lpstr>'Recap Summary'!Print_Area</vt:lpstr>
      <vt:lpstr>'ROO INPUT 1.00'!Print_Area</vt:lpstr>
      <vt:lpstr>'RR SUMMARY'!Print_Area</vt:lpstr>
      <vt:lpstr>'Recap Summary'!Print_for_CBReport</vt:lpstr>
      <vt:lpstr>'Recap Summary'!Print_for_Checking</vt:lpstr>
      <vt:lpstr>'ADJ DETAIL INPUT'!Print_Titles</vt:lpstr>
      <vt:lpstr>'LEAD SHEETS-DO NOT ENTER'!Print_Titles</vt:lpstr>
      <vt:lpstr>'DEBT CALC 2.14'!WA_Elec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Schultz, Kaylene</cp:lastModifiedBy>
  <cp:lastPrinted>2024-01-04T17:48:09Z</cp:lastPrinted>
  <dcterms:created xsi:type="dcterms:W3CDTF">1997-05-15T21:41:44Z</dcterms:created>
  <dcterms:modified xsi:type="dcterms:W3CDTF">2024-01-12T21:13:53Z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0x0101006E56B4D1795A2E4DB2F0B01679ED314A00CD68BC8535C0754CA971EFD63AEB6665</vt:lpwstr>
  </property>
  <property fmtid="{D5CDD505-2E9C-101B-9397-08002B2CF9AE}" pid="3" name="_docset_NoMedatataSyncRequired">
    <vt:lpwstr>False</vt:lpwstr>
  </property>
</Properties>
</file>