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21\A.  Report to WUTC\Attachment 5   Incremental Cost\"/>
    </mc:Choice>
  </mc:AlternateContent>
  <bookViews>
    <workbookView xWindow="14030" yWindow="0" windowWidth="15840" windowHeight="6420" tabRatio="792" activeTab="2"/>
  </bookViews>
  <sheets>
    <sheet name="(2)(a)(i) One Time (all)" sheetId="4" r:id="rId1"/>
    <sheet name="(2)(a)(ii)Annual2021estimate" sheetId="10" r:id="rId2"/>
    <sheet name="(2)(a)(iii)(A) and (B)" sheetId="9" r:id="rId3"/>
    <sheet name="electric conv fctr" sheetId="13" r:id="rId4"/>
  </sheets>
  <externalReferences>
    <externalReference r:id="rId5"/>
  </externalReferences>
  <definedNames>
    <definedName name="Facilities">'[1]Facility Detail'!$B$4:$H$43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0" l="1"/>
  <c r="D47" i="10"/>
  <c r="E26" i="4" l="1"/>
  <c r="B17" i="4"/>
  <c r="B18" i="4"/>
  <c r="B19" i="4"/>
  <c r="B20" i="4"/>
  <c r="B21" i="4"/>
  <c r="B22" i="4"/>
  <c r="B23" i="4"/>
  <c r="B24" i="4"/>
  <c r="B25" i="4"/>
  <c r="B26" i="4"/>
  <c r="E20" i="9" l="1"/>
  <c r="E19" i="13" l="1"/>
  <c r="B17" i="9"/>
  <c r="D17" i="9" s="1"/>
  <c r="F17" i="9" s="1"/>
  <c r="F18" i="13"/>
  <c r="B18" i="13"/>
  <c r="E14" i="13"/>
  <c r="B14" i="13" s="1"/>
  <c r="A13" i="13"/>
  <c r="A14" i="13" s="1"/>
  <c r="A15" i="13" s="1"/>
  <c r="A16" i="13" s="1"/>
  <c r="A17" i="13" s="1"/>
  <c r="A18" i="13" s="1"/>
  <c r="E16" i="13" l="1"/>
  <c r="E18" i="13" s="1"/>
  <c r="E20" i="13" s="1"/>
  <c r="B19" i="13"/>
  <c r="A19" i="13"/>
  <c r="A20" i="13" s="1"/>
  <c r="B20" i="13" l="1"/>
  <c r="E28" i="10" l="1"/>
  <c r="B28" i="10"/>
  <c r="G26" i="4"/>
  <c r="H26" i="4"/>
  <c r="G39" i="10" l="1"/>
  <c r="C23" i="9" l="1"/>
  <c r="E23" i="9" l="1"/>
  <c r="G43" i="10" l="1"/>
  <c r="A27" i="10" l="1"/>
  <c r="A26" i="10"/>
  <c r="A25" i="10"/>
  <c r="A24" i="10"/>
  <c r="A23" i="10"/>
  <c r="A22" i="10"/>
  <c r="A21" i="10"/>
  <c r="A20" i="10"/>
  <c r="A19" i="10"/>
  <c r="E25" i="4"/>
  <c r="E24" i="4"/>
  <c r="E23" i="4"/>
  <c r="E22" i="4"/>
  <c r="E21" i="4"/>
  <c r="E20" i="4"/>
  <c r="E19" i="4"/>
  <c r="E17" i="4"/>
  <c r="E18" i="4"/>
  <c r="B29" i="10" l="1"/>
  <c r="G30" i="10" l="1"/>
  <c r="F39" i="10" l="1"/>
  <c r="C39" i="10"/>
  <c r="E30" i="10"/>
  <c r="E29" i="10"/>
  <c r="B30" i="10"/>
  <c r="E39" i="10"/>
  <c r="D39" i="10"/>
  <c r="B39" i="10"/>
  <c r="G31" i="10"/>
  <c r="F31" i="10"/>
  <c r="F32" i="10" s="1"/>
  <c r="D31" i="10"/>
  <c r="D32" i="10" s="1"/>
  <c r="C31" i="10"/>
  <c r="C32" i="10" s="1"/>
  <c r="G32" i="10" l="1"/>
  <c r="G41" i="10" s="1"/>
  <c r="F19" i="9"/>
  <c r="D41" i="10"/>
  <c r="C41" i="10"/>
  <c r="F41" i="10"/>
  <c r="C31" i="4" l="1"/>
  <c r="G30" i="4"/>
  <c r="H30" i="4" s="1"/>
  <c r="F31" i="4"/>
  <c r="G17" i="4" l="1"/>
  <c r="G25" i="4"/>
  <c r="G24" i="4"/>
  <c r="G23" i="4"/>
  <c r="G22" i="4"/>
  <c r="G21" i="4"/>
  <c r="G20" i="4"/>
  <c r="G19" i="4"/>
  <c r="G18" i="4"/>
  <c r="B22" i="10" l="1"/>
  <c r="E22" i="10"/>
  <c r="H20" i="4"/>
  <c r="B11" i="9"/>
  <c r="D11" i="9" s="1"/>
  <c r="F11" i="9" s="1"/>
  <c r="E23" i="10"/>
  <c r="B23" i="10"/>
  <c r="H21" i="4"/>
  <c r="B12" i="9"/>
  <c r="D12" i="9" s="1"/>
  <c r="F12" i="9" s="1"/>
  <c r="E27" i="10"/>
  <c r="B27" i="10"/>
  <c r="H25" i="4"/>
  <c r="B16" i="9"/>
  <c r="D16" i="9" s="1"/>
  <c r="F16" i="9" s="1"/>
  <c r="B20" i="10"/>
  <c r="E20" i="10"/>
  <c r="H18" i="4"/>
  <c r="B9" i="9"/>
  <c r="D9" i="9" s="1"/>
  <c r="F9" i="9" s="1"/>
  <c r="B24" i="10"/>
  <c r="E24" i="10"/>
  <c r="H22" i="4"/>
  <c r="B13" i="9"/>
  <c r="D13" i="9" s="1"/>
  <c r="F13" i="9" s="1"/>
  <c r="B26" i="10"/>
  <c r="E26" i="10"/>
  <c r="H24" i="4"/>
  <c r="B15" i="9"/>
  <c r="D15" i="9" s="1"/>
  <c r="F15" i="9" s="1"/>
  <c r="E21" i="10"/>
  <c r="B21" i="10"/>
  <c r="H19" i="4"/>
  <c r="B10" i="9"/>
  <c r="D10" i="9" s="1"/>
  <c r="F10" i="9" s="1"/>
  <c r="E25" i="10"/>
  <c r="B25" i="10"/>
  <c r="H23" i="4"/>
  <c r="B14" i="9"/>
  <c r="D14" i="9" s="1"/>
  <c r="F14" i="9" s="1"/>
  <c r="E19" i="10"/>
  <c r="B19" i="10"/>
  <c r="H17" i="4"/>
  <c r="B8" i="9"/>
  <c r="G31" i="4"/>
  <c r="D8" i="9" l="1"/>
  <c r="F8" i="9" s="1"/>
  <c r="B23" i="9"/>
  <c r="D23" i="9" s="1"/>
  <c r="H31" i="4"/>
  <c r="G34" i="4" s="1"/>
  <c r="E31" i="10"/>
  <c r="E32" i="10" s="1"/>
  <c r="E41" i="10" s="1"/>
  <c r="G44" i="10" s="1"/>
  <c r="B31" i="10"/>
  <c r="B32" i="10" s="1"/>
  <c r="B41" i="10" s="1"/>
  <c r="D44" i="10" s="1"/>
  <c r="F23" i="9" l="1"/>
  <c r="F24" i="9" s="1"/>
  <c r="B45" i="10"/>
  <c r="E45" i="10"/>
</calcChain>
</file>

<file path=xl/sharedStrings.xml><?xml version="1.0" encoding="utf-8"?>
<sst xmlns="http://schemas.openxmlformats.org/spreadsheetml/2006/main" count="97" uniqueCount="80">
  <si>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</si>
  <si>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</si>
  <si>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</si>
  <si>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</si>
  <si>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</si>
  <si>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</si>
  <si>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</si>
  <si>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</si>
  <si>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</si>
  <si>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</si>
  <si>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</si>
  <si>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</si>
  <si>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</si>
  <si>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</si>
  <si>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</si>
  <si>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</si>
  <si>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</si>
  <si>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</si>
  <si>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</si>
  <si>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</si>
  <si>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</si>
  <si>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</si>
  <si>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</si>
  <si>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</si>
  <si>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</si>
  <si>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</si>
  <si>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</si>
  <si>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</si>
  <si>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</si>
  <si>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</si>
  <si>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</si>
  <si>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</si>
  <si>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</si>
  <si>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</si>
  <si>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</si>
  <si>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</si>
  <si>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</si>
  <si>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</si>
  <si>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</si>
  <si>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</si>
  <si>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</si>
  <si>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</si>
  <si>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</si>
  <si>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</si>
  <si>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</si>
  <si>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</si>
  <si>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Attachment 5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</si>
  <si>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</si>
  <si>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</si>
  <si>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</si>
  <si>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Total Renewable Portfolio</t>
  </si>
  <si>
    <t xml:space="preserve">  </t>
  </si>
  <si>
    <t xml:space="preserve">Hopkins Ridge - Hopkins Ridge </t>
  </si>
  <si>
    <t xml:space="preserve"> REC Sales</t>
  </si>
  <si>
    <t>SHADED INFORMATION IS DESIGNATED AS CONFIDENTIAL PER WAC 480-07-160</t>
  </si>
  <si>
    <t>Sierra Pacific Industries</t>
  </si>
  <si>
    <t>Revenue from REC sales</t>
  </si>
  <si>
    <t xml:space="preserve">PUGET SOUND ENERGY </t>
  </si>
  <si>
    <t>ELECTRIC RESULTS OF OPERATIONS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</si>
  <si>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</si>
  <si>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</si>
  <si>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</si>
  <si>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</si>
  <si>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</si>
  <si>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</si>
  <si>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</si>
  <si>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Compliance Filing in UE-190529</t>
  </si>
  <si>
    <t xml:space="preserve">CALCULATION 1 (Note 1): </t>
  </si>
  <si>
    <t>CALCULATION 2 (Note 1):</t>
  </si>
  <si>
    <r>
      <t>Note 1:  To calculate revenue requirements all costs/revenues are multiplied by</t>
    </r>
    <r>
      <rPr>
        <sz val="11"/>
        <rFont val="Calibri"/>
        <family val="2"/>
        <scheme val="minor"/>
      </rPr>
      <t xml:space="preserve"> 1.051398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</si>
  <si>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Note 2:  Figure reflects Revenue Requirement from PSE's 2019 General Rate Case along with amounts in electric rate schedules 141X and 141Z</t>
  </si>
  <si>
    <t>Annual Revenue Requirement (most recent rate case)  (Note 2)</t>
  </si>
  <si>
    <t>2021 Estimated Data: Annual Calculation of Revenue Requirement Ratio</t>
  </si>
  <si>
    <t>(iii)(A) &amp; (B) Annual Reporting Summary Data: 2021</t>
  </si>
  <si>
    <t>Sierra Pacific Industires</t>
  </si>
  <si>
    <t>PUGET SOUND ENERGY 2021 RPS REPORT</t>
  </si>
  <si>
    <t>Wild Horse - Wild Horse - Phase II **</t>
  </si>
  <si>
    <t>Lower Snake River - Dodge Junction - LSR-Dodge Junction**</t>
  </si>
  <si>
    <t>Lower Snake River - Phalen Gulch - LSR-Phalen Gulch**</t>
  </si>
  <si>
    <t>Without revenue sensitive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</si>
</sst>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"/>
    <numFmt numFmtId="167" formatCode="0.0000%"/>
    <numFmt numFmtId="169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4" fillId="0" borderId="0" xfId="0" applyFont="1"/>
    <xf numFmtId="0" fontId="0" fillId="0" borderId="13" xfId="0" applyBorder="1"/>
    <xf numFmtId="43" fontId="0" fillId="0" borderId="13" xfId="1" applyFont="1" applyBorder="1" applyAlignment="1">
      <alignment horizontal="right"/>
    </xf>
    <xf numFmtId="0" fontId="3" fillId="0" borderId="15" xfId="0" applyFont="1" applyBorder="1" applyAlignment="1"/>
    <xf numFmtId="0" fontId="0" fillId="0" borderId="15" xfId="0" applyFill="1" applyBorder="1"/>
    <xf numFmtId="0" fontId="0" fillId="0" borderId="18" xfId="0" applyFill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17" xfId="0" applyFont="1" applyBorder="1" applyAlignment="1">
      <alignment wrapText="1"/>
    </xf>
    <xf numFmtId="0" fontId="12" fillId="0" borderId="0" xfId="0" applyFont="1"/>
    <xf numFmtId="10" fontId="13" fillId="0" borderId="16" xfId="0" applyNumberFormat="1" applyFont="1" applyFill="1" applyBorder="1"/>
    <xf numFmtId="0" fontId="0" fillId="0" borderId="12" xfId="0" applyFont="1" applyFill="1" applyBorder="1"/>
    <xf numFmtId="0" fontId="3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3" fillId="0" borderId="15" xfId="0" applyFont="1" applyFill="1" applyBorder="1"/>
    <xf numFmtId="16" fontId="0" fillId="0" borderId="14" xfId="0" applyNumberFormat="1" applyBorder="1"/>
    <xf numFmtId="0" fontId="14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3" fillId="0" borderId="31" xfId="0" applyFont="1" applyFill="1" applyBorder="1"/>
    <xf numFmtId="37" fontId="0" fillId="0" borderId="31" xfId="0" applyNumberFormat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Fill="1"/>
    <xf numFmtId="0" fontId="4" fillId="0" borderId="0" xfId="0" applyFont="1" applyFill="1"/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12" xfId="0" applyFont="1" applyFill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Fill="1"/>
    <xf numFmtId="0" fontId="13" fillId="0" borderId="0" xfId="0" applyFont="1" applyFill="1"/>
    <xf numFmtId="0" fontId="5" fillId="0" borderId="12" xfId="0" applyFont="1" applyFill="1" applyBorder="1"/>
    <xf numFmtId="164" fontId="5" fillId="0" borderId="0" xfId="1" applyNumberFormat="1" applyFont="1" applyFill="1"/>
    <xf numFmtId="164" fontId="17" fillId="0" borderId="12" xfId="1" applyNumberFormat="1" applyFont="1" applyFill="1" applyBorder="1"/>
    <xf numFmtId="164" fontId="0" fillId="0" borderId="0" xfId="0" applyNumberFormat="1"/>
    <xf numFmtId="41" fontId="17" fillId="0" borderId="6" xfId="0" applyNumberFormat="1" applyFont="1" applyBorder="1" applyAlignment="1">
      <alignment horizontal="right" vertical="center"/>
    </xf>
    <xf numFmtId="164" fontId="16" fillId="0" borderId="0" xfId="1" applyNumberFormat="1" applyFont="1" applyAlignment="1">
      <alignment horizontal="right"/>
    </xf>
    <xf numFmtId="43" fontId="5" fillId="0" borderId="12" xfId="1" applyNumberFormat="1" applyFont="1" applyBorder="1" applyAlignment="1">
      <alignment wrapText="1"/>
    </xf>
    <xf numFmtId="0" fontId="0" fillId="0" borderId="2" xfId="0" applyFill="1" applyBorder="1"/>
    <xf numFmtId="41" fontId="17" fillId="0" borderId="25" xfId="0" applyNumberFormat="1" applyFont="1" applyBorder="1" applyAlignment="1">
      <alignment horizontal="right" vertical="center"/>
    </xf>
    <xf numFmtId="42" fontId="5" fillId="0" borderId="12" xfId="1" applyNumberFormat="1" applyFont="1" applyBorder="1" applyAlignment="1">
      <alignment wrapText="1"/>
    </xf>
    <xf numFmtId="164" fontId="0" fillId="0" borderId="0" xfId="1" applyNumberFormat="1" applyFont="1"/>
    <xf numFmtId="42" fontId="0" fillId="0" borderId="14" xfId="1" applyNumberFormat="1" applyFont="1" applyBorder="1"/>
    <xf numFmtId="42" fontId="0" fillId="0" borderId="14" xfId="0" applyNumberFormat="1" applyBorder="1"/>
    <xf numFmtId="42" fontId="0" fillId="0" borderId="12" xfId="1" applyNumberFormat="1" applyFon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2" xfId="0" applyNumberFormat="1" applyFill="1" applyBorder="1"/>
    <xf numFmtId="42" fontId="0" fillId="0" borderId="12" xfId="1" applyNumberFormat="1" applyFont="1" applyBorder="1" applyAlignment="1">
      <alignment horizontal="right"/>
    </xf>
    <xf numFmtId="42" fontId="0" fillId="0" borderId="13" xfId="1" applyNumberFormat="1" applyFont="1" applyBorder="1"/>
    <xf numFmtId="42" fontId="0" fillId="0" borderId="17" xfId="0" applyNumberFormat="1" applyBorder="1"/>
    <xf numFmtId="42" fontId="0" fillId="0" borderId="16" xfId="0" applyNumberFormat="1" applyBorder="1"/>
    <xf numFmtId="42" fontId="3" fillId="0" borderId="17" xfId="0" applyNumberFormat="1" applyFont="1" applyBorder="1"/>
    <xf numFmtId="42" fontId="3" fillId="0" borderId="16" xfId="0" applyNumberFormat="1" applyFont="1" applyBorder="1"/>
    <xf numFmtId="42" fontId="0" fillId="0" borderId="19" xfId="0" applyNumberFormat="1" applyBorder="1"/>
    <xf numFmtId="42" fontId="0" fillId="0" borderId="20" xfId="0" applyNumberFormat="1" applyBorder="1"/>
    <xf numFmtId="42" fontId="0" fillId="0" borderId="11" xfId="1" applyNumberFormat="1" applyFont="1" applyFill="1" applyBorder="1"/>
    <xf numFmtId="42" fontId="0" fillId="0" borderId="0" xfId="0" applyNumberFormat="1" applyFill="1" applyBorder="1" applyAlignment="1"/>
    <xf numFmtId="42" fontId="0" fillId="0" borderId="3" xfId="0" applyNumberFormat="1" applyFill="1" applyBorder="1"/>
    <xf numFmtId="42" fontId="0" fillId="0" borderId="33" xfId="0" applyNumberFormat="1" applyBorder="1"/>
    <xf numFmtId="44" fontId="5" fillId="0" borderId="14" xfId="3" applyFont="1" applyFill="1" applyBorder="1" applyAlignment="1">
      <alignment wrapText="1"/>
    </xf>
    <xf numFmtId="164" fontId="5" fillId="0" borderId="14" xfId="1" applyNumberFormat="1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Fill="1"/>
    <xf numFmtId="0" fontId="2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166" fontId="11" fillId="0" borderId="0" xfId="0" applyNumberFormat="1" applyFont="1" applyFill="1" applyAlignment="1"/>
    <xf numFmtId="167" fontId="11" fillId="0" borderId="0" xfId="0" applyNumberFormat="1" applyFont="1" applyFill="1" applyAlignment="1"/>
    <xf numFmtId="166" fontId="11" fillId="0" borderId="31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66" fontId="11" fillId="0" borderId="32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right"/>
    </xf>
    <xf numFmtId="44" fontId="0" fillId="0" borderId="4" xfId="0" applyNumberFormat="1" applyFill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169" fontId="5" fillId="0" borderId="12" xfId="3" applyNumberFormat="1" applyFont="1" applyBorder="1"/>
    <xf numFmtId="169" fontId="17" fillId="0" borderId="12" xfId="3" applyNumberFormat="1" applyFont="1" applyBorder="1"/>
    <xf numFmtId="44" fontId="5" fillId="0" borderId="0" xfId="3" applyFont="1"/>
    <xf numFmtId="44" fontId="0" fillId="0" borderId="12" xfId="3" applyFont="1" applyBorder="1"/>
    <xf numFmtId="169" fontId="0" fillId="0" borderId="12" xfId="3" applyNumberFormat="1" applyFont="1" applyBorder="1"/>
    <xf numFmtId="169" fontId="0" fillId="0" borderId="17" xfId="3" applyNumberFormat="1" applyFont="1" applyBorder="1"/>
    <xf numFmtId="44" fontId="0" fillId="0" borderId="13" xfId="3" applyFont="1" applyBorder="1"/>
    <xf numFmtId="44" fontId="0" fillId="0" borderId="12" xfId="3" applyFont="1" applyFill="1" applyBorder="1"/>
    <xf numFmtId="169" fontId="0" fillId="0" borderId="30" xfId="3" applyNumberFormat="1" applyFont="1" applyBorder="1"/>
    <xf numFmtId="169" fontId="0" fillId="0" borderId="25" xfId="3" applyNumberFormat="1" applyFont="1" applyBorder="1" applyAlignment="1">
      <alignment horizontal="right"/>
    </xf>
    <xf numFmtId="169" fontId="0" fillId="0" borderId="17" xfId="0" applyNumberFormat="1" applyFont="1" applyBorder="1" applyAlignment="1">
      <alignment wrapText="1"/>
    </xf>
    <xf numFmtId="169" fontId="0" fillId="0" borderId="16" xfId="0" applyNumberFormat="1" applyFont="1" applyBorder="1" applyAlignment="1">
      <alignment horizontal="right"/>
    </xf>
    <xf numFmtId="169" fontId="0" fillId="0" borderId="6" xfId="3" applyNumberFormat="1" applyFont="1" applyBorder="1" applyAlignment="1">
      <alignment wrapText="1"/>
    </xf>
    <xf numFmtId="169" fontId="0" fillId="0" borderId="9" xfId="3" applyNumberFormat="1" applyFont="1" applyBorder="1" applyAlignment="1">
      <alignment wrapText="1"/>
    </xf>
    <xf numFmtId="0" fontId="3" fillId="0" borderId="0" xfId="0" applyFont="1" applyAlignment="1"/>
    <xf numFmtId="44" fontId="0" fillId="0" borderId="13" xfId="3" applyFont="1" applyFill="1" applyBorder="1"/>
    <xf numFmtId="165" fontId="0" fillId="0" borderId="0" xfId="2" applyNumberFormat="1" applyFont="1"/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%20Reporting/2020/Attachment%203%20Tool/PSE-Attachment%203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Compliance Summary"/>
      <sheetName val="Facility Detail"/>
      <sheetName val="Generation Rollup"/>
    </sheetNames>
    <sheetDataSet>
      <sheetData sheetId="0"/>
      <sheetData sheetId="1"/>
      <sheetData sheetId="2"/>
      <sheetData sheetId="3">
        <row r="4">
          <cell r="B4" t="str">
            <v>Wild Horse</v>
          </cell>
          <cell r="C4" t="str">
            <v>W183</v>
          </cell>
          <cell r="E4" t="str">
            <v>Wind</v>
          </cell>
          <cell r="F4" t="str">
            <v>Not Eligible</v>
          </cell>
          <cell r="G4" t="str">
            <v>---</v>
          </cell>
        </row>
        <row r="5">
          <cell r="B5" t="str">
            <v>Hopkins Ridge</v>
          </cell>
          <cell r="C5" t="str">
            <v>W184</v>
          </cell>
          <cell r="E5" t="str">
            <v>Wind</v>
          </cell>
          <cell r="F5" t="str">
            <v>Not Eligible</v>
          </cell>
          <cell r="G5" t="str">
            <v>---</v>
          </cell>
        </row>
        <row r="6">
          <cell r="B6" t="str">
            <v>Klondike III</v>
          </cell>
          <cell r="C6" t="str">
            <v>W237</v>
          </cell>
          <cell r="E6" t="str">
            <v>Wind</v>
          </cell>
          <cell r="F6" t="str">
            <v>Not Eligible</v>
          </cell>
          <cell r="G6" t="str">
            <v>---</v>
          </cell>
        </row>
        <row r="7">
          <cell r="B7" t="str">
            <v>Wild Horse Phase II</v>
          </cell>
          <cell r="C7" t="str">
            <v>W1364</v>
          </cell>
          <cell r="E7" t="str">
            <v>Wind</v>
          </cell>
          <cell r="F7" t="str">
            <v>Eligible</v>
          </cell>
          <cell r="G7" t="str">
            <v>---</v>
          </cell>
        </row>
        <row r="8">
          <cell r="B8" t="str">
            <v>Hopkins Ridge Phase II</v>
          </cell>
          <cell r="C8" t="str">
            <v>W1382</v>
          </cell>
          <cell r="E8" t="str">
            <v>Wind</v>
          </cell>
          <cell r="F8" t="str">
            <v>Not Eligible</v>
          </cell>
          <cell r="G8" t="str">
            <v>---</v>
          </cell>
        </row>
        <row r="9">
          <cell r="B9" t="str">
            <v>Lower Snake River - Dodge Junction</v>
          </cell>
          <cell r="C9" t="str">
            <v>W2669</v>
          </cell>
          <cell r="E9" t="str">
            <v>Wind</v>
          </cell>
          <cell r="F9" t="str">
            <v>Eligible</v>
          </cell>
          <cell r="G9" t="str">
            <v>---</v>
          </cell>
        </row>
        <row r="10">
          <cell r="B10" t="str">
            <v>Lower Snake River - Phalen Gulch</v>
          </cell>
          <cell r="C10" t="str">
            <v>W2670</v>
          </cell>
          <cell r="E10" t="str">
            <v>Wind</v>
          </cell>
          <cell r="F10" t="str">
            <v>Eligible</v>
          </cell>
          <cell r="G10" t="str">
            <v>---</v>
          </cell>
        </row>
        <row r="11">
          <cell r="B11" t="str">
            <v>Wanapum Fish Bypass</v>
          </cell>
          <cell r="C11" t="str">
            <v>Not Available</v>
          </cell>
          <cell r="E11" t="str">
            <v>Water (Incremental Hydro)</v>
          </cell>
          <cell r="F11" t="str">
            <v>Not Eligible</v>
          </cell>
          <cell r="G11" t="str">
            <v>---</v>
          </cell>
        </row>
        <row r="12">
          <cell r="B12" t="str">
            <v>Baker River Project</v>
          </cell>
          <cell r="C12" t="str">
            <v>W4865</v>
          </cell>
          <cell r="E12" t="str">
            <v>Water (Incremental Hydro)</v>
          </cell>
          <cell r="F12" t="str">
            <v>Not Eligible</v>
          </cell>
          <cell r="G12" t="str">
            <v>---</v>
          </cell>
        </row>
        <row r="13">
          <cell r="B13" t="str">
            <v>Snoqualmie Falls Project</v>
          </cell>
          <cell r="C13" t="str">
            <v>W4866</v>
          </cell>
          <cell r="E13" t="str">
            <v>Water (Incremental Hydro)</v>
          </cell>
          <cell r="F13" t="str">
            <v>Not Eligible</v>
          </cell>
          <cell r="G13" t="str">
            <v>---</v>
          </cell>
        </row>
        <row r="14">
          <cell r="B14" t="str">
            <v>Klondike 1--REC only**</v>
          </cell>
          <cell r="C14" t="str">
            <v>W238</v>
          </cell>
          <cell r="E14" t="str">
            <v>Wind</v>
          </cell>
          <cell r="F14" t="str">
            <v>Not Eligible</v>
          </cell>
          <cell r="G14" t="str">
            <v>---</v>
          </cell>
        </row>
        <row r="15">
          <cell r="B15" t="str">
            <v>Stateline WA Wind--REC Only **</v>
          </cell>
          <cell r="C15" t="str">
            <v>W248</v>
          </cell>
          <cell r="E15" t="str">
            <v>Wind</v>
          </cell>
          <cell r="F15" t="str">
            <v>Not Eligible</v>
          </cell>
          <cell r="G15" t="str">
            <v>---</v>
          </cell>
        </row>
        <row r="16">
          <cell r="B16" t="str">
            <v>Horse Butte Wind--REC only **</v>
          </cell>
          <cell r="C16" t="str">
            <v>W3260</v>
          </cell>
          <cell r="E16" t="str">
            <v>Wind</v>
          </cell>
          <cell r="F16" t="str">
            <v>Not Eligible</v>
          </cell>
          <cell r="G16" t="str">
            <v>---</v>
          </cell>
        </row>
        <row r="17">
          <cell r="B17" t="str">
            <v>Grand View 5 East--REC Only**</v>
          </cell>
          <cell r="C17" t="str">
            <v>W5069</v>
          </cell>
          <cell r="E17" t="str">
            <v>Solar</v>
          </cell>
          <cell r="F17" t="str">
            <v>Not Eligible</v>
          </cell>
          <cell r="G17" t="str">
            <v>---</v>
          </cell>
        </row>
        <row r="18">
          <cell r="B18" t="str">
            <v>Grand View 2 West--REC Only **</v>
          </cell>
          <cell r="C18" t="str">
            <v>W5070</v>
          </cell>
          <cell r="E18" t="str">
            <v>Solar</v>
          </cell>
          <cell r="F18" t="str">
            <v>Not Eligible</v>
          </cell>
          <cell r="G18" t="str">
            <v>---</v>
          </cell>
        </row>
        <row r="19">
          <cell r="B19" t="str">
            <v>ID Solar 1 -- REC Only **</v>
          </cell>
          <cell r="C19" t="str">
            <v>W5076</v>
          </cell>
          <cell r="E19" t="str">
            <v>Solar</v>
          </cell>
          <cell r="F19" t="str">
            <v>Not Eligible</v>
          </cell>
          <cell r="G19" t="str">
            <v>---</v>
          </cell>
        </row>
        <row r="20">
          <cell r="B20" t="str">
            <v>Condon Wind Power -- REC Only **</v>
          </cell>
          <cell r="C20" t="str">
            <v>W774</v>
          </cell>
          <cell r="E20" t="str">
            <v>Wind</v>
          </cell>
          <cell r="F20" t="str">
            <v>Not Eligible</v>
          </cell>
          <cell r="G20" t="str">
            <v>---</v>
          </cell>
        </row>
        <row r="21">
          <cell r="B21" t="str">
            <v>Condon Wind Power Phase II -- REC Only **</v>
          </cell>
          <cell r="C21" t="str">
            <v>W833</v>
          </cell>
          <cell r="E21" t="str">
            <v>Wind</v>
          </cell>
          <cell r="F21" t="str">
            <v>Not Eligible</v>
          </cell>
          <cell r="G21" t="str">
            <v>---</v>
          </cell>
        </row>
        <row r="22">
          <cell r="B22" t="str">
            <v>Camp Reed Wind Park - Camp Reed Wind Park -- REC Only **</v>
          </cell>
          <cell r="C22" t="str">
            <v>W1875</v>
          </cell>
          <cell r="E22" t="str">
            <v>Wind</v>
          </cell>
          <cell r="F22" t="str">
            <v>Not Eligible</v>
          </cell>
          <cell r="G22" t="str">
            <v>---</v>
          </cell>
        </row>
        <row r="23">
          <cell r="B23" t="str">
            <v>Golden Valley Wind Park - Golden Valley Wind Park -- REC Only **</v>
          </cell>
          <cell r="C23" t="str">
            <v>W1862</v>
          </cell>
          <cell r="E23" t="str">
            <v>Wind</v>
          </cell>
          <cell r="F23" t="str">
            <v>Not Eligible</v>
          </cell>
          <cell r="G23" t="str">
            <v>---</v>
          </cell>
        </row>
        <row r="24">
          <cell r="B24" t="str">
            <v>Klondike III - Klondike Wind Power III LLC -- REC Only **</v>
          </cell>
          <cell r="C24" t="str">
            <v>W237</v>
          </cell>
          <cell r="E24" t="str">
            <v>Wind</v>
          </cell>
          <cell r="F24" t="str">
            <v>Not Eligible</v>
          </cell>
          <cell r="G24" t="str">
            <v>---</v>
          </cell>
        </row>
        <row r="25">
          <cell r="B25" t="str">
            <v>Meadow Creek Wind Farm - Five Pine Project -- REC Only **</v>
          </cell>
          <cell r="C25" t="str">
            <v>W3186</v>
          </cell>
          <cell r="E25" t="str">
            <v>Wind</v>
          </cell>
          <cell r="F25" t="str">
            <v>Not Eligible</v>
          </cell>
          <cell r="G25" t="str">
            <v>---</v>
          </cell>
        </row>
        <row r="26">
          <cell r="B26" t="str">
            <v>Meadow Creek Wind Farm - North Point Wind Farm -- REC Only **</v>
          </cell>
          <cell r="C26" t="str">
            <v>W3185</v>
          </cell>
          <cell r="E26" t="str">
            <v>Wind</v>
          </cell>
          <cell r="F26" t="str">
            <v>Not Eligible</v>
          </cell>
          <cell r="G26" t="str">
            <v>---</v>
          </cell>
        </row>
        <row r="27">
          <cell r="B27" t="str">
            <v>Mountain Air Wind Projects - Mountain Air Wind Projects -- REC Only **</v>
          </cell>
          <cell r="C27" t="str">
            <v>W2869</v>
          </cell>
          <cell r="E27" t="str">
            <v>Wind</v>
          </cell>
          <cell r="F27" t="str">
            <v>Not Eligible</v>
          </cell>
          <cell r="G27" t="str">
            <v>---</v>
          </cell>
        </row>
        <row r="28">
          <cell r="B28" t="str">
            <v>Nine Canyon Wind Project - Nine Canyon Phase 3 -- REC Only **</v>
          </cell>
          <cell r="C28" t="str">
            <v>W697</v>
          </cell>
          <cell r="E28" t="str">
            <v>Wind</v>
          </cell>
          <cell r="F28" t="str">
            <v>Not Eligible</v>
          </cell>
          <cell r="G28" t="str">
            <v>---</v>
          </cell>
        </row>
        <row r="29">
          <cell r="B29" t="str">
            <v>Oregon Trail Wind Park, LLC - Oregon Trail Wind Park -- REC Only **</v>
          </cell>
          <cell r="C29" t="str">
            <v>W1882</v>
          </cell>
          <cell r="E29" t="str">
            <v>Wind</v>
          </cell>
          <cell r="F29" t="str">
            <v>Not Eligible</v>
          </cell>
          <cell r="G29" t="str">
            <v>---</v>
          </cell>
        </row>
        <row r="30">
          <cell r="B30" t="str">
            <v>PaTu Wind Farm - PaTu Wind -- REC Only **</v>
          </cell>
          <cell r="C30" t="str">
            <v>W1844</v>
          </cell>
          <cell r="E30" t="str">
            <v>Wind</v>
          </cell>
          <cell r="F30" t="str">
            <v>Not Eligible</v>
          </cell>
          <cell r="G30" t="str">
            <v>---</v>
          </cell>
        </row>
        <row r="31">
          <cell r="B31" t="str">
            <v>Roseburg LFG - Roseburg LFG Energy -- REC Only **</v>
          </cell>
          <cell r="C31" t="str">
            <v>W2616</v>
          </cell>
          <cell r="E31" t="str">
            <v>Landfill Gas</v>
          </cell>
          <cell r="F31" t="str">
            <v>Not Eligible</v>
          </cell>
          <cell r="G31" t="str">
            <v>---</v>
          </cell>
        </row>
        <row r="32">
          <cell r="B32" t="str">
            <v>Salmon Falls Wind Park, LLC - Salmon Falls Wind Park -- REC Only **</v>
          </cell>
          <cell r="C32" t="str">
            <v>W1885</v>
          </cell>
          <cell r="E32" t="str">
            <v>Wind</v>
          </cell>
          <cell r="F32" t="str">
            <v>Not Eligible</v>
          </cell>
          <cell r="G32" t="str">
            <v>---</v>
          </cell>
        </row>
        <row r="33">
          <cell r="B33" t="str">
            <v>Sawtooth Wind Project - Sawtooth Wind Project -- REC Only **</v>
          </cell>
          <cell r="C33" t="str">
            <v>W2323</v>
          </cell>
          <cell r="E33" t="str">
            <v>Wind</v>
          </cell>
          <cell r="F33" t="str">
            <v>Not Eligible</v>
          </cell>
          <cell r="G33" t="str">
            <v>---</v>
          </cell>
        </row>
        <row r="34">
          <cell r="B34" t="str">
            <v>Thousand Springs Wind Park, LLC - Thousand Springs Wind Park -- REC Only **</v>
          </cell>
          <cell r="C34" t="str">
            <v>W1881</v>
          </cell>
          <cell r="E34" t="str">
            <v>Wind</v>
          </cell>
          <cell r="F34" t="str">
            <v>Not Eligible</v>
          </cell>
          <cell r="G34" t="str">
            <v>---</v>
          </cell>
        </row>
        <row r="35">
          <cell r="B35" t="str">
            <v>Tuana Gulch Wind Park, LLC - Tuana Gulch Wind Park -- REC Only **</v>
          </cell>
          <cell r="C35" t="str">
            <v>W1883</v>
          </cell>
          <cell r="E35" t="str">
            <v>Wind</v>
          </cell>
          <cell r="F35" t="str">
            <v>Not Eligible</v>
          </cell>
          <cell r="G35" t="str">
            <v>---</v>
          </cell>
        </row>
        <row r="36">
          <cell r="B36" t="str">
            <v>Tuana Springs Energy, LLC - Tuana Springs -- REC Only **</v>
          </cell>
          <cell r="C36" t="str">
            <v>W1503</v>
          </cell>
          <cell r="E36" t="str">
            <v>Wind</v>
          </cell>
          <cell r="F36" t="str">
            <v>Not Eligible</v>
          </cell>
          <cell r="G36" t="str">
            <v>---</v>
          </cell>
        </row>
        <row r="37">
          <cell r="B37" t="str">
            <v>White Creek Wind 1 - White Creek -- REC Only **</v>
          </cell>
          <cell r="C37" t="str">
            <v>W360</v>
          </cell>
          <cell r="E37" t="str">
            <v>Wind</v>
          </cell>
          <cell r="F37" t="str">
            <v>Not Eligible</v>
          </cell>
          <cell r="G37" t="str">
            <v>---</v>
          </cell>
        </row>
        <row r="38">
          <cell r="B38" t="str">
            <v>Facility 35</v>
          </cell>
          <cell r="F38" t="str">
            <v>---</v>
          </cell>
          <cell r="G38" t="str">
            <v>---</v>
          </cell>
        </row>
        <row r="39">
          <cell r="B39" t="str">
            <v>Facility 36</v>
          </cell>
          <cell r="F39" t="str">
            <v>---</v>
          </cell>
          <cell r="G39" t="str">
            <v>---</v>
          </cell>
        </row>
        <row r="40">
          <cell r="B40" t="str">
            <v>Facility 37</v>
          </cell>
          <cell r="F40" t="str">
            <v>---</v>
          </cell>
          <cell r="G40" t="str">
            <v>---</v>
          </cell>
        </row>
        <row r="41">
          <cell r="B41" t="str">
            <v>Facility 38</v>
          </cell>
          <cell r="F41" t="str">
            <v>---</v>
          </cell>
          <cell r="G41" t="str">
            <v>---</v>
          </cell>
        </row>
        <row r="42">
          <cell r="B42" t="str">
            <v>Facility 39</v>
          </cell>
          <cell r="F42" t="str">
            <v>---</v>
          </cell>
          <cell r="G42" t="str">
            <v>---</v>
          </cell>
        </row>
        <row r="43">
          <cell r="B43" t="str">
            <v>Facility 40</v>
          </cell>
          <cell r="F43" t="str">
            <v>---</v>
          </cell>
          <cell r="G43" t="str">
            <v>---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85" zoomScaleNormal="85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H38" sqref="H38"/>
    </sheetView>
  </sheetViews>
  <sheetFormatPr defaultColWidth="9.1796875" defaultRowHeight="14.5" x14ac:dyDescent="0.35"/>
  <cols>
    <col min="1" max="1" width="33.1796875" style="26" customWidth="1"/>
    <col min="2" max="5" width="18.7265625" style="26" customWidth="1"/>
    <col min="6" max="6" width="27.453125" style="26" customWidth="1"/>
    <col min="7" max="7" width="18.7265625" style="26" customWidth="1"/>
    <col min="8" max="8" width="18" style="26" customWidth="1"/>
    <col min="9" max="9" width="9.1796875" style="26"/>
    <col min="10" max="10" width="11.54296875" style="26" bestFit="1" customWidth="1"/>
    <col min="11" max="16384" width="9.1796875" style="26"/>
  </cols>
  <sheetData>
    <row r="1" spans="1:9" x14ac:dyDescent="0.35">
      <c r="A1" s="57" t="s">
        <v>75</v>
      </c>
      <c r="B1" s="57"/>
      <c r="H1" s="204" t="s">
        <v>46</v>
      </c>
      <c r="I1" s="204"/>
    </row>
    <row r="2" spans="1:9" ht="33" customHeight="1" thickBot="1" x14ac:dyDescent="0.65">
      <c r="A2" s="41" t="s">
        <v>51</v>
      </c>
    </row>
    <row r="3" spans="1:9" ht="15" customHeight="1" x14ac:dyDescent="0.35">
      <c r="A3" s="132" t="s">
        <v>0</v>
      </c>
      <c r="B3" s="133"/>
      <c r="C3" s="133"/>
      <c r="D3" s="133"/>
      <c r="E3" s="133"/>
      <c r="F3" s="133"/>
      <c r="G3" s="133"/>
      <c r="H3" s="134"/>
    </row>
    <row r="4" spans="1:9" ht="15" thickBot="1" x14ac:dyDescent="0.4">
      <c r="A4" s="135"/>
      <c r="B4" s="136"/>
      <c r="C4" s="136"/>
      <c r="D4" s="136"/>
      <c r="E4" s="136"/>
      <c r="F4" s="136"/>
      <c r="G4" s="136"/>
      <c r="H4" s="137"/>
    </row>
    <row r="5" spans="1:9" ht="0.75" customHeight="1" thickBot="1" x14ac:dyDescent="0.4">
      <c r="A5" s="135"/>
      <c r="B5" s="136"/>
      <c r="C5" s="136"/>
      <c r="D5" s="136"/>
      <c r="E5" s="136"/>
      <c r="F5" s="136"/>
      <c r="G5" s="136"/>
      <c r="H5" s="137"/>
    </row>
    <row r="6" spans="1:9" ht="16.399999999999999" hidden="1" customHeight="1" thickBot="1" x14ac:dyDescent="0.4">
      <c r="A6" s="135"/>
      <c r="B6" s="136"/>
      <c r="C6" s="136"/>
      <c r="D6" s="136"/>
      <c r="E6" s="136"/>
      <c r="F6" s="136"/>
      <c r="G6" s="136"/>
      <c r="H6" s="137"/>
    </row>
    <row r="7" spans="1:9" ht="15" customHeight="1" x14ac:dyDescent="0.35">
      <c r="A7" s="138" t="s">
        <v>5</v>
      </c>
      <c r="B7" s="139"/>
      <c r="C7" s="139"/>
      <c r="D7" s="139"/>
      <c r="E7" s="139"/>
      <c r="F7" s="139"/>
      <c r="G7" s="139"/>
      <c r="H7" s="140"/>
    </row>
    <row r="8" spans="1:9" x14ac:dyDescent="0.35">
      <c r="A8" s="141"/>
      <c r="B8" s="142"/>
      <c r="C8" s="142"/>
      <c r="D8" s="142"/>
      <c r="E8" s="142"/>
      <c r="F8" s="142"/>
      <c r="G8" s="142"/>
      <c r="H8" s="143"/>
    </row>
    <row r="9" spans="1:9" x14ac:dyDescent="0.35">
      <c r="A9" s="141"/>
      <c r="B9" s="142"/>
      <c r="C9" s="142"/>
      <c r="D9" s="142"/>
      <c r="E9" s="142"/>
      <c r="F9" s="142"/>
      <c r="G9" s="142"/>
      <c r="H9" s="143"/>
    </row>
    <row r="10" spans="1:9" x14ac:dyDescent="0.35">
      <c r="A10" s="141"/>
      <c r="B10" s="142"/>
      <c r="C10" s="142"/>
      <c r="D10" s="142"/>
      <c r="E10" s="142"/>
      <c r="F10" s="142"/>
      <c r="G10" s="142"/>
      <c r="H10" s="143"/>
    </row>
    <row r="11" spans="1:9" x14ac:dyDescent="0.35">
      <c r="A11" s="141"/>
      <c r="B11" s="142"/>
      <c r="C11" s="142"/>
      <c r="D11" s="142"/>
      <c r="E11" s="142"/>
      <c r="F11" s="142"/>
      <c r="G11" s="142"/>
      <c r="H11" s="143"/>
    </row>
    <row r="12" spans="1:9" ht="86.25" customHeight="1" thickBot="1" x14ac:dyDescent="0.4">
      <c r="A12" s="144"/>
      <c r="B12" s="145"/>
      <c r="C12" s="145"/>
      <c r="D12" s="145"/>
      <c r="E12" s="145"/>
      <c r="F12" s="145"/>
      <c r="G12" s="145"/>
      <c r="H12" s="146"/>
    </row>
    <row r="13" spans="1:9" ht="15" thickBot="1" x14ac:dyDescent="0.4"/>
    <row r="14" spans="1:9" x14ac:dyDescent="0.35">
      <c r="A14" s="148" t="s">
        <v>2</v>
      </c>
      <c r="B14" s="27" t="s">
        <v>3</v>
      </c>
      <c r="C14" s="27" t="s">
        <v>25</v>
      </c>
      <c r="D14" s="27" t="s">
        <v>19</v>
      </c>
      <c r="E14" s="27" t="s">
        <v>20</v>
      </c>
      <c r="F14" s="27" t="s">
        <v>20</v>
      </c>
      <c r="G14" s="28" t="s">
        <v>25</v>
      </c>
      <c r="H14" s="29" t="s">
        <v>25</v>
      </c>
    </row>
    <row r="15" spans="1:9" ht="15" customHeight="1" x14ac:dyDescent="0.35">
      <c r="A15" s="149"/>
      <c r="B15" s="150" t="s">
        <v>21</v>
      </c>
      <c r="C15" s="150" t="s">
        <v>28</v>
      </c>
      <c r="D15" s="151" t="s">
        <v>17</v>
      </c>
      <c r="E15" s="151" t="s">
        <v>18</v>
      </c>
      <c r="F15" s="151" t="s">
        <v>22</v>
      </c>
      <c r="G15" s="153" t="s">
        <v>23</v>
      </c>
      <c r="H15" s="147" t="s">
        <v>27</v>
      </c>
    </row>
    <row r="16" spans="1:9" ht="32.25" customHeight="1" x14ac:dyDescent="0.35">
      <c r="A16" s="149"/>
      <c r="B16" s="150"/>
      <c r="C16" s="150"/>
      <c r="D16" s="152"/>
      <c r="E16" s="152"/>
      <c r="F16" s="152"/>
      <c r="G16" s="154"/>
      <c r="H16" s="147"/>
    </row>
    <row r="17" spans="1:10" x14ac:dyDescent="0.35">
      <c r="A17" s="30" t="s">
        <v>35</v>
      </c>
      <c r="B17" s="193">
        <f>C17/'(2)(a)(iii)(A) and (B)'!C8</f>
        <v>78.538812785388131</v>
      </c>
      <c r="C17" s="194">
        <v>8600000</v>
      </c>
      <c r="D17" s="197">
        <v>7.92</v>
      </c>
      <c r="E17" s="197">
        <f>1.37/100*(24*365)</f>
        <v>120.012</v>
      </c>
      <c r="F17" s="194">
        <v>9290000</v>
      </c>
      <c r="G17" s="198">
        <f>C17-F17</f>
        <v>-690000</v>
      </c>
      <c r="H17" s="199">
        <f t="shared" ref="H17:H26" si="0">G17*$G$33</f>
        <v>-690000</v>
      </c>
    </row>
    <row r="18" spans="1:10" x14ac:dyDescent="0.35">
      <c r="A18" s="32" t="s">
        <v>36</v>
      </c>
      <c r="B18" s="193">
        <f>C18/'(2)(a)(iii)(A) and (B)'!C9</f>
        <v>112.69172228076337</v>
      </c>
      <c r="C18" s="5">
        <v>3850000</v>
      </c>
      <c r="D18" s="197">
        <v>2.44</v>
      </c>
      <c r="E18" s="197">
        <f>0.74/100*(24*365)</f>
        <v>64.823999999999998</v>
      </c>
      <c r="F18" s="5">
        <v>3180000</v>
      </c>
      <c r="G18" s="23">
        <f t="shared" ref="G18:G26" si="1">C18-F18</f>
        <v>670000</v>
      </c>
      <c r="H18" s="31">
        <f t="shared" si="0"/>
        <v>670000</v>
      </c>
    </row>
    <row r="19" spans="1:10" x14ac:dyDescent="0.35">
      <c r="A19" s="32" t="s">
        <v>37</v>
      </c>
      <c r="B19" s="193">
        <f>C19/'(2)(a)(iii)(A) and (B)'!C10</f>
        <v>54.340387941224044</v>
      </c>
      <c r="C19" s="5">
        <v>34940000</v>
      </c>
      <c r="D19" s="197">
        <v>26.53</v>
      </c>
      <c r="E19" s="197">
        <f>3.21/100*(24*365)</f>
        <v>281.19599999999997</v>
      </c>
      <c r="F19" s="5">
        <v>29740000</v>
      </c>
      <c r="G19" s="23">
        <f t="shared" si="1"/>
        <v>5200000</v>
      </c>
      <c r="H19" s="31">
        <f t="shared" si="0"/>
        <v>5200000</v>
      </c>
    </row>
    <row r="20" spans="1:10" x14ac:dyDescent="0.35">
      <c r="A20" s="32" t="s">
        <v>38</v>
      </c>
      <c r="B20" s="193">
        <f>C20/'(2)(a)(iii)(A) and (B)'!C11</f>
        <v>40.200639098066425</v>
      </c>
      <c r="C20" s="5">
        <v>18770000</v>
      </c>
      <c r="D20" s="197">
        <v>19.260000000000002</v>
      </c>
      <c r="E20" s="197">
        <f>1.71/100*(24*365)</f>
        <v>149.79599999999999</v>
      </c>
      <c r="F20" s="5">
        <v>20970000</v>
      </c>
      <c r="G20" s="23">
        <f t="shared" si="1"/>
        <v>-2200000</v>
      </c>
      <c r="H20" s="31">
        <f t="shared" si="0"/>
        <v>-2200000</v>
      </c>
      <c r="J20" s="85"/>
    </row>
    <row r="21" spans="1:10" x14ac:dyDescent="0.35">
      <c r="A21" s="32" t="s">
        <v>39</v>
      </c>
      <c r="B21" s="193">
        <f>C21/'(2)(a)(iii)(A) and (B)'!C12</f>
        <v>109.04544466188302</v>
      </c>
      <c r="C21" s="5">
        <v>10030000</v>
      </c>
      <c r="D21" s="197">
        <v>5.09</v>
      </c>
      <c r="E21" s="197">
        <f>0.81/100*(24*365)</f>
        <v>70.956000000000017</v>
      </c>
      <c r="F21" s="5">
        <v>5900000</v>
      </c>
      <c r="G21" s="23">
        <f t="shared" si="1"/>
        <v>4130000</v>
      </c>
      <c r="H21" s="31">
        <f t="shared" si="0"/>
        <v>4130000</v>
      </c>
    </row>
    <row r="22" spans="1:10" x14ac:dyDescent="0.35">
      <c r="A22" s="32" t="s">
        <v>40</v>
      </c>
      <c r="B22" s="193">
        <f>C22/'(2)(a)(iii)(A) and (B)'!C13</f>
        <v>60.882800608828006</v>
      </c>
      <c r="C22" s="5">
        <v>1280000</v>
      </c>
      <c r="D22" s="197">
        <v>1.19</v>
      </c>
      <c r="E22" s="197">
        <f>0.17/100*(24*365)</f>
        <v>14.892000000000001</v>
      </c>
      <c r="F22" s="5">
        <v>1360000</v>
      </c>
      <c r="G22" s="23">
        <f t="shared" si="1"/>
        <v>-80000</v>
      </c>
      <c r="H22" s="31">
        <f t="shared" si="0"/>
        <v>-80000</v>
      </c>
    </row>
    <row r="23" spans="1:10" x14ac:dyDescent="0.35">
      <c r="A23" s="32" t="s">
        <v>41</v>
      </c>
      <c r="B23" s="193">
        <f>C23/'(2)(a)(iii)(A) and (B)'!C14</f>
        <v>78.632950265108803</v>
      </c>
      <c r="C23" s="5">
        <v>39330000</v>
      </c>
      <c r="D23" s="197">
        <v>48.51</v>
      </c>
      <c r="E23" s="197">
        <f>1.69/100*(24*365)</f>
        <v>148.04399999999998</v>
      </c>
      <c r="F23" s="5">
        <v>27960000</v>
      </c>
      <c r="G23" s="23">
        <f t="shared" si="1"/>
        <v>11370000</v>
      </c>
      <c r="H23" s="31">
        <f t="shared" si="0"/>
        <v>11370000</v>
      </c>
    </row>
    <row r="24" spans="1:10" x14ac:dyDescent="0.35">
      <c r="A24" s="32" t="s">
        <v>42</v>
      </c>
      <c r="B24" s="193">
        <f>C24/'(2)(a)(iii)(A) and (B)'!C15</f>
        <v>78.6467133317242</v>
      </c>
      <c r="C24" s="5">
        <v>31280000</v>
      </c>
      <c r="D24" s="197">
        <v>48.51</v>
      </c>
      <c r="E24" s="197">
        <f>1.69/100*(24*365)</f>
        <v>148.04399999999998</v>
      </c>
      <c r="F24" s="5">
        <v>22230000</v>
      </c>
      <c r="G24" s="23">
        <f t="shared" si="1"/>
        <v>9050000</v>
      </c>
      <c r="H24" s="31">
        <f t="shared" si="0"/>
        <v>9050000</v>
      </c>
    </row>
    <row r="25" spans="1:10" x14ac:dyDescent="0.35">
      <c r="A25" s="32" t="s">
        <v>43</v>
      </c>
      <c r="B25" s="196">
        <f>C25/'(2)(a)(iii)(A) and (B)'!C16</f>
        <v>65.13191273465246</v>
      </c>
      <c r="C25" s="5">
        <v>10270000</v>
      </c>
      <c r="D25" s="197">
        <v>8.98</v>
      </c>
      <c r="E25" s="197">
        <f>0.93/100*(24*365)</f>
        <v>81.468000000000004</v>
      </c>
      <c r="F25" s="5">
        <v>9910000</v>
      </c>
      <c r="G25" s="23">
        <f t="shared" si="1"/>
        <v>360000</v>
      </c>
      <c r="H25" s="31">
        <f t="shared" si="0"/>
        <v>360000</v>
      </c>
    </row>
    <row r="26" spans="1:10" x14ac:dyDescent="0.35">
      <c r="A26" s="33" t="s">
        <v>55</v>
      </c>
      <c r="B26" s="205">
        <f>6770000/'(2)(a)(iii)(A) and (B)'!C17</f>
        <v>53.483117662858859</v>
      </c>
      <c r="C26" s="6">
        <v>6770000</v>
      </c>
      <c r="D26" s="205">
        <v>3.37</v>
      </c>
      <c r="E26" s="197">
        <f>1.41/100*(24*365)</f>
        <v>123.51599999999999</v>
      </c>
      <c r="F26" s="6">
        <v>4780000</v>
      </c>
      <c r="G26" s="25">
        <f t="shared" si="1"/>
        <v>1990000</v>
      </c>
      <c r="H26" s="31">
        <f t="shared" si="0"/>
        <v>1990000</v>
      </c>
    </row>
    <row r="27" spans="1:10" x14ac:dyDescent="0.35">
      <c r="A27" s="33"/>
      <c r="B27" s="10"/>
      <c r="C27" s="10"/>
      <c r="D27" s="10"/>
      <c r="E27" s="10"/>
      <c r="F27" s="10"/>
      <c r="G27" s="24"/>
      <c r="H27" s="31"/>
    </row>
    <row r="28" spans="1:10" x14ac:dyDescent="0.35">
      <c r="A28" s="33"/>
      <c r="B28" s="10"/>
      <c r="C28" s="10"/>
      <c r="D28" s="10"/>
      <c r="E28" s="10"/>
      <c r="F28" s="10"/>
      <c r="G28" s="24"/>
      <c r="H28" s="31"/>
    </row>
    <row r="29" spans="1:10" x14ac:dyDescent="0.35">
      <c r="A29" s="32"/>
      <c r="B29" s="34"/>
      <c r="C29" s="34"/>
      <c r="D29" s="34"/>
      <c r="E29" s="34"/>
      <c r="F29" s="34"/>
      <c r="G29" s="35"/>
      <c r="H29" s="31"/>
    </row>
    <row r="30" spans="1:10" ht="15" thickBot="1" x14ac:dyDescent="0.4">
      <c r="A30" s="36"/>
      <c r="B30" s="51"/>
      <c r="C30" s="6"/>
      <c r="D30" s="6"/>
      <c r="E30" s="37"/>
      <c r="F30" s="37"/>
      <c r="G30" s="25">
        <f t="shared" ref="G30" si="2">C30-F30</f>
        <v>0</v>
      </c>
      <c r="H30" s="38">
        <f>G30</f>
        <v>0</v>
      </c>
    </row>
    <row r="31" spans="1:10" ht="16.399999999999999" customHeight="1" thickBot="1" x14ac:dyDescent="0.4">
      <c r="A31" s="128" t="s">
        <v>24</v>
      </c>
      <c r="B31" s="129"/>
      <c r="C31" s="195">
        <f>SUM(C17:C30)</f>
        <v>165120000</v>
      </c>
      <c r="D31" s="39"/>
      <c r="E31" s="40"/>
      <c r="F31" s="200">
        <f>SUM(F17:F30)</f>
        <v>135320000</v>
      </c>
      <c r="G31" s="200">
        <f>SUM(G17:G30)</f>
        <v>29800000</v>
      </c>
      <c r="H31" s="201">
        <f>SUM(H17:H30)</f>
        <v>29800000</v>
      </c>
    </row>
    <row r="32" spans="1:10" ht="15" thickBot="1" x14ac:dyDescent="0.4"/>
    <row r="33" spans="1:8" ht="31.5" customHeight="1" thickBot="1" x14ac:dyDescent="0.4">
      <c r="A33" s="155" t="s">
        <v>34</v>
      </c>
      <c r="B33" s="156"/>
      <c r="C33" s="156"/>
      <c r="D33" s="156"/>
      <c r="E33" s="1"/>
      <c r="F33" s="11" t="s">
        <v>44</v>
      </c>
      <c r="G33" s="42">
        <v>1</v>
      </c>
    </row>
    <row r="34" spans="1:8" x14ac:dyDescent="0.35">
      <c r="F34" s="130" t="s">
        <v>4</v>
      </c>
      <c r="G34" s="202">
        <f>H31</f>
        <v>29800000</v>
      </c>
    </row>
    <row r="35" spans="1:8" x14ac:dyDescent="0.35">
      <c r="A35" s="157"/>
      <c r="B35" s="156"/>
      <c r="C35" s="156"/>
      <c r="D35" s="156"/>
      <c r="F35" s="130"/>
      <c r="G35" s="202"/>
    </row>
    <row r="36" spans="1:8" ht="15" thickBot="1" x14ac:dyDescent="0.4">
      <c r="F36" s="131"/>
      <c r="G36" s="203"/>
    </row>
    <row r="37" spans="1:8" ht="22.4" customHeight="1" x14ac:dyDescent="0.35">
      <c r="A37" s="126"/>
      <c r="B37" s="127"/>
      <c r="C37" s="127"/>
      <c r="D37" s="127"/>
    </row>
    <row r="38" spans="1:8" ht="15.5" x14ac:dyDescent="0.35">
      <c r="H38" s="106"/>
    </row>
  </sheetData>
  <mergeCells count="16">
    <mergeCell ref="A35:D35"/>
    <mergeCell ref="A37:D37"/>
    <mergeCell ref="A31:B31"/>
    <mergeCell ref="F34:F36"/>
    <mergeCell ref="G34:G36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  <mergeCell ref="A33:D33"/>
  </mergeCells>
  <pageMargins left="0.25" right="0.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8" zoomScaleNormal="100" zoomScalePageLayoutView="69" workbookViewId="0">
      <selection activeCell="G47" sqref="G47"/>
    </sheetView>
  </sheetViews>
  <sheetFormatPr defaultColWidth="9.1796875" defaultRowHeight="14.5" x14ac:dyDescent="0.35"/>
  <cols>
    <col min="1" max="1" width="38.1796875" style="7" customWidth="1"/>
    <col min="2" max="2" width="24" style="7" customWidth="1"/>
    <col min="3" max="3" width="23.453125" style="7" customWidth="1"/>
    <col min="4" max="4" width="22.7265625" style="7" customWidth="1"/>
    <col min="5" max="5" width="24.453125" style="7" customWidth="1"/>
    <col min="6" max="6" width="31" style="7" customWidth="1"/>
    <col min="7" max="7" width="31.1796875" style="7" customWidth="1"/>
    <col min="8" max="8" width="18" style="7" customWidth="1"/>
    <col min="9" max="16384" width="9.1796875" style="7"/>
  </cols>
  <sheetData>
    <row r="1" spans="1:7" ht="15.5" x14ac:dyDescent="0.35">
      <c r="G1" s="106"/>
    </row>
    <row r="3" spans="1:7" x14ac:dyDescent="0.35">
      <c r="A3" s="57" t="s">
        <v>75</v>
      </c>
      <c r="G3" s="57" t="s">
        <v>46</v>
      </c>
    </row>
    <row r="4" spans="1:7" ht="32.25" customHeight="1" thickBot="1" x14ac:dyDescent="0.55000000000000004">
      <c r="A4" s="168" t="s">
        <v>72</v>
      </c>
      <c r="B4" s="169"/>
      <c r="C4" s="169"/>
      <c r="D4" s="169"/>
      <c r="E4" s="169"/>
      <c r="F4" s="169"/>
      <c r="G4" s="169"/>
    </row>
    <row r="5" spans="1:7" x14ac:dyDescent="0.35">
      <c r="A5" s="170" t="s">
        <v>6</v>
      </c>
      <c r="B5" s="133"/>
      <c r="C5" s="133"/>
      <c r="D5" s="133"/>
      <c r="E5" s="133"/>
      <c r="F5" s="133"/>
      <c r="G5" s="134"/>
    </row>
    <row r="6" spans="1:7" ht="15" thickBot="1" x14ac:dyDescent="0.4">
      <c r="A6" s="135"/>
      <c r="B6" s="136"/>
      <c r="C6" s="136"/>
      <c r="D6" s="136"/>
      <c r="E6" s="136"/>
      <c r="F6" s="136"/>
      <c r="G6" s="137"/>
    </row>
    <row r="7" spans="1:7" ht="0.75" customHeight="1" thickBot="1" x14ac:dyDescent="0.4">
      <c r="A7" s="135"/>
      <c r="B7" s="136"/>
      <c r="C7" s="136"/>
      <c r="D7" s="136"/>
      <c r="E7" s="136"/>
      <c r="F7" s="136"/>
      <c r="G7" s="137"/>
    </row>
    <row r="8" spans="1:7" ht="15" hidden="1" thickBot="1" x14ac:dyDescent="0.4">
      <c r="A8" s="171"/>
      <c r="B8" s="172"/>
      <c r="C8" s="172"/>
      <c r="D8" s="172"/>
      <c r="E8" s="172"/>
      <c r="F8" s="172"/>
      <c r="G8" s="173"/>
    </row>
    <row r="9" spans="1:7" x14ac:dyDescent="0.35">
      <c r="A9" s="174" t="s">
        <v>7</v>
      </c>
      <c r="B9" s="175"/>
      <c r="C9" s="175"/>
      <c r="D9" s="175"/>
      <c r="E9" s="175"/>
      <c r="F9" s="175"/>
      <c r="G9" s="176"/>
    </row>
    <row r="10" spans="1:7" x14ac:dyDescent="0.35">
      <c r="A10" s="177"/>
      <c r="B10" s="178"/>
      <c r="C10" s="178"/>
      <c r="D10" s="178"/>
      <c r="E10" s="178"/>
      <c r="F10" s="178"/>
      <c r="G10" s="179"/>
    </row>
    <row r="11" spans="1:7" x14ac:dyDescent="0.35">
      <c r="A11" s="177"/>
      <c r="B11" s="178"/>
      <c r="C11" s="178"/>
      <c r="D11" s="178"/>
      <c r="E11" s="178"/>
      <c r="F11" s="178"/>
      <c r="G11" s="179"/>
    </row>
    <row r="12" spans="1:7" x14ac:dyDescent="0.35">
      <c r="A12" s="177"/>
      <c r="B12" s="178"/>
      <c r="C12" s="178"/>
      <c r="D12" s="178"/>
      <c r="E12" s="178"/>
      <c r="F12" s="178"/>
      <c r="G12" s="179"/>
    </row>
    <row r="13" spans="1:7" x14ac:dyDescent="0.35">
      <c r="A13" s="177"/>
      <c r="B13" s="178"/>
      <c r="C13" s="178"/>
      <c r="D13" s="178"/>
      <c r="E13" s="178"/>
      <c r="F13" s="178"/>
      <c r="G13" s="179"/>
    </row>
    <row r="14" spans="1:7" ht="86.25" customHeight="1" thickBot="1" x14ac:dyDescent="0.4">
      <c r="A14" s="180"/>
      <c r="B14" s="169"/>
      <c r="C14" s="169"/>
      <c r="D14" s="169"/>
      <c r="E14" s="169"/>
      <c r="F14" s="169"/>
      <c r="G14" s="181"/>
    </row>
    <row r="15" spans="1:7" ht="15" thickBot="1" x14ac:dyDescent="0.4"/>
    <row r="16" spans="1:7" ht="15" thickBot="1" x14ac:dyDescent="0.4">
      <c r="A16" s="182" t="s">
        <v>45</v>
      </c>
      <c r="B16" s="183" t="s">
        <v>33</v>
      </c>
      <c r="C16" s="183"/>
      <c r="D16" s="183"/>
      <c r="E16" s="183" t="s">
        <v>32</v>
      </c>
      <c r="F16" s="183"/>
      <c r="G16" s="183"/>
    </row>
    <row r="17" spans="1:7" ht="15" customHeight="1" thickBot="1" x14ac:dyDescent="0.4">
      <c r="A17" s="182"/>
      <c r="B17" s="184" t="s">
        <v>8</v>
      </c>
      <c r="C17" s="184" t="s">
        <v>15</v>
      </c>
      <c r="D17" s="184" t="s">
        <v>56</v>
      </c>
      <c r="E17" s="184" t="s">
        <v>8</v>
      </c>
      <c r="F17" s="184" t="s">
        <v>15</v>
      </c>
      <c r="G17" s="184" t="s">
        <v>56</v>
      </c>
    </row>
    <row r="18" spans="1:7" ht="15" thickBot="1" x14ac:dyDescent="0.4">
      <c r="A18" s="182"/>
      <c r="B18" s="184"/>
      <c r="C18" s="184"/>
      <c r="D18" s="184"/>
      <c r="E18" s="184"/>
      <c r="F18" s="184"/>
      <c r="G18" s="184"/>
    </row>
    <row r="19" spans="1:7" x14ac:dyDescent="0.35">
      <c r="A19" s="49" t="str">
        <f>+'(2)(a)(i) One Time (all)'!A17</f>
        <v>Baker River Project - Lower Baker Unit 3</v>
      </c>
      <c r="B19" s="86">
        <f>'(2)(a)(i) One Time (all)'!G17</f>
        <v>-690000</v>
      </c>
      <c r="C19" s="87"/>
      <c r="D19" s="87"/>
      <c r="E19" s="86">
        <f>'(2)(a)(i) One Time (all)'!G17</f>
        <v>-690000</v>
      </c>
      <c r="F19" s="87"/>
      <c r="G19" s="87"/>
    </row>
    <row r="20" spans="1:7" x14ac:dyDescent="0.35">
      <c r="A20" s="49" t="str">
        <f>+'(2)(a)(i) One Time (all)'!A18</f>
        <v>Snoqualmie Falls - Snoqualmie Falls Units 1-4</v>
      </c>
      <c r="B20" s="88">
        <f>'(2)(a)(i) One Time (all)'!G18</f>
        <v>670000</v>
      </c>
      <c r="C20" s="89"/>
      <c r="D20" s="89"/>
      <c r="E20" s="88">
        <f>'(2)(a)(i) One Time (all)'!G18</f>
        <v>670000</v>
      </c>
      <c r="F20" s="89"/>
      <c r="G20" s="90"/>
    </row>
    <row r="21" spans="1:7" x14ac:dyDescent="0.35">
      <c r="A21" s="49" t="str">
        <f>+'(2)(a)(i) One Time (all)'!A19</f>
        <v>Wild Horse - Wild Horse</v>
      </c>
      <c r="B21" s="88">
        <f>'(2)(a)(i) One Time (all)'!G19</f>
        <v>5200000</v>
      </c>
      <c r="C21" s="89"/>
      <c r="D21" s="89"/>
      <c r="E21" s="88">
        <f>'(2)(a)(i) One Time (all)'!G19</f>
        <v>5200000</v>
      </c>
      <c r="F21" s="89"/>
      <c r="G21" s="90"/>
    </row>
    <row r="22" spans="1:7" x14ac:dyDescent="0.35">
      <c r="A22" s="49" t="str">
        <f>+'(2)(a)(i) One Time (all)'!A20</f>
        <v>Hopkins Ridge - Hopkins Ridge</v>
      </c>
      <c r="B22" s="88">
        <f>'(2)(a)(i) One Time (all)'!G20</f>
        <v>-2200000</v>
      </c>
      <c r="C22" s="89"/>
      <c r="D22" s="89"/>
      <c r="E22" s="88">
        <f>'(2)(a)(i) One Time (all)'!G20</f>
        <v>-2200000</v>
      </c>
      <c r="F22" s="89"/>
      <c r="G22" s="90"/>
    </row>
    <row r="23" spans="1:7" x14ac:dyDescent="0.35">
      <c r="A23" s="49" t="str">
        <f>+'(2)(a)(i) One Time (all)'!A21</f>
        <v>Wild Horse - Wild Horse - Phase II</v>
      </c>
      <c r="B23" s="88">
        <f>'(2)(a)(i) One Time (all)'!G21</f>
        <v>4130000</v>
      </c>
      <c r="C23" s="89"/>
      <c r="D23" s="89"/>
      <c r="E23" s="88">
        <f>'(2)(a)(i) One Time (all)'!G21</f>
        <v>4130000</v>
      </c>
      <c r="F23" s="89"/>
      <c r="G23" s="90"/>
    </row>
    <row r="24" spans="1:7" x14ac:dyDescent="0.35">
      <c r="A24" s="49" t="str">
        <f>+'(2)(a)(i) One Time (all)'!A22</f>
        <v>Hopkins Ridge - Hopkins Ridge Phase II</v>
      </c>
      <c r="B24" s="88">
        <f>'(2)(a)(i) One Time (all)'!G22</f>
        <v>-80000</v>
      </c>
      <c r="C24" s="89"/>
      <c r="D24" s="89"/>
      <c r="E24" s="88">
        <f>'(2)(a)(i) One Time (all)'!G22</f>
        <v>-80000</v>
      </c>
      <c r="F24" s="89"/>
      <c r="G24" s="90"/>
    </row>
    <row r="25" spans="1:7" x14ac:dyDescent="0.35">
      <c r="A25" s="49" t="str">
        <f>+'(2)(a)(i) One Time (all)'!A23</f>
        <v>Lower Snake River - Dodge Junction - LSR-Dodge Junction</v>
      </c>
      <c r="B25" s="88">
        <f>'(2)(a)(i) One Time (all)'!G23</f>
        <v>11370000</v>
      </c>
      <c r="C25" s="89"/>
      <c r="D25" s="89"/>
      <c r="E25" s="88">
        <f>'(2)(a)(i) One Time (all)'!G23</f>
        <v>11370000</v>
      </c>
      <c r="F25" s="89"/>
      <c r="G25" s="90"/>
    </row>
    <row r="26" spans="1:7" x14ac:dyDescent="0.35">
      <c r="A26" s="49" t="str">
        <f>+'(2)(a)(i) One Time (all)'!A24</f>
        <v>Lower Snake River - Phalen Gulch - LSR-Phalen Gulch</v>
      </c>
      <c r="B26" s="88">
        <f>'(2)(a)(i) One Time (all)'!G24</f>
        <v>9050000</v>
      </c>
      <c r="C26" s="89"/>
      <c r="D26" s="89"/>
      <c r="E26" s="88">
        <f>'(2)(a)(i) One Time (all)'!G24</f>
        <v>9050000</v>
      </c>
      <c r="F26" s="89"/>
      <c r="G26" s="90"/>
    </row>
    <row r="27" spans="1:7" x14ac:dyDescent="0.35">
      <c r="A27" s="49" t="str">
        <f>+'(2)(a)(i) One Time (all)'!A25</f>
        <v>Klondike III - Klondike Wind Power III LLC</v>
      </c>
      <c r="B27" s="88">
        <f>'(2)(a)(i) One Time (all)'!G25</f>
        <v>360000</v>
      </c>
      <c r="C27" s="91"/>
      <c r="D27" s="89"/>
      <c r="E27" s="88">
        <f>'(2)(a)(i) One Time (all)'!G25</f>
        <v>360000</v>
      </c>
      <c r="F27" s="89"/>
      <c r="G27" s="90"/>
    </row>
    <row r="28" spans="1:7" x14ac:dyDescent="0.35">
      <c r="A28" s="33" t="s">
        <v>55</v>
      </c>
      <c r="B28" s="88">
        <f>'(2)(a)(i) One Time (all)'!G26</f>
        <v>1990000</v>
      </c>
      <c r="C28" s="90"/>
      <c r="D28" s="93"/>
      <c r="E28" s="88">
        <f>'(2)(a)(i) One Time (all)'!G26</f>
        <v>1990000</v>
      </c>
      <c r="F28" s="103"/>
      <c r="G28" s="90"/>
    </row>
    <row r="29" spans="1:7" x14ac:dyDescent="0.35">
      <c r="A29" s="33"/>
      <c r="B29" s="92">
        <f>'(2)(a)(i) One Time (all)'!G28</f>
        <v>0</v>
      </c>
      <c r="C29" s="90"/>
      <c r="D29" s="93"/>
      <c r="E29" s="92">
        <f>'(2)(a)(i) One Time (all)'!G28</f>
        <v>0</v>
      </c>
      <c r="F29" s="90"/>
      <c r="G29" s="90"/>
    </row>
    <row r="30" spans="1:7" ht="15" thickBot="1" x14ac:dyDescent="0.4">
      <c r="A30" s="9"/>
      <c r="B30" s="88">
        <f>'(2)(a)(i) One Time (all)'!G29</f>
        <v>0</v>
      </c>
      <c r="C30" s="90"/>
      <c r="D30" s="90"/>
      <c r="E30" s="92">
        <f>'(2)(a)(i) One Time (all)'!G29</f>
        <v>0</v>
      </c>
      <c r="F30" s="90"/>
      <c r="G30" s="90">
        <f>D30</f>
        <v>0</v>
      </c>
    </row>
    <row r="31" spans="1:7" ht="15" thickBot="1" x14ac:dyDescent="0.4">
      <c r="A31" s="12" t="s">
        <v>26</v>
      </c>
      <c r="B31" s="94">
        <f t="shared" ref="B31:G31" si="0">SUM(B19:B30)</f>
        <v>29800000</v>
      </c>
      <c r="C31" s="94">
        <f t="shared" si="0"/>
        <v>0</v>
      </c>
      <c r="D31" s="94">
        <f t="shared" si="0"/>
        <v>0</v>
      </c>
      <c r="E31" s="94">
        <f t="shared" si="0"/>
        <v>29800000</v>
      </c>
      <c r="F31" s="94">
        <f t="shared" si="0"/>
        <v>0</v>
      </c>
      <c r="G31" s="95">
        <f t="shared" si="0"/>
        <v>0</v>
      </c>
    </row>
    <row r="32" spans="1:7" ht="15" thickBot="1" x14ac:dyDescent="0.4">
      <c r="A32" s="44" t="s">
        <v>29</v>
      </c>
      <c r="B32" s="96">
        <f>B31*'(2)(a)(i) One Time (all)'!$G$33</f>
        <v>29800000</v>
      </c>
      <c r="C32" s="96">
        <f>C31*'(2)(a)(i) One Time (all)'!$G$33</f>
        <v>0</v>
      </c>
      <c r="D32" s="96">
        <f>D31*'(2)(a)(i) One Time (all)'!$G$33</f>
        <v>0</v>
      </c>
      <c r="E32" s="96">
        <f>E31*'(2)(a)(i) One Time (all)'!$G$33</f>
        <v>29800000</v>
      </c>
      <c r="F32" s="96">
        <f>F31*'(2)(a)(i) One Time (all)'!$G$33</f>
        <v>0</v>
      </c>
      <c r="G32" s="97">
        <f>G31*'(2)(a)(i) One Time (all)'!$G$33</f>
        <v>0</v>
      </c>
    </row>
    <row r="33" spans="1:8" x14ac:dyDescent="0.35">
      <c r="A33" s="53"/>
      <c r="B33" s="54"/>
      <c r="C33" s="54"/>
      <c r="D33" s="54"/>
      <c r="E33" s="54"/>
      <c r="F33" s="54"/>
      <c r="G33" s="52"/>
    </row>
    <row r="34" spans="1:8" x14ac:dyDescent="0.35">
      <c r="A34" s="55"/>
      <c r="B34" s="56"/>
      <c r="C34" s="56"/>
      <c r="D34" s="56"/>
      <c r="E34" s="56"/>
      <c r="F34" s="56"/>
      <c r="G34" s="52"/>
    </row>
    <row r="35" spans="1:8" x14ac:dyDescent="0.35">
      <c r="A35" s="43"/>
      <c r="B35" s="88"/>
      <c r="C35" s="88"/>
      <c r="D35" s="88"/>
      <c r="E35" s="89"/>
      <c r="F35" s="89"/>
      <c r="G35" s="89"/>
    </row>
    <row r="36" spans="1:8" x14ac:dyDescent="0.35">
      <c r="A36" s="22"/>
      <c r="B36" s="93"/>
      <c r="C36" s="93"/>
      <c r="D36" s="93"/>
      <c r="E36" s="90"/>
      <c r="F36" s="90"/>
      <c r="G36" s="90"/>
    </row>
    <row r="37" spans="1:8" x14ac:dyDescent="0.35">
      <c r="A37" s="22"/>
      <c r="B37" s="93"/>
      <c r="C37" s="93"/>
      <c r="D37" s="93"/>
      <c r="E37" s="90"/>
      <c r="F37" s="90"/>
      <c r="G37" s="90"/>
    </row>
    <row r="38" spans="1:8" ht="15" thickBot="1" x14ac:dyDescent="0.4">
      <c r="A38" s="22"/>
      <c r="B38" s="90"/>
      <c r="C38" s="93"/>
      <c r="D38" s="90"/>
      <c r="E38" s="93"/>
      <c r="F38" s="90"/>
      <c r="G38" s="90"/>
    </row>
    <row r="39" spans="1:8" ht="15" thickBot="1" x14ac:dyDescent="0.4">
      <c r="A39" s="44"/>
      <c r="B39" s="96">
        <f>SUM(B35:B38)</f>
        <v>0</v>
      </c>
      <c r="C39" s="96">
        <f>SUM(C35:C38)</f>
        <v>0</v>
      </c>
      <c r="D39" s="96">
        <f t="shared" ref="D39:E39" si="1">SUM(D35:D38)</f>
        <v>0</v>
      </c>
      <c r="E39" s="96">
        <f t="shared" si="1"/>
        <v>0</v>
      </c>
      <c r="F39" s="96">
        <f>SUM(F35:F38)</f>
        <v>0</v>
      </c>
      <c r="G39" s="96">
        <f>SUM(G35:G38)</f>
        <v>0</v>
      </c>
    </row>
    <row r="40" spans="1:8" ht="15" thickBot="1" x14ac:dyDescent="0.4">
      <c r="A40" s="13"/>
      <c r="B40" s="98"/>
      <c r="C40" s="98"/>
      <c r="D40" s="98"/>
      <c r="E40" s="98"/>
      <c r="F40" s="98"/>
      <c r="G40" s="99"/>
    </row>
    <row r="41" spans="1:8" ht="15" thickBot="1" x14ac:dyDescent="0.4">
      <c r="A41" s="48" t="s">
        <v>30</v>
      </c>
      <c r="B41" s="96">
        <f t="shared" ref="B41:G41" si="2">B32+B39</f>
        <v>29800000</v>
      </c>
      <c r="C41" s="96">
        <f t="shared" si="2"/>
        <v>0</v>
      </c>
      <c r="D41" s="96">
        <f t="shared" si="2"/>
        <v>0</v>
      </c>
      <c r="E41" s="96">
        <f t="shared" si="2"/>
        <v>29800000</v>
      </c>
      <c r="F41" s="96">
        <f t="shared" si="2"/>
        <v>0</v>
      </c>
      <c r="G41" s="96">
        <f t="shared" si="2"/>
        <v>0</v>
      </c>
    </row>
    <row r="42" spans="1:8" ht="15" thickBot="1" x14ac:dyDescent="0.4">
      <c r="A42" s="45"/>
      <c r="B42" s="46"/>
      <c r="C42" s="46"/>
      <c r="D42" s="46"/>
      <c r="E42" s="47"/>
      <c r="F42" s="47"/>
      <c r="G42" s="46"/>
    </row>
    <row r="43" spans="1:8" ht="15" thickBot="1" x14ac:dyDescent="0.4">
      <c r="A43" s="159" t="s">
        <v>71</v>
      </c>
      <c r="B43" s="160"/>
      <c r="C43" s="161"/>
      <c r="D43" s="100">
        <v>2041738098.8278618</v>
      </c>
      <c r="E43" s="101"/>
      <c r="F43" s="101"/>
      <c r="G43" s="100">
        <f>+D43</f>
        <v>2041738098.8278618</v>
      </c>
    </row>
    <row r="44" spans="1:8" x14ac:dyDescent="0.35">
      <c r="A44" s="60"/>
      <c r="B44" s="82" t="s">
        <v>67</v>
      </c>
      <c r="C44" s="53"/>
      <c r="D44" s="125">
        <f>SUM(B41:D41)*'electric conv fctr'!F18</f>
        <v>31331660.400000002</v>
      </c>
      <c r="E44" s="82" t="s">
        <v>68</v>
      </c>
      <c r="F44" s="102"/>
      <c r="G44" s="125">
        <f>SUM(E41:G41)*'electric conv fctr'!F18</f>
        <v>31331660.400000002</v>
      </c>
      <c r="H44" s="78"/>
    </row>
    <row r="45" spans="1:8" ht="15" customHeight="1" x14ac:dyDescent="0.35">
      <c r="A45" s="60"/>
      <c r="B45" s="162">
        <f>D44/D43</f>
        <v>1.5345582480920127E-2</v>
      </c>
      <c r="C45" s="163"/>
      <c r="D45" s="164"/>
      <c r="E45" s="162">
        <f>G44/G43</f>
        <v>1.5345582480920127E-2</v>
      </c>
      <c r="F45" s="163"/>
      <c r="G45" s="164"/>
    </row>
    <row r="46" spans="1:8" ht="15" thickBot="1" x14ac:dyDescent="0.4">
      <c r="A46" s="60"/>
      <c r="B46" s="165"/>
      <c r="C46" s="166"/>
      <c r="D46" s="167"/>
      <c r="E46" s="165"/>
      <c r="F46" s="166"/>
      <c r="G46" s="167"/>
    </row>
    <row r="47" spans="1:8" x14ac:dyDescent="0.35">
      <c r="B47" s="7" t="s">
        <v>79</v>
      </c>
      <c r="D47" s="206">
        <f>B41/D43</f>
        <v>1.4595407715175533E-2</v>
      </c>
      <c r="F47" s="2"/>
      <c r="G47" s="206">
        <f>E41/G43</f>
        <v>1.4595407715175533E-2</v>
      </c>
    </row>
    <row r="48" spans="1:8" x14ac:dyDescent="0.35">
      <c r="F48" s="2"/>
      <c r="G48" s="3"/>
    </row>
    <row r="49" spans="1:7" x14ac:dyDescent="0.35">
      <c r="A49" s="50" t="s">
        <v>31</v>
      </c>
      <c r="F49" s="2"/>
      <c r="G49" s="3"/>
    </row>
    <row r="50" spans="1:7" s="60" customFormat="1" x14ac:dyDescent="0.35">
      <c r="A50" s="158" t="s">
        <v>69</v>
      </c>
      <c r="B50" s="158"/>
      <c r="C50" s="158"/>
      <c r="D50" s="158"/>
      <c r="E50" s="158"/>
      <c r="F50" s="158"/>
    </row>
    <row r="51" spans="1:7" s="60" customFormat="1" x14ac:dyDescent="0.35">
      <c r="A51" s="60" t="s">
        <v>70</v>
      </c>
    </row>
    <row r="52" spans="1:7" s="60" customFormat="1" x14ac:dyDescent="0.35">
      <c r="B52" s="73"/>
      <c r="C52" s="73"/>
      <c r="D52" s="73"/>
      <c r="E52" s="73"/>
      <c r="F52" s="73"/>
    </row>
    <row r="53" spans="1:7" s="60" customFormat="1" x14ac:dyDescent="0.35">
      <c r="A53" s="74"/>
      <c r="B53" s="73"/>
      <c r="C53" s="73"/>
      <c r="D53" s="73"/>
      <c r="E53" s="73"/>
      <c r="F53" s="73"/>
    </row>
    <row r="54" spans="1:7" s="60" customFormat="1" x14ac:dyDescent="0.35">
      <c r="A54" s="74"/>
    </row>
  </sheetData>
  <mergeCells count="16">
    <mergeCell ref="A50:F50"/>
    <mergeCell ref="A43:C43"/>
    <mergeCell ref="B45:D46"/>
    <mergeCell ref="E45:G46"/>
    <mergeCell ref="A4:G4"/>
    <mergeCell ref="A5:G8"/>
    <mergeCell ref="A9:G14"/>
    <mergeCell ref="A16:A18"/>
    <mergeCell ref="B16:D16"/>
    <mergeCell ref="E16:G16"/>
    <mergeCell ref="B17:B18"/>
    <mergeCell ref="C17:C18"/>
    <mergeCell ref="D17:D18"/>
    <mergeCell ref="E17:E18"/>
    <mergeCell ref="F17:F18"/>
    <mergeCell ref="G17:G18"/>
  </mergeCells>
  <pageMargins left="0.25" right="0.25" top="0.75" bottom="0.75" header="0.3" footer="0.3"/>
  <pageSetup scale="45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80" zoomScaleNormal="80" workbookViewId="0">
      <selection activeCell="B38" sqref="B38"/>
    </sheetView>
  </sheetViews>
  <sheetFormatPr defaultColWidth="9.1796875" defaultRowHeight="14" x14ac:dyDescent="0.3"/>
  <cols>
    <col min="1" max="1" width="69.26953125" style="4" customWidth="1"/>
    <col min="2" max="2" width="17.453125" style="4" customWidth="1"/>
    <col min="3" max="3" width="14.1796875" style="4" customWidth="1"/>
    <col min="4" max="4" width="20.453125" style="4" customWidth="1"/>
    <col min="5" max="5" width="32.453125" style="4" customWidth="1"/>
    <col min="6" max="6" width="23.453125" style="4" customWidth="1"/>
    <col min="7" max="7" width="4.453125" style="4" customWidth="1"/>
    <col min="8" max="8" width="14.7265625" style="4" customWidth="1"/>
    <col min="9" max="9" width="13.453125" style="4" bestFit="1" customWidth="1"/>
    <col min="10" max="10" width="12.1796875" style="4" bestFit="1" customWidth="1"/>
    <col min="11" max="16384" width="9.1796875" style="4"/>
  </cols>
  <sheetData>
    <row r="1" spans="1:9" ht="15.5" x14ac:dyDescent="0.35">
      <c r="F1" s="107" t="s">
        <v>54</v>
      </c>
    </row>
    <row r="3" spans="1:9" s="58" customFormat="1" ht="14.5" x14ac:dyDescent="0.35">
      <c r="A3" s="57" t="s">
        <v>75</v>
      </c>
      <c r="B3" s="57"/>
      <c r="C3" s="57"/>
      <c r="F3" s="59" t="s">
        <v>46</v>
      </c>
    </row>
    <row r="4" spans="1:9" ht="31.5" customHeight="1" thickBot="1" x14ac:dyDescent="0.55000000000000004">
      <c r="A4" s="168" t="s">
        <v>73</v>
      </c>
      <c r="B4" s="185"/>
      <c r="C4" s="185"/>
      <c r="D4" s="185"/>
      <c r="E4" s="185"/>
      <c r="F4" s="185"/>
    </row>
    <row r="5" spans="1:9" ht="52.5" customHeight="1" thickBot="1" x14ac:dyDescent="0.55000000000000004">
      <c r="A5" s="61">
        <v>2021</v>
      </c>
      <c r="B5" s="185" t="s">
        <v>14</v>
      </c>
      <c r="C5" s="189"/>
      <c r="D5" s="189"/>
      <c r="E5" s="189"/>
      <c r="F5" s="189"/>
    </row>
    <row r="6" spans="1:9" ht="18" customHeight="1" x14ac:dyDescent="0.5">
      <c r="A6" s="8"/>
      <c r="B6" s="186" t="s">
        <v>1</v>
      </c>
      <c r="C6" s="187"/>
      <c r="D6" s="188"/>
      <c r="E6" s="186" t="s">
        <v>12</v>
      </c>
      <c r="F6" s="188"/>
    </row>
    <row r="7" spans="1:9" ht="70" x14ac:dyDescent="0.3">
      <c r="A7" s="16" t="s">
        <v>2</v>
      </c>
      <c r="B7" s="16" t="s">
        <v>9</v>
      </c>
      <c r="C7" s="16" t="s">
        <v>10</v>
      </c>
      <c r="D7" s="16" t="s">
        <v>13</v>
      </c>
      <c r="E7" s="16" t="s">
        <v>11</v>
      </c>
      <c r="F7" s="16" t="s">
        <v>16</v>
      </c>
    </row>
    <row r="8" spans="1:9" x14ac:dyDescent="0.3">
      <c r="A8" s="17" t="s">
        <v>35</v>
      </c>
      <c r="B8" s="190">
        <f>'(2)(a)(i) One Time (all)'!G17</f>
        <v>-690000</v>
      </c>
      <c r="C8" s="15">
        <v>109500</v>
      </c>
      <c r="D8" s="62">
        <f t="shared" ref="D8:D17" si="0">B8/C8</f>
        <v>-6.3013698630136989</v>
      </c>
      <c r="E8" s="83">
        <v>98639</v>
      </c>
      <c r="F8" s="84">
        <f>E8*D8</f>
        <v>-621560.82191780827</v>
      </c>
      <c r="I8" s="71"/>
    </row>
    <row r="9" spans="1:9" x14ac:dyDescent="0.3">
      <c r="A9" s="19" t="s">
        <v>36</v>
      </c>
      <c r="B9" s="14">
        <f>'(2)(a)(i) One Time (all)'!G18</f>
        <v>670000</v>
      </c>
      <c r="C9" s="15">
        <v>34164</v>
      </c>
      <c r="D9" s="62">
        <f t="shared" si="0"/>
        <v>19.611286734574406</v>
      </c>
      <c r="E9" s="79">
        <v>19741</v>
      </c>
      <c r="F9" s="84">
        <f t="shared" ref="F9:F17" si="1">E9*D9</f>
        <v>387146.41142723337</v>
      </c>
      <c r="I9" s="71"/>
    </row>
    <row r="10" spans="1:9" x14ac:dyDescent="0.3">
      <c r="A10" s="19" t="s">
        <v>37</v>
      </c>
      <c r="B10" s="14">
        <f>'(2)(a)(i) One Time (all)'!G19</f>
        <v>5200000</v>
      </c>
      <c r="C10" s="15">
        <v>642984</v>
      </c>
      <c r="D10" s="62">
        <f t="shared" si="0"/>
        <v>8.0872929964042655</v>
      </c>
      <c r="E10" s="77">
        <v>718090</v>
      </c>
      <c r="F10" s="84">
        <f t="shared" si="1"/>
        <v>5807404.2277879389</v>
      </c>
      <c r="I10" s="71"/>
    </row>
    <row r="11" spans="1:9" x14ac:dyDescent="0.3">
      <c r="A11" s="19" t="s">
        <v>52</v>
      </c>
      <c r="B11" s="14">
        <f>'(2)(a)(i) One Time (all)'!G20</f>
        <v>-2200000</v>
      </c>
      <c r="C11" s="15">
        <v>466908</v>
      </c>
      <c r="D11" s="62">
        <f t="shared" si="0"/>
        <v>-4.7118490152235557</v>
      </c>
      <c r="E11" s="15">
        <v>396353</v>
      </c>
      <c r="F11" s="84">
        <f t="shared" si="1"/>
        <v>-1867555.492730902</v>
      </c>
      <c r="I11" s="71"/>
    </row>
    <row r="12" spans="1:9" x14ac:dyDescent="0.3">
      <c r="A12" s="19" t="s">
        <v>76</v>
      </c>
      <c r="B12" s="14">
        <f>'(2)(a)(i) One Time (all)'!G21</f>
        <v>4130000</v>
      </c>
      <c r="C12" s="15">
        <v>91980</v>
      </c>
      <c r="D12" s="62">
        <f t="shared" si="0"/>
        <v>44.901065449010652</v>
      </c>
      <c r="E12" s="15">
        <v>123857</v>
      </c>
      <c r="F12" s="84">
        <f t="shared" si="1"/>
        <v>5561311.2633181121</v>
      </c>
      <c r="I12" s="71"/>
    </row>
    <row r="13" spans="1:9" x14ac:dyDescent="0.3">
      <c r="A13" s="19" t="s">
        <v>40</v>
      </c>
      <c r="B13" s="14">
        <f>'(2)(a)(i) One Time (all)'!G22</f>
        <v>-80000</v>
      </c>
      <c r="C13" s="15">
        <v>21024</v>
      </c>
      <c r="D13" s="62">
        <f t="shared" si="0"/>
        <v>-3.8051750380517504</v>
      </c>
      <c r="E13" s="15">
        <v>20072</v>
      </c>
      <c r="F13" s="84">
        <f t="shared" si="1"/>
        <v>-76377.473363774727</v>
      </c>
      <c r="I13" s="71"/>
    </row>
    <row r="14" spans="1:9" x14ac:dyDescent="0.3">
      <c r="A14" s="19" t="s">
        <v>77</v>
      </c>
      <c r="B14" s="14">
        <f>'(2)(a)(i) One Time (all)'!G23</f>
        <v>11370000</v>
      </c>
      <c r="C14" s="15">
        <v>500172</v>
      </c>
      <c r="D14" s="62">
        <f t="shared" si="0"/>
        <v>22.732180130035267</v>
      </c>
      <c r="E14" s="15">
        <v>654698</v>
      </c>
      <c r="F14" s="84">
        <f t="shared" si="1"/>
        <v>14882712.866773829</v>
      </c>
      <c r="I14" s="71"/>
    </row>
    <row r="15" spans="1:9" x14ac:dyDescent="0.3">
      <c r="A15" s="19" t="s">
        <v>78</v>
      </c>
      <c r="B15" s="14">
        <f>'(2)(a)(i) One Time (all)'!G24</f>
        <v>9050000</v>
      </c>
      <c r="C15" s="15">
        <v>397728</v>
      </c>
      <c r="D15" s="62">
        <f t="shared" si="0"/>
        <v>22.754244106525061</v>
      </c>
      <c r="E15" s="15">
        <v>404341</v>
      </c>
      <c r="F15" s="84">
        <f t="shared" si="1"/>
        <v>9200473.8162764497</v>
      </c>
      <c r="I15" s="71"/>
    </row>
    <row r="16" spans="1:9" x14ac:dyDescent="0.3">
      <c r="A16" s="19" t="s">
        <v>43</v>
      </c>
      <c r="B16" s="14">
        <f>'(2)(a)(i) One Time (all)'!G25</f>
        <v>360000</v>
      </c>
      <c r="C16" s="15">
        <v>157680</v>
      </c>
      <c r="D16" s="62">
        <f t="shared" si="0"/>
        <v>2.2831050228310503</v>
      </c>
      <c r="E16" s="77">
        <v>276318</v>
      </c>
      <c r="F16" s="84">
        <f t="shared" si="1"/>
        <v>630863.01369863015</v>
      </c>
      <c r="I16" s="71"/>
    </row>
    <row r="17" spans="1:9" ht="14.5" x14ac:dyDescent="0.35">
      <c r="A17" s="19" t="s">
        <v>74</v>
      </c>
      <c r="B17" s="14">
        <f>'(2)(a)(i) One Time (all)'!G26</f>
        <v>1990000</v>
      </c>
      <c r="C17" s="85">
        <v>126582</v>
      </c>
      <c r="D17" s="62">
        <f t="shared" si="0"/>
        <v>15.72103458627609</v>
      </c>
      <c r="E17" s="77">
        <v>120421</v>
      </c>
      <c r="F17" s="84">
        <f t="shared" si="1"/>
        <v>1893142.705913953</v>
      </c>
      <c r="I17" s="71"/>
    </row>
    <row r="18" spans="1:9" s="73" customFormat="1" x14ac:dyDescent="0.3">
      <c r="A18" s="75"/>
      <c r="B18" s="15"/>
      <c r="C18" s="15"/>
      <c r="D18" s="104"/>
      <c r="E18" s="77"/>
      <c r="F18" s="105"/>
      <c r="I18" s="76"/>
    </row>
    <row r="19" spans="1:9" x14ac:dyDescent="0.3">
      <c r="A19" s="19" t="s">
        <v>53</v>
      </c>
      <c r="B19" s="14"/>
      <c r="C19" s="15"/>
      <c r="D19" s="81"/>
      <c r="E19" s="64"/>
      <c r="F19" s="18">
        <f>+'(2)(a)(ii)Annual2021estimate'!G31</f>
        <v>0</v>
      </c>
      <c r="I19" s="71"/>
    </row>
    <row r="20" spans="1:9" x14ac:dyDescent="0.3">
      <c r="A20" s="19" t="s">
        <v>47</v>
      </c>
      <c r="B20" s="20"/>
      <c r="C20" s="15"/>
      <c r="D20" s="20"/>
      <c r="E20" s="14">
        <f>130940+80868+24771</f>
        <v>236579</v>
      </c>
      <c r="F20" s="21">
        <v>0</v>
      </c>
    </row>
    <row r="21" spans="1:9" x14ac:dyDescent="0.3">
      <c r="A21" s="19"/>
      <c r="B21" s="20"/>
      <c r="C21" s="14"/>
      <c r="D21" s="20"/>
      <c r="E21" s="63"/>
      <c r="F21" s="21"/>
    </row>
    <row r="22" spans="1:9" x14ac:dyDescent="0.3">
      <c r="A22" s="19"/>
      <c r="B22" s="14"/>
      <c r="C22" s="14"/>
      <c r="D22" s="18"/>
      <c r="E22" s="64"/>
      <c r="F22" s="18"/>
    </row>
    <row r="23" spans="1:9" s="65" customFormat="1" x14ac:dyDescent="0.3">
      <c r="A23" s="67" t="s">
        <v>50</v>
      </c>
      <c r="B23" s="191">
        <f>SUM(B8:B22)</f>
        <v>29800000</v>
      </c>
      <c r="C23" s="68">
        <f>SUM(C8:C22)</f>
        <v>2548722</v>
      </c>
      <c r="D23" s="69">
        <f>B23/C23</f>
        <v>11.692134332422288</v>
      </c>
      <c r="E23" s="15">
        <f>SUM(E8:E21)</f>
        <v>3069109</v>
      </c>
      <c r="F23" s="190">
        <f>SUM(F7:F22)</f>
        <v>35797560.517183661</v>
      </c>
    </row>
    <row r="24" spans="1:9" x14ac:dyDescent="0.3">
      <c r="E24" s="80"/>
      <c r="F24" s="192">
        <f>+F23/E23</f>
        <v>11.663828334928366</v>
      </c>
    </row>
    <row r="25" spans="1:9" ht="14.5" x14ac:dyDescent="0.35">
      <c r="A25" s="26" t="s">
        <v>48</v>
      </c>
      <c r="E25" s="70"/>
      <c r="F25" s="66" t="s">
        <v>49</v>
      </c>
    </row>
    <row r="26" spans="1:9" x14ac:dyDescent="0.3">
      <c r="E26" s="72"/>
    </row>
  </sheetData>
  <mergeCells count="4">
    <mergeCell ref="A4:F4"/>
    <mergeCell ref="B6:D6"/>
    <mergeCell ref="E6:F6"/>
    <mergeCell ref="B5:F5"/>
  </mergeCells>
  <pageMargins left="0.25" right="0.25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8" sqref="H8"/>
    </sheetView>
  </sheetViews>
  <sheetFormatPr defaultRowHeight="14.5" x14ac:dyDescent="0.35"/>
  <cols>
    <col min="1" max="1" width="5" bestFit="1" customWidth="1"/>
    <col min="2" max="2" width="60.81640625" bestFit="1" customWidth="1"/>
    <col min="4" max="4" width="7.26953125" bestFit="1" customWidth="1"/>
    <col min="5" max="5" width="7.453125" bestFit="1" customWidth="1"/>
  </cols>
  <sheetData>
    <row r="1" spans="1:5" x14ac:dyDescent="0.35">
      <c r="A1" s="108"/>
      <c r="B1" s="108"/>
      <c r="C1" s="123"/>
      <c r="D1" s="123"/>
      <c r="E1" s="124" t="s">
        <v>66</v>
      </c>
    </row>
    <row r="2" spans="1:5" x14ac:dyDescent="0.35">
      <c r="A2" s="109"/>
      <c r="B2" s="109" t="s">
        <v>57</v>
      </c>
      <c r="C2" s="110"/>
      <c r="D2" s="110"/>
      <c r="E2" s="110"/>
    </row>
    <row r="3" spans="1:5" x14ac:dyDescent="0.35">
      <c r="A3" s="109"/>
      <c r="B3" s="109" t="s">
        <v>58</v>
      </c>
      <c r="C3" s="110"/>
      <c r="D3" s="110"/>
      <c r="E3" s="110"/>
    </row>
    <row r="4" spans="1:5" x14ac:dyDescent="0.35">
      <c r="A4" s="109"/>
      <c r="B4" s="109"/>
      <c r="C4" s="110"/>
      <c r="D4" s="110"/>
      <c r="E4" s="110"/>
    </row>
    <row r="5" spans="1:5" x14ac:dyDescent="0.35">
      <c r="A5" s="109"/>
      <c r="B5" s="109"/>
      <c r="C5" s="110"/>
      <c r="D5" s="110"/>
      <c r="E5" s="110"/>
    </row>
    <row r="6" spans="1:5" x14ac:dyDescent="0.35">
      <c r="A6" s="109"/>
      <c r="B6" s="109" t="s">
        <v>59</v>
      </c>
      <c r="C6" s="109"/>
      <c r="D6" s="109"/>
      <c r="E6" s="109"/>
    </row>
    <row r="7" spans="1:5" x14ac:dyDescent="0.35">
      <c r="A7" s="110"/>
      <c r="B7" s="110"/>
      <c r="C7" s="110"/>
      <c r="D7" s="110"/>
      <c r="E7" s="110"/>
    </row>
    <row r="8" spans="1:5" x14ac:dyDescent="0.35">
      <c r="A8" s="110"/>
      <c r="B8" s="110"/>
      <c r="C8" s="110"/>
      <c r="D8" s="110"/>
      <c r="E8" s="108"/>
    </row>
    <row r="9" spans="1:5" x14ac:dyDescent="0.35">
      <c r="A9" s="111" t="s">
        <v>60</v>
      </c>
      <c r="B9" s="111"/>
      <c r="C9" s="111"/>
      <c r="D9" s="108"/>
      <c r="E9" s="108"/>
    </row>
    <row r="10" spans="1:5" x14ac:dyDescent="0.35">
      <c r="A10" s="112" t="s">
        <v>61</v>
      </c>
      <c r="B10" s="112" t="s">
        <v>62</v>
      </c>
      <c r="C10" s="112"/>
      <c r="D10" s="113"/>
      <c r="E10" s="113"/>
    </row>
    <row r="11" spans="1:5" x14ac:dyDescent="0.35">
      <c r="A11" s="108"/>
      <c r="B11" s="108"/>
      <c r="C11" s="108"/>
      <c r="D11" s="108"/>
      <c r="E11" s="108"/>
    </row>
    <row r="12" spans="1:5" x14ac:dyDescent="0.35">
      <c r="A12" s="114">
        <v>1</v>
      </c>
      <c r="B12" s="115" t="s">
        <v>63</v>
      </c>
      <c r="C12" s="116"/>
      <c r="D12" s="116"/>
      <c r="E12" s="117">
        <v>8.4790000000000004E-3</v>
      </c>
    </row>
    <row r="13" spans="1:5" x14ac:dyDescent="0.35">
      <c r="A13" s="114">
        <f t="shared" ref="A13:A20" si="0">A12+1</f>
        <v>2</v>
      </c>
      <c r="B13" s="115" t="s">
        <v>64</v>
      </c>
      <c r="C13" s="116"/>
      <c r="D13" s="116"/>
      <c r="E13" s="117">
        <v>2E-3</v>
      </c>
    </row>
    <row r="14" spans="1:5" x14ac:dyDescent="0.35">
      <c r="A14" s="114">
        <f t="shared" si="0"/>
        <v>3</v>
      </c>
      <c r="B14" s="115" t="str">
        <f>"STATE UTILITY TAX ( "&amp;E14*100&amp;"% - ( LINE 1 * "&amp;E14*100&amp;"% )  )"</f>
        <v>STATE UTILITY TAX ( 3.8406% - ( LINE 1 * 3.8406% )  )</v>
      </c>
      <c r="C14" s="108"/>
      <c r="D14" s="118">
        <v>3.8733999999999998E-2</v>
      </c>
      <c r="E14" s="119">
        <f>ROUND(D14-(D14*E12),6)</f>
        <v>3.8406000000000003E-2</v>
      </c>
    </row>
    <row r="15" spans="1:5" x14ac:dyDescent="0.35">
      <c r="A15" s="114">
        <f t="shared" si="0"/>
        <v>4</v>
      </c>
      <c r="B15" s="115"/>
      <c r="C15" s="116"/>
      <c r="D15" s="116"/>
      <c r="E15" s="120"/>
    </row>
    <row r="16" spans="1:5" x14ac:dyDescent="0.35">
      <c r="A16" s="114">
        <f t="shared" si="0"/>
        <v>5</v>
      </c>
      <c r="B16" s="115" t="s">
        <v>65</v>
      </c>
      <c r="C16" s="116"/>
      <c r="D16" s="116"/>
      <c r="E16" s="117">
        <f>ROUND(SUM(E12:E14),6)</f>
        <v>4.8884999999999998E-2</v>
      </c>
    </row>
    <row r="17" spans="1:6" x14ac:dyDescent="0.35">
      <c r="A17" s="114">
        <f t="shared" si="0"/>
        <v>6</v>
      </c>
      <c r="B17" s="116"/>
      <c r="C17" s="116"/>
      <c r="D17" s="116"/>
      <c r="E17" s="117"/>
    </row>
    <row r="18" spans="1:6" x14ac:dyDescent="0.35">
      <c r="A18" s="114">
        <f t="shared" si="0"/>
        <v>7</v>
      </c>
      <c r="B18" s="116" t="str">
        <f>"CONVERSION FACTOR EXCLUDING FEDERAL INCOME TAX ( 1 - LINE "&amp;$I$17&amp;" )"</f>
        <v>CONVERSION FACTOR EXCLUDING FEDERAL INCOME TAX ( 1 - LINE  )</v>
      </c>
      <c r="C18" s="116"/>
      <c r="D18" s="116"/>
      <c r="E18" s="117">
        <f>ROUND(1-E16,6)</f>
        <v>0.95111500000000004</v>
      </c>
      <c r="F18">
        <f>ROUND(1/E18,6)</f>
        <v>1.0513980000000001</v>
      </c>
    </row>
    <row r="19" spans="1:6" x14ac:dyDescent="0.35">
      <c r="A19" s="114">
        <f t="shared" si="0"/>
        <v>8</v>
      </c>
      <c r="B19" s="115" t="e">
        <f>"FEDERAL INCOME TAX ( LINE "&amp;A18&amp;"  * "&amp;FIT_E*100&amp;"% )"</f>
        <v>#NAME?</v>
      </c>
      <c r="C19" s="116"/>
      <c r="D19" s="121">
        <v>0.21</v>
      </c>
      <c r="E19" s="117">
        <f>ROUND((E18)*D19,6)</f>
        <v>0.19973399999999999</v>
      </c>
    </row>
    <row r="20" spans="1:6" ht="15" thickBot="1" x14ac:dyDescent="0.4">
      <c r="A20" s="114">
        <f t="shared" si="0"/>
        <v>9</v>
      </c>
      <c r="B20" s="115" t="str">
        <f>"CONVERSION FACTOR INCL FEDERAL INCOME TAX ( LINE "&amp;A18&amp;" - LINE "&amp;A19&amp;" ) "</f>
        <v xml:space="preserve">CONVERSION FACTOR INCL FEDERAL INCOME TAX ( LINE 7 - LINE 8 ) </v>
      </c>
      <c r="C20" s="116"/>
      <c r="D20" s="116"/>
      <c r="E20" s="122">
        <f>ROUND(1-E19-E16,6)</f>
        <v>0.75138099999999997</v>
      </c>
    </row>
    <row r="21" spans="1:6" ht="15" thickTop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210411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1D763B60F2F94691671F177B693F20" ma:contentTypeVersion="36" ma:contentTypeDescription="" ma:contentTypeScope="" ma:versionID="d77041857d2e9e015efb97217a670a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FFD630-6348-4815-82BB-FC4E692B8D2A}"/>
</file>

<file path=customXml/itemProps2.xml><?xml version="1.0" encoding="utf-8"?>
<ds:datastoreItem xmlns:ds="http://schemas.openxmlformats.org/officeDocument/2006/customXml" ds:itemID="{A3952347-C971-4FC1-8E45-FB0E16866E1B}">
  <ds:schemaRefs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135489-09D4-4304-BF5A-741B8284F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(2)(a)(ii)Annual2021estimate</vt:lpstr>
      <vt:lpstr>(2)(a)(iii)(A) and (B)</vt:lpstr>
      <vt:lpstr>electric conv fctr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Free, Susan</cp:lastModifiedBy>
  <cp:lastPrinted>2021-05-26T00:10:20Z</cp:lastPrinted>
  <dcterms:created xsi:type="dcterms:W3CDTF">2016-07-07T17:22:29Z</dcterms:created>
  <dcterms:modified xsi:type="dcterms:W3CDTF">2021-05-26T00:33:32Z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0x0101006E56B4D1795A2E4DB2F0B01679ED314A00441D763B60F2F94691671F177B693F20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