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ustomProperty4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105" windowWidth="14520" windowHeight="6795" tabRatio="829"/>
  </bookViews>
  <sheets>
    <sheet name="Lead E" sheetId="19" r:id="rId1"/>
    <sheet name="Lead G" sheetId="20" r:id="rId2"/>
    <sheet name="Avg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</definedNames>
  <calcPr calcId="162913" concurrentManualCount="12"/>
</workbook>
</file>

<file path=xl/calcChain.xml><?xml version="1.0" encoding="utf-8"?>
<calcChain xmlns="http://schemas.openxmlformats.org/spreadsheetml/2006/main">
  <c r="B15" i="26" l="1"/>
  <c r="B10" i="26"/>
  <c r="B6" i="26"/>
  <c r="B9" i="38" l="1"/>
  <c r="B6" i="38"/>
  <c r="B13" i="26"/>
  <c r="B24" i="44" l="1"/>
  <c r="D6" i="44"/>
  <c r="C6" i="44"/>
  <c r="B26" i="44" l="1"/>
  <c r="B22" i="44"/>
  <c r="B20" i="44"/>
  <c r="B19" i="44"/>
  <c r="B18" i="44"/>
  <c r="B16" i="44"/>
  <c r="B9" i="44"/>
  <c r="B8" i="44"/>
  <c r="B11" i="44"/>
  <c r="B17" i="38" l="1"/>
  <c r="H13" i="38"/>
  <c r="B12" i="38"/>
  <c r="B8" i="38"/>
  <c r="B7" i="38"/>
  <c r="H18" i="38"/>
  <c r="H9" i="38"/>
  <c r="B20" i="38" l="1"/>
  <c r="C11" i="44"/>
  <c r="B13" i="44" l="1"/>
  <c r="B14" i="44" s="1"/>
  <c r="C22" i="44" l="1"/>
  <c r="D8" i="44"/>
  <c r="D22" i="44"/>
  <c r="C8" i="44"/>
  <c r="G13" i="38" l="1"/>
  <c r="G9" i="38"/>
  <c r="B18" i="38"/>
  <c r="G18" i="38"/>
  <c r="C18" i="38"/>
  <c r="D18" i="38"/>
  <c r="E18" i="38"/>
  <c r="F18" i="38"/>
  <c r="A24" i="20" l="1"/>
  <c r="A25" i="20"/>
  <c r="A26" i="20"/>
  <c r="A27" i="20"/>
  <c r="A28" i="20"/>
  <c r="A33" i="19" l="1"/>
  <c r="A34" i="19"/>
  <c r="A35" i="19"/>
  <c r="A36" i="19"/>
  <c r="C19" i="44" l="1"/>
  <c r="D18" i="44"/>
  <c r="F13" i="38"/>
  <c r="F9" i="38"/>
  <c r="C18" i="44" l="1"/>
  <c r="A14" i="19" l="1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13" i="19"/>
  <c r="A14" i="20"/>
  <c r="A15" i="20"/>
  <c r="A16" i="20"/>
  <c r="A17" i="20"/>
  <c r="A18" i="20"/>
  <c r="A19" i="20"/>
  <c r="A20" i="20"/>
  <c r="A21" i="20"/>
  <c r="A22" i="20"/>
  <c r="A23" i="20"/>
  <c r="A13" i="20"/>
  <c r="D21" i="23" l="1"/>
  <c r="D19" i="23"/>
  <c r="D20" i="44"/>
  <c r="E13" i="38" l="1"/>
  <c r="C13" i="38"/>
  <c r="D13" i="38"/>
  <c r="E9" i="38"/>
  <c r="C9" i="44" l="1"/>
  <c r="C16" i="44"/>
  <c r="C24" i="44" s="1"/>
  <c r="D9" i="44"/>
  <c r="D16" i="44"/>
  <c r="D24" i="44" s="1"/>
  <c r="B13" i="38"/>
  <c r="D9" i="38"/>
  <c r="D13" i="44" l="1"/>
  <c r="C13" i="44"/>
  <c r="D26" i="19" s="1"/>
  <c r="D6" i="23"/>
  <c r="D4" i="23" l="1"/>
  <c r="C9" i="38"/>
  <c r="D9" i="23" l="1"/>
  <c r="D11" i="23" s="1"/>
  <c r="D13" i="23" s="1"/>
  <c r="D23" i="23"/>
  <c r="D25" i="23" s="1"/>
  <c r="D23" i="19" l="1"/>
  <c r="D25" i="19" s="1"/>
  <c r="D27" i="19" s="1"/>
  <c r="D18" i="20"/>
  <c r="D19" i="19"/>
  <c r="A8" i="20" l="1"/>
  <c r="A7" i="20"/>
  <c r="D16" i="19" l="1"/>
  <c r="D15" i="20"/>
  <c r="D17" i="20" s="1"/>
  <c r="D19" i="20" s="1"/>
  <c r="D18" i="19" l="1"/>
  <c r="D20" i="19" s="1"/>
  <c r="E20" i="19" s="1"/>
  <c r="E19" i="20"/>
  <c r="E21" i="20" s="1"/>
  <c r="E23" i="20" s="1"/>
  <c r="E24" i="20" s="1"/>
  <c r="E27" i="19"/>
  <c r="E29" i="19" l="1"/>
  <c r="E31" i="19" s="1"/>
  <c r="E32" i="19" s="1"/>
</calcChain>
</file>

<file path=xl/sharedStrings.xml><?xml version="1.0" encoding="utf-8"?>
<sst xmlns="http://schemas.openxmlformats.org/spreadsheetml/2006/main" count="111" uniqueCount="82">
  <si>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</si>
  <si>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</si>
  <si>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</si>
  <si>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</si>
  <si>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</si>
  <si>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</si>
  <si>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</si>
  <si>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</si>
  <si>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</si>
  <si>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</si>
  <si>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</si>
  <si>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</si>
  <si>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</si>
  <si>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</si>
  <si>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</si>
  <si>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</si>
  <si>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</si>
  <si>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</si>
  <si>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</si>
  <si>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PUGET SOUND ENERGY-GAS</t>
  </si>
  <si>
    <t>Act. Costs</t>
  </si>
  <si>
    <t xml:space="preserve">Elec </t>
  </si>
  <si>
    <t>Orders</t>
  </si>
  <si>
    <t>Split between Electric and Gas (50-50 split)</t>
  </si>
  <si>
    <t xml:space="preserve">Average PCORC cost </t>
  </si>
  <si>
    <t>Rate Case Costs</t>
  </si>
  <si>
    <t>2014 PCORC</t>
  </si>
  <si>
    <t>order 92800108 direct charges</t>
  </si>
  <si>
    <t>Total PCORC direct charges</t>
  </si>
  <si>
    <t>2014 PCORC cost</t>
  </si>
  <si>
    <t>COMMISSION BASIS REPORT</t>
  </si>
  <si>
    <t>GRC Costs</t>
  </si>
  <si>
    <t>Total GRC direct charges</t>
  </si>
  <si>
    <t>2019 GRC</t>
  </si>
  <si>
    <t>order 92800613 GRC (Common)</t>
  </si>
  <si>
    <t>2019 GRC cost</t>
  </si>
  <si>
    <t>2020 PCORC</t>
  </si>
  <si>
    <t>order 92800621 direct charges</t>
  </si>
  <si>
    <t>order 92800117  2021 General Rate Case - Common</t>
  </si>
  <si>
    <t>order 92800119  2021 General Rate Case - Gas</t>
  </si>
  <si>
    <t>Total 2021 GRC Cost</t>
  </si>
  <si>
    <t>order  92800118  2021 General Rate Case - Elec</t>
  </si>
  <si>
    <t>2020 PCORC cost</t>
  </si>
  <si>
    <t>92800621 - 2020 PCORC (Common)</t>
  </si>
  <si>
    <t>92800108 - 2014 PCORC (Electric)</t>
  </si>
  <si>
    <t>92800613 GRC (Common)</t>
  </si>
  <si>
    <t>Split between Electric and Gas - Rounded</t>
  </si>
  <si>
    <t>Average PCORC cost - Rounded</t>
  </si>
  <si>
    <r>
      <t xml:space="preserve">EXPENSES OF LAST 2 COMPLETED GRCS </t>
    </r>
    <r>
      <rPr>
        <u/>
        <vertAlign val="superscript"/>
        <sz val="14"/>
        <rFont val="Times New Roman"/>
        <family val="1"/>
      </rPr>
      <t>1</t>
    </r>
  </si>
  <si>
    <r>
      <t xml:space="preserve">EXPENSES OF LAST 2 COMPLETED PCORCS  </t>
    </r>
    <r>
      <rPr>
        <u/>
        <vertAlign val="superscript"/>
        <sz val="14"/>
        <rFont val="Times New Roman"/>
        <family val="1"/>
      </rPr>
      <t>1</t>
    </r>
  </si>
  <si>
    <t xml:space="preserve">     before authorized rates are in effect should be excluded from the averaging.</t>
  </si>
  <si>
    <t xml:space="preserve">1. "Completed GRCs" are defined as those authorized by the Commission. Any rate case expense incurred </t>
  </si>
  <si>
    <t>ANNUAL NORMALIZATION (LINE 15/Line 16)</t>
  </si>
  <si>
    <t>ANNUAL NORMALIZATION (LINE 16 / Line 17)</t>
  </si>
  <si>
    <t>ANNUAL NORMALIZATION (LINE 23 / Line 24)</t>
  </si>
  <si>
    <t xml:space="preserve">1. "Completed GRCs" or "completed PCORCs" are defined as those authorized by the Commission. Any </t>
  </si>
  <si>
    <t xml:space="preserve">     rate case expense incurred  before authorized rates are in effect should be excluded from the averaging.</t>
  </si>
  <si>
    <t xml:space="preserve">      2021 + 2019 GRC EXPENSES TO BE NORMALIZED</t>
  </si>
  <si>
    <t xml:space="preserve">      NORMALIZATION PERIOD IN 21GRC</t>
  </si>
  <si>
    <r>
      <t xml:space="preserve">CCA Power Cost </t>
    </r>
    <r>
      <rPr>
        <b/>
        <i/>
        <sz val="10"/>
        <color rgb="FF00B0F0"/>
        <rFont val="Arial"/>
        <family val="2"/>
      </rPr>
      <t>(not included for rate case expense average)</t>
    </r>
  </si>
  <si>
    <t>order 92800002 direct charges</t>
  </si>
  <si>
    <t>2021 GRC</t>
  </si>
  <si>
    <t>order 92800118  2021 General Rate Case - Elec</t>
  </si>
  <si>
    <t>2024 GRC</t>
  </si>
  <si>
    <t xml:space="preserve">order 92800614 GRC </t>
  </si>
  <si>
    <t>Total 2019 GRC Cost</t>
  </si>
  <si>
    <t xml:space="preserve">2024 GRC rate case expense are reflected in test year costs,  but excluded from rate case expense averaging </t>
  </si>
  <si>
    <t>Total 2024 GRC Cost</t>
  </si>
  <si>
    <t>PCORC</t>
  </si>
  <si>
    <t>order 92800614 GRC - 2024 General Rate Case - Common</t>
  </si>
  <si>
    <t>92800002 - CCA Power Cost - Elec</t>
  </si>
  <si>
    <t>PCORC Costs</t>
  </si>
  <si>
    <t>ck</t>
  </si>
  <si>
    <t>CCA Power Cost</t>
  </si>
  <si>
    <t>2021 GRC cost</t>
  </si>
  <si>
    <t xml:space="preserve">     2020 AND 2014 PCORC EXPENSES TO BE NORMALIZED</t>
  </si>
  <si>
    <t>FOR THE TWELVE MONTHS ENDED DECEMBER 31, 2024</t>
  </si>
  <si>
    <t>SUMMARY PCORC:  Cumulative Expenditures through 12/31/2024</t>
  </si>
  <si>
    <t>SUMMARY GRC:  Cumulative Expenditures through 12/31/2024</t>
  </si>
  <si>
    <t>12ME Dec 31, 2024</t>
  </si>
  <si>
    <t>(Last 2 GRCs  approved in the year 2024 period)</t>
  </si>
  <si>
    <t>(Last 2 PCORCs approved in the year 2024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</si>
</sst>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#,##0_-;#,##0\-;&quot; &quot;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vertAlign val="superscript"/>
      <sz val="14"/>
      <name val="Times New Roman"/>
      <family val="1"/>
    </font>
    <font>
      <sz val="10"/>
      <color theme="1"/>
      <name val="Times New Roman"/>
      <family val="1"/>
    </font>
    <font>
      <b/>
      <i/>
      <sz val="10"/>
      <color rgb="FF00B0F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41" fontId="3" fillId="0" borderId="4" xfId="0" applyNumberFormat="1" applyFont="1" applyFill="1" applyBorder="1" applyProtection="1">
      <protection locked="0"/>
    </xf>
    <xf numFmtId="0" fontId="11" fillId="0" borderId="0" xfId="0" applyNumberFormat="1" applyFont="1" applyFill="1" applyAlignment="1">
      <alignment horizontal="left"/>
    </xf>
    <xf numFmtId="0" fontId="0" fillId="0" borderId="4" xfId="0" applyFill="1" applyBorder="1"/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43" fontId="1" fillId="0" borderId="0" xfId="0" applyNumberFormat="1" applyFont="1" applyFill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165" fontId="5" fillId="0" borderId="5" xfId="0" applyNumberFormat="1" applyFont="1" applyFill="1" applyBorder="1"/>
    <xf numFmtId="165" fontId="5" fillId="0" borderId="0" xfId="0" applyNumberFormat="1" applyFont="1" applyFill="1" applyBorder="1"/>
    <xf numFmtId="41" fontId="0" fillId="0" borderId="0" xfId="0" applyNumberFormat="1" applyFill="1"/>
    <xf numFmtId="165" fontId="5" fillId="0" borderId="3" xfId="0" applyNumberFormat="1" applyFont="1" applyFill="1" applyBorder="1"/>
    <xf numFmtId="165" fontId="0" fillId="0" borderId="0" xfId="0" applyNumberFormat="1" applyFill="1" applyBorder="1"/>
    <xf numFmtId="166" fontId="13" fillId="0" borderId="0" xfId="0" applyNumberFormat="1" applyFont="1" applyFill="1" applyAlignment="1">
      <alignment horizontal="right" indent="2"/>
    </xf>
    <xf numFmtId="43" fontId="13" fillId="0" borderId="0" xfId="0" applyNumberFormat="1" applyFont="1" applyFill="1"/>
    <xf numFmtId="43" fontId="12" fillId="0" borderId="0" xfId="0" applyNumberFormat="1" applyFont="1" applyFill="1"/>
    <xf numFmtId="165" fontId="5" fillId="0" borderId="3" xfId="0" applyNumberFormat="1" applyFont="1" applyFill="1" applyBorder="1"/>
    <xf numFmtId="0" fontId="14" fillId="0" borderId="0" xfId="0" applyFont="1" applyFill="1"/>
    <xf numFmtId="43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168" fontId="1" fillId="0" borderId="0" xfId="0" applyNumberFormat="1" applyFont="1" applyFill="1"/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0" fontId="5" fillId="0" borderId="12" xfId="0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5" fillId="0" borderId="2" xfId="0" applyNumberFormat="1" applyFont="1" applyFill="1" applyBorder="1"/>
    <xf numFmtId="167" fontId="18" fillId="0" borderId="12" xfId="0" applyNumberFormat="1" applyFont="1" applyFill="1" applyBorder="1" applyAlignment="1">
      <alignment horizontal="center"/>
    </xf>
    <xf numFmtId="167" fontId="18" fillId="0" borderId="2" xfId="0" applyNumberFormat="1" applyFont="1" applyFill="1" applyBorder="1" applyAlignment="1">
      <alignment horizontal="center"/>
    </xf>
    <xf numFmtId="166" fontId="20" fillId="0" borderId="0" xfId="0" applyNumberFormat="1" applyFont="1" applyFill="1" applyAlignment="1">
      <alignment horizontal="left"/>
    </xf>
    <xf numFmtId="166" fontId="19" fillId="0" borderId="0" xfId="0" applyNumberFormat="1" applyFont="1" applyFill="1" applyAlignment="1">
      <alignment horizontal="left" indent="2"/>
    </xf>
    <xf numFmtId="165" fontId="19" fillId="0" borderId="0" xfId="0" applyNumberFormat="1" applyFont="1" applyFill="1" applyBorder="1"/>
    <xf numFmtId="0" fontId="19" fillId="0" borderId="0" xfId="0" applyFont="1" applyFill="1" applyBorder="1"/>
    <xf numFmtId="165" fontId="1" fillId="0" borderId="0" xfId="1" applyNumberFormat="1" applyFont="1" applyFill="1" applyBorder="1"/>
    <xf numFmtId="166" fontId="23" fillId="0" borderId="0" xfId="0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18" fillId="0" borderId="0" xfId="0" applyFont="1" applyFill="1" applyBorder="1" applyAlignment="1">
      <alignment horizontal="center"/>
    </xf>
    <xf numFmtId="165" fontId="0" fillId="0" borderId="5" xfId="0" applyNumberFormat="1" applyFill="1" applyBorder="1"/>
    <xf numFmtId="166" fontId="22" fillId="0" borderId="8" xfId="0" applyNumberFormat="1" applyFont="1" applyFill="1" applyBorder="1"/>
    <xf numFmtId="166" fontId="19" fillId="0" borderId="8" xfId="0" applyNumberFormat="1" applyFont="1" applyFill="1" applyBorder="1" applyAlignment="1">
      <alignment horizontal="left" indent="2"/>
    </xf>
    <xf numFmtId="166" fontId="20" fillId="0" borderId="9" xfId="0" applyNumberFormat="1" applyFont="1" applyFill="1" applyBorder="1" applyAlignment="1">
      <alignment horizontal="left" indent="2"/>
    </xf>
    <xf numFmtId="166" fontId="17" fillId="0" borderId="10" xfId="0" applyNumberFormat="1" applyFont="1" applyFill="1" applyBorder="1" applyAlignment="1">
      <alignment horizontal="left" indent="2"/>
    </xf>
    <xf numFmtId="0" fontId="19" fillId="0" borderId="4" xfId="0" applyFont="1" applyFill="1" applyBorder="1"/>
    <xf numFmtId="166" fontId="23" fillId="0" borderId="6" xfId="0" applyNumberFormat="1" applyFont="1" applyFill="1" applyBorder="1"/>
    <xf numFmtId="0" fontId="20" fillId="0" borderId="1" xfId="0" applyFont="1" applyFill="1" applyBorder="1"/>
    <xf numFmtId="165" fontId="1" fillId="0" borderId="0" xfId="0" applyNumberFormat="1" applyFont="1" applyFill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66" fontId="23" fillId="0" borderId="7" xfId="0" applyNumberFormat="1" applyFont="1" applyFill="1" applyBorder="1"/>
    <xf numFmtId="166" fontId="19" fillId="0" borderId="0" xfId="0" applyNumberFormat="1" applyFont="1" applyFill="1" applyBorder="1" applyAlignment="1">
      <alignment horizontal="left" indent="2"/>
    </xf>
    <xf numFmtId="0" fontId="25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166" fontId="16" fillId="0" borderId="0" xfId="0" applyNumberFormat="1" applyFont="1" applyFill="1"/>
    <xf numFmtId="165" fontId="0" fillId="0" borderId="0" xfId="0" applyNumberFormat="1" applyFont="1" applyFill="1"/>
    <xf numFmtId="165" fontId="0" fillId="0" borderId="0" xfId="0" applyNumberFormat="1" applyFont="1" applyFill="1" applyBorder="1"/>
    <xf numFmtId="165" fontId="1" fillId="0" borderId="4" xfId="0" applyNumberFormat="1" applyFont="1" applyFill="1" applyBorder="1"/>
    <xf numFmtId="165" fontId="0" fillId="0" borderId="4" xfId="0" applyNumberFormat="1" applyFont="1" applyFill="1" applyBorder="1"/>
    <xf numFmtId="165" fontId="5" fillId="0" borderId="13" xfId="0" applyNumberFormat="1" applyFont="1" applyFill="1" applyBorder="1"/>
    <xf numFmtId="43" fontId="5" fillId="0" borderId="4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19" fillId="0" borderId="4" xfId="0" applyNumberFormat="1" applyFont="1" applyFill="1" applyBorder="1"/>
    <xf numFmtId="165" fontId="20" fillId="0" borderId="4" xfId="0" applyNumberFormat="1" applyFont="1" applyFill="1" applyBorder="1"/>
    <xf numFmtId="165" fontId="9" fillId="0" borderId="4" xfId="0" applyNumberFormat="1" applyFont="1" applyFill="1" applyBorder="1"/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165" fontId="1" fillId="0" borderId="5" xfId="0" applyNumberFormat="1" applyFont="1" applyFill="1" applyBorder="1"/>
    <xf numFmtId="41" fontId="0" fillId="0" borderId="0" xfId="0" applyNumberFormat="1" applyFont="1" applyFill="1"/>
    <xf numFmtId="0" fontId="27" fillId="0" borderId="0" xfId="0" applyFont="1" applyFill="1"/>
    <xf numFmtId="0" fontId="1" fillId="0" borderId="1" xfId="0" applyFont="1" applyFill="1" applyBorder="1"/>
    <xf numFmtId="165" fontId="0" fillId="0" borderId="4" xfId="1" applyNumberFormat="1" applyFont="1" applyFill="1" applyBorder="1"/>
    <xf numFmtId="165" fontId="9" fillId="0" borderId="1" xfId="0" applyNumberFormat="1" applyFont="1" applyFill="1" applyBorder="1"/>
    <xf numFmtId="0" fontId="13" fillId="0" borderId="0" xfId="0" applyFont="1" applyFill="1"/>
    <xf numFmtId="43" fontId="0" fillId="0" borderId="4" xfId="0" applyNumberFormat="1" applyFill="1" applyBorder="1"/>
    <xf numFmtId="10" fontId="10" fillId="0" borderId="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FFC5B3"/>
      <color rgb="FF97FFFF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248949</xdr:colOff>
      <xdr:row>21</xdr:row>
      <xdr:rowOff>43294</xdr:rowOff>
    </xdr:from>
    <xdr:to>
      <xdr:col>3</xdr:col>
      <xdr:colOff>193752</xdr:colOff>
      <xdr:row>35</xdr:row>
      <xdr:rowOff>84568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949" y="3517754"/>
          <a:ext cx="5161905" cy="231428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21</xdr:row>
      <xdr:rowOff>75767</xdr:rowOff>
    </xdr:from>
    <xdr:to>
      <xdr:col>11</xdr:col>
      <xdr:colOff>505683</xdr:colOff>
      <xdr:row>35</xdr:row>
      <xdr:rowOff>54119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4773" y="3550227"/>
          <a:ext cx="5322302" cy="22513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35">
          <cell r="E35">
            <v>0.66269999999999996</v>
          </cell>
          <cell r="F35">
            <v>0.33729999999999999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0"/>
  <sheetViews>
    <sheetView tabSelected="1" zoomScale="115" zoomScaleNormal="115" workbookViewId="0">
      <selection activeCell="I17" sqref="I17"/>
    </sheetView>
  </sheetViews>
  <sheetFormatPr defaultRowHeight="12.75" x14ac:dyDescent="0.2"/>
  <cols>
    <col min="1" max="1" width="5.7109375" style="31" customWidth="1"/>
    <col min="2" max="2" width="80.5703125" style="31" customWidth="1"/>
    <col min="3" max="3" width="4.5703125" style="31" customWidth="1"/>
    <col min="4" max="4" width="13.140625" style="31" customWidth="1"/>
    <col min="5" max="5" width="13.28515625" style="31" customWidth="1"/>
    <col min="6" max="6" width="1.7109375" customWidth="1"/>
    <col min="7" max="7" width="10.42578125" customWidth="1"/>
    <col min="8" max="8" width="16.7109375" customWidth="1"/>
    <col min="9" max="9" width="4.28515625" customWidth="1"/>
    <col min="10" max="10" width="12.28515625" customWidth="1"/>
    <col min="11" max="11" width="11.28515625" customWidth="1"/>
    <col min="12" max="12" width="2.28515625" customWidth="1"/>
    <col min="13" max="13" width="12" customWidth="1"/>
    <col min="14" max="14" width="11.42578125" customWidth="1"/>
    <col min="15" max="15" width="1.7109375" customWidth="1"/>
    <col min="16" max="16" width="11.28515625" bestFit="1" customWidth="1"/>
    <col min="17" max="17" width="10.42578125" bestFit="1" customWidth="1"/>
  </cols>
  <sheetData>
    <row r="1" spans="1:7" x14ac:dyDescent="0.2">
      <c r="A1" s="40"/>
      <c r="E1" s="9"/>
    </row>
    <row r="2" spans="1:7" x14ac:dyDescent="0.2">
      <c r="E2" s="9"/>
    </row>
    <row r="3" spans="1:7" x14ac:dyDescent="0.2">
      <c r="A3" s="5"/>
      <c r="B3" s="11"/>
      <c r="F3" s="31"/>
      <c r="G3" s="31"/>
    </row>
    <row r="4" spans="1:7" x14ac:dyDescent="0.2">
      <c r="A4" s="12"/>
      <c r="B4" s="1"/>
      <c r="C4" s="1"/>
      <c r="D4" s="1"/>
      <c r="F4" s="31"/>
      <c r="G4" s="31"/>
    </row>
    <row r="5" spans="1:7" x14ac:dyDescent="0.2">
      <c r="A5" s="105" t="s">
        <v>8</v>
      </c>
      <c r="B5" s="106"/>
      <c r="C5" s="106"/>
      <c r="D5" s="106"/>
      <c r="E5" s="107"/>
      <c r="F5" s="31"/>
      <c r="G5" s="31"/>
    </row>
    <row r="6" spans="1:7" x14ac:dyDescent="0.2">
      <c r="A6" s="108" t="s">
        <v>0</v>
      </c>
      <c r="B6" s="106"/>
      <c r="C6" s="106"/>
      <c r="D6" s="106"/>
      <c r="E6" s="107"/>
      <c r="F6" s="31"/>
      <c r="G6" s="31"/>
    </row>
    <row r="7" spans="1:7" x14ac:dyDescent="0.2">
      <c r="A7" s="109" t="s">
        <v>76</v>
      </c>
      <c r="B7" s="106"/>
      <c r="C7" s="106"/>
      <c r="D7" s="106"/>
      <c r="E7" s="107"/>
      <c r="F7" s="31"/>
      <c r="G7" s="31"/>
    </row>
    <row r="8" spans="1:7" x14ac:dyDescent="0.2">
      <c r="A8" s="109" t="s">
        <v>30</v>
      </c>
      <c r="B8" s="106"/>
      <c r="C8" s="106"/>
      <c r="D8" s="106"/>
      <c r="E8" s="107"/>
      <c r="F8" s="31"/>
      <c r="G8" s="31"/>
    </row>
    <row r="9" spans="1:7" x14ac:dyDescent="0.2">
      <c r="A9" s="1"/>
      <c r="B9" s="1"/>
      <c r="C9" s="1"/>
      <c r="D9" s="1"/>
      <c r="F9" s="31"/>
      <c r="G9" s="31"/>
    </row>
    <row r="10" spans="1:7" x14ac:dyDescent="0.2">
      <c r="A10" s="8" t="s">
        <v>1</v>
      </c>
      <c r="B10" s="1"/>
      <c r="C10" s="1"/>
      <c r="D10" s="150"/>
      <c r="E10" s="150"/>
    </row>
    <row r="11" spans="1:7" x14ac:dyDescent="0.2">
      <c r="A11" s="2" t="s">
        <v>2</v>
      </c>
      <c r="B11" s="3" t="s">
        <v>3</v>
      </c>
      <c r="C11" s="13"/>
      <c r="D11" s="4"/>
      <c r="E11" s="2" t="s">
        <v>4</v>
      </c>
    </row>
    <row r="12" spans="1:7" x14ac:dyDescent="0.2">
      <c r="A12" s="5"/>
      <c r="B12" s="5"/>
      <c r="C12" s="5"/>
      <c r="D12" s="5"/>
    </row>
    <row r="13" spans="1:7" x14ac:dyDescent="0.2">
      <c r="A13" s="6">
        <f>ROW()</f>
        <v>13</v>
      </c>
      <c r="B13" s="21" t="s">
        <v>11</v>
      </c>
      <c r="C13" s="19"/>
      <c r="D13" s="16"/>
    </row>
    <row r="14" spans="1:7" x14ac:dyDescent="0.2">
      <c r="A14" s="6">
        <f>ROW()</f>
        <v>14</v>
      </c>
      <c r="B14" s="22"/>
      <c r="C14" s="19"/>
      <c r="D14" s="29"/>
      <c r="F14" s="31"/>
      <c r="G14" s="31"/>
    </row>
    <row r="15" spans="1:7" ht="22.5" x14ac:dyDescent="0.3">
      <c r="A15" s="6">
        <f>ROW()</f>
        <v>15</v>
      </c>
      <c r="B15" s="52" t="s">
        <v>48</v>
      </c>
      <c r="C15" s="19"/>
      <c r="F15" s="31"/>
      <c r="G15" s="31"/>
    </row>
    <row r="16" spans="1:7" x14ac:dyDescent="0.2">
      <c r="A16" s="6">
        <f>ROW()</f>
        <v>16</v>
      </c>
      <c r="B16" s="124" t="s">
        <v>57</v>
      </c>
      <c r="C16" s="19"/>
      <c r="D16" s="15">
        <f>'Avg cost of case'!D13</f>
        <v>2795000</v>
      </c>
      <c r="F16" s="31"/>
      <c r="G16" s="31"/>
    </row>
    <row r="17" spans="1:7" x14ac:dyDescent="0.2">
      <c r="A17" s="6">
        <f>ROW()</f>
        <v>17</v>
      </c>
      <c r="B17" s="22" t="s">
        <v>58</v>
      </c>
      <c r="C17" s="19"/>
      <c r="D17" s="29">
        <v>2</v>
      </c>
      <c r="F17" s="31"/>
      <c r="G17" s="31"/>
    </row>
    <row r="18" spans="1:7" x14ac:dyDescent="0.2">
      <c r="A18" s="6">
        <f>ROW()</f>
        <v>18</v>
      </c>
      <c r="B18" s="125" t="s">
        <v>53</v>
      </c>
      <c r="C18" s="23"/>
      <c r="D18" s="26">
        <f>+D16/D17</f>
        <v>1397500</v>
      </c>
      <c r="F18" s="31"/>
      <c r="G18" s="31"/>
    </row>
    <row r="19" spans="1:7" x14ac:dyDescent="0.2">
      <c r="A19" s="6">
        <f>ROW()</f>
        <v>19</v>
      </c>
      <c r="B19" s="126" t="s">
        <v>17</v>
      </c>
      <c r="C19" s="14"/>
      <c r="D19" s="51">
        <f>TY!C24</f>
        <v>2694132.5954639995</v>
      </c>
      <c r="F19" s="31"/>
      <c r="G19" s="31"/>
    </row>
    <row r="20" spans="1:7" x14ac:dyDescent="0.2">
      <c r="A20" s="6">
        <f>ROW()</f>
        <v>20</v>
      </c>
      <c r="B20" s="22" t="s">
        <v>5</v>
      </c>
      <c r="C20" s="24"/>
      <c r="D20" s="17">
        <f>+D18-D19</f>
        <v>-1296632.5954639995</v>
      </c>
      <c r="E20" s="20">
        <f>+D20</f>
        <v>-1296632.5954639995</v>
      </c>
      <c r="F20" s="31"/>
      <c r="G20" s="31"/>
    </row>
    <row r="21" spans="1:7" x14ac:dyDescent="0.2">
      <c r="A21" s="6">
        <f>ROW()</f>
        <v>21</v>
      </c>
      <c r="B21" s="22"/>
      <c r="C21" s="14"/>
      <c r="D21" s="27"/>
      <c r="F21" s="31"/>
      <c r="G21" s="31"/>
    </row>
    <row r="22" spans="1:7" ht="22.5" x14ac:dyDescent="0.3">
      <c r="A22" s="6">
        <f>ROW()</f>
        <v>22</v>
      </c>
      <c r="B22" s="52" t="s">
        <v>49</v>
      </c>
      <c r="C22" s="19"/>
      <c r="F22" s="31"/>
      <c r="G22" s="31"/>
    </row>
    <row r="23" spans="1:7" x14ac:dyDescent="0.2">
      <c r="A23" s="6">
        <f>ROW()</f>
        <v>23</v>
      </c>
      <c r="B23" s="22" t="s">
        <v>75</v>
      </c>
      <c r="C23" s="19"/>
      <c r="D23" s="15">
        <f>'Avg cost of case'!D25</f>
        <v>338000</v>
      </c>
      <c r="F23" s="31"/>
      <c r="G23" s="31"/>
    </row>
    <row r="24" spans="1:7" x14ac:dyDescent="0.2">
      <c r="A24" s="6">
        <f>ROW()</f>
        <v>24</v>
      </c>
      <c r="B24" s="22" t="s">
        <v>58</v>
      </c>
      <c r="C24" s="19"/>
      <c r="D24" s="29">
        <v>4</v>
      </c>
      <c r="F24" s="31"/>
      <c r="G24" s="31"/>
    </row>
    <row r="25" spans="1:7" x14ac:dyDescent="0.2">
      <c r="A25" s="6">
        <f>ROW()</f>
        <v>25</v>
      </c>
      <c r="B25" s="125" t="s">
        <v>54</v>
      </c>
      <c r="C25" s="23"/>
      <c r="D25" s="26">
        <f>+D23/D24</f>
        <v>84500</v>
      </c>
      <c r="F25" s="31"/>
      <c r="G25" s="31"/>
    </row>
    <row r="26" spans="1:7" x14ac:dyDescent="0.2">
      <c r="A26" s="6">
        <f>ROW()</f>
        <v>26</v>
      </c>
      <c r="B26" s="126" t="s">
        <v>18</v>
      </c>
      <c r="C26" s="14"/>
      <c r="D26" s="51">
        <f>TY!C13</f>
        <v>0</v>
      </c>
      <c r="F26" s="31"/>
      <c r="G26" s="31"/>
    </row>
    <row r="27" spans="1:7" x14ac:dyDescent="0.2">
      <c r="A27" s="6">
        <f>ROW()</f>
        <v>27</v>
      </c>
      <c r="B27" s="22" t="s">
        <v>5</v>
      </c>
      <c r="C27" s="24"/>
      <c r="D27" s="17">
        <f>+D25-D26</f>
        <v>84500</v>
      </c>
      <c r="E27" s="20">
        <f>+D27</f>
        <v>84500</v>
      </c>
      <c r="F27" s="31"/>
      <c r="G27" s="31"/>
    </row>
    <row r="28" spans="1:7" x14ac:dyDescent="0.2">
      <c r="A28" s="6">
        <f>ROW()</f>
        <v>28</v>
      </c>
      <c r="B28" s="22"/>
      <c r="C28" s="24"/>
      <c r="D28" s="20"/>
      <c r="E28" s="41"/>
      <c r="F28" s="31"/>
      <c r="G28" s="31"/>
    </row>
    <row r="29" spans="1:7" x14ac:dyDescent="0.2">
      <c r="A29" s="6">
        <f>ROW()</f>
        <v>29</v>
      </c>
      <c r="B29" s="22" t="s">
        <v>12</v>
      </c>
      <c r="C29" s="14"/>
      <c r="E29" s="15">
        <f>+E20+E27</f>
        <v>-1212132.5954639995</v>
      </c>
      <c r="F29" s="31"/>
      <c r="G29" s="31"/>
    </row>
    <row r="30" spans="1:7" x14ac:dyDescent="0.2">
      <c r="A30" s="6">
        <f>ROW()</f>
        <v>30</v>
      </c>
      <c r="B30" s="18"/>
      <c r="C30" s="14"/>
      <c r="E30" s="29"/>
      <c r="F30" s="31"/>
      <c r="G30" s="31"/>
    </row>
    <row r="31" spans="1:7" x14ac:dyDescent="0.2">
      <c r="A31" s="6">
        <f>ROW()</f>
        <v>31</v>
      </c>
      <c r="B31" s="18" t="s">
        <v>6</v>
      </c>
      <c r="C31" s="25">
        <v>0.21</v>
      </c>
      <c r="E31" s="30">
        <f>-E29*C31</f>
        <v>254547.84504743989</v>
      </c>
      <c r="F31" s="31"/>
      <c r="G31" s="31"/>
    </row>
    <row r="32" spans="1:7" ht="13.5" thickBot="1" x14ac:dyDescent="0.25">
      <c r="A32" s="6">
        <f>ROW()</f>
        <v>32</v>
      </c>
      <c r="B32" s="18" t="s">
        <v>7</v>
      </c>
      <c r="C32" s="14"/>
      <c r="E32" s="42">
        <f>-E29-E31</f>
        <v>957584.75041655963</v>
      </c>
      <c r="F32" s="31"/>
      <c r="G32" s="31"/>
    </row>
    <row r="33" spans="1:7" ht="13.5" thickTop="1" x14ac:dyDescent="0.2">
      <c r="A33" s="6">
        <f>ROW()</f>
        <v>33</v>
      </c>
      <c r="F33" s="31"/>
      <c r="G33" s="31"/>
    </row>
    <row r="34" spans="1:7" x14ac:dyDescent="0.2">
      <c r="A34" s="6">
        <f>ROW()</f>
        <v>34</v>
      </c>
      <c r="F34" s="31"/>
      <c r="G34" s="31"/>
    </row>
    <row r="35" spans="1:7" x14ac:dyDescent="0.2">
      <c r="A35" s="6">
        <f>ROW()</f>
        <v>35</v>
      </c>
      <c r="B35" s="143" t="s">
        <v>55</v>
      </c>
      <c r="F35" s="31"/>
      <c r="G35" s="31"/>
    </row>
    <row r="36" spans="1:7" x14ac:dyDescent="0.2">
      <c r="A36" s="6">
        <f>ROW()</f>
        <v>36</v>
      </c>
      <c r="B36" s="143" t="s">
        <v>56</v>
      </c>
      <c r="F36" s="31"/>
      <c r="G36" s="31"/>
    </row>
    <row r="37" spans="1:7" x14ac:dyDescent="0.2">
      <c r="B37" s="69"/>
      <c r="F37" s="31"/>
      <c r="G37" s="31"/>
    </row>
    <row r="40" spans="1:7" x14ac:dyDescent="0.2">
      <c r="D40" s="43"/>
    </row>
  </sheetData>
  <mergeCells count="1">
    <mergeCell ref="D10:E10"/>
  </mergeCells>
  <phoneticPr fontId="7" type="noConversion"/>
  <pageMargins left="0.75" right="0.75" top="1" bottom="1" header="0.5" footer="0.5"/>
  <pageSetup scale="77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3"/>
  <sheetViews>
    <sheetView zoomScale="90" zoomScaleNormal="90" workbookViewId="0">
      <selection activeCell="E43" sqref="E43"/>
    </sheetView>
  </sheetViews>
  <sheetFormatPr defaultRowHeight="12.75" x14ac:dyDescent="0.2"/>
  <cols>
    <col min="1" max="1" width="5.42578125" bestFit="1" customWidth="1"/>
    <col min="2" max="2" width="67.42578125" bestFit="1" customWidth="1"/>
    <col min="3" max="3" width="5.140625" bestFit="1" customWidth="1"/>
    <col min="4" max="4" width="12" bestFit="1" customWidth="1"/>
    <col min="5" max="5" width="12.140625" customWidth="1"/>
    <col min="6" max="6" width="1.28515625" customWidth="1"/>
    <col min="7" max="7" width="11.28515625" customWidth="1"/>
    <col min="8" max="8" width="10.42578125" customWidth="1"/>
    <col min="9" max="9" width="1.28515625" customWidth="1"/>
    <col min="10" max="10" width="11.28515625" customWidth="1"/>
    <col min="11" max="11" width="10.42578125" customWidth="1"/>
    <col min="12" max="12" width="1.28515625" customWidth="1"/>
    <col min="13" max="13" width="11.28515625" bestFit="1" customWidth="1"/>
    <col min="14" max="14" width="10.42578125" bestFit="1" customWidth="1"/>
  </cols>
  <sheetData>
    <row r="1" spans="1:8" x14ac:dyDescent="0.2">
      <c r="A1" s="10"/>
      <c r="E1" s="9"/>
    </row>
    <row r="2" spans="1:8" x14ac:dyDescent="0.2">
      <c r="E2" s="9"/>
    </row>
    <row r="3" spans="1:8" x14ac:dyDescent="0.2">
      <c r="A3" s="5"/>
      <c r="B3" s="11"/>
      <c r="C3" s="31"/>
      <c r="D3" s="31"/>
      <c r="E3" s="31"/>
      <c r="F3" s="31"/>
      <c r="G3" s="31"/>
      <c r="H3" s="31"/>
    </row>
    <row r="4" spans="1:8" x14ac:dyDescent="0.2">
      <c r="A4" s="12"/>
      <c r="B4" s="1"/>
      <c r="C4" s="1"/>
      <c r="D4" s="1"/>
      <c r="E4" s="31"/>
      <c r="F4" s="31"/>
      <c r="G4" s="31"/>
      <c r="H4" s="31"/>
    </row>
    <row r="5" spans="1:8" x14ac:dyDescent="0.2">
      <c r="A5" s="105" t="s">
        <v>19</v>
      </c>
      <c r="B5" s="106"/>
      <c r="C5" s="106"/>
      <c r="D5" s="106"/>
      <c r="E5" s="107"/>
      <c r="F5" s="31"/>
      <c r="G5" s="31"/>
      <c r="H5" s="31"/>
    </row>
    <row r="6" spans="1:8" x14ac:dyDescent="0.2">
      <c r="A6" s="108" t="s">
        <v>0</v>
      </c>
      <c r="B6" s="106"/>
      <c r="C6" s="106"/>
      <c r="D6" s="106"/>
      <c r="E6" s="107"/>
      <c r="F6" s="31"/>
      <c r="G6" s="31"/>
      <c r="H6" s="31"/>
    </row>
    <row r="7" spans="1:8" x14ac:dyDescent="0.2">
      <c r="A7" s="109" t="str">
        <f>'Lead E'!A7</f>
        <v>FOR THE TWELVE MONTHS ENDED DECEMBER 31, 2024</v>
      </c>
      <c r="B7" s="106"/>
      <c r="C7" s="106"/>
      <c r="D7" s="106"/>
      <c r="E7" s="107"/>
      <c r="F7" s="31"/>
      <c r="G7" s="31"/>
      <c r="H7" s="31"/>
    </row>
    <row r="8" spans="1:8" x14ac:dyDescent="0.2">
      <c r="A8" s="109" t="str">
        <f>'Lead E'!A8</f>
        <v>COMMISSION BASIS REPORT</v>
      </c>
      <c r="B8" s="106"/>
      <c r="C8" s="106"/>
      <c r="D8" s="106"/>
      <c r="E8" s="107"/>
      <c r="F8" s="31"/>
      <c r="G8" s="31"/>
      <c r="H8" s="31"/>
    </row>
    <row r="9" spans="1:8" x14ac:dyDescent="0.2">
      <c r="A9" s="1"/>
      <c r="B9" s="1"/>
      <c r="C9" s="1"/>
      <c r="D9" s="1"/>
      <c r="E9" s="31"/>
      <c r="F9" s="31"/>
      <c r="G9" s="31"/>
      <c r="H9" s="31"/>
    </row>
    <row r="10" spans="1:8" x14ac:dyDescent="0.2">
      <c r="A10" s="8" t="s">
        <v>1</v>
      </c>
      <c r="B10" s="1"/>
      <c r="C10" s="1"/>
      <c r="D10" s="31"/>
      <c r="E10" s="31"/>
      <c r="F10" s="31"/>
      <c r="G10" s="31"/>
      <c r="H10" s="31"/>
    </row>
    <row r="11" spans="1:8" x14ac:dyDescent="0.2">
      <c r="A11" s="2" t="s">
        <v>2</v>
      </c>
      <c r="B11" s="3" t="s">
        <v>3</v>
      </c>
      <c r="C11" s="13"/>
      <c r="D11" s="4"/>
      <c r="E11" s="2" t="s">
        <v>4</v>
      </c>
      <c r="F11" s="31"/>
      <c r="G11" s="31"/>
      <c r="H11" s="31"/>
    </row>
    <row r="12" spans="1:8" x14ac:dyDescent="0.2">
      <c r="A12" s="5"/>
      <c r="B12" s="5"/>
      <c r="C12" s="5"/>
      <c r="D12" s="5"/>
      <c r="E12" s="31"/>
    </row>
    <row r="13" spans="1:8" x14ac:dyDescent="0.2">
      <c r="A13" s="6">
        <f>ROW()</f>
        <v>13</v>
      </c>
      <c r="B13" s="21" t="s">
        <v>11</v>
      </c>
      <c r="C13" s="19"/>
      <c r="D13" s="16"/>
      <c r="E13" s="31"/>
    </row>
    <row r="14" spans="1:8" ht="22.5" x14ac:dyDescent="0.3">
      <c r="A14" s="6">
        <f>ROW()</f>
        <v>14</v>
      </c>
      <c r="B14" s="52" t="s">
        <v>48</v>
      </c>
      <c r="C14" s="19"/>
      <c r="D14" s="29"/>
      <c r="E14" s="31"/>
      <c r="F14" s="31"/>
    </row>
    <row r="15" spans="1:8" x14ac:dyDescent="0.2">
      <c r="A15" s="6">
        <f>ROW()</f>
        <v>15</v>
      </c>
      <c r="B15" s="124" t="s">
        <v>57</v>
      </c>
      <c r="C15" s="19"/>
      <c r="D15" s="15">
        <f>'Avg cost of case'!D13</f>
        <v>2795000</v>
      </c>
      <c r="E15" s="31"/>
      <c r="F15" s="31"/>
    </row>
    <row r="16" spans="1:8" x14ac:dyDescent="0.2">
      <c r="A16" s="6">
        <f>ROW()</f>
        <v>16</v>
      </c>
      <c r="B16" s="22" t="s">
        <v>58</v>
      </c>
      <c r="C16" s="19"/>
      <c r="D16" s="29">
        <v>2</v>
      </c>
      <c r="E16" s="31"/>
      <c r="F16" s="31"/>
    </row>
    <row r="17" spans="1:6" x14ac:dyDescent="0.2">
      <c r="A17" s="6">
        <f>ROW()</f>
        <v>17</v>
      </c>
      <c r="B17" s="125" t="s">
        <v>52</v>
      </c>
      <c r="C17" s="23"/>
      <c r="D17" s="26">
        <f>+D15/D16</f>
        <v>1397500</v>
      </c>
      <c r="E17" s="31"/>
      <c r="F17" s="31"/>
    </row>
    <row r="18" spans="1:6" x14ac:dyDescent="0.2">
      <c r="A18" s="6">
        <f>ROW()</f>
        <v>18</v>
      </c>
      <c r="B18" s="126" t="s">
        <v>17</v>
      </c>
      <c r="C18" s="14"/>
      <c r="D18" s="51">
        <f>TY!D24</f>
        <v>1366382.8445359999</v>
      </c>
      <c r="E18" s="31"/>
      <c r="F18" s="31"/>
    </row>
    <row r="19" spans="1:6" x14ac:dyDescent="0.2">
      <c r="A19" s="6">
        <f>ROW()</f>
        <v>19</v>
      </c>
      <c r="B19" s="22" t="s">
        <v>5</v>
      </c>
      <c r="C19" s="24"/>
      <c r="D19" s="17">
        <f>+D17-D18</f>
        <v>31117.155464000069</v>
      </c>
      <c r="E19" s="20">
        <f>+D19</f>
        <v>31117.155464000069</v>
      </c>
      <c r="F19" s="31"/>
    </row>
    <row r="20" spans="1:6" x14ac:dyDescent="0.2">
      <c r="A20" s="6">
        <f>ROW()</f>
        <v>20</v>
      </c>
      <c r="B20" s="22"/>
      <c r="C20" s="24"/>
      <c r="D20" s="28"/>
      <c r="E20" s="41"/>
      <c r="F20" s="31"/>
    </row>
    <row r="21" spans="1:6" x14ac:dyDescent="0.2">
      <c r="A21" s="6">
        <f>ROW()</f>
        <v>21</v>
      </c>
      <c r="B21" s="22" t="s">
        <v>12</v>
      </c>
      <c r="C21" s="14"/>
      <c r="D21" s="31"/>
      <c r="E21" s="15">
        <f>+E19</f>
        <v>31117.155464000069</v>
      </c>
      <c r="F21" s="31"/>
    </row>
    <row r="22" spans="1:6" x14ac:dyDescent="0.2">
      <c r="A22" s="6">
        <f>ROW()</f>
        <v>22</v>
      </c>
      <c r="B22" s="18"/>
      <c r="C22" s="14"/>
      <c r="D22" s="31"/>
      <c r="E22" s="29"/>
      <c r="F22" s="31"/>
    </row>
    <row r="23" spans="1:6" x14ac:dyDescent="0.2">
      <c r="A23" s="6">
        <f>ROW()</f>
        <v>23</v>
      </c>
      <c r="B23" s="18" t="s">
        <v>6</v>
      </c>
      <c r="C23" s="25">
        <v>0.21</v>
      </c>
      <c r="D23" s="31"/>
      <c r="E23" s="30">
        <f>-E21*C23</f>
        <v>-6534.6026474400142</v>
      </c>
      <c r="F23" s="31"/>
    </row>
    <row r="24" spans="1:6" ht="13.5" thickBot="1" x14ac:dyDescent="0.25">
      <c r="A24" s="6">
        <f>ROW()</f>
        <v>24</v>
      </c>
      <c r="B24" s="18" t="s">
        <v>7</v>
      </c>
      <c r="C24" s="14"/>
      <c r="D24" s="31"/>
      <c r="E24" s="42">
        <f>-E21-E23</f>
        <v>-24582.552816560055</v>
      </c>
      <c r="F24" s="31"/>
    </row>
    <row r="25" spans="1:6" ht="13.5" thickTop="1" x14ac:dyDescent="0.2">
      <c r="A25" s="6">
        <f>ROW()</f>
        <v>25</v>
      </c>
      <c r="B25" s="31"/>
      <c r="C25" s="31"/>
      <c r="D25" s="31"/>
      <c r="E25" s="31"/>
      <c r="F25" s="31"/>
    </row>
    <row r="26" spans="1:6" x14ac:dyDescent="0.2">
      <c r="A26" s="6">
        <f>ROW()</f>
        <v>26</v>
      </c>
      <c r="B26" s="31"/>
      <c r="C26" s="31"/>
      <c r="D26" s="31"/>
      <c r="E26" s="31"/>
      <c r="F26" s="31"/>
    </row>
    <row r="27" spans="1:6" x14ac:dyDescent="0.2">
      <c r="A27" s="6">
        <f>ROW()</f>
        <v>27</v>
      </c>
      <c r="B27" s="5" t="s">
        <v>51</v>
      </c>
      <c r="C27" s="31"/>
      <c r="D27" s="31"/>
      <c r="E27" s="31"/>
      <c r="F27" s="31"/>
    </row>
    <row r="28" spans="1:6" x14ac:dyDescent="0.2">
      <c r="A28" s="6">
        <f>ROW()</f>
        <v>28</v>
      </c>
      <c r="B28" s="5" t="s">
        <v>50</v>
      </c>
      <c r="C28" s="31"/>
      <c r="D28" s="31"/>
      <c r="E28" s="31"/>
      <c r="F28" s="31"/>
    </row>
    <row r="29" spans="1:6" x14ac:dyDescent="0.2">
      <c r="A29" s="31"/>
      <c r="B29" s="31"/>
      <c r="C29" s="31"/>
      <c r="D29" s="31"/>
      <c r="E29" s="31"/>
    </row>
    <row r="30" spans="1:6" x14ac:dyDescent="0.2">
      <c r="A30" s="31"/>
      <c r="B30" s="31"/>
      <c r="C30" s="31"/>
      <c r="D30" s="31"/>
      <c r="E30" s="31"/>
    </row>
    <row r="31" spans="1:6" x14ac:dyDescent="0.2">
      <c r="A31" s="31"/>
      <c r="B31" s="31"/>
      <c r="C31" s="31"/>
      <c r="D31" s="31"/>
      <c r="E31" s="31"/>
    </row>
    <row r="32" spans="1:6" x14ac:dyDescent="0.2">
      <c r="A32" s="31"/>
      <c r="B32" s="31"/>
      <c r="C32" s="31"/>
      <c r="D32" s="31"/>
      <c r="E32" s="31"/>
    </row>
    <row r="33" spans="4:5" x14ac:dyDescent="0.2">
      <c r="D33" s="31"/>
      <c r="E33" s="31"/>
    </row>
  </sheetData>
  <phoneticPr fontId="7" type="noConversion"/>
  <pageMargins left="0.75" right="0.75" top="1" bottom="1" header="0.5" footer="0.5"/>
  <pageSetup scale="8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zoomScale="90" zoomScaleNormal="90" workbookViewId="0">
      <selection activeCell="E41" sqref="E41"/>
    </sheetView>
  </sheetViews>
  <sheetFormatPr defaultColWidth="8.85546875" defaultRowHeight="12.75" x14ac:dyDescent="0.2"/>
  <cols>
    <col min="1" max="2" width="12.7109375" style="58" customWidth="1"/>
    <col min="3" max="3" width="47.140625" style="67" bestFit="1" customWidth="1"/>
    <col min="4" max="4" width="10.85546875" style="68" bestFit="1" customWidth="1"/>
    <col min="5" max="5" width="19.28515625" style="39" customWidth="1"/>
    <col min="6" max="16384" width="8.85546875" style="58"/>
  </cols>
  <sheetData>
    <row r="1" spans="1:19" ht="15.75" x14ac:dyDescent="0.25">
      <c r="A1" s="56"/>
      <c r="B1" s="57"/>
      <c r="C1" s="34" t="s">
        <v>9</v>
      </c>
      <c r="D1" s="34"/>
      <c r="E1" s="35"/>
    </row>
    <row r="2" spans="1:19" x14ac:dyDescent="0.2">
      <c r="A2" s="59"/>
      <c r="B2" s="60"/>
      <c r="C2" s="32" t="s">
        <v>14</v>
      </c>
      <c r="D2" s="32"/>
      <c r="E2" s="36"/>
    </row>
    <row r="3" spans="1:19" x14ac:dyDescent="0.2">
      <c r="A3" s="59"/>
      <c r="B3" s="60"/>
      <c r="C3" s="110" t="s">
        <v>80</v>
      </c>
      <c r="D3" s="32"/>
      <c r="E3" s="36"/>
      <c r="F3" s="67"/>
      <c r="G3" s="67"/>
      <c r="H3" s="67"/>
      <c r="I3" s="67"/>
    </row>
    <row r="4" spans="1:19" x14ac:dyDescent="0.2">
      <c r="A4" s="59"/>
      <c r="B4" s="60"/>
      <c r="C4" s="61" t="s">
        <v>74</v>
      </c>
      <c r="D4" s="94">
        <f>'Summary GRCs'!B9</f>
        <v>8043671.8040000005</v>
      </c>
      <c r="E4" s="36"/>
      <c r="F4" s="67"/>
      <c r="G4" s="67"/>
      <c r="H4" s="67"/>
      <c r="I4" s="67"/>
    </row>
    <row r="5" spans="1:19" x14ac:dyDescent="0.2">
      <c r="A5" s="59"/>
      <c r="B5" s="60"/>
      <c r="C5" s="61"/>
      <c r="D5" s="95"/>
      <c r="E5" s="36"/>
      <c r="F5" s="31"/>
      <c r="G5" s="31"/>
      <c r="H5" s="31"/>
      <c r="I5" s="31"/>
      <c r="J5"/>
      <c r="K5"/>
      <c r="L5"/>
      <c r="M5"/>
      <c r="N5"/>
      <c r="O5"/>
      <c r="P5"/>
      <c r="Q5"/>
      <c r="R5"/>
      <c r="S5"/>
    </row>
    <row r="6" spans="1:19" x14ac:dyDescent="0.2">
      <c r="A6" s="59"/>
      <c r="B6" s="60"/>
      <c r="C6" s="61" t="s">
        <v>35</v>
      </c>
      <c r="D6" s="95">
        <f>'Summary GRCs'!B13</f>
        <v>3135957.01</v>
      </c>
      <c r="E6" s="36"/>
      <c r="F6" s="31"/>
      <c r="G6" s="31"/>
      <c r="H6" s="31"/>
      <c r="I6" s="31"/>
      <c r="J6"/>
      <c r="K6"/>
      <c r="L6"/>
      <c r="M6"/>
      <c r="N6"/>
      <c r="O6"/>
      <c r="P6"/>
      <c r="Q6"/>
      <c r="R6"/>
      <c r="S6"/>
    </row>
    <row r="7" spans="1:19" x14ac:dyDescent="0.2">
      <c r="A7" s="59"/>
      <c r="B7" s="60"/>
      <c r="C7" s="61"/>
      <c r="D7" s="95"/>
      <c r="E7" s="36"/>
      <c r="F7" s="31"/>
      <c r="G7" s="31"/>
      <c r="H7" s="31"/>
      <c r="I7" s="31"/>
      <c r="J7"/>
      <c r="K7"/>
      <c r="L7"/>
      <c r="M7"/>
      <c r="N7"/>
      <c r="O7"/>
      <c r="P7"/>
      <c r="Q7"/>
      <c r="R7"/>
      <c r="S7"/>
    </row>
    <row r="8" spans="1:19" x14ac:dyDescent="0.2">
      <c r="A8" s="59"/>
      <c r="B8" s="60"/>
      <c r="C8" s="61"/>
      <c r="D8" s="95"/>
      <c r="E8" s="36"/>
      <c r="F8" s="31"/>
      <c r="G8" s="31"/>
      <c r="H8" s="31"/>
      <c r="I8" s="31"/>
      <c r="J8"/>
      <c r="K8"/>
      <c r="L8"/>
      <c r="M8"/>
      <c r="N8"/>
      <c r="O8"/>
      <c r="P8"/>
      <c r="Q8"/>
      <c r="R8"/>
      <c r="S8"/>
    </row>
    <row r="9" spans="1:19" x14ac:dyDescent="0.2">
      <c r="A9" s="59"/>
      <c r="B9" s="60"/>
      <c r="C9" s="61" t="s">
        <v>15</v>
      </c>
      <c r="D9" s="95">
        <f>(D4+D6)/2</f>
        <v>5589814.4069999997</v>
      </c>
      <c r="E9" s="36"/>
      <c r="F9" s="31"/>
      <c r="G9" s="31"/>
      <c r="H9" s="31"/>
      <c r="I9" s="31"/>
      <c r="J9"/>
      <c r="K9"/>
      <c r="L9"/>
      <c r="M9"/>
      <c r="N9"/>
      <c r="O9"/>
      <c r="P9"/>
      <c r="Q9"/>
      <c r="R9"/>
      <c r="S9"/>
    </row>
    <row r="10" spans="1:19" x14ac:dyDescent="0.2">
      <c r="A10" s="59"/>
      <c r="B10" s="60"/>
      <c r="C10" s="61"/>
      <c r="D10" s="95"/>
      <c r="E10" s="36"/>
      <c r="F10" s="31"/>
      <c r="G10" s="31"/>
      <c r="H10" s="31"/>
      <c r="I10" s="31"/>
      <c r="J10"/>
      <c r="K10"/>
      <c r="L10"/>
      <c r="M10"/>
      <c r="N10"/>
      <c r="O10"/>
      <c r="P10"/>
      <c r="Q10"/>
      <c r="R10"/>
      <c r="S10"/>
    </row>
    <row r="11" spans="1:19" x14ac:dyDescent="0.2">
      <c r="A11" s="59"/>
      <c r="B11" s="60"/>
      <c r="C11" s="61" t="s">
        <v>23</v>
      </c>
      <c r="D11" s="95">
        <f>+D9/2</f>
        <v>2794907.2034999998</v>
      </c>
      <c r="E11" s="36"/>
      <c r="F11" s="67"/>
      <c r="G11" s="67"/>
      <c r="H11" s="67"/>
      <c r="I11" s="67"/>
    </row>
    <row r="12" spans="1:19" x14ac:dyDescent="0.2">
      <c r="A12" s="59"/>
      <c r="B12" s="60"/>
      <c r="C12" s="102"/>
      <c r="D12" s="101"/>
      <c r="E12" s="36"/>
      <c r="F12" s="67"/>
      <c r="G12" s="67"/>
      <c r="H12" s="67"/>
      <c r="I12" s="67"/>
    </row>
    <row r="13" spans="1:19" x14ac:dyDescent="0.2">
      <c r="A13" s="59"/>
      <c r="B13" s="60"/>
      <c r="C13" s="61" t="s">
        <v>46</v>
      </c>
      <c r="D13" s="103">
        <f>ROUND(+D11,-3)</f>
        <v>2795000</v>
      </c>
      <c r="E13" s="36"/>
      <c r="F13" s="67"/>
      <c r="G13" s="67"/>
      <c r="H13" s="67"/>
      <c r="I13" s="67"/>
    </row>
    <row r="14" spans="1:19" x14ac:dyDescent="0.2">
      <c r="A14" s="62"/>
      <c r="B14" s="63"/>
      <c r="C14" s="64"/>
      <c r="D14" s="65"/>
      <c r="E14" s="37"/>
      <c r="F14" s="67"/>
      <c r="G14" s="67"/>
      <c r="H14" s="67"/>
      <c r="I14" s="67"/>
    </row>
    <row r="15" spans="1:19" x14ac:dyDescent="0.2">
      <c r="A15" s="60"/>
      <c r="B15" s="60"/>
      <c r="C15" s="61"/>
      <c r="D15" s="66"/>
      <c r="E15" s="38"/>
      <c r="F15" s="67"/>
      <c r="G15" s="67"/>
      <c r="H15" s="67"/>
      <c r="I15" s="67"/>
    </row>
    <row r="16" spans="1:19" ht="15.75" x14ac:dyDescent="0.25">
      <c r="A16" s="56"/>
      <c r="B16" s="57"/>
      <c r="C16" s="34" t="s">
        <v>9</v>
      </c>
      <c r="D16" s="34"/>
      <c r="E16" s="35"/>
      <c r="F16" s="67"/>
      <c r="G16" s="67"/>
      <c r="H16" s="67"/>
      <c r="I16" s="67"/>
    </row>
    <row r="17" spans="1:9" x14ac:dyDescent="0.2">
      <c r="A17" s="59"/>
      <c r="B17" s="60"/>
      <c r="C17" s="32" t="s">
        <v>13</v>
      </c>
      <c r="D17" s="32"/>
      <c r="E17" s="36"/>
      <c r="F17" s="67"/>
      <c r="G17" s="67"/>
      <c r="H17" s="67"/>
      <c r="I17" s="67"/>
    </row>
    <row r="18" spans="1:9" x14ac:dyDescent="0.2">
      <c r="A18" s="59"/>
      <c r="B18" s="60"/>
      <c r="C18" s="110" t="s">
        <v>81</v>
      </c>
      <c r="D18" s="32"/>
      <c r="E18" s="36"/>
      <c r="F18" s="67"/>
      <c r="G18" s="67"/>
      <c r="H18" s="67"/>
      <c r="I18" s="67"/>
    </row>
    <row r="19" spans="1:9" x14ac:dyDescent="0.2">
      <c r="A19" s="59"/>
      <c r="B19" s="60"/>
      <c r="C19" s="61" t="s">
        <v>29</v>
      </c>
      <c r="D19" s="95">
        <f>'Summary PCORCs'!B6</f>
        <v>148465.66</v>
      </c>
      <c r="E19" s="36"/>
      <c r="F19" s="67"/>
      <c r="G19" s="67"/>
      <c r="H19" s="67"/>
      <c r="I19" s="67"/>
    </row>
    <row r="20" spans="1:9" x14ac:dyDescent="0.2">
      <c r="A20" s="59"/>
      <c r="B20" s="60"/>
      <c r="C20" s="61"/>
      <c r="D20" s="95"/>
      <c r="E20" s="36"/>
      <c r="F20" s="67"/>
      <c r="G20" s="67"/>
      <c r="H20" s="67"/>
      <c r="I20" s="67"/>
    </row>
    <row r="21" spans="1:9" x14ac:dyDescent="0.2">
      <c r="A21" s="59"/>
      <c r="B21" s="60"/>
      <c r="C21" s="102" t="s">
        <v>42</v>
      </c>
      <c r="D21" s="95">
        <f>'Summary PCORCs'!B10</f>
        <v>526879.43999999994</v>
      </c>
      <c r="E21" s="36"/>
      <c r="F21" s="67"/>
      <c r="G21" s="67"/>
      <c r="H21" s="67"/>
      <c r="I21" s="67"/>
    </row>
    <row r="22" spans="1:9" x14ac:dyDescent="0.2">
      <c r="A22" s="59"/>
      <c r="B22" s="60"/>
      <c r="C22" s="61"/>
      <c r="D22" s="95"/>
      <c r="E22" s="36"/>
      <c r="F22" s="67"/>
      <c r="G22" s="67"/>
      <c r="H22" s="67"/>
      <c r="I22" s="67"/>
    </row>
    <row r="23" spans="1:9" x14ac:dyDescent="0.2">
      <c r="A23" s="59"/>
      <c r="B23" s="60"/>
      <c r="C23" s="61" t="s">
        <v>24</v>
      </c>
      <c r="D23" s="95">
        <f>(+D19+D21)/2</f>
        <v>337672.55</v>
      </c>
      <c r="E23" s="36"/>
      <c r="F23" s="67"/>
      <c r="G23" s="67"/>
      <c r="H23" s="67"/>
      <c r="I23" s="67"/>
    </row>
    <row r="24" spans="1:9" x14ac:dyDescent="0.2">
      <c r="A24" s="59"/>
      <c r="B24" s="60"/>
      <c r="C24" s="102"/>
      <c r="D24" s="101"/>
      <c r="E24" s="36"/>
      <c r="F24" s="67"/>
      <c r="G24" s="67"/>
      <c r="H24" s="67"/>
      <c r="I24" s="67"/>
    </row>
    <row r="25" spans="1:9" x14ac:dyDescent="0.2">
      <c r="A25" s="59"/>
      <c r="B25" s="60"/>
      <c r="C25" s="61" t="s">
        <v>47</v>
      </c>
      <c r="D25" s="103">
        <f>ROUND(+D23,-3)</f>
        <v>338000</v>
      </c>
      <c r="E25" s="36"/>
      <c r="F25" s="67"/>
      <c r="G25" s="67"/>
      <c r="H25" s="67"/>
      <c r="I25" s="67"/>
    </row>
    <row r="26" spans="1:9" x14ac:dyDescent="0.2">
      <c r="A26" s="62"/>
      <c r="B26" s="63"/>
      <c r="C26" s="64"/>
      <c r="D26" s="65"/>
      <c r="E26" s="37"/>
      <c r="F26" s="67"/>
      <c r="G26" s="67"/>
      <c r="H26" s="67"/>
      <c r="I26" s="67"/>
    </row>
    <row r="27" spans="1:9" x14ac:dyDescent="0.2">
      <c r="B27" s="60"/>
      <c r="C27" s="61"/>
      <c r="D27" s="66"/>
      <c r="E27" s="38"/>
      <c r="F27" s="67"/>
      <c r="G27" s="67"/>
      <c r="H27" s="67"/>
      <c r="I27" s="67"/>
    </row>
    <row r="28" spans="1:9" x14ac:dyDescent="0.2">
      <c r="A28" s="60"/>
      <c r="B28" s="60"/>
      <c r="C28" s="61"/>
      <c r="D28" s="66"/>
      <c r="E28" s="38"/>
      <c r="F28" s="67"/>
      <c r="G28" s="67"/>
      <c r="H28" s="67"/>
      <c r="I28" s="67"/>
    </row>
    <row r="29" spans="1:9" x14ac:dyDescent="0.2">
      <c r="A29" s="7"/>
      <c r="B29" s="7"/>
      <c r="E29" s="69"/>
      <c r="F29" s="67"/>
      <c r="G29" s="67"/>
    </row>
    <row r="30" spans="1:9" x14ac:dyDescent="0.2">
      <c r="F30" s="67"/>
    </row>
    <row r="31" spans="1:9" x14ac:dyDescent="0.2">
      <c r="F31" s="67"/>
    </row>
    <row r="32" spans="1:9" x14ac:dyDescent="0.2">
      <c r="F32" s="67"/>
    </row>
    <row r="33" spans="6:6" x14ac:dyDescent="0.2">
      <c r="F33" s="67"/>
    </row>
    <row r="34" spans="6:6" x14ac:dyDescent="0.2">
      <c r="F34" s="67"/>
    </row>
    <row r="35" spans="6:6" x14ac:dyDescent="0.2">
      <c r="F35" s="67"/>
    </row>
    <row r="36" spans="6:6" x14ac:dyDescent="0.2">
      <c r="F36" s="67"/>
    </row>
    <row r="37" spans="6:6" x14ac:dyDescent="0.2">
      <c r="F37" s="67"/>
    </row>
    <row r="38" spans="6:6" x14ac:dyDescent="0.2">
      <c r="F38" s="67"/>
    </row>
    <row r="39" spans="6:6" x14ac:dyDescent="0.2">
      <c r="F39" s="67"/>
    </row>
    <row r="40" spans="6:6" x14ac:dyDescent="0.2">
      <c r="F40" s="67"/>
    </row>
    <row r="41" spans="6:6" x14ac:dyDescent="0.2">
      <c r="F41" s="67"/>
    </row>
    <row r="42" spans="6:6" x14ac:dyDescent="0.2">
      <c r="F42" s="67"/>
    </row>
    <row r="43" spans="6:6" x14ac:dyDescent="0.2">
      <c r="F43" s="67"/>
    </row>
    <row r="44" spans="6:6" x14ac:dyDescent="0.2">
      <c r="F44" s="67"/>
    </row>
    <row r="45" spans="6:6" x14ac:dyDescent="0.2">
      <c r="F45" s="67"/>
    </row>
    <row r="46" spans="6:6" x14ac:dyDescent="0.2">
      <c r="F46" s="67"/>
    </row>
    <row r="47" spans="6:6" x14ac:dyDescent="0.2">
      <c r="F47" s="67"/>
    </row>
    <row r="48" spans="6:6" x14ac:dyDescent="0.2">
      <c r="F48" s="67"/>
    </row>
    <row r="49" spans="6:6" x14ac:dyDescent="0.2">
      <c r="F49" s="67"/>
    </row>
  </sheetData>
  <phoneticPr fontId="7" type="noConversion"/>
  <pageMargins left="0.75" right="0.7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97"/>
  <sheetViews>
    <sheetView zoomScale="90" zoomScaleNormal="90" workbookViewId="0">
      <selection activeCell="I17" sqref="I17"/>
    </sheetView>
  </sheetViews>
  <sheetFormatPr defaultColWidth="8.85546875" defaultRowHeight="12.75" x14ac:dyDescent="0.2"/>
  <cols>
    <col min="1" max="1" width="58" style="67" customWidth="1"/>
    <col min="2" max="2" width="17" style="67" customWidth="1"/>
    <col min="3" max="4" width="13.42578125" style="67" bestFit="1" customWidth="1"/>
    <col min="5" max="16384" width="8.85546875" style="67"/>
  </cols>
  <sheetData>
    <row r="1" spans="1:5" x14ac:dyDescent="0.2">
      <c r="A1" s="151" t="s">
        <v>9</v>
      </c>
      <c r="B1" s="151"/>
      <c r="C1" s="151"/>
      <c r="D1" s="151"/>
    </row>
    <row r="2" spans="1:5" x14ac:dyDescent="0.2">
      <c r="A2" s="152" t="s">
        <v>79</v>
      </c>
      <c r="B2" s="152"/>
      <c r="C2" s="152"/>
      <c r="D2" s="152"/>
    </row>
    <row r="3" spans="1:5" x14ac:dyDescent="0.2">
      <c r="A3" s="152" t="s">
        <v>25</v>
      </c>
      <c r="B3" s="152"/>
      <c r="C3" s="152"/>
      <c r="D3" s="152"/>
    </row>
    <row r="4" spans="1:5" x14ac:dyDescent="0.2">
      <c r="A4" s="49"/>
      <c r="B4" s="50"/>
      <c r="C4" s="50"/>
      <c r="D4" s="50"/>
    </row>
    <row r="5" spans="1:5" x14ac:dyDescent="0.2">
      <c r="A5" s="49"/>
      <c r="B5" s="50"/>
      <c r="C5" s="97" t="s">
        <v>21</v>
      </c>
      <c r="D5" s="98" t="s">
        <v>10</v>
      </c>
    </row>
    <row r="6" spans="1:5" ht="15" x14ac:dyDescent="0.25">
      <c r="A6" s="47" t="s">
        <v>22</v>
      </c>
      <c r="B6" s="48" t="s">
        <v>20</v>
      </c>
      <c r="C6" s="149">
        <f>[1]Lead!$E$35</f>
        <v>0.66269999999999996</v>
      </c>
      <c r="D6" s="149">
        <f>[1]Lead!$F$35</f>
        <v>0.33729999999999999</v>
      </c>
      <c r="E6" s="147"/>
    </row>
    <row r="7" spans="1:5" ht="15" x14ac:dyDescent="0.25">
      <c r="A7" s="117" t="s">
        <v>68</v>
      </c>
      <c r="B7" s="54"/>
      <c r="C7" s="70"/>
      <c r="D7" s="70"/>
    </row>
    <row r="8" spans="1:5" x14ac:dyDescent="0.2">
      <c r="A8" s="100" t="s">
        <v>44</v>
      </c>
      <c r="B8" s="91">
        <f>'Summary PCORCs'!O6</f>
        <v>0</v>
      </c>
      <c r="C8" s="91">
        <f>B8*$C$6</f>
        <v>0</v>
      </c>
      <c r="D8" s="91">
        <f>+B8*$D$6</f>
        <v>0</v>
      </c>
    </row>
    <row r="9" spans="1:5" x14ac:dyDescent="0.2">
      <c r="A9" s="123" t="s">
        <v>43</v>
      </c>
      <c r="B9" s="91">
        <f>'Summary PCORCs'!O10</f>
        <v>0</v>
      </c>
      <c r="C9" s="91">
        <f>B9*$C$6</f>
        <v>0</v>
      </c>
      <c r="D9" s="91">
        <f t="shared" ref="D9" si="0">+B9*$D$6</f>
        <v>0</v>
      </c>
    </row>
    <row r="10" spans="1:5" x14ac:dyDescent="0.2">
      <c r="A10" s="122" t="s">
        <v>73</v>
      </c>
      <c r="B10" s="91"/>
      <c r="C10" s="91"/>
      <c r="D10" s="96"/>
    </row>
    <row r="11" spans="1:5" x14ac:dyDescent="0.2">
      <c r="A11" s="100" t="s">
        <v>70</v>
      </c>
      <c r="B11" s="91">
        <f>'Summary PCORCs'!O13</f>
        <v>0</v>
      </c>
      <c r="C11" s="91">
        <f>B11</f>
        <v>0</v>
      </c>
      <c r="D11" s="96">
        <v>0</v>
      </c>
    </row>
    <row r="12" spans="1:5" x14ac:dyDescent="0.2">
      <c r="A12" s="118"/>
      <c r="B12" s="96"/>
      <c r="C12" s="96"/>
      <c r="D12" s="96"/>
    </row>
    <row r="13" spans="1:5" x14ac:dyDescent="0.2">
      <c r="A13" s="93" t="s">
        <v>71</v>
      </c>
      <c r="B13" s="96">
        <f>SUM(B8:B12)</f>
        <v>0</v>
      </c>
      <c r="C13" s="96">
        <f>SUM(C8:C12)</f>
        <v>0</v>
      </c>
      <c r="D13" s="96">
        <f>SUM(D8:D12)</f>
        <v>0</v>
      </c>
    </row>
    <row r="14" spans="1:5" x14ac:dyDescent="0.2">
      <c r="A14" s="120" t="s">
        <v>72</v>
      </c>
      <c r="B14" s="121">
        <f>'Summary PCORCs'!$O$13+'Summary PCORCs'!$O$10+'Summary PCORCs'!$O$6-B13</f>
        <v>0</v>
      </c>
      <c r="C14" s="71"/>
      <c r="D14" s="61"/>
    </row>
    <row r="15" spans="1:5" x14ac:dyDescent="0.2">
      <c r="A15" s="117" t="s">
        <v>33</v>
      </c>
      <c r="B15" s="91"/>
      <c r="C15" s="91"/>
      <c r="D15" s="91"/>
    </row>
    <row r="16" spans="1:5" x14ac:dyDescent="0.2">
      <c r="A16" s="100" t="s">
        <v>45</v>
      </c>
      <c r="B16" s="91">
        <f>'Summary GRCs'!H12</f>
        <v>0</v>
      </c>
      <c r="C16" s="91">
        <f t="shared" ref="C16" si="1">+B16*$C$6</f>
        <v>0</v>
      </c>
      <c r="D16" s="92">
        <f t="shared" ref="D16" si="2">+B16*$D$6</f>
        <v>0</v>
      </c>
    </row>
    <row r="17" spans="1:4" x14ac:dyDescent="0.2">
      <c r="A17" s="104" t="s">
        <v>61</v>
      </c>
      <c r="B17" s="91"/>
      <c r="C17" s="91"/>
      <c r="D17" s="92"/>
    </row>
    <row r="18" spans="1:4" x14ac:dyDescent="0.2">
      <c r="A18" s="100" t="s">
        <v>38</v>
      </c>
      <c r="B18" s="91">
        <f>'Summary GRCs'!H6</f>
        <v>413250.56</v>
      </c>
      <c r="C18" s="91">
        <f>+B18*$C$6</f>
        <v>273861.14611199999</v>
      </c>
      <c r="D18" s="92">
        <f>+B18*$D$6</f>
        <v>139389.41388799998</v>
      </c>
    </row>
    <row r="19" spans="1:4" x14ac:dyDescent="0.2">
      <c r="A19" s="100" t="s">
        <v>41</v>
      </c>
      <c r="B19" s="91">
        <f>'Summary GRCs'!H7</f>
        <v>9573.1200000000008</v>
      </c>
      <c r="C19" s="91">
        <f>B19</f>
        <v>9573.1200000000008</v>
      </c>
      <c r="D19" s="92">
        <v>0</v>
      </c>
    </row>
    <row r="20" spans="1:4" x14ac:dyDescent="0.2">
      <c r="A20" s="100" t="s">
        <v>39</v>
      </c>
      <c r="B20" s="91">
        <f>'Summary GRCs'!H8</f>
        <v>0</v>
      </c>
      <c r="C20" s="91">
        <v>0</v>
      </c>
      <c r="D20" s="92">
        <f>B20</f>
        <v>0</v>
      </c>
    </row>
    <row r="21" spans="1:4" x14ac:dyDescent="0.2">
      <c r="A21" s="104" t="s">
        <v>63</v>
      </c>
      <c r="B21" s="91"/>
      <c r="C21" s="91"/>
      <c r="D21" s="92"/>
    </row>
    <row r="22" spans="1:4" x14ac:dyDescent="0.2">
      <c r="A22" s="100" t="s">
        <v>69</v>
      </c>
      <c r="B22" s="91">
        <f>'Summary GRCs'!H17</f>
        <v>3637691.76</v>
      </c>
      <c r="C22" s="91">
        <f>B22*C6</f>
        <v>2410698.3293519998</v>
      </c>
      <c r="D22" s="92">
        <f>B22*D6</f>
        <v>1226993.430648</v>
      </c>
    </row>
    <row r="23" spans="1:4" x14ac:dyDescent="0.2">
      <c r="B23" s="91"/>
      <c r="C23" s="91"/>
      <c r="D23" s="92"/>
    </row>
    <row r="24" spans="1:4" x14ac:dyDescent="0.2">
      <c r="A24" s="93" t="s">
        <v>31</v>
      </c>
      <c r="B24" s="96">
        <f>SUM(B16:B22)</f>
        <v>4060515.44</v>
      </c>
      <c r="C24" s="96">
        <f>SUM(C16:C22)</f>
        <v>2694132.5954639995</v>
      </c>
      <c r="D24" s="96">
        <f t="shared" ref="D24" si="3">SUM(D16:D22)</f>
        <v>1366382.8445359999</v>
      </c>
    </row>
    <row r="26" spans="1:4" customFormat="1" x14ac:dyDescent="0.2">
      <c r="A26" s="120" t="s">
        <v>72</v>
      </c>
      <c r="B26" s="121">
        <f>'Summary GRCs'!H9+'Summary GRCs'!H13+'Summary GRCs'!H17-B24</f>
        <v>0</v>
      </c>
      <c r="C26" s="67"/>
      <c r="D26" s="31"/>
    </row>
    <row r="27" spans="1:4" customFormat="1" x14ac:dyDescent="0.2">
      <c r="A27" s="31"/>
      <c r="B27" s="31"/>
      <c r="C27" s="31"/>
      <c r="D27" s="31"/>
    </row>
    <row r="28" spans="1:4" customFormat="1" x14ac:dyDescent="0.2">
      <c r="A28" s="31"/>
      <c r="B28" s="31"/>
      <c r="C28" s="31"/>
      <c r="D28" s="31"/>
    </row>
    <row r="29" spans="1:4" customFormat="1" x14ac:dyDescent="0.2">
      <c r="A29" s="31"/>
      <c r="B29" s="31"/>
      <c r="C29" s="31"/>
      <c r="D29" s="31"/>
    </row>
    <row r="30" spans="1:4" customFormat="1" x14ac:dyDescent="0.2">
      <c r="A30" s="31"/>
      <c r="B30" s="31"/>
      <c r="C30" s="31"/>
      <c r="D30" s="31"/>
    </row>
    <row r="31" spans="1:4" customFormat="1" x14ac:dyDescent="0.2">
      <c r="A31" s="31"/>
      <c r="B31" s="31"/>
      <c r="C31" s="31"/>
      <c r="D31" s="31"/>
    </row>
    <row r="32" spans="1:4" customFormat="1" x14ac:dyDescent="0.2">
      <c r="A32" s="31"/>
      <c r="B32" s="31"/>
      <c r="C32" s="31"/>
      <c r="D32" s="31"/>
    </row>
    <row r="33" spans="1:4" customFormat="1" x14ac:dyDescent="0.2">
      <c r="A33" s="31"/>
      <c r="B33" s="31"/>
      <c r="C33" s="31"/>
      <c r="D33" s="31"/>
    </row>
    <row r="34" spans="1:4" customFormat="1" x14ac:dyDescent="0.2">
      <c r="A34" s="31"/>
      <c r="B34" s="31"/>
      <c r="C34" s="31"/>
      <c r="D34" s="31"/>
    </row>
    <row r="35" spans="1:4" customFormat="1" x14ac:dyDescent="0.2">
      <c r="A35" s="31"/>
      <c r="B35" s="31"/>
      <c r="C35" s="31"/>
      <c r="D35" s="31"/>
    </row>
    <row r="36" spans="1:4" customFormat="1" x14ac:dyDescent="0.2">
      <c r="A36" s="31"/>
      <c r="B36" s="31"/>
      <c r="C36" s="31"/>
      <c r="D36" s="31"/>
    </row>
    <row r="37" spans="1:4" customFormat="1" x14ac:dyDescent="0.2">
      <c r="A37" s="31"/>
      <c r="B37" s="31"/>
      <c r="C37" s="31"/>
      <c r="D37" s="31"/>
    </row>
    <row r="38" spans="1:4" customFormat="1" x14ac:dyDescent="0.2">
      <c r="A38" s="31"/>
      <c r="B38" s="31"/>
      <c r="C38" s="31"/>
      <c r="D38" s="31"/>
    </row>
    <row r="39" spans="1:4" customFormat="1" x14ac:dyDescent="0.2">
      <c r="A39" s="31"/>
      <c r="B39" s="31"/>
      <c r="C39" s="31"/>
      <c r="D39" s="31"/>
    </row>
    <row r="40" spans="1:4" x14ac:dyDescent="0.2">
      <c r="B40" s="90"/>
    </row>
    <row r="41" spans="1:4" x14ac:dyDescent="0.2">
      <c r="B41" s="90"/>
    </row>
    <row r="42" spans="1:4" x14ac:dyDescent="0.2">
      <c r="B42" s="90"/>
    </row>
    <row r="43" spans="1:4" x14ac:dyDescent="0.2">
      <c r="B43" s="90"/>
    </row>
    <row r="44" spans="1:4" x14ac:dyDescent="0.2">
      <c r="B44" s="90"/>
    </row>
    <row r="45" spans="1:4" x14ac:dyDescent="0.2">
      <c r="B45" s="90"/>
    </row>
    <row r="46" spans="1:4" x14ac:dyDescent="0.2">
      <c r="B46" s="90"/>
    </row>
    <row r="47" spans="1:4" x14ac:dyDescent="0.2">
      <c r="B47" s="90"/>
    </row>
    <row r="48" spans="1:4" x14ac:dyDescent="0.2">
      <c r="B48" s="90"/>
    </row>
    <row r="49" spans="2:2" x14ac:dyDescent="0.2">
      <c r="B49" s="90"/>
    </row>
    <row r="50" spans="2:2" x14ac:dyDescent="0.2">
      <c r="B50" s="90"/>
    </row>
    <row r="51" spans="2:2" x14ac:dyDescent="0.2">
      <c r="B51" s="90"/>
    </row>
    <row r="52" spans="2:2" x14ac:dyDescent="0.2">
      <c r="B52" s="90"/>
    </row>
    <row r="53" spans="2:2" x14ac:dyDescent="0.2">
      <c r="B53" s="90"/>
    </row>
    <row r="54" spans="2:2" x14ac:dyDescent="0.2">
      <c r="B54" s="90"/>
    </row>
    <row r="55" spans="2:2" x14ac:dyDescent="0.2">
      <c r="B55" s="90"/>
    </row>
    <row r="56" spans="2:2" x14ac:dyDescent="0.2">
      <c r="B56" s="90"/>
    </row>
    <row r="57" spans="2:2" x14ac:dyDescent="0.2">
      <c r="B57" s="90"/>
    </row>
    <row r="58" spans="2:2" x14ac:dyDescent="0.2">
      <c r="B58" s="90"/>
    </row>
    <row r="59" spans="2:2" x14ac:dyDescent="0.2">
      <c r="B59" s="90"/>
    </row>
    <row r="60" spans="2:2" x14ac:dyDescent="0.2">
      <c r="B60" s="90"/>
    </row>
    <row r="61" spans="2:2" x14ac:dyDescent="0.2">
      <c r="B61" s="90"/>
    </row>
    <row r="62" spans="2:2" x14ac:dyDescent="0.2">
      <c r="B62" s="90"/>
    </row>
    <row r="63" spans="2:2" x14ac:dyDescent="0.2">
      <c r="B63" s="90"/>
    </row>
    <row r="64" spans="2:2" x14ac:dyDescent="0.2">
      <c r="B64" s="90"/>
    </row>
    <row r="65" spans="2:2" x14ac:dyDescent="0.2">
      <c r="B65" s="90"/>
    </row>
    <row r="66" spans="2:2" x14ac:dyDescent="0.2">
      <c r="B66" s="90"/>
    </row>
    <row r="67" spans="2:2" x14ac:dyDescent="0.2">
      <c r="B67" s="90"/>
    </row>
    <row r="68" spans="2:2" x14ac:dyDescent="0.2">
      <c r="B68" s="90"/>
    </row>
    <row r="69" spans="2:2" x14ac:dyDescent="0.2">
      <c r="B69" s="90"/>
    </row>
    <row r="70" spans="2:2" x14ac:dyDescent="0.2">
      <c r="B70" s="90"/>
    </row>
    <row r="71" spans="2:2" x14ac:dyDescent="0.2">
      <c r="B71" s="90"/>
    </row>
    <row r="72" spans="2:2" x14ac:dyDescent="0.2">
      <c r="B72" s="90"/>
    </row>
    <row r="73" spans="2:2" x14ac:dyDescent="0.2">
      <c r="B73" s="90"/>
    </row>
    <row r="74" spans="2:2" x14ac:dyDescent="0.2">
      <c r="B74" s="90"/>
    </row>
    <row r="75" spans="2:2" x14ac:dyDescent="0.2">
      <c r="B75" s="90"/>
    </row>
    <row r="76" spans="2:2" x14ac:dyDescent="0.2">
      <c r="B76" s="90"/>
    </row>
    <row r="77" spans="2:2" x14ac:dyDescent="0.2">
      <c r="B77" s="90"/>
    </row>
    <row r="78" spans="2:2" x14ac:dyDescent="0.2">
      <c r="B78" s="90"/>
    </row>
    <row r="79" spans="2:2" x14ac:dyDescent="0.2">
      <c r="B79" s="90"/>
    </row>
    <row r="80" spans="2:2" x14ac:dyDescent="0.2">
      <c r="B80" s="90"/>
    </row>
    <row r="81" spans="2:2" x14ac:dyDescent="0.2">
      <c r="B81" s="90"/>
    </row>
    <row r="82" spans="2:2" x14ac:dyDescent="0.2">
      <c r="B82" s="90"/>
    </row>
    <row r="83" spans="2:2" x14ac:dyDescent="0.2">
      <c r="B83" s="90"/>
    </row>
    <row r="84" spans="2:2" x14ac:dyDescent="0.2">
      <c r="B84" s="90"/>
    </row>
    <row r="85" spans="2:2" x14ac:dyDescent="0.2">
      <c r="B85" s="90"/>
    </row>
    <row r="86" spans="2:2" x14ac:dyDescent="0.2">
      <c r="B86" s="90"/>
    </row>
    <row r="87" spans="2:2" x14ac:dyDescent="0.2">
      <c r="B87" s="90"/>
    </row>
    <row r="88" spans="2:2" x14ac:dyDescent="0.2">
      <c r="B88" s="90"/>
    </row>
    <row r="89" spans="2:2" x14ac:dyDescent="0.2">
      <c r="B89" s="90"/>
    </row>
    <row r="90" spans="2:2" x14ac:dyDescent="0.2">
      <c r="B90" s="90"/>
    </row>
    <row r="91" spans="2:2" x14ac:dyDescent="0.2">
      <c r="B91" s="90"/>
    </row>
    <row r="92" spans="2:2" x14ac:dyDescent="0.2">
      <c r="B92" s="90"/>
    </row>
    <row r="93" spans="2:2" x14ac:dyDescent="0.2">
      <c r="B93" s="90"/>
    </row>
    <row r="94" spans="2:2" x14ac:dyDescent="0.2">
      <c r="B94" s="90"/>
    </row>
    <row r="95" spans="2:2" x14ac:dyDescent="0.2">
      <c r="B95" s="90"/>
    </row>
    <row r="96" spans="2:2" x14ac:dyDescent="0.2">
      <c r="B96" s="90"/>
    </row>
    <row r="97" spans="2:2" x14ac:dyDescent="0.2">
      <c r="B97" s="90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zoomScale="88" zoomScaleNormal="88" workbookViewId="0">
      <selection activeCell="D21" sqref="D21"/>
    </sheetView>
  </sheetViews>
  <sheetFormatPr defaultColWidth="8.85546875" defaultRowHeight="12.75" x14ac:dyDescent="0.2"/>
  <cols>
    <col min="1" max="1" width="54.42578125" style="31" customWidth="1"/>
    <col min="2" max="2" width="12.42578125" style="45" bestFit="1" customWidth="1"/>
    <col min="3" max="3" width="11.28515625" style="31" customWidth="1"/>
    <col min="4" max="6" width="11.28515625" style="31" bestFit="1" customWidth="1"/>
    <col min="7" max="8" width="11.42578125" style="31" customWidth="1"/>
    <col min="9" max="16384" width="8.85546875" style="31"/>
  </cols>
  <sheetData>
    <row r="1" spans="1:8" x14ac:dyDescent="0.2">
      <c r="A1" s="40"/>
      <c r="B1" s="44"/>
    </row>
    <row r="2" spans="1:8" x14ac:dyDescent="0.2">
      <c r="A2" s="40" t="s">
        <v>78</v>
      </c>
      <c r="B2" s="44"/>
    </row>
    <row r="3" spans="1:8" s="33" customFormat="1" x14ac:dyDescent="0.2">
      <c r="A3" s="31"/>
      <c r="B3" s="55"/>
    </row>
    <row r="4" spans="1:8" s="33" customFormat="1" x14ac:dyDescent="0.2">
      <c r="A4" s="31"/>
      <c r="B4" s="133" t="s">
        <v>16</v>
      </c>
      <c r="C4" s="53">
        <v>2019</v>
      </c>
      <c r="D4" s="53">
        <v>2020</v>
      </c>
      <c r="E4" s="53">
        <v>2021</v>
      </c>
      <c r="F4" s="53">
        <v>2022</v>
      </c>
      <c r="G4" s="53">
        <v>2023</v>
      </c>
      <c r="H4" s="53">
        <v>2024</v>
      </c>
    </row>
    <row r="5" spans="1:8" s="33" customFormat="1" x14ac:dyDescent="0.2">
      <c r="A5" s="127" t="s">
        <v>61</v>
      </c>
      <c r="B5" s="45"/>
      <c r="C5" s="31"/>
      <c r="D5" s="31"/>
      <c r="E5" s="31"/>
      <c r="F5" s="31"/>
      <c r="G5" s="31"/>
      <c r="H5" s="31"/>
    </row>
    <row r="6" spans="1:8" s="33" customFormat="1" x14ac:dyDescent="0.2">
      <c r="A6" s="100" t="s">
        <v>38</v>
      </c>
      <c r="B6" s="119">
        <f>SUM(C6:H6)</f>
        <v>6007559.0700000003</v>
      </c>
      <c r="C6" s="128"/>
      <c r="D6" s="128"/>
      <c r="E6" s="129">
        <v>1308153.27</v>
      </c>
      <c r="F6" s="129">
        <v>4108614.3</v>
      </c>
      <c r="G6" s="129">
        <v>177540.94</v>
      </c>
      <c r="H6" s="129">
        <v>413250.56</v>
      </c>
    </row>
    <row r="7" spans="1:8" s="33" customFormat="1" x14ac:dyDescent="0.2">
      <c r="A7" s="100" t="s">
        <v>62</v>
      </c>
      <c r="B7" s="119">
        <f>SUM(C7:H7)</f>
        <v>1276789.9140000001</v>
      </c>
      <c r="C7" s="128"/>
      <c r="D7" s="128"/>
      <c r="E7" s="129">
        <v>577493.52</v>
      </c>
      <c r="F7" s="129">
        <v>652597.47400000005</v>
      </c>
      <c r="G7" s="129">
        <v>37125.800000000003</v>
      </c>
      <c r="H7" s="129">
        <v>9573.1200000000008</v>
      </c>
    </row>
    <row r="8" spans="1:8" s="33" customFormat="1" x14ac:dyDescent="0.2">
      <c r="A8" s="100" t="s">
        <v>39</v>
      </c>
      <c r="B8" s="130">
        <f>SUM(C8:H8)</f>
        <v>759322.82000000007</v>
      </c>
      <c r="C8" s="131"/>
      <c r="D8" s="131"/>
      <c r="E8" s="131">
        <v>219402.4</v>
      </c>
      <c r="F8" s="131">
        <v>530783.02</v>
      </c>
      <c r="G8" s="131">
        <v>9137.4</v>
      </c>
      <c r="H8" s="148">
        <v>0</v>
      </c>
    </row>
    <row r="9" spans="1:8" s="33" customFormat="1" ht="13.5" thickBot="1" x14ac:dyDescent="0.25">
      <c r="A9" s="46" t="s">
        <v>40</v>
      </c>
      <c r="B9" s="132">
        <f>SUM(B6:B8)</f>
        <v>8043671.8040000005</v>
      </c>
      <c r="C9" s="81">
        <f t="shared" ref="C9:H9" si="0">SUM(C6:C8)</f>
        <v>0</v>
      </c>
      <c r="D9" s="81">
        <f t="shared" si="0"/>
        <v>0</v>
      </c>
      <c r="E9" s="81">
        <f t="shared" si="0"/>
        <v>2105049.19</v>
      </c>
      <c r="F9" s="81">
        <f t="shared" si="0"/>
        <v>5291994.7939999998</v>
      </c>
      <c r="G9" s="81">
        <f t="shared" si="0"/>
        <v>223804.13999999998</v>
      </c>
      <c r="H9" s="81">
        <f t="shared" si="0"/>
        <v>422823.67999999999</v>
      </c>
    </row>
    <row r="10" spans="1:8" s="33" customFormat="1" ht="13.5" thickTop="1" x14ac:dyDescent="0.2">
      <c r="A10" s="46"/>
      <c r="B10" s="78"/>
      <c r="C10" s="81"/>
      <c r="D10" s="81"/>
    </row>
    <row r="11" spans="1:8" s="33" customFormat="1" x14ac:dyDescent="0.2">
      <c r="A11" s="127" t="s">
        <v>33</v>
      </c>
      <c r="B11" s="133" t="s">
        <v>16</v>
      </c>
      <c r="C11" s="53">
        <v>2019</v>
      </c>
      <c r="D11" s="53">
        <v>2020</v>
      </c>
      <c r="E11" s="53">
        <v>2021</v>
      </c>
      <c r="F11" s="53">
        <v>2022</v>
      </c>
      <c r="G11" s="53">
        <v>2023</v>
      </c>
      <c r="H11" s="53">
        <v>2024</v>
      </c>
    </row>
    <row r="12" spans="1:8" s="33" customFormat="1" x14ac:dyDescent="0.2">
      <c r="A12" s="73" t="s">
        <v>34</v>
      </c>
      <c r="B12" s="130">
        <f>SUM(C12:H12)</f>
        <v>3135957.01</v>
      </c>
      <c r="C12" s="134">
        <v>1735656.39</v>
      </c>
      <c r="D12" s="134">
        <v>1384357.04</v>
      </c>
      <c r="E12" s="134">
        <v>15943.58</v>
      </c>
      <c r="F12" s="134">
        <v>0</v>
      </c>
      <c r="G12" s="134">
        <v>0</v>
      </c>
      <c r="H12" s="134">
        <v>0</v>
      </c>
    </row>
    <row r="13" spans="1:8" s="33" customFormat="1" ht="13.5" thickBot="1" x14ac:dyDescent="0.25">
      <c r="A13" s="46" t="s">
        <v>65</v>
      </c>
      <c r="B13" s="132">
        <f>SUM(B12:B12)</f>
        <v>3135957.01</v>
      </c>
      <c r="C13" s="81">
        <f t="shared" ref="C13:E13" si="1">C12</f>
        <v>1735656.39</v>
      </c>
      <c r="D13" s="81">
        <f t="shared" si="1"/>
        <v>1384357.04</v>
      </c>
      <c r="E13" s="81">
        <f t="shared" si="1"/>
        <v>15943.58</v>
      </c>
      <c r="F13" s="81">
        <f t="shared" ref="F13:H13" si="2">F12</f>
        <v>0</v>
      </c>
      <c r="G13" s="81">
        <f t="shared" si="2"/>
        <v>0</v>
      </c>
      <c r="H13" s="81">
        <f t="shared" si="2"/>
        <v>0</v>
      </c>
    </row>
    <row r="14" spans="1:8" s="33" customFormat="1" ht="13.5" thickTop="1" x14ac:dyDescent="0.2">
      <c r="A14" s="46"/>
      <c r="B14" s="78"/>
      <c r="C14" s="81"/>
      <c r="D14" s="81"/>
      <c r="E14" s="81"/>
      <c r="F14" s="81"/>
    </row>
    <row r="15" spans="1:8" s="33" customFormat="1" x14ac:dyDescent="0.2">
      <c r="A15" s="115" t="s">
        <v>66</v>
      </c>
      <c r="B15" s="77"/>
      <c r="C15" s="111"/>
      <c r="D15" s="111"/>
      <c r="E15" s="41"/>
      <c r="F15" s="41"/>
      <c r="G15" s="41"/>
      <c r="H15" s="41"/>
    </row>
    <row r="16" spans="1:8" s="33" customFormat="1" x14ac:dyDescent="0.2">
      <c r="A16" s="112" t="s">
        <v>63</v>
      </c>
      <c r="B16" s="133" t="s">
        <v>16</v>
      </c>
      <c r="C16" s="53">
        <v>2019</v>
      </c>
      <c r="D16" s="53">
        <v>2020</v>
      </c>
      <c r="E16" s="53">
        <v>2021</v>
      </c>
      <c r="F16" s="53">
        <v>2022</v>
      </c>
      <c r="G16" s="53">
        <v>2023</v>
      </c>
      <c r="H16" s="53">
        <v>2024</v>
      </c>
    </row>
    <row r="17" spans="1:8" s="33" customFormat="1" x14ac:dyDescent="0.2">
      <c r="A17" s="113" t="s">
        <v>64</v>
      </c>
      <c r="B17" s="130">
        <f>SUM(C17:H17)</f>
        <v>4755606.41</v>
      </c>
      <c r="C17" s="135">
        <v>0</v>
      </c>
      <c r="D17" s="135">
        <v>0</v>
      </c>
      <c r="E17" s="135">
        <v>0</v>
      </c>
      <c r="F17" s="135">
        <v>0</v>
      </c>
      <c r="G17" s="145">
        <v>1117914.6499999999</v>
      </c>
      <c r="H17" s="145">
        <v>3637691.76</v>
      </c>
    </row>
    <row r="18" spans="1:8" s="33" customFormat="1" x14ac:dyDescent="0.2">
      <c r="A18" s="114" t="s">
        <v>67</v>
      </c>
      <c r="B18" s="136">
        <f t="shared" ref="B18:G18" si="3">SUM(B17:B17)</f>
        <v>4755606.41</v>
      </c>
      <c r="C18" s="137">
        <f t="shared" si="3"/>
        <v>0</v>
      </c>
      <c r="D18" s="137">
        <f t="shared" si="3"/>
        <v>0</v>
      </c>
      <c r="E18" s="137">
        <f t="shared" si="3"/>
        <v>0</v>
      </c>
      <c r="F18" s="137">
        <f t="shared" si="3"/>
        <v>0</v>
      </c>
      <c r="G18" s="146">
        <f t="shared" si="3"/>
        <v>1117914.6499999999</v>
      </c>
      <c r="H18" s="146">
        <f t="shared" ref="H18" si="4">SUM(H17:H17)</f>
        <v>3637691.76</v>
      </c>
    </row>
    <row r="19" spans="1:8" x14ac:dyDescent="0.2">
      <c r="B19" s="55"/>
      <c r="G19" s="33"/>
    </row>
    <row r="20" spans="1:8" ht="13.5" thickBot="1" x14ac:dyDescent="0.25">
      <c r="A20" s="31" t="s">
        <v>32</v>
      </c>
      <c r="B20" s="85">
        <f>B9+B13+B18</f>
        <v>15935235.223999999</v>
      </c>
    </row>
    <row r="21" spans="1:8" ht="13.5" thickTop="1" x14ac:dyDescent="0.2"/>
    <row r="22" spans="1:8" x14ac:dyDescent="0.2">
      <c r="A22" s="82"/>
      <c r="B22" s="84"/>
    </row>
    <row r="24" spans="1:8" x14ac:dyDescent="0.2">
      <c r="A24" s="40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O20"/>
  <sheetViews>
    <sheetView zoomScale="90" zoomScaleNormal="90" workbookViewId="0">
      <selection activeCell="G25" sqref="G25"/>
    </sheetView>
  </sheetViews>
  <sheetFormatPr defaultColWidth="8.85546875" defaultRowHeight="12.75" x14ac:dyDescent="0.2"/>
  <cols>
    <col min="1" max="1" width="61" style="67" bestFit="1" customWidth="1"/>
    <col min="2" max="2" width="11.42578125" style="68" bestFit="1" customWidth="1"/>
    <col min="3" max="3" width="7.28515625" style="67" bestFit="1" customWidth="1"/>
    <col min="4" max="5" width="9.5703125" style="67" bestFit="1" customWidth="1"/>
    <col min="6" max="6" width="10.28515625" style="58" customWidth="1"/>
    <col min="7" max="10" width="8.85546875" style="58"/>
    <col min="11" max="13" width="9.5703125" style="58" bestFit="1" customWidth="1"/>
    <col min="14" max="16384" width="8.85546875" style="58"/>
  </cols>
  <sheetData>
    <row r="2" spans="1:15" x14ac:dyDescent="0.2">
      <c r="A2" s="40" t="s">
        <v>77</v>
      </c>
    </row>
    <row r="3" spans="1:15" x14ac:dyDescent="0.2">
      <c r="B3" s="72"/>
      <c r="C3" s="31"/>
      <c r="D3" s="31"/>
      <c r="E3" s="31"/>
      <c r="F3" s="31"/>
      <c r="G3" s="31"/>
      <c r="H3" s="31"/>
      <c r="I3" s="31"/>
    </row>
    <row r="4" spans="1:15" x14ac:dyDescent="0.2">
      <c r="A4" s="74"/>
      <c r="B4" s="75" t="s">
        <v>16</v>
      </c>
      <c r="C4" s="53">
        <v>2012</v>
      </c>
      <c r="D4" s="53">
        <v>2013</v>
      </c>
      <c r="E4" s="53">
        <v>2014</v>
      </c>
      <c r="F4" s="53">
        <v>2015</v>
      </c>
      <c r="G4" s="53">
        <v>2016</v>
      </c>
      <c r="H4" s="53">
        <v>2017</v>
      </c>
      <c r="I4" s="53">
        <v>2018</v>
      </c>
      <c r="J4" s="53">
        <v>2019</v>
      </c>
      <c r="K4" s="53">
        <v>2020</v>
      </c>
      <c r="L4" s="53">
        <v>2021</v>
      </c>
      <c r="M4" s="53">
        <v>2022</v>
      </c>
      <c r="N4" s="116">
        <v>2023</v>
      </c>
      <c r="O4" s="116">
        <v>2024</v>
      </c>
    </row>
    <row r="5" spans="1:15" x14ac:dyDescent="0.2">
      <c r="A5" s="76" t="s">
        <v>26</v>
      </c>
      <c r="B5" s="138"/>
      <c r="C5" s="72"/>
      <c r="D5" s="72"/>
      <c r="E5" s="31"/>
      <c r="F5" s="139"/>
      <c r="G5" s="139"/>
      <c r="H5" s="139"/>
      <c r="I5" s="31"/>
      <c r="J5" s="31"/>
      <c r="K5" s="31"/>
      <c r="L5" s="31"/>
      <c r="M5" s="31"/>
      <c r="N5" s="140"/>
      <c r="O5" s="144"/>
    </row>
    <row r="6" spans="1:15" x14ac:dyDescent="0.2">
      <c r="A6" s="73" t="s">
        <v>27</v>
      </c>
      <c r="B6" s="77">
        <f>SUM(C6:O6)</f>
        <v>148465.66</v>
      </c>
      <c r="C6" s="141">
        <v>0</v>
      </c>
      <c r="D6" s="141">
        <v>0</v>
      </c>
      <c r="E6" s="141">
        <v>148465.66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</row>
    <row r="7" spans="1:15" x14ac:dyDescent="0.2">
      <c r="A7" s="73"/>
      <c r="B7" s="78"/>
      <c r="C7" s="119"/>
      <c r="D7" s="119"/>
      <c r="E7" s="79"/>
      <c r="F7" s="79"/>
      <c r="G7" s="79"/>
      <c r="H7" s="79"/>
      <c r="I7" s="79"/>
      <c r="J7" s="67"/>
      <c r="K7" s="67"/>
      <c r="L7" s="67"/>
      <c r="M7" s="67"/>
      <c r="N7" s="67"/>
      <c r="O7" s="67"/>
    </row>
    <row r="8" spans="1:15" x14ac:dyDescent="0.2">
      <c r="A8" s="73"/>
      <c r="B8" s="78"/>
      <c r="C8" s="119"/>
      <c r="D8" s="119"/>
      <c r="E8" s="79"/>
      <c r="F8" s="79"/>
      <c r="G8" s="79"/>
      <c r="H8" s="79"/>
      <c r="I8" s="79"/>
      <c r="J8" s="67"/>
      <c r="K8" s="67"/>
      <c r="L8" s="67"/>
      <c r="M8" s="67"/>
      <c r="N8" s="67"/>
      <c r="O8" s="67"/>
    </row>
    <row r="9" spans="1:15" x14ac:dyDescent="0.2">
      <c r="A9" s="99" t="s">
        <v>36</v>
      </c>
      <c r="B9" s="75" t="s">
        <v>16</v>
      </c>
      <c r="C9" s="53">
        <v>2012</v>
      </c>
      <c r="D9" s="53">
        <v>2013</v>
      </c>
      <c r="E9" s="53">
        <v>2014</v>
      </c>
      <c r="F9" s="53">
        <v>2015</v>
      </c>
      <c r="G9" s="53">
        <v>2016</v>
      </c>
      <c r="H9" s="53">
        <v>2017</v>
      </c>
      <c r="I9" s="53">
        <v>2018</v>
      </c>
      <c r="J9" s="53">
        <v>2019</v>
      </c>
      <c r="K9" s="53">
        <v>2020</v>
      </c>
      <c r="L9" s="53">
        <v>2021</v>
      </c>
      <c r="M9" s="53">
        <v>2022</v>
      </c>
      <c r="N9" s="116">
        <v>2023</v>
      </c>
      <c r="O9" s="116">
        <v>2024</v>
      </c>
    </row>
    <row r="10" spans="1:15" x14ac:dyDescent="0.2">
      <c r="A10" s="100" t="s">
        <v>37</v>
      </c>
      <c r="B10" s="77">
        <f>SUM(C10:O10)</f>
        <v>526879.43999999994</v>
      </c>
      <c r="C10" s="141">
        <v>0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258666.91999999998</v>
      </c>
      <c r="L10" s="119">
        <v>268212.52</v>
      </c>
      <c r="M10" s="119">
        <v>0</v>
      </c>
      <c r="N10" s="119">
        <v>0</v>
      </c>
      <c r="O10" s="119">
        <v>0</v>
      </c>
    </row>
    <row r="11" spans="1:15" x14ac:dyDescent="0.2">
      <c r="A11" s="100"/>
      <c r="B11" s="78"/>
      <c r="C11" s="95"/>
      <c r="D11" s="95"/>
      <c r="E11" s="95"/>
      <c r="F11" s="95"/>
      <c r="G11" s="95"/>
      <c r="H11" s="95"/>
      <c r="I11" s="95"/>
      <c r="J11" s="95"/>
      <c r="K11" s="95"/>
      <c r="L11" s="119"/>
      <c r="M11" s="119"/>
      <c r="N11" s="67"/>
      <c r="O11" s="67"/>
    </row>
    <row r="12" spans="1:15" x14ac:dyDescent="0.2">
      <c r="A12" s="99" t="s">
        <v>59</v>
      </c>
      <c r="B12" s="75" t="s">
        <v>16</v>
      </c>
      <c r="C12" s="53">
        <v>2012</v>
      </c>
      <c r="D12" s="53">
        <v>2013</v>
      </c>
      <c r="E12" s="53">
        <v>2014</v>
      </c>
      <c r="F12" s="53">
        <v>2015</v>
      </c>
      <c r="G12" s="53">
        <v>2016</v>
      </c>
      <c r="H12" s="53">
        <v>2017</v>
      </c>
      <c r="I12" s="53">
        <v>2018</v>
      </c>
      <c r="J12" s="53">
        <v>2019</v>
      </c>
      <c r="K12" s="53">
        <v>2020</v>
      </c>
      <c r="L12" s="53">
        <v>2021</v>
      </c>
      <c r="M12" s="53">
        <v>2022</v>
      </c>
      <c r="N12" s="116">
        <v>2023</v>
      </c>
      <c r="O12" s="116">
        <v>2024</v>
      </c>
    </row>
    <row r="13" spans="1:15" x14ac:dyDescent="0.2">
      <c r="A13" s="100" t="s">
        <v>60</v>
      </c>
      <c r="B13" s="77">
        <f>SUM(C13:O13)</f>
        <v>4989.6000000000004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142">
        <v>4989.6000000000004</v>
      </c>
      <c r="O13" s="142">
        <v>0</v>
      </c>
    </row>
    <row r="14" spans="1:15" x14ac:dyDescent="0.2">
      <c r="A14" s="73"/>
      <c r="B14" s="78"/>
      <c r="C14" s="79"/>
      <c r="D14" s="79"/>
      <c r="E14" s="79"/>
      <c r="F14" s="79"/>
      <c r="G14" s="79"/>
      <c r="H14" s="31"/>
      <c r="I14" s="31"/>
      <c r="O14" s="67"/>
    </row>
    <row r="15" spans="1:15" ht="13.5" thickBot="1" x14ac:dyDescent="0.25">
      <c r="A15" s="31" t="s">
        <v>28</v>
      </c>
      <c r="B15" s="80">
        <f>B6+B10</f>
        <v>675345.1</v>
      </c>
      <c r="C15" s="31"/>
      <c r="D15" s="31"/>
      <c r="E15" s="31"/>
      <c r="F15" s="31"/>
      <c r="G15" s="31"/>
      <c r="H15" s="31"/>
      <c r="I15" s="31"/>
      <c r="O15" s="67"/>
    </row>
    <row r="16" spans="1:15" ht="13.5" thickTop="1" x14ac:dyDescent="0.2">
      <c r="A16" s="82"/>
      <c r="B16" s="83"/>
    </row>
    <row r="20" spans="1:9" x14ac:dyDescent="0.2">
      <c r="A20" s="86"/>
      <c r="B20" s="87"/>
      <c r="C20" s="88"/>
      <c r="D20" s="88"/>
      <c r="E20" s="88"/>
      <c r="F20" s="89"/>
      <c r="G20" s="86"/>
      <c r="H20" s="89"/>
      <c r="I20" s="89"/>
    </row>
  </sheetData>
  <phoneticPr fontId="0" type="noConversion"/>
  <pageMargins left="0.75" right="0.75" top="1.08" bottom="0.75" header="0.5" footer="0.5"/>
  <pageSetup scale="88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4BE496-2E99-4F01-82F8-A485804FE394}"/>
</file>

<file path=customXml/itemProps2.xml><?xml version="1.0" encoding="utf-8"?>
<ds:datastoreItem xmlns:ds="http://schemas.openxmlformats.org/officeDocument/2006/customXml" ds:itemID="{2CA76D99-9678-46CB-A22A-3266C1B7B258}"/>
</file>

<file path=customXml/itemProps3.xml><?xml version="1.0" encoding="utf-8"?>
<ds:datastoreItem xmlns:ds="http://schemas.openxmlformats.org/officeDocument/2006/customXml" ds:itemID="{AB18FD2D-246C-48F8-A07F-D4645141D4D7}"/>
</file>

<file path=customXml/itemProps4.xml><?xml version="1.0" encoding="utf-8"?>
<ds:datastoreItem xmlns:ds="http://schemas.openxmlformats.org/officeDocument/2006/customXml" ds:itemID="{687D4954-2B74-4CB1-96C6-15D84A9BC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Avg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2015-12-23T17:57:01Z</cp:lastPrinted>
  <dcterms:created xsi:type="dcterms:W3CDTF">2003-11-18T20:14:12Z</dcterms:created>
  <dcterms:modified xsi:type="dcterms:W3CDTF">2025-03-27T17:03:02Z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