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ates\Public\PGA Files\PGA2024_Nov 1, 2024 Effective Date\RNG and VRNG\Sch. 138 VRNG\Filed (9-16-24)\"/>
    </mc:Choice>
  </mc:AlternateContent>
  <bookViews>
    <workbookView xWindow="0" yWindow="0" windowWidth="19200" windowHeight="6900" tabRatio="830"/>
  </bookViews>
  <sheets>
    <sheet name="REDACTED VERSION" sheetId="11" r:id="rId1"/>
    <sheet name="Sch. 138 VRNG Rates" sheetId="12" r:id="rId2"/>
    <sheet name="VRNG Cost Summary (R)" sheetId="13" r:id="rId3"/>
    <sheet name="Actual VRNG Volumes" sheetId="8" r:id="rId4"/>
    <sheet name="Forecast VRNG Volumes (R)" sheetId="10" r:id="rId5"/>
    <sheet name="RNG Assumptions" sheetId="9" r:id="rId6"/>
    <sheet name="Conversion Factor" sheetId="14" r:id="rId7"/>
  </sheets>
  <definedNames>
    <definedName name="_Order1">0</definedName>
    <definedName name="_Order2">0</definedName>
    <definedName name="_Regression_Int">1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LineAfter">FALSE</definedName>
    <definedName name="HTML_LineBefore">FALSE</definedName>
    <definedName name="HTML_OBDlg2">TRUE</definedName>
    <definedName name="HTML_OBDlg4">TRUE</definedName>
    <definedName name="HTML_OS">0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6">'Conversion Factor'!$A$1:$E$26</definedName>
    <definedName name="_xlnm.Print_Area" localSheetId="4">'Forecast VRNG Volumes (R)'!$A$1:$Q$32</definedName>
    <definedName name="_xlnm.Print_Area" localSheetId="0">'REDACTED VERSION'!$A$1:$R$45</definedName>
    <definedName name="_xlnm.Print_Area" localSheetId="5">'RNG Assumptions'!$A$1:$C$30</definedName>
    <definedName name="_xlnm.Print_Area" localSheetId="1">'Sch. 138 VRNG Rates'!$A$1:$N$31</definedName>
    <definedName name="_xlnm.Print_Area" localSheetId="2">'VRNG Cost Summary (R)'!$A$1:$C$28</definedName>
    <definedName name="_xlnm.Print_Titles" localSheetId="3">'Actual VRNG Volumes'!$A:$A</definedName>
    <definedName name="_xlnm.Print_Titles" localSheetId="4">'Forecast VRNG Volumes (R)'!$A:$A</definedName>
    <definedName name="solver_ntri">1000</definedName>
    <definedName name="solver_rsmp">2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9" l="1"/>
  <c r="B10" i="9"/>
  <c r="B19" i="9" l="1"/>
  <c r="B27" i="9" l="1"/>
  <c r="B26" i="9"/>
  <c r="A25" i="13"/>
  <c r="A26" i="13"/>
  <c r="A27" i="13"/>
  <c r="A28" i="13" s="1"/>
  <c r="B16" i="9" l="1"/>
  <c r="B7" i="9"/>
  <c r="I38" i="8"/>
  <c r="K38" i="8"/>
  <c r="M38" i="8"/>
  <c r="N38" i="8"/>
  <c r="O38" i="8"/>
  <c r="P38" i="8"/>
  <c r="G38" i="8"/>
  <c r="F38" i="8"/>
  <c r="O19" i="8"/>
  <c r="P19" i="8"/>
  <c r="O20" i="8"/>
  <c r="P20" i="8"/>
  <c r="O21" i="8"/>
  <c r="P21" i="8"/>
  <c r="O22" i="8"/>
  <c r="P22" i="8"/>
  <c r="O23" i="8"/>
  <c r="P23" i="8"/>
  <c r="O24" i="8"/>
  <c r="P24" i="8"/>
  <c r="O25" i="8"/>
  <c r="P25" i="8"/>
  <c r="O26" i="8"/>
  <c r="P26" i="8"/>
  <c r="O27" i="8"/>
  <c r="P27" i="8"/>
  <c r="O28" i="8"/>
  <c r="P28" i="8"/>
  <c r="O29" i="8"/>
  <c r="P29" i="8"/>
  <c r="K19" i="8"/>
  <c r="K20" i="8"/>
  <c r="K21" i="8"/>
  <c r="K22" i="8"/>
  <c r="K23" i="8"/>
  <c r="K24" i="8"/>
  <c r="K25" i="8"/>
  <c r="K26" i="8"/>
  <c r="K27" i="8"/>
  <c r="K28" i="8"/>
  <c r="K29" i="8"/>
  <c r="K30" i="8"/>
  <c r="I19" i="8"/>
  <c r="B20" i="13" l="1"/>
  <c r="B9" i="13"/>
  <c r="A3" i="13" l="1"/>
  <c r="A29" i="12" l="1"/>
  <c r="D23" i="12"/>
  <c r="D11" i="12"/>
  <c r="J27" i="12" s="1"/>
  <c r="E13" i="14" l="1"/>
  <c r="E15" i="14" s="1"/>
  <c r="E11" i="14"/>
  <c r="B11" i="14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5" i="13"/>
  <c r="A2" i="13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8" i="12"/>
  <c r="E23" i="14" l="1"/>
  <c r="J15" i="12" s="1"/>
  <c r="E16" i="14"/>
  <c r="E17" i="14" s="1"/>
  <c r="B7" i="8" l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G6" i="8"/>
  <c r="N20" i="8" l="1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19" i="8"/>
  <c r="F6" i="8"/>
  <c r="F7" i="8"/>
  <c r="F8" i="8"/>
  <c r="F9" i="8"/>
  <c r="F10" i="8"/>
  <c r="F11" i="8"/>
  <c r="F12" i="8"/>
  <c r="F13" i="8"/>
  <c r="F14" i="8"/>
  <c r="F15" i="8"/>
  <c r="F16" i="8"/>
  <c r="F27" i="8"/>
  <c r="F28" i="8"/>
  <c r="F29" i="8"/>
  <c r="F30" i="8"/>
  <c r="F31" i="8"/>
  <c r="F32" i="8"/>
  <c r="F33" i="8"/>
  <c r="F34" i="8"/>
  <c r="F35" i="8"/>
  <c r="F36" i="8"/>
  <c r="F37" i="8"/>
  <c r="O4" i="8"/>
  <c r="P4" i="8"/>
  <c r="M4" i="8"/>
  <c r="N4" i="8"/>
  <c r="K4" i="8"/>
  <c r="L4" i="8"/>
  <c r="P31" i="8" l="1"/>
  <c r="P32" i="8"/>
  <c r="P33" i="8"/>
  <c r="P34" i="8"/>
  <c r="P35" i="8"/>
  <c r="P36" i="8"/>
  <c r="P37" i="8"/>
  <c r="K31" i="8" l="1"/>
  <c r="K32" i="8"/>
  <c r="K33" i="8"/>
  <c r="K34" i="8"/>
  <c r="K35" i="8"/>
  <c r="K36" i="8"/>
  <c r="K37" i="8"/>
  <c r="I31" i="8"/>
  <c r="M31" i="8" s="1"/>
  <c r="I32" i="8"/>
  <c r="M32" i="8" s="1"/>
  <c r="I33" i="8"/>
  <c r="M33" i="8" s="1"/>
  <c r="I34" i="8"/>
  <c r="M34" i="8" s="1"/>
  <c r="I35" i="8"/>
  <c r="M35" i="8" s="1"/>
  <c r="I36" i="8"/>
  <c r="M36" i="8" s="1"/>
  <c r="I37" i="8"/>
  <c r="M37" i="8" s="1"/>
  <c r="O35" i="8" l="1"/>
  <c r="O37" i="8"/>
  <c r="O34" i="8"/>
  <c r="O32" i="8"/>
  <c r="O33" i="8"/>
  <c r="O31" i="8"/>
  <c r="O36" i="8"/>
  <c r="P30" i="8" l="1"/>
  <c r="I28" i="8"/>
  <c r="M28" i="8" s="1"/>
  <c r="I27" i="8"/>
  <c r="M27" i="8" s="1"/>
  <c r="I30" i="8"/>
  <c r="M30" i="8" s="1"/>
  <c r="I29" i="8"/>
  <c r="M29" i="8" s="1"/>
  <c r="O30" i="8" l="1"/>
  <c r="G37" i="8"/>
  <c r="G31" i="8" l="1"/>
  <c r="E2" i="10" l="1"/>
  <c r="G27" i="8" l="1"/>
  <c r="G28" i="8"/>
  <c r="G29" i="8"/>
  <c r="G30" i="8"/>
  <c r="G32" i="8"/>
  <c r="G33" i="8"/>
  <c r="G34" i="8"/>
  <c r="F26" i="8" l="1"/>
  <c r="I24" i="8" l="1"/>
  <c r="M24" i="8" s="1"/>
  <c r="F24" i="8"/>
  <c r="I25" i="8"/>
  <c r="M25" i="8" s="1"/>
  <c r="F25" i="8"/>
  <c r="I26" i="8"/>
  <c r="M26" i="8" s="1"/>
  <c r="G25" i="8"/>
  <c r="G24" i="8"/>
  <c r="G26" i="8"/>
  <c r="G7" i="8" l="1"/>
  <c r="G8" i="8"/>
  <c r="G9" i="8"/>
  <c r="G10" i="8"/>
  <c r="G11" i="8"/>
  <c r="G12" i="8"/>
  <c r="G13" i="8"/>
  <c r="G14" i="8"/>
  <c r="G15" i="8"/>
  <c r="G16" i="8"/>
  <c r="F23" i="8" l="1"/>
  <c r="F22" i="8"/>
  <c r="F21" i="8"/>
  <c r="F20" i="8"/>
  <c r="F19" i="8"/>
  <c r="I23" i="8" l="1"/>
  <c r="M23" i="8" s="1"/>
  <c r="I20" i="8"/>
  <c r="M20" i="8" s="1"/>
  <c r="M19" i="8"/>
  <c r="I21" i="8"/>
  <c r="M21" i="8" s="1"/>
  <c r="I22" i="8"/>
  <c r="M22" i="8" s="1"/>
  <c r="G19" i="8"/>
  <c r="G20" i="8"/>
  <c r="G21" i="8"/>
  <c r="G22" i="8"/>
  <c r="G23" i="8"/>
  <c r="F18" i="8"/>
  <c r="F17" i="8"/>
  <c r="G17" i="8" l="1"/>
  <c r="G18" i="8"/>
  <c r="A7" i="8" l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G35" i="8" l="1"/>
  <c r="G36" i="8"/>
  <c r="H4" i="10"/>
  <c r="E39" i="8" l="1"/>
  <c r="I4" i="10"/>
  <c r="J4" i="10" l="1"/>
  <c r="D39" i="8" l="1"/>
  <c r="G39" i="8" s="1"/>
  <c r="F39" i="8"/>
  <c r="K4" i="10"/>
  <c r="L4" i="10" l="1"/>
  <c r="M4" i="10" l="1"/>
  <c r="N4" i="10" l="1"/>
  <c r="O4" i="10" l="1"/>
  <c r="P4" i="10" l="1"/>
  <c r="C14" i="13" l="1"/>
  <c r="C25" i="13"/>
  <c r="E25" i="12" l="1"/>
  <c r="F25" i="12" s="1"/>
  <c r="G25" i="12" s="1"/>
  <c r="K27" i="12" s="1"/>
  <c r="M29" i="12" s="1"/>
  <c r="N29" i="12" s="1"/>
  <c r="E13" i="12"/>
  <c r="F13" i="12" s="1"/>
  <c r="G13" i="12" l="1"/>
  <c r="K15" i="12" s="1"/>
  <c r="M17" i="12" s="1"/>
  <c r="N17" i="12" s="1"/>
</calcChain>
</file>

<file path=xl/sharedStrings.xml><?xml version="1.0" encoding="utf-8"?>
<sst xmlns="http://schemas.openxmlformats.org/spreadsheetml/2006/main" count="179" uniqueCount="122">
  <si>
    <t>January</t>
  </si>
  <si>
    <t>March</t>
  </si>
  <si>
    <t>April</t>
  </si>
  <si>
    <t>June</t>
  </si>
  <si>
    <t>July</t>
  </si>
  <si>
    <t>September</t>
  </si>
  <si>
    <t>October</t>
  </si>
  <si>
    <t>December</t>
  </si>
  <si>
    <t>Forecast</t>
  </si>
  <si>
    <t>Blocks</t>
  </si>
  <si>
    <t>Participants</t>
  </si>
  <si>
    <t>Therms of RNG</t>
  </si>
  <si>
    <t>November</t>
  </si>
  <si>
    <t>February</t>
  </si>
  <si>
    <t>May</t>
  </si>
  <si>
    <t>August</t>
  </si>
  <si>
    <t>per block</t>
  </si>
  <si>
    <t>therms / block</t>
  </si>
  <si>
    <t>Totals</t>
  </si>
  <si>
    <t>VRNG Assumptions</t>
  </si>
  <si>
    <t>blocks / subscriber</t>
  </si>
  <si>
    <t>Notes:</t>
  </si>
  <si>
    <t>Avg. Block / Customer</t>
  </si>
  <si>
    <t>annual cost</t>
  </si>
  <si>
    <t>Shaded Information is Designated as CONFIDENTIAL per WAC 480-07-160</t>
  </si>
  <si>
    <t>Line No.</t>
  </si>
  <si>
    <t>(a)</t>
  </si>
  <si>
    <t>(b)</t>
  </si>
  <si>
    <t>Puget Sound Energy (PSE) Voluntary Renewable Energy (VRNG) Report - Actuals</t>
  </si>
  <si>
    <t>Product launched December 2021</t>
  </si>
  <si>
    <t>RNG Therms</t>
  </si>
  <si>
    <t>Large Purchaser</t>
  </si>
  <si>
    <t>(c)</t>
  </si>
  <si>
    <t>(d)</t>
  </si>
  <si>
    <t>Avg. Blocks Per Customer</t>
  </si>
  <si>
    <t>Small Purchaser</t>
  </si>
  <si>
    <t>Large Purchaser:</t>
  </si>
  <si>
    <t>Small Purchaser:</t>
  </si>
  <si>
    <t>per month</t>
  </si>
  <si>
    <t>Total</t>
  </si>
  <si>
    <t xml:space="preserve"> (e) = (b) * (c) </t>
  </si>
  <si>
    <t xml:space="preserve"> (f) = (c) / (d)</t>
  </si>
  <si>
    <t>RNG Therms per $5.00 Block Rate</t>
  </si>
  <si>
    <r>
      <t>Date</t>
    </r>
    <r>
      <rPr>
        <b/>
        <vertAlign val="superscript"/>
        <sz val="10"/>
        <color theme="1"/>
        <rFont val="Arial"/>
        <family val="2"/>
      </rPr>
      <t>(1)</t>
    </r>
  </si>
  <si>
    <t>(1)</t>
  </si>
  <si>
    <t>Promo Costs</t>
  </si>
  <si>
    <t>Administrative Costs</t>
  </si>
  <si>
    <t>Average purchase quantity</t>
  </si>
  <si>
    <t>New customers</t>
  </si>
  <si>
    <t>Voluntary RNG Block purchase*</t>
  </si>
  <si>
    <t>RNG cost per therm</t>
  </si>
  <si>
    <t>Administrative Costs - Total</t>
  </si>
  <si>
    <t>Promo Costs - Total</t>
  </si>
  <si>
    <t>Monthly cost per block</t>
  </si>
  <si>
    <t>12ME Oct. 2025</t>
  </si>
  <si>
    <t>Total:</t>
  </si>
  <si>
    <t>Puget Sound Energy</t>
  </si>
  <si>
    <t>Line
No.</t>
  </si>
  <si>
    <t>Description</t>
  </si>
  <si>
    <t>Revenue Adjustment Factor (RAF)</t>
  </si>
  <si>
    <t>Proposed Therms per RNG Block</t>
  </si>
  <si>
    <t xml:space="preserve">(c) </t>
  </si>
  <si>
    <t xml:space="preserve">(d) = (c) * (b) </t>
  </si>
  <si>
    <t>(e) = (b) / (d)</t>
  </si>
  <si>
    <t>(f)</t>
  </si>
  <si>
    <t xml:space="preserve">(g) = (f) * (b) </t>
  </si>
  <si>
    <t>(h) = (e) * (g)</t>
  </si>
  <si>
    <t>(i) = (b) - (h)</t>
  </si>
  <si>
    <t xml:space="preserve">(j) = (i) / (e) </t>
  </si>
  <si>
    <t>Renewable Natural Gas (RNG) Cost per Block</t>
  </si>
  <si>
    <t>Summary of RNG Cost per Therm</t>
  </si>
  <si>
    <t>VRNG Forecasted Therms</t>
  </si>
  <si>
    <t>VRNG Commodity Rate per Therm</t>
  </si>
  <si>
    <t>Projected Total VRNG Service Costs</t>
  </si>
  <si>
    <t>Projected Total VRNG Service Cost Rate per Therm</t>
  </si>
  <si>
    <t>PUGET SOUND ENERGY-GAS</t>
  </si>
  <si>
    <t>CONVERSION FACTOR - GAS</t>
  </si>
  <si>
    <t>FOR THE TWELVE MONTHS ENDED June 30, 2021</t>
  </si>
  <si>
    <t>2022 GENERAL RATE CASE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</si>
  <si>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</si>
  <si>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</si>
  <si>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</si>
  <si>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</si>
  <si>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</si>
  <si>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</si>
  <si>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</si>
  <si>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</si>
  <si>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>FEDERAL INCOME TAX ( LINE 7 * 21%)</t>
  </si>
  <si>
    <t xml:space="preserve">CONVERSION FACTOR INCL FEDERAL INCOME TAX ( LINE 5 + LINE 8 ) </t>
  </si>
  <si>
    <t xml:space="preserve">Source: </t>
  </si>
  <si>
    <t>PSE 2022 GRC (Docket UG-220067), with updated annual filing fee.</t>
  </si>
  <si>
    <t>Note: Updated to new UTC Fees</t>
  </si>
  <si>
    <t>Calculation of VRNG Rates</t>
  </si>
  <si>
    <t>Proposed Rates Effective November 1, 2024</t>
  </si>
  <si>
    <t>Proposed 2024 PGA (Sch. 101) Commodity Rate</t>
  </si>
  <si>
    <t>RNG Cost per Block</t>
  </si>
  <si>
    <t>Proposed Total RNG Cost per Therm</t>
  </si>
  <si>
    <t>Proposed RNG Cost per Therm (including RAF)</t>
  </si>
  <si>
    <t>Proposed Conventional Natural Gas Credit per RNG Block</t>
  </si>
  <si>
    <t>Net VRNG Cost per Block</t>
  </si>
  <si>
    <t>Net VRNG Cost per Therm</t>
  </si>
  <si>
    <t>Therms per RNG Block</t>
  </si>
  <si>
    <t>Proposed Percentage Based VRNG Rate per Therm</t>
  </si>
  <si>
    <t>Nov. 2024 - Oct. 2025</t>
  </si>
  <si>
    <t>Total Proposed VRNG Cost per Therm</t>
  </si>
  <si>
    <t>Small Purchaser (Schedules 23 &amp; 31):</t>
  </si>
  <si>
    <t>Large Purchaser (Schedules 41, 85, 86 &amp; 87):</t>
  </si>
  <si>
    <t>Proposed 2024 PGA Commodity Rate (including RAF)</t>
  </si>
  <si>
    <r>
      <t xml:space="preserve">Conventional Natural Gas Credit </t>
    </r>
    <r>
      <rPr>
        <vertAlign val="superscript"/>
        <sz val="8"/>
        <color theme="1"/>
        <rFont val="Arial"/>
        <family val="2"/>
      </rPr>
      <t>(1)</t>
    </r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</si>
  <si>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Schedule 101 Commodity Rate Proposed Effective November 1, 2024</t>
    </r>
  </si>
  <si>
    <t>2024 Gas Schedule 138 Voluntary Renewable Natural Gas (VRNG) Filing</t>
  </si>
  <si>
    <t>*Voluntary RNG rates effective November 1, 2023</t>
  </si>
  <si>
    <t xml:space="preserve">$ Amount </t>
  </si>
  <si>
    <t>RNG Premium $/therm</t>
  </si>
  <si>
    <t>bundled gas</t>
  </si>
  <si>
    <t>RNG cost per therm premium</t>
  </si>
  <si>
    <t>RNG cost per therm premium (% product)</t>
  </si>
  <si>
    <t>premium</t>
  </si>
  <si>
    <t>Credited to PGA (All RNG Therms):</t>
  </si>
  <si>
    <r>
      <t>Credited to PGA (Lg. Purchaser % Product)</t>
    </r>
    <r>
      <rPr>
        <b/>
        <vertAlign val="superscript"/>
        <sz val="11"/>
        <color rgb="FF000000"/>
        <rFont val="Calibri"/>
        <family val="2"/>
      </rPr>
      <t>(1)</t>
    </r>
    <r>
      <rPr>
        <b/>
        <sz val="11"/>
        <color rgb="FF000000"/>
        <rFont val="Calibri"/>
        <family val="2"/>
      </rPr>
      <t>:</t>
    </r>
  </si>
  <si>
    <t>Amount credited to PGA will be based on actual customer usage in % based product, this is a new product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</si>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</sst>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000_);[Red]\(&quot;$&quot;#,##0.00000\)"/>
    <numFmt numFmtId="167" formatCode="[$-409]mmm\-yyyy;@"/>
    <numFmt numFmtId="168" formatCode="[$-409]mmm\-yy;@"/>
    <numFmt numFmtId="169" formatCode="_(&quot;$&quot;* #,##0.0000_);_(&quot;$&quot;* \(#,##0.0000\);_(&quot;$&quot;* &quot;-&quot;??_);_(@_)"/>
    <numFmt numFmtId="170" formatCode="_(&quot;$&quot;* #,##0.00000_);_(&quot;$&quot;* \(#,##0.00000\);_(&quot;$&quot;* &quot;-&quot;??_);_(@_)"/>
    <numFmt numFmtId="171" formatCode="_(* #,##0.000_);_(* \(#,##0.000\);_(* &quot;-&quot;??_);_(@_)"/>
    <numFmt numFmtId="172" formatCode="0.0000%"/>
    <numFmt numFmtId="173" formatCode="_(&quot;$&quot;* #,##0.00000_);_(&quot;$&quot;* \(#,##0.00000\);_(&quot;$&quot;* &quot;-&quot;?????_);_(@_)"/>
    <numFmt numFmtId="174" formatCode="0.000000"/>
    <numFmt numFmtId="175" formatCode="0.000%"/>
    <numFmt numFmtId="176" formatCode="0.00000000"/>
    <numFmt numFmtId="177" formatCode="_(* #,##0.000000_);_(* \(#,##0.0000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i/>
      <sz val="11"/>
      <color rgb="FF668B53"/>
      <name val="Calibri"/>
      <family val="2"/>
    </font>
    <font>
      <b/>
      <sz val="11"/>
      <color rgb="FF000000"/>
      <name val="Calibri"/>
      <family val="2"/>
    </font>
    <font>
      <b/>
      <sz val="14"/>
      <color theme="0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2"/>
      <color theme="0"/>
      <name val="Calibri"/>
      <family val="2"/>
    </font>
    <font>
      <b/>
      <i/>
      <sz val="12"/>
      <color theme="9" tint="9.9978637043366805E-2"/>
      <name val="Calibri"/>
      <family val="2"/>
    </font>
    <font>
      <i/>
      <sz val="11"/>
      <color theme="9" tint="9.9978637043366805E-2"/>
      <name val="Calibri"/>
      <family val="2"/>
    </font>
    <font>
      <sz val="11"/>
      <color theme="9" tint="9.9978637043366805E-2"/>
      <name val="Calibri"/>
      <family val="2"/>
    </font>
    <font>
      <b/>
      <i/>
      <sz val="11"/>
      <color theme="8" tint="-0.499984740745262"/>
      <name val="Calibri"/>
      <family val="2"/>
    </font>
    <font>
      <b/>
      <i/>
      <sz val="12"/>
      <color theme="8" tint="-0.499984740745262"/>
      <name val="Calibri"/>
      <family val="2"/>
    </font>
    <font>
      <i/>
      <sz val="11"/>
      <color theme="8" tint="-0.499984740745262"/>
      <name val="Calibri"/>
      <family val="2"/>
    </font>
    <font>
      <b/>
      <i/>
      <sz val="11"/>
      <color theme="9" tint="9.9978637043366805E-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8080"/>
      <name val="Arial"/>
      <family val="2"/>
    </font>
    <font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sz val="8"/>
      <color rgb="FF00808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9" tint="9.9978637043366805E-2"/>
        <bgColor indexed="64"/>
      </patternFill>
    </fill>
    <fill>
      <patternFill patternType="solid">
        <fgColor theme="9" tint="0.8999908444471571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5675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D3B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5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 indent="1"/>
    </xf>
    <xf numFmtId="0" fontId="8" fillId="4" borderId="0" xfId="0" applyFont="1" applyFill="1" applyBorder="1" applyAlignment="1">
      <alignment horizontal="center"/>
    </xf>
    <xf numFmtId="0" fontId="17" fillId="0" borderId="0" xfId="0" applyFont="1" applyBorder="1" applyAlignment="1">
      <alignment vertical="top"/>
    </xf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19" fillId="0" borderId="0" xfId="0" applyFont="1"/>
    <xf numFmtId="0" fontId="17" fillId="0" borderId="0" xfId="0" applyFont="1" applyBorder="1" applyAlignment="1">
      <alignment vertical="center"/>
    </xf>
    <xf numFmtId="0" fontId="19" fillId="0" borderId="0" xfId="0" applyFont="1" applyFill="1" applyBorder="1"/>
    <xf numFmtId="0" fontId="8" fillId="5" borderId="0" xfId="0" applyFont="1" applyFill="1" applyBorder="1" applyAlignment="1">
      <alignment horizontal="centerContinuous"/>
    </xf>
    <xf numFmtId="0" fontId="9" fillId="2" borderId="0" xfId="0" applyFont="1" applyFill="1" applyBorder="1" applyAlignment="1">
      <alignment horizontal="centerContinuous"/>
    </xf>
    <xf numFmtId="0" fontId="9" fillId="3" borderId="0" xfId="0" applyFont="1" applyFill="1" applyBorder="1" applyAlignment="1">
      <alignment horizontal="centerContinuous"/>
    </xf>
    <xf numFmtId="8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0" fontId="17" fillId="0" borderId="0" xfId="0" applyFont="1" applyFill="1"/>
    <xf numFmtId="0" fontId="16" fillId="0" borderId="0" xfId="0" applyFont="1" applyFill="1" applyBorder="1"/>
    <xf numFmtId="0" fontId="8" fillId="4" borderId="0" xfId="0" applyFont="1" applyFill="1" applyBorder="1" applyAlignment="1">
      <alignment horizontal="centerContinuous"/>
    </xf>
    <xf numFmtId="0" fontId="22" fillId="2" borderId="0" xfId="0" applyFont="1" applyFill="1" applyBorder="1" applyAlignment="1">
      <alignment horizontal="centerContinuous"/>
    </xf>
    <xf numFmtId="0" fontId="19" fillId="0" borderId="0" xfId="0" applyFont="1" applyFill="1" applyBorder="1"/>
    <xf numFmtId="0" fontId="17" fillId="0" borderId="0" xfId="0" applyFont="1" applyBorder="1" applyAlignment="1">
      <alignment vertical="center"/>
    </xf>
    <xf numFmtId="0" fontId="19" fillId="0" borderId="0" xfId="0" applyFont="1"/>
    <xf numFmtId="0" fontId="18" fillId="6" borderId="0" xfId="0" applyFont="1" applyFill="1" applyBorder="1" applyAlignment="1">
      <alignment horizontal="centerContinuous" wrapText="1"/>
    </xf>
    <xf numFmtId="0" fontId="17" fillId="6" borderId="0" xfId="0" applyFont="1" applyFill="1" applyBorder="1" applyAlignment="1">
      <alignment horizontal="centerContinuous" wrapText="1"/>
    </xf>
    <xf numFmtId="0" fontId="17" fillId="6" borderId="0" xfId="0" applyFont="1" applyFill="1" applyAlignment="1">
      <alignment horizontal="centerContinuous" wrapText="1"/>
    </xf>
    <xf numFmtId="0" fontId="23" fillId="0" borderId="0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0" xfId="0" quotePrefix="1" applyFont="1" applyFill="1" applyBorder="1" applyAlignment="1">
      <alignment horizontal="center" vertical="top"/>
    </xf>
    <xf numFmtId="164" fontId="21" fillId="0" borderId="0" xfId="0" applyNumberFormat="1" applyFont="1" applyFill="1" applyBorder="1"/>
    <xf numFmtId="43" fontId="19" fillId="0" borderId="0" xfId="0" applyNumberFormat="1" applyFont="1" applyFill="1" applyBorder="1"/>
    <xf numFmtId="0" fontId="19" fillId="0" borderId="0" xfId="0" applyFont="1" applyFill="1"/>
    <xf numFmtId="164" fontId="21" fillId="0" borderId="0" xfId="0" applyNumberFormat="1" applyFont="1" applyFill="1" applyAlignment="1">
      <alignment horizontal="right" vertical="center" wrapText="1"/>
    </xf>
    <xf numFmtId="164" fontId="21" fillId="0" borderId="0" xfId="0" applyNumberFormat="1" applyFont="1" applyFill="1" applyAlignment="1">
      <alignment horizontal="right" vertical="center"/>
    </xf>
    <xf numFmtId="43" fontId="19" fillId="0" borderId="0" xfId="0" applyNumberFormat="1" applyFont="1" applyFill="1" applyBorder="1"/>
    <xf numFmtId="166" fontId="19" fillId="0" borderId="0" xfId="0" applyNumberFormat="1" applyFont="1"/>
    <xf numFmtId="164" fontId="19" fillId="0" borderId="0" xfId="0" applyNumberFormat="1" applyFont="1" applyFill="1" applyBorder="1" applyAlignment="1">
      <alignment horizontal="right" indent="1"/>
    </xf>
    <xf numFmtId="43" fontId="19" fillId="0" borderId="0" xfId="0" applyNumberFormat="1" applyFont="1"/>
    <xf numFmtId="164" fontId="19" fillId="0" borderId="0" xfId="0" applyNumberFormat="1" applyFont="1" applyFill="1" applyBorder="1"/>
    <xf numFmtId="0" fontId="23" fillId="0" borderId="3" xfId="0" applyFont="1" applyFill="1" applyBorder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2" fillId="8" borderId="0" xfId="0" applyFont="1" applyFill="1" applyBorder="1" applyAlignment="1">
      <alignment horizontal="centerContinuous"/>
    </xf>
    <xf numFmtId="0" fontId="19" fillId="8" borderId="0" xfId="0" applyFont="1" applyFill="1" applyBorder="1" applyAlignment="1">
      <alignment horizontal="centerContinuous"/>
    </xf>
    <xf numFmtId="0" fontId="11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3" fontId="20" fillId="0" borderId="0" xfId="0" applyNumberFormat="1" applyFont="1" applyBorder="1" applyAlignment="1">
      <alignment vertical="center"/>
    </xf>
    <xf numFmtId="164" fontId="21" fillId="0" borderId="0" xfId="0" applyNumberFormat="1" applyFont="1" applyBorder="1" applyAlignment="1">
      <alignment vertical="center"/>
    </xf>
    <xf numFmtId="164" fontId="15" fillId="7" borderId="0" xfId="0" applyNumberFormat="1" applyFont="1" applyFill="1" applyBorder="1" applyAlignment="1">
      <alignment horizontal="right" indent="1"/>
    </xf>
    <xf numFmtId="164" fontId="12" fillId="7" borderId="0" xfId="0" applyNumberFormat="1" applyFont="1" applyFill="1" applyBorder="1"/>
    <xf numFmtId="0" fontId="21" fillId="0" borderId="0" xfId="0" applyFont="1" applyBorder="1" applyAlignment="1">
      <alignment vertical="center"/>
    </xf>
    <xf numFmtId="6" fontId="21" fillId="0" borderId="0" xfId="0" applyNumberFormat="1" applyFont="1" applyBorder="1" applyAlignment="1">
      <alignment vertical="center"/>
    </xf>
    <xf numFmtId="0" fontId="23" fillId="0" borderId="0" xfId="0" applyFont="1"/>
    <xf numFmtId="6" fontId="19" fillId="0" borderId="0" xfId="0" applyNumberFormat="1" applyFont="1"/>
    <xf numFmtId="6" fontId="19" fillId="0" borderId="0" xfId="0" applyNumberFormat="1" applyFont="1" applyBorder="1" applyAlignment="1">
      <alignment vertical="center"/>
    </xf>
    <xf numFmtId="171" fontId="21" fillId="0" borderId="0" xfId="0" applyNumberFormat="1" applyFont="1" applyBorder="1" applyAlignment="1">
      <alignment vertical="center"/>
    </xf>
    <xf numFmtId="164" fontId="15" fillId="7" borderId="5" xfId="0" applyNumberFormat="1" applyFont="1" applyFill="1" applyBorder="1" applyAlignment="1">
      <alignment horizontal="right" indent="1"/>
    </xf>
    <xf numFmtId="164" fontId="15" fillId="7" borderId="6" xfId="0" applyNumberFormat="1" applyFont="1" applyFill="1" applyBorder="1" applyAlignment="1">
      <alignment horizontal="right" indent="1"/>
    </xf>
    <xf numFmtId="164" fontId="12" fillId="7" borderId="6" xfId="0" applyNumberFormat="1" applyFont="1" applyFill="1" applyBorder="1"/>
    <xf numFmtId="164" fontId="15" fillId="7" borderId="8" xfId="0" applyNumberFormat="1" applyFont="1" applyFill="1" applyBorder="1" applyAlignment="1">
      <alignment horizontal="right" indent="1"/>
    </xf>
    <xf numFmtId="164" fontId="15" fillId="7" borderId="10" xfId="0" applyNumberFormat="1" applyFont="1" applyFill="1" applyBorder="1" applyAlignment="1">
      <alignment horizontal="right"/>
    </xf>
    <xf numFmtId="164" fontId="15" fillId="7" borderId="11" xfId="0" applyNumberFormat="1" applyFont="1" applyFill="1" applyBorder="1" applyAlignment="1">
      <alignment horizontal="right"/>
    </xf>
    <xf numFmtId="164" fontId="11" fillId="7" borderId="11" xfId="0" applyNumberFormat="1" applyFont="1" applyFill="1" applyBorder="1" applyAlignment="1">
      <alignment horizontal="right"/>
    </xf>
    <xf numFmtId="164" fontId="12" fillId="7" borderId="11" xfId="0" applyNumberFormat="1" applyFont="1" applyFill="1" applyBorder="1"/>
    <xf numFmtId="164" fontId="15" fillId="7" borderId="10" xfId="0" applyNumberFormat="1" applyFont="1" applyFill="1" applyBorder="1" applyAlignment="1">
      <alignment horizontal="right" indent="1"/>
    </xf>
    <xf numFmtId="164" fontId="15" fillId="7" borderId="11" xfId="0" applyNumberFormat="1" applyFont="1" applyFill="1" applyBorder="1" applyAlignment="1">
      <alignment horizontal="right" indent="1"/>
    </xf>
    <xf numFmtId="43" fontId="23" fillId="0" borderId="2" xfId="0" applyNumberFormat="1" applyFont="1" applyBorder="1" applyAlignment="1">
      <alignment horizontal="center" vertical="center"/>
    </xf>
    <xf numFmtId="43" fontId="23" fillId="0" borderId="2" xfId="0" applyNumberFormat="1" applyFont="1" applyBorder="1" applyAlignment="1">
      <alignment vertical="center"/>
    </xf>
    <xf numFmtId="171" fontId="21" fillId="0" borderId="0" xfId="0" applyNumberFormat="1" applyFont="1" applyFill="1" applyBorder="1"/>
    <xf numFmtId="164" fontId="21" fillId="0" borderId="0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 indent="1"/>
    </xf>
    <xf numFmtId="164" fontId="23" fillId="0" borderId="2" xfId="0" applyNumberFormat="1" applyFont="1" applyBorder="1" applyAlignment="1">
      <alignment vertical="center"/>
    </xf>
    <xf numFmtId="43" fontId="19" fillId="0" borderId="0" xfId="0" applyNumberFormat="1" applyFont="1" applyFill="1" applyBorder="1" applyAlignment="1">
      <alignment horizontal="right" indent="1"/>
    </xf>
    <xf numFmtId="0" fontId="27" fillId="0" borderId="0" xfId="0" applyFont="1" applyFill="1" applyAlignment="1">
      <alignment horizontal="centerContinuous"/>
    </xf>
    <xf numFmtId="0" fontId="27" fillId="0" borderId="0" xfId="0" applyFont="1" applyAlignment="1">
      <alignment horizontal="centerContinuous"/>
    </xf>
    <xf numFmtId="0" fontId="28" fillId="0" borderId="0" xfId="0" applyFont="1"/>
    <xf numFmtId="0" fontId="28" fillId="0" borderId="0" xfId="0" applyFont="1" applyFill="1"/>
    <xf numFmtId="0" fontId="28" fillId="0" borderId="0" xfId="0" applyFont="1" applyAlignment="1">
      <alignment horizontal="left"/>
    </xf>
    <xf numFmtId="0" fontId="28" fillId="0" borderId="0" xfId="0" applyFont="1" applyFill="1" applyAlignment="1">
      <alignment horizontal="left"/>
    </xf>
    <xf numFmtId="0" fontId="28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left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 applyAlignment="1"/>
    <xf numFmtId="0" fontId="28" fillId="0" borderId="0" xfId="0" applyFont="1" applyAlignment="1">
      <alignment horizontal="center" vertical="center"/>
    </xf>
    <xf numFmtId="0" fontId="28" fillId="0" borderId="0" xfId="0" applyFont="1" applyBorder="1"/>
    <xf numFmtId="44" fontId="29" fillId="0" borderId="0" xfId="0" applyNumberFormat="1" applyFont="1" applyFill="1" applyBorder="1" applyAlignment="1">
      <alignment horizontal="center"/>
    </xf>
    <xf numFmtId="44" fontId="29" fillId="0" borderId="0" xfId="0" applyNumberFormat="1" applyFont="1" applyBorder="1" applyAlignment="1">
      <alignment horizontal="center"/>
    </xf>
    <xf numFmtId="172" fontId="30" fillId="0" borderId="0" xfId="0" applyNumberFormat="1" applyFont="1" applyFill="1" applyBorder="1"/>
    <xf numFmtId="170" fontId="30" fillId="0" borderId="0" xfId="0" applyNumberFormat="1" applyFont="1" applyFill="1" applyBorder="1"/>
    <xf numFmtId="170" fontId="28" fillId="0" borderId="0" xfId="0" applyNumberFormat="1" applyFont="1" applyFill="1" applyBorder="1"/>
    <xf numFmtId="171" fontId="27" fillId="9" borderId="0" xfId="0" applyNumberFormat="1" applyFont="1" applyFill="1" applyBorder="1" applyAlignment="1">
      <alignment horizontal="center"/>
    </xf>
    <xf numFmtId="170" fontId="29" fillId="0" borderId="0" xfId="0" applyNumberFormat="1" applyFont="1" applyFill="1" applyBorder="1"/>
    <xf numFmtId="170" fontId="28" fillId="0" borderId="0" xfId="0" applyNumberFormat="1" applyFont="1"/>
    <xf numFmtId="169" fontId="28" fillId="0" borderId="0" xfId="0" applyNumberFormat="1" applyFont="1" applyFill="1" applyAlignment="1">
      <alignment horizontal="left"/>
    </xf>
    <xf numFmtId="44" fontId="28" fillId="0" borderId="0" xfId="0" applyNumberFormat="1" applyFont="1" applyFill="1" applyAlignment="1">
      <alignment horizontal="left"/>
    </xf>
    <xf numFmtId="173" fontId="28" fillId="0" borderId="0" xfId="0" applyNumberFormat="1" applyFont="1"/>
    <xf numFmtId="0" fontId="27" fillId="6" borderId="0" xfId="0" applyFont="1" applyFill="1" applyBorder="1" applyAlignment="1">
      <alignment horizontal="centerContinuous" wrapText="1"/>
    </xf>
    <xf numFmtId="0" fontId="28" fillId="6" borderId="0" xfId="0" applyFont="1" applyFill="1" applyBorder="1" applyAlignment="1">
      <alignment horizontal="centerContinuous" wrapText="1"/>
    </xf>
    <xf numFmtId="0" fontId="28" fillId="6" borderId="0" xfId="0" applyFont="1" applyFill="1" applyAlignment="1">
      <alignment horizontal="centerContinuous"/>
    </xf>
    <xf numFmtId="0" fontId="28" fillId="0" borderId="0" xfId="0" applyFont="1" applyAlignment="1">
      <alignment horizontal="centerContinuous"/>
    </xf>
    <xf numFmtId="0" fontId="28" fillId="0" borderId="0" xfId="0" applyFont="1" applyFill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28" fillId="0" borderId="1" xfId="0" applyFont="1" applyFill="1" applyBorder="1" applyAlignment="1">
      <alignment horizontal="center"/>
    </xf>
    <xf numFmtId="0" fontId="28" fillId="0" borderId="9" xfId="0" applyFont="1" applyBorder="1" applyAlignment="1">
      <alignment horizontal="left"/>
    </xf>
    <xf numFmtId="164" fontId="30" fillId="7" borderId="4" xfId="0" applyNumberFormat="1" applyFont="1" applyFill="1" applyBorder="1"/>
    <xf numFmtId="164" fontId="28" fillId="0" borderId="0" xfId="0" applyNumberFormat="1" applyFont="1"/>
    <xf numFmtId="0" fontId="28" fillId="0" borderId="13" xfId="0" applyFont="1" applyBorder="1"/>
    <xf numFmtId="164" fontId="28" fillId="0" borderId="0" xfId="0" applyNumberFormat="1" applyFont="1"/>
    <xf numFmtId="170" fontId="30" fillId="7" borderId="4" xfId="0" applyNumberFormat="1" applyFont="1" applyFill="1" applyBorder="1"/>
    <xf numFmtId="0" fontId="28" fillId="0" borderId="9" xfId="0" applyFont="1" applyFill="1" applyBorder="1"/>
    <xf numFmtId="170" fontId="28" fillId="7" borderId="4" xfId="0" applyNumberFormat="1" applyFont="1" applyFill="1" applyBorder="1"/>
    <xf numFmtId="0" fontId="28" fillId="0" borderId="1" xfId="0" applyFont="1" applyFill="1" applyBorder="1"/>
    <xf numFmtId="0" fontId="28" fillId="0" borderId="1" xfId="0" applyFont="1" applyBorder="1"/>
    <xf numFmtId="0" fontId="27" fillId="0" borderId="0" xfId="0" applyFont="1"/>
    <xf numFmtId="170" fontId="27" fillId="0" borderId="0" xfId="0" applyNumberFormat="1" applyFont="1" applyFill="1"/>
    <xf numFmtId="170" fontId="28" fillId="0" borderId="0" xfId="0" applyNumberFormat="1" applyFont="1" applyFill="1"/>
    <xf numFmtId="0" fontId="28" fillId="0" borderId="0" xfId="0" applyNumberFormat="1" applyFont="1" applyAlignment="1"/>
    <xf numFmtId="0" fontId="28" fillId="0" borderId="0" xfId="0" applyNumberFormat="1" applyFont="1" applyFill="1" applyAlignment="1"/>
    <xf numFmtId="0" fontId="27" fillId="0" borderId="0" xfId="0" applyNumberFormat="1" applyFont="1" applyFill="1" applyAlignment="1">
      <alignment horizontal="centerContinuous"/>
    </xf>
    <xf numFmtId="0" fontId="27" fillId="0" borderId="0" xfId="0" applyNumberFormat="1" applyFont="1" applyFill="1" applyAlignment="1" applyProtection="1">
      <alignment horizontal="centerContinuous"/>
      <protection locked="0"/>
    </xf>
    <xf numFmtId="0" fontId="27" fillId="0" borderId="0" xfId="0" applyNumberFormat="1" applyFont="1" applyFill="1" applyAlignment="1"/>
    <xf numFmtId="0" fontId="28" fillId="0" borderId="0" xfId="0" applyNumberFormat="1" applyFont="1" applyFill="1" applyAlignment="1">
      <alignment horizontal="left"/>
    </xf>
    <xf numFmtId="0" fontId="27" fillId="0" borderId="0" xfId="0" applyNumberFormat="1" applyFont="1" applyFill="1" applyAlignment="1">
      <alignment horizontal="center"/>
    </xf>
    <xf numFmtId="0" fontId="27" fillId="0" borderId="1" xfId="0" applyNumberFormat="1" applyFont="1" applyFill="1" applyBorder="1" applyAlignment="1">
      <alignment horizontal="center"/>
    </xf>
    <xf numFmtId="0" fontId="27" fillId="0" borderId="1" xfId="0" applyNumberFormat="1" applyFont="1" applyFill="1" applyBorder="1" applyAlignment="1" applyProtection="1">
      <protection locked="0"/>
    </xf>
    <xf numFmtId="0" fontId="27" fillId="0" borderId="1" xfId="0" applyNumberFormat="1" applyFont="1" applyFill="1" applyBorder="1" applyAlignment="1"/>
    <xf numFmtId="0" fontId="27" fillId="0" borderId="1" xfId="0" applyNumberFormat="1" applyFont="1" applyFill="1" applyBorder="1" applyAlignment="1">
      <alignment horizontal="right"/>
    </xf>
    <xf numFmtId="0" fontId="28" fillId="0" borderId="0" xfId="0" applyNumberFormat="1" applyFont="1" applyFill="1" applyAlignment="1">
      <alignment horizontal="center"/>
    </xf>
    <xf numFmtId="174" fontId="29" fillId="0" borderId="0" xfId="0" applyNumberFormat="1" applyFont="1" applyFill="1" applyAlignment="1"/>
    <xf numFmtId="174" fontId="29" fillId="10" borderId="0" xfId="0" applyNumberFormat="1" applyFont="1" applyFill="1" applyAlignment="1"/>
    <xf numFmtId="175" fontId="29" fillId="0" borderId="0" xfId="0" applyNumberFormat="1" applyFont="1" applyFill="1" applyAlignment="1"/>
    <xf numFmtId="174" fontId="28" fillId="0" borderId="1" xfId="0" applyNumberFormat="1" applyFont="1" applyFill="1" applyBorder="1" applyAlignment="1"/>
    <xf numFmtId="174" fontId="28" fillId="0" borderId="0" xfId="0" applyNumberFormat="1" applyFont="1" applyFill="1" applyBorder="1" applyAlignment="1"/>
    <xf numFmtId="174" fontId="28" fillId="0" borderId="0" xfId="0" applyNumberFormat="1" applyFont="1" applyFill="1" applyAlignment="1"/>
    <xf numFmtId="174" fontId="28" fillId="0" borderId="3" xfId="0" applyNumberFormat="1" applyFont="1" applyFill="1" applyBorder="1" applyAlignment="1" applyProtection="1">
      <protection locked="0"/>
    </xf>
    <xf numFmtId="176" fontId="28" fillId="0" borderId="0" xfId="0" applyNumberFormat="1" applyFont="1" applyAlignment="1"/>
    <xf numFmtId="177" fontId="28" fillId="0" borderId="2" xfId="0" applyNumberFormat="1" applyFont="1" applyBorder="1" applyAlignment="1"/>
    <xf numFmtId="0" fontId="28" fillId="10" borderId="0" xfId="0" applyNumberFormat="1" applyFont="1" applyFill="1" applyAlignment="1"/>
    <xf numFmtId="0" fontId="31" fillId="0" borderId="0" xfId="0" applyFont="1" applyFill="1" applyAlignment="1">
      <alignment horizontal="centerContinuous"/>
    </xf>
    <xf numFmtId="0" fontId="27" fillId="0" borderId="0" xfId="0" applyFont="1" applyBorder="1" applyAlignment="1">
      <alignment horizontal="left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0" fontId="27" fillId="11" borderId="1" xfId="0" applyFont="1" applyFill="1" applyBorder="1" applyAlignment="1">
      <alignment horizontal="center" wrapText="1"/>
    </xf>
    <xf numFmtId="170" fontId="27" fillId="11" borderId="0" xfId="0" applyNumberFormat="1" applyFont="1" applyFill="1" applyBorder="1" applyAlignment="1">
      <alignment horizontal="center"/>
    </xf>
    <xf numFmtId="170" fontId="27" fillId="11" borderId="0" xfId="0" applyNumberFormat="1" applyFont="1" applyFill="1" applyAlignment="1">
      <alignment horizontal="left"/>
    </xf>
    <xf numFmtId="0" fontId="31" fillId="0" borderId="0" xfId="0" applyFont="1" applyAlignment="1">
      <alignment horizontal="centerContinuous"/>
    </xf>
    <xf numFmtId="168" fontId="32" fillId="0" borderId="1" xfId="0" applyNumberFormat="1" applyFont="1" applyFill="1" applyBorder="1" applyAlignment="1">
      <alignment horizontal="center"/>
    </xf>
    <xf numFmtId="0" fontId="31" fillId="0" borderId="0" xfId="0" applyFont="1" applyBorder="1"/>
    <xf numFmtId="0" fontId="32" fillId="0" borderId="14" xfId="0" applyFont="1" applyBorder="1" applyAlignment="1">
      <alignment horizontal="center"/>
    </xf>
    <xf numFmtId="164" fontId="19" fillId="0" borderId="0" xfId="0" applyNumberFormat="1" applyFont="1" applyFill="1" applyAlignment="1">
      <alignment horizontal="right" vertical="center"/>
    </xf>
    <xf numFmtId="165" fontId="30" fillId="0" borderId="11" xfId="1" applyNumberFormat="1" applyFont="1" applyFill="1" applyBorder="1"/>
    <xf numFmtId="0" fontId="37" fillId="0" borderId="0" xfId="0" quotePrefix="1" applyFont="1" applyFill="1" applyBorder="1"/>
    <xf numFmtId="164" fontId="11" fillId="7" borderId="7" xfId="0" applyNumberFormat="1" applyFont="1" applyFill="1" applyBorder="1"/>
    <xf numFmtId="164" fontId="11" fillId="7" borderId="9" xfId="0" applyNumberFormat="1" applyFont="1" applyFill="1" applyBorder="1"/>
    <xf numFmtId="164" fontId="11" fillId="7" borderId="12" xfId="0" applyNumberFormat="1" applyFont="1" applyFill="1" applyBorder="1"/>
    <xf numFmtId="170" fontId="1" fillId="7" borderId="5" xfId="1" applyNumberFormat="1" applyFont="1" applyFill="1" applyBorder="1"/>
    <xf numFmtId="170" fontId="1" fillId="7" borderId="6" xfId="1" applyNumberFormat="1" applyFont="1" applyFill="1" applyBorder="1"/>
    <xf numFmtId="170" fontId="1" fillId="7" borderId="7" xfId="1" applyNumberFormat="1" applyFont="1" applyFill="1" applyBorder="1"/>
    <xf numFmtId="165" fontId="1" fillId="7" borderId="10" xfId="1" applyNumberFormat="1" applyFont="1" applyFill="1" applyBorder="1"/>
    <xf numFmtId="165" fontId="1" fillId="7" borderId="11" xfId="1" applyNumberFormat="1" applyFont="1" applyFill="1" applyBorder="1"/>
    <xf numFmtId="165" fontId="1" fillId="7" borderId="12" xfId="0" applyNumberFormat="1" applyFont="1" applyFill="1" applyBorder="1"/>
    <xf numFmtId="0" fontId="1" fillId="6" borderId="0" xfId="0" applyFont="1" applyFill="1" applyBorder="1"/>
    <xf numFmtId="0" fontId="24" fillId="7" borderId="0" xfId="0" applyFont="1" applyFill="1"/>
    <xf numFmtId="0" fontId="17" fillId="7" borderId="0" xfId="0" applyFont="1" applyFill="1"/>
    <xf numFmtId="0" fontId="23" fillId="0" borderId="3" xfId="0" applyFont="1" applyFill="1" applyBorder="1" applyAlignment="1">
      <alignment horizontal="center"/>
    </xf>
    <xf numFmtId="0" fontId="27" fillId="0" borderId="0" xfId="0" applyNumberFormat="1" applyFont="1" applyFill="1" applyAlignment="1" applyProtection="1">
      <alignment horizontal="center"/>
      <protection locked="0"/>
    </xf>
    <xf numFmtId="0" fontId="27" fillId="0" borderId="0" xfId="0" applyNumberFormat="1" applyFont="1" applyAlignment="1">
      <alignment horizontal="center"/>
    </xf>
    <xf numFmtId="0" fontId="27" fillId="0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0D3B6"/>
      <color rgb="FF0000FF"/>
      <color rgb="FF008080"/>
      <color rgb="FF2567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8</xdr:row>
      <xdr:rowOff>72571</xdr:rowOff>
    </xdr:from>
    <xdr:to>
      <xdr:col>2</xdr:col>
      <xdr:colOff>1033135</xdr:colOff>
      <xdr:row>10</xdr:row>
      <xdr:rowOff>56949</xdr:rowOff>
    </xdr:to>
    <xdr:sp macro="" textlink="">
      <xdr:nvSpPr>
        <xdr:cNvPr id="2" name="TextBox 1"/>
        <xdr:cNvSpPr txBox="1"/>
      </xdr:nvSpPr>
      <xdr:spPr>
        <a:xfrm>
          <a:off x="4308928" y="1378857"/>
          <a:ext cx="924278" cy="2928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99786</xdr:colOff>
      <xdr:row>10</xdr:row>
      <xdr:rowOff>99786</xdr:rowOff>
    </xdr:from>
    <xdr:to>
      <xdr:col>2</xdr:col>
      <xdr:colOff>1024064</xdr:colOff>
      <xdr:row>12</xdr:row>
      <xdr:rowOff>84163</xdr:rowOff>
    </xdr:to>
    <xdr:sp macro="" textlink="">
      <xdr:nvSpPr>
        <xdr:cNvPr id="3" name="TextBox 2"/>
        <xdr:cNvSpPr txBox="1"/>
      </xdr:nvSpPr>
      <xdr:spPr>
        <a:xfrm>
          <a:off x="4299857" y="1714500"/>
          <a:ext cx="924278" cy="2928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99786</xdr:colOff>
      <xdr:row>19</xdr:row>
      <xdr:rowOff>72571</xdr:rowOff>
    </xdr:from>
    <xdr:to>
      <xdr:col>2</xdr:col>
      <xdr:colOff>1024064</xdr:colOff>
      <xdr:row>21</xdr:row>
      <xdr:rowOff>56949</xdr:rowOff>
    </xdr:to>
    <xdr:sp macro="" textlink="">
      <xdr:nvSpPr>
        <xdr:cNvPr id="4" name="TextBox 3"/>
        <xdr:cNvSpPr txBox="1"/>
      </xdr:nvSpPr>
      <xdr:spPr>
        <a:xfrm>
          <a:off x="4299857" y="3029857"/>
          <a:ext cx="924278" cy="2928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117929</xdr:colOff>
      <xdr:row>13</xdr:row>
      <xdr:rowOff>145142</xdr:rowOff>
    </xdr:from>
    <xdr:to>
      <xdr:col>2</xdr:col>
      <xdr:colOff>1042207</xdr:colOff>
      <xdr:row>15</xdr:row>
      <xdr:rowOff>129520</xdr:rowOff>
    </xdr:to>
    <xdr:sp macro="" textlink="">
      <xdr:nvSpPr>
        <xdr:cNvPr id="5" name="TextBox 4"/>
        <xdr:cNvSpPr txBox="1"/>
      </xdr:nvSpPr>
      <xdr:spPr>
        <a:xfrm>
          <a:off x="4318000" y="2213428"/>
          <a:ext cx="924278" cy="2928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99786</xdr:colOff>
      <xdr:row>21</xdr:row>
      <xdr:rowOff>81643</xdr:rowOff>
    </xdr:from>
    <xdr:to>
      <xdr:col>2</xdr:col>
      <xdr:colOff>1024064</xdr:colOff>
      <xdr:row>23</xdr:row>
      <xdr:rowOff>66020</xdr:rowOff>
    </xdr:to>
    <xdr:sp macro="" textlink="">
      <xdr:nvSpPr>
        <xdr:cNvPr id="6" name="TextBox 5"/>
        <xdr:cNvSpPr txBox="1"/>
      </xdr:nvSpPr>
      <xdr:spPr>
        <a:xfrm>
          <a:off x="4299857" y="3347357"/>
          <a:ext cx="924278" cy="2928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90715</xdr:colOff>
      <xdr:row>24</xdr:row>
      <xdr:rowOff>145143</xdr:rowOff>
    </xdr:from>
    <xdr:to>
      <xdr:col>2</xdr:col>
      <xdr:colOff>1014993</xdr:colOff>
      <xdr:row>26</xdr:row>
      <xdr:rowOff>129521</xdr:rowOff>
    </xdr:to>
    <xdr:sp macro="" textlink="">
      <xdr:nvSpPr>
        <xdr:cNvPr id="8" name="TextBox 7"/>
        <xdr:cNvSpPr txBox="1"/>
      </xdr:nvSpPr>
      <xdr:spPr>
        <a:xfrm>
          <a:off x="4290786" y="3864429"/>
          <a:ext cx="924278" cy="2928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6</xdr:row>
      <xdr:rowOff>116417</xdr:rowOff>
    </xdr:from>
    <xdr:to>
      <xdr:col>10</xdr:col>
      <xdr:colOff>98778</xdr:colOff>
      <xdr:row>8</xdr:row>
      <xdr:rowOff>28223</xdr:rowOff>
    </xdr:to>
    <xdr:sp macro="" textlink="">
      <xdr:nvSpPr>
        <xdr:cNvPr id="2" name="TextBox 1"/>
        <xdr:cNvSpPr txBox="1"/>
      </xdr:nvSpPr>
      <xdr:spPr>
        <a:xfrm>
          <a:off x="6699250" y="1407584"/>
          <a:ext cx="924278" cy="2928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751416</xdr:colOff>
      <xdr:row>12</xdr:row>
      <xdr:rowOff>137583</xdr:rowOff>
    </xdr:from>
    <xdr:to>
      <xdr:col>10</xdr:col>
      <xdr:colOff>88194</xdr:colOff>
      <xdr:row>14</xdr:row>
      <xdr:rowOff>49389</xdr:rowOff>
    </xdr:to>
    <xdr:sp macro="" textlink="">
      <xdr:nvSpPr>
        <xdr:cNvPr id="3" name="TextBox 2"/>
        <xdr:cNvSpPr txBox="1"/>
      </xdr:nvSpPr>
      <xdr:spPr>
        <a:xfrm>
          <a:off x="6688666" y="2592916"/>
          <a:ext cx="924278" cy="2928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762000</xdr:colOff>
      <xdr:row>18</xdr:row>
      <xdr:rowOff>127000</xdr:rowOff>
    </xdr:from>
    <xdr:to>
      <xdr:col>10</xdr:col>
      <xdr:colOff>98778</xdr:colOff>
      <xdr:row>20</xdr:row>
      <xdr:rowOff>38806</xdr:rowOff>
    </xdr:to>
    <xdr:sp macro="" textlink="">
      <xdr:nvSpPr>
        <xdr:cNvPr id="4" name="TextBox 3"/>
        <xdr:cNvSpPr txBox="1"/>
      </xdr:nvSpPr>
      <xdr:spPr>
        <a:xfrm>
          <a:off x="6699250" y="3746500"/>
          <a:ext cx="924278" cy="2928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762000</xdr:colOff>
      <xdr:row>24</xdr:row>
      <xdr:rowOff>52917</xdr:rowOff>
    </xdr:from>
    <xdr:to>
      <xdr:col>10</xdr:col>
      <xdr:colOff>98778</xdr:colOff>
      <xdr:row>25</xdr:row>
      <xdr:rowOff>155223</xdr:rowOff>
    </xdr:to>
    <xdr:sp macro="" textlink="">
      <xdr:nvSpPr>
        <xdr:cNvPr id="5" name="TextBox 4"/>
        <xdr:cNvSpPr txBox="1"/>
      </xdr:nvSpPr>
      <xdr:spPr>
        <a:xfrm>
          <a:off x="6699250" y="4836584"/>
          <a:ext cx="924278" cy="2928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751417</xdr:colOff>
      <xdr:row>28</xdr:row>
      <xdr:rowOff>42333</xdr:rowOff>
    </xdr:from>
    <xdr:to>
      <xdr:col>10</xdr:col>
      <xdr:colOff>88195</xdr:colOff>
      <xdr:row>29</xdr:row>
      <xdr:rowOff>144639</xdr:rowOff>
    </xdr:to>
    <xdr:sp macro="" textlink="">
      <xdr:nvSpPr>
        <xdr:cNvPr id="6" name="TextBox 5"/>
        <xdr:cNvSpPr txBox="1"/>
      </xdr:nvSpPr>
      <xdr:spPr>
        <a:xfrm>
          <a:off x="6688667" y="5640916"/>
          <a:ext cx="924278" cy="2928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PSE Bran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6671"/>
      </a:accent1>
      <a:accent2>
        <a:srgbClr val="E45D48"/>
      </a:accent2>
      <a:accent3>
        <a:srgbClr val="668B53"/>
      </a:accent3>
      <a:accent4>
        <a:srgbClr val="C3E7E3"/>
      </a:accent4>
      <a:accent5>
        <a:srgbClr val="58C3B4"/>
      </a:accent5>
      <a:accent6>
        <a:srgbClr val="2C1126"/>
      </a:accent6>
      <a:hlink>
        <a:srgbClr val="474B55"/>
      </a:hlink>
      <a:folHlink>
        <a:srgbClr val="9CADB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"/>
  <sheetViews>
    <sheetView tabSelected="1" zoomScaleNormal="100" workbookViewId="0">
      <selection activeCell="A11" sqref="A11"/>
    </sheetView>
  </sheetViews>
  <sheetFormatPr defaultColWidth="9.140625" defaultRowHeight="12.75" x14ac:dyDescent="0.2"/>
  <cols>
    <col min="1" max="16384" width="9.140625" style="181"/>
  </cols>
  <sheetData>
    <row r="2" spans="1:1" ht="15.75" x14ac:dyDescent="0.25">
      <c r="A2" s="180" t="s">
        <v>121</v>
      </c>
    </row>
  </sheetData>
  <pageMargins left="0.75" right="0.75" top="1" bottom="1" header="0.5" footer="0.5"/>
  <pageSetup scale="75" orientation="landscape" horizontalDpi="300" verticalDpi="300" r:id="rId1"/>
  <headerFooter alignWithMargins="0"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zoomScale="105" zoomScaleNormal="105" workbookViewId="0">
      <selection activeCell="F33" sqref="F33"/>
    </sheetView>
  </sheetViews>
  <sheetFormatPr defaultColWidth="9.140625" defaultRowHeight="11.25" x14ac:dyDescent="0.2"/>
  <cols>
    <col min="1" max="1" width="3.85546875" style="87" bestFit="1" customWidth="1"/>
    <col min="2" max="2" width="33.5703125" style="87" customWidth="1"/>
    <col min="3" max="3" width="10.42578125" style="87" bestFit="1" customWidth="1"/>
    <col min="4" max="4" width="10" style="87" bestFit="1" customWidth="1"/>
    <col min="5" max="5" width="11.28515625" style="87" bestFit="1" customWidth="1"/>
    <col min="6" max="6" width="11.5703125" style="87" bestFit="1" customWidth="1"/>
    <col min="7" max="7" width="10.42578125" style="87" bestFit="1" customWidth="1"/>
    <col min="8" max="8" width="1.28515625" style="87" customWidth="1"/>
    <col min="9" max="10" width="12" style="87" bestFit="1" customWidth="1"/>
    <col min="11" max="11" width="15.28515625" style="87" bestFit="1" customWidth="1"/>
    <col min="12" max="12" width="1.28515625" style="87" customWidth="1"/>
    <col min="13" max="13" width="10.42578125" style="88" customWidth="1"/>
    <col min="14" max="14" width="13.42578125" style="88" bestFit="1" customWidth="1"/>
    <col min="15" max="15" width="9.140625" style="87"/>
    <col min="16" max="16" width="12" style="87" customWidth="1"/>
    <col min="17" max="16384" width="9.140625" style="87"/>
  </cols>
  <sheetData>
    <row r="1" spans="1:17" x14ac:dyDescent="0.2">
      <c r="A1" s="85" t="s">
        <v>56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6"/>
      <c r="M1" s="85"/>
      <c r="N1" s="85"/>
    </row>
    <row r="2" spans="1:17" x14ac:dyDescent="0.2">
      <c r="A2" s="85" t="s">
        <v>110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6"/>
      <c r="M2" s="85"/>
      <c r="N2" s="85"/>
    </row>
    <row r="3" spans="1:17" x14ac:dyDescent="0.2">
      <c r="A3" s="85" t="s">
        <v>92</v>
      </c>
      <c r="B3" s="85"/>
      <c r="C3" s="85"/>
      <c r="D3" s="85"/>
      <c r="E3" s="85"/>
      <c r="F3" s="85"/>
      <c r="G3" s="85"/>
      <c r="H3" s="85"/>
      <c r="I3" s="85"/>
      <c r="J3" s="85"/>
      <c r="K3" s="86"/>
      <c r="L3" s="86"/>
      <c r="M3" s="85"/>
      <c r="N3" s="85"/>
    </row>
    <row r="4" spans="1:17" x14ac:dyDescent="0.2">
      <c r="A4" s="156" t="s">
        <v>93</v>
      </c>
      <c r="B4" s="85"/>
      <c r="C4" s="85"/>
      <c r="D4" s="85"/>
      <c r="E4" s="85"/>
      <c r="F4" s="85"/>
      <c r="G4" s="85"/>
      <c r="H4" s="85"/>
      <c r="I4" s="85"/>
      <c r="J4" s="85"/>
      <c r="K4" s="86"/>
      <c r="L4" s="86"/>
      <c r="M4" s="85"/>
      <c r="N4" s="85"/>
    </row>
    <row r="5" spans="1:17" x14ac:dyDescent="0.2">
      <c r="A5" s="88"/>
      <c r="B5" s="88"/>
      <c r="C5" s="88"/>
      <c r="D5" s="88"/>
      <c r="E5" s="88"/>
      <c r="L5" s="89"/>
      <c r="M5" s="90"/>
      <c r="N5" s="90"/>
    </row>
    <row r="6" spans="1:17" ht="45" x14ac:dyDescent="0.2">
      <c r="A6" s="91" t="s">
        <v>57</v>
      </c>
      <c r="B6" s="92" t="s">
        <v>58</v>
      </c>
      <c r="C6" s="91" t="s">
        <v>95</v>
      </c>
      <c r="D6" s="91" t="s">
        <v>59</v>
      </c>
      <c r="E6" s="91" t="s">
        <v>96</v>
      </c>
      <c r="F6" s="91" t="s">
        <v>97</v>
      </c>
      <c r="G6" s="160" t="s">
        <v>60</v>
      </c>
      <c r="H6" s="91"/>
      <c r="I6" s="93" t="s">
        <v>94</v>
      </c>
      <c r="J6" s="93" t="s">
        <v>107</v>
      </c>
      <c r="K6" s="160" t="s">
        <v>98</v>
      </c>
      <c r="L6" s="94"/>
      <c r="M6" s="93" t="s">
        <v>99</v>
      </c>
      <c r="N6" s="160" t="s">
        <v>102</v>
      </c>
    </row>
    <row r="7" spans="1:17" x14ac:dyDescent="0.2">
      <c r="A7" s="95"/>
      <c r="B7" s="96"/>
      <c r="C7" s="96" t="s">
        <v>26</v>
      </c>
      <c r="D7" s="96" t="s">
        <v>27</v>
      </c>
      <c r="E7" s="97" t="s">
        <v>61</v>
      </c>
      <c r="F7" s="97" t="s">
        <v>62</v>
      </c>
      <c r="G7" s="96" t="s">
        <v>63</v>
      </c>
      <c r="H7" s="97"/>
      <c r="I7" s="96" t="s">
        <v>64</v>
      </c>
      <c r="J7" s="96" t="s">
        <v>65</v>
      </c>
      <c r="K7" s="96" t="s">
        <v>66</v>
      </c>
      <c r="L7" s="98"/>
      <c r="M7" s="99" t="s">
        <v>67</v>
      </c>
      <c r="N7" s="99" t="s">
        <v>68</v>
      </c>
      <c r="O7" s="100"/>
      <c r="P7" s="100"/>
      <c r="Q7" s="100"/>
    </row>
    <row r="8" spans="1:17" x14ac:dyDescent="0.2">
      <c r="A8" s="101">
        <f>1</f>
        <v>1</v>
      </c>
      <c r="B8" s="157" t="s">
        <v>105</v>
      </c>
      <c r="C8" s="96"/>
      <c r="D8" s="96"/>
      <c r="E8" s="97"/>
      <c r="F8" s="97"/>
      <c r="G8" s="96"/>
      <c r="H8" s="97"/>
      <c r="I8" s="96"/>
      <c r="J8" s="96"/>
      <c r="K8" s="96"/>
      <c r="L8" s="98"/>
      <c r="M8" s="99"/>
      <c r="N8" s="99"/>
      <c r="O8" s="100"/>
      <c r="P8" s="100"/>
      <c r="Q8" s="100"/>
    </row>
    <row r="9" spans="1:17" x14ac:dyDescent="0.2">
      <c r="A9" s="101">
        <f>A8+1</f>
        <v>2</v>
      </c>
      <c r="B9" s="102" t="s">
        <v>69</v>
      </c>
      <c r="C9" s="103">
        <v>5</v>
      </c>
      <c r="D9" s="96"/>
      <c r="E9" s="104"/>
      <c r="F9" s="97"/>
      <c r="G9" s="96"/>
      <c r="H9" s="97"/>
      <c r="I9" s="96"/>
      <c r="J9" s="96"/>
      <c r="K9" s="96"/>
      <c r="L9" s="89"/>
      <c r="M9" s="90"/>
      <c r="N9" s="90"/>
      <c r="O9" s="100"/>
      <c r="P9" s="100"/>
      <c r="Q9" s="100"/>
    </row>
    <row r="10" spans="1:17" x14ac:dyDescent="0.2">
      <c r="A10" s="101">
        <f t="shared" ref="A10:A29" si="0">A9+1</f>
        <v>3</v>
      </c>
      <c r="O10" s="100"/>
      <c r="P10" s="100"/>
      <c r="Q10" s="100"/>
    </row>
    <row r="11" spans="1:17" x14ac:dyDescent="0.2">
      <c r="A11" s="101">
        <f t="shared" si="0"/>
        <v>4</v>
      </c>
      <c r="B11" s="102" t="s">
        <v>59</v>
      </c>
      <c r="C11" s="102"/>
      <c r="D11" s="105">
        <f>'Conversion Factor'!$E$23-1</f>
        <v>4.9930494601257536E-2</v>
      </c>
      <c r="O11" s="100"/>
      <c r="P11" s="100"/>
      <c r="Q11" s="100"/>
    </row>
    <row r="12" spans="1:17" x14ac:dyDescent="0.2">
      <c r="A12" s="101">
        <f t="shared" si="0"/>
        <v>5</v>
      </c>
      <c r="O12" s="100"/>
      <c r="P12" s="100"/>
    </row>
    <row r="13" spans="1:17" x14ac:dyDescent="0.2">
      <c r="A13" s="101">
        <f t="shared" si="0"/>
        <v>6</v>
      </c>
      <c r="B13" s="102" t="s">
        <v>101</v>
      </c>
      <c r="C13" s="102"/>
      <c r="D13" s="96"/>
      <c r="E13" s="106">
        <f>'VRNG Cost Summary (R)'!$C$17</f>
        <v>1.7266199124753552</v>
      </c>
      <c r="F13" s="107">
        <f>ROUND(E13*(1+$D$11),5)</f>
        <v>1.8128299999999999</v>
      </c>
      <c r="G13" s="108">
        <f>ROUND(C9/F13,3)</f>
        <v>2.758</v>
      </c>
      <c r="H13" s="97"/>
      <c r="I13" s="96"/>
      <c r="J13" s="96"/>
      <c r="K13" s="96"/>
      <c r="L13" s="89"/>
      <c r="M13" s="90"/>
      <c r="N13" s="90"/>
    </row>
    <row r="14" spans="1:17" x14ac:dyDescent="0.2">
      <c r="A14" s="101">
        <f t="shared" si="0"/>
        <v>7</v>
      </c>
    </row>
    <row r="15" spans="1:17" x14ac:dyDescent="0.2">
      <c r="A15" s="101">
        <f t="shared" si="0"/>
        <v>8</v>
      </c>
      <c r="B15" s="158" t="s">
        <v>108</v>
      </c>
      <c r="C15" s="158"/>
      <c r="D15" s="159"/>
      <c r="E15" s="104"/>
      <c r="F15" s="97"/>
      <c r="G15" s="96"/>
      <c r="H15" s="97"/>
      <c r="I15" s="109">
        <v>0.38799</v>
      </c>
      <c r="J15" s="110">
        <f>ROUND(I15*(1+$D$11),5)</f>
        <v>0.40736</v>
      </c>
      <c r="K15" s="161">
        <f>ROUND(J15*G13,5)</f>
        <v>1.1234999999999999</v>
      </c>
      <c r="L15" s="89"/>
      <c r="M15" s="111"/>
      <c r="N15" s="112"/>
    </row>
    <row r="16" spans="1:17" x14ac:dyDescent="0.2">
      <c r="A16" s="101">
        <f t="shared" si="0"/>
        <v>9</v>
      </c>
    </row>
    <row r="17" spans="1:14" x14ac:dyDescent="0.2">
      <c r="A17" s="101">
        <f t="shared" si="0"/>
        <v>10</v>
      </c>
      <c r="B17" s="87" t="s">
        <v>100</v>
      </c>
      <c r="F17" s="113"/>
      <c r="G17" s="96"/>
      <c r="M17" s="112">
        <f>C9-K15</f>
        <v>3.8765000000000001</v>
      </c>
      <c r="N17" s="162">
        <f>ROUND(M17/G13,5)</f>
        <v>1.4055500000000001</v>
      </c>
    </row>
    <row r="18" spans="1:14" x14ac:dyDescent="0.2">
      <c r="A18" s="101">
        <f t="shared" si="0"/>
        <v>11</v>
      </c>
    </row>
    <row r="19" spans="1:14" x14ac:dyDescent="0.2">
      <c r="A19" s="101">
        <f t="shared" si="0"/>
        <v>12</v>
      </c>
    </row>
    <row r="20" spans="1:14" x14ac:dyDescent="0.2">
      <c r="A20" s="101">
        <f t="shared" si="0"/>
        <v>13</v>
      </c>
      <c r="B20" s="157" t="s">
        <v>106</v>
      </c>
      <c r="C20" s="96"/>
      <c r="D20" s="96"/>
      <c r="E20" s="97"/>
      <c r="F20" s="97"/>
      <c r="G20" s="96"/>
      <c r="H20" s="97"/>
      <c r="I20" s="96"/>
      <c r="J20" s="96"/>
      <c r="K20" s="96"/>
      <c r="L20" s="98"/>
      <c r="M20" s="99"/>
      <c r="N20" s="99"/>
    </row>
    <row r="21" spans="1:14" x14ac:dyDescent="0.2">
      <c r="A21" s="101">
        <f t="shared" si="0"/>
        <v>14</v>
      </c>
      <c r="B21" s="102" t="s">
        <v>69</v>
      </c>
      <c r="C21" s="103">
        <v>5</v>
      </c>
      <c r="D21" s="96"/>
      <c r="E21" s="104"/>
      <c r="F21" s="97"/>
      <c r="G21" s="96"/>
      <c r="H21" s="97"/>
      <c r="I21" s="96"/>
      <c r="J21" s="96"/>
      <c r="K21" s="96"/>
      <c r="L21" s="89"/>
      <c r="M21" s="90"/>
      <c r="N21" s="90"/>
    </row>
    <row r="22" spans="1:14" x14ac:dyDescent="0.2">
      <c r="A22" s="101">
        <f t="shared" si="0"/>
        <v>15</v>
      </c>
    </row>
    <row r="23" spans="1:14" x14ac:dyDescent="0.2">
      <c r="A23" s="101">
        <f t="shared" si="0"/>
        <v>16</v>
      </c>
      <c r="B23" s="102" t="s">
        <v>59</v>
      </c>
      <c r="C23" s="102"/>
      <c r="D23" s="105">
        <f>'Conversion Factor'!$E$23-1</f>
        <v>4.9930494601257536E-2</v>
      </c>
    </row>
    <row r="24" spans="1:14" x14ac:dyDescent="0.2">
      <c r="A24" s="101">
        <f t="shared" si="0"/>
        <v>17</v>
      </c>
    </row>
    <row r="25" spans="1:14" x14ac:dyDescent="0.2">
      <c r="A25" s="101">
        <f t="shared" si="0"/>
        <v>18</v>
      </c>
      <c r="B25" s="102" t="s">
        <v>101</v>
      </c>
      <c r="C25" s="102"/>
      <c r="D25" s="96"/>
      <c r="E25" s="106">
        <f>'VRNG Cost Summary (R)'!$C$28</f>
        <v>1.7266199124753552</v>
      </c>
      <c r="F25" s="107">
        <f>ROUND(E25*(1+$D$11),5)</f>
        <v>1.8128299999999999</v>
      </c>
      <c r="G25" s="108">
        <f>ROUND(C21/F25,3)</f>
        <v>2.758</v>
      </c>
      <c r="H25" s="97"/>
      <c r="I25" s="96"/>
      <c r="J25" s="96"/>
      <c r="K25" s="96"/>
      <c r="L25" s="89"/>
      <c r="M25" s="90"/>
      <c r="N25" s="90"/>
    </row>
    <row r="26" spans="1:14" x14ac:dyDescent="0.2">
      <c r="A26" s="101">
        <f t="shared" si="0"/>
        <v>19</v>
      </c>
    </row>
    <row r="27" spans="1:14" x14ac:dyDescent="0.2">
      <c r="A27" s="101">
        <f t="shared" si="0"/>
        <v>20</v>
      </c>
      <c r="B27" s="158" t="s">
        <v>108</v>
      </c>
      <c r="C27" s="158"/>
      <c r="D27" s="159"/>
      <c r="E27" s="104"/>
      <c r="F27" s="97"/>
      <c r="G27" s="96"/>
      <c r="H27" s="97"/>
      <c r="I27" s="109">
        <v>0.38799</v>
      </c>
      <c r="J27" s="110">
        <f>ROUND(I27*(1+$D$11),5)</f>
        <v>0.40736</v>
      </c>
      <c r="K27" s="161">
        <f>ROUND(J27*G25,5)</f>
        <v>1.1234999999999999</v>
      </c>
      <c r="L27" s="89"/>
      <c r="M27" s="111"/>
      <c r="N27" s="112"/>
    </row>
    <row r="28" spans="1:14" x14ac:dyDescent="0.2">
      <c r="A28" s="101">
        <f t="shared" si="0"/>
        <v>21</v>
      </c>
    </row>
    <row r="29" spans="1:14" x14ac:dyDescent="0.2">
      <c r="A29" s="101">
        <f t="shared" si="0"/>
        <v>22</v>
      </c>
      <c r="B29" s="87" t="s">
        <v>100</v>
      </c>
      <c r="F29" s="113"/>
      <c r="G29" s="96"/>
      <c r="M29" s="112">
        <f>C21-K27+('RNG Assumptions'!B21*'Sch. 138 VRNG Rates'!G25)</f>
        <v>4.9917800400000001</v>
      </c>
      <c r="N29" s="162">
        <f>ROUND(M29/G25,5)</f>
        <v>1.80993</v>
      </c>
    </row>
    <row r="31" spans="1:14" x14ac:dyDescent="0.2">
      <c r="B31" s="87" t="s">
        <v>109</v>
      </c>
    </row>
  </sheetData>
  <printOptions horizontalCentered="1"/>
  <pageMargins left="0.5" right="0.5" top="1" bottom="0.6" header="0.5" footer="0.3"/>
  <pageSetup scale="81" orientation="landscape" blackAndWhite="1" r:id="rId1"/>
  <headerFooter alignWithMargins="0">
    <oddFooter>&amp;L&amp;F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105" zoomScaleNormal="105" workbookViewId="0">
      <selection activeCell="C38" sqref="C38"/>
    </sheetView>
  </sheetViews>
  <sheetFormatPr defaultColWidth="8.7109375" defaultRowHeight="11.25" x14ac:dyDescent="0.2"/>
  <cols>
    <col min="1" max="1" width="3.85546875" style="87" bestFit="1" customWidth="1"/>
    <col min="2" max="2" width="59.140625" style="87" customWidth="1"/>
    <col min="3" max="3" width="16.28515625" style="87" bestFit="1" customWidth="1"/>
    <col min="4" max="4" width="8.7109375" style="87"/>
    <col min="5" max="5" width="9.85546875" style="87" bestFit="1" customWidth="1"/>
    <col min="6" max="16384" width="8.7109375" style="87"/>
  </cols>
  <sheetData>
    <row r="1" spans="1:6" x14ac:dyDescent="0.2">
      <c r="A1" s="114" t="s">
        <v>24</v>
      </c>
      <c r="B1" s="115"/>
      <c r="C1" s="116"/>
    </row>
    <row r="2" spans="1:6" x14ac:dyDescent="0.2">
      <c r="A2" s="86" t="str">
        <f>'Sch. 138 VRNG Rates'!$A$1</f>
        <v>Puget Sound Energy</v>
      </c>
      <c r="B2" s="117"/>
      <c r="C2" s="117"/>
    </row>
    <row r="3" spans="1:6" x14ac:dyDescent="0.2">
      <c r="A3" s="86" t="str">
        <f>'Sch. 138 VRNG Rates'!A2</f>
        <v>2024 Gas Schedule 138 Voluntary Renewable Natural Gas (VRNG) Filing</v>
      </c>
      <c r="B3" s="118"/>
      <c r="C3" s="118"/>
    </row>
    <row r="4" spans="1:6" x14ac:dyDescent="0.2">
      <c r="A4" s="86" t="s">
        <v>70</v>
      </c>
      <c r="B4" s="118"/>
      <c r="C4" s="118"/>
    </row>
    <row r="5" spans="1:6" x14ac:dyDescent="0.2">
      <c r="A5" s="163" t="str">
        <f>'Sch. 138 VRNG Rates'!$A$4</f>
        <v>Proposed Rates Effective November 1, 2024</v>
      </c>
      <c r="B5" s="119"/>
      <c r="C5" s="118"/>
    </row>
    <row r="6" spans="1:6" x14ac:dyDescent="0.2">
      <c r="B6" s="88"/>
      <c r="C6" s="88"/>
    </row>
    <row r="7" spans="1:6" ht="22.5" x14ac:dyDescent="0.2">
      <c r="A7" s="91" t="s">
        <v>57</v>
      </c>
      <c r="B7" s="120" t="s">
        <v>58</v>
      </c>
      <c r="C7" s="164" t="s">
        <v>103</v>
      </c>
    </row>
    <row r="8" spans="1:6" x14ac:dyDescent="0.2">
      <c r="A8" s="95"/>
      <c r="B8" s="98" t="s">
        <v>26</v>
      </c>
      <c r="C8" s="166" t="s">
        <v>27</v>
      </c>
    </row>
    <row r="9" spans="1:6" ht="12" thickBot="1" x14ac:dyDescent="0.25">
      <c r="A9" s="101">
        <f>1</f>
        <v>1</v>
      </c>
      <c r="B9" s="131" t="str">
        <f>'Sch. 138 VRNG Rates'!B8</f>
        <v>Small Purchaser (Schedules 23 &amp; 31):</v>
      </c>
      <c r="C9" s="165"/>
    </row>
    <row r="10" spans="1:6" ht="12" thickBot="1" x14ac:dyDescent="0.25">
      <c r="A10" s="101">
        <f>A9+1</f>
        <v>2</v>
      </c>
      <c r="B10" s="121" t="s">
        <v>71</v>
      </c>
      <c r="C10" s="122"/>
      <c r="E10" s="123"/>
    </row>
    <row r="11" spans="1:6" ht="12" thickBot="1" x14ac:dyDescent="0.25">
      <c r="A11" s="101">
        <f t="shared" ref="A11:A28" si="0">A10+1</f>
        <v>3</v>
      </c>
      <c r="B11" s="89"/>
      <c r="C11" s="124"/>
      <c r="E11" s="125"/>
      <c r="F11" s="125"/>
    </row>
    <row r="12" spans="1:6" ht="12" thickBot="1" x14ac:dyDescent="0.25">
      <c r="A12" s="101">
        <f t="shared" si="0"/>
        <v>4</v>
      </c>
      <c r="B12" s="121" t="s">
        <v>72</v>
      </c>
      <c r="C12" s="126"/>
    </row>
    <row r="13" spans="1:6" x14ac:dyDescent="0.2">
      <c r="A13" s="101">
        <f t="shared" si="0"/>
        <v>5</v>
      </c>
      <c r="B13" s="90"/>
      <c r="C13" s="110"/>
    </row>
    <row r="14" spans="1:6" ht="12" thickBot="1" x14ac:dyDescent="0.25">
      <c r="A14" s="101">
        <f t="shared" si="0"/>
        <v>6</v>
      </c>
      <c r="B14" s="88" t="s">
        <v>73</v>
      </c>
      <c r="C14" s="168">
        <f>'RNG Assumptions'!B12+'RNG Assumptions'!B13</f>
        <v>79676.920577671932</v>
      </c>
    </row>
    <row r="15" spans="1:6" ht="12" thickBot="1" x14ac:dyDescent="0.25">
      <c r="A15" s="101">
        <f t="shared" si="0"/>
        <v>7</v>
      </c>
      <c r="B15" s="127" t="s">
        <v>74</v>
      </c>
      <c r="C15" s="128"/>
    </row>
    <row r="16" spans="1:6" x14ac:dyDescent="0.2">
      <c r="A16" s="101">
        <f t="shared" si="0"/>
        <v>8</v>
      </c>
      <c r="B16" s="129"/>
      <c r="C16" s="130"/>
    </row>
    <row r="17" spans="1:3" x14ac:dyDescent="0.2">
      <c r="A17" s="101">
        <f t="shared" si="0"/>
        <v>9</v>
      </c>
      <c r="B17" s="131" t="s">
        <v>104</v>
      </c>
      <c r="C17" s="132">
        <v>1.7266199124753552</v>
      </c>
    </row>
    <row r="18" spans="1:3" x14ac:dyDescent="0.2">
      <c r="A18" s="101">
        <f t="shared" si="0"/>
        <v>10</v>
      </c>
    </row>
    <row r="19" spans="1:3" x14ac:dyDescent="0.2">
      <c r="A19" s="101">
        <f t="shared" si="0"/>
        <v>11</v>
      </c>
      <c r="C19" s="133"/>
    </row>
    <row r="20" spans="1:3" ht="12" thickBot="1" x14ac:dyDescent="0.25">
      <c r="A20" s="101">
        <f t="shared" si="0"/>
        <v>12</v>
      </c>
      <c r="B20" s="131" t="str">
        <f>'Sch. 138 VRNG Rates'!B20</f>
        <v>Large Purchaser (Schedules 41, 85, 86 &amp; 87):</v>
      </c>
      <c r="C20" s="165"/>
    </row>
    <row r="21" spans="1:3" ht="12" thickBot="1" x14ac:dyDescent="0.25">
      <c r="A21" s="101">
        <f t="shared" si="0"/>
        <v>13</v>
      </c>
      <c r="B21" s="121" t="s">
        <v>71</v>
      </c>
      <c r="C21" s="122"/>
    </row>
    <row r="22" spans="1:3" ht="12" thickBot="1" x14ac:dyDescent="0.25">
      <c r="A22" s="101">
        <f t="shared" si="0"/>
        <v>14</v>
      </c>
      <c r="B22" s="89"/>
      <c r="C22" s="124"/>
    </row>
    <row r="23" spans="1:3" ht="12" thickBot="1" x14ac:dyDescent="0.25">
      <c r="A23" s="101">
        <f t="shared" si="0"/>
        <v>15</v>
      </c>
      <c r="B23" s="121" t="s">
        <v>72</v>
      </c>
      <c r="C23" s="126"/>
    </row>
    <row r="24" spans="1:3" x14ac:dyDescent="0.2">
      <c r="A24" s="101">
        <f t="shared" si="0"/>
        <v>16</v>
      </c>
      <c r="B24" s="90"/>
      <c r="C24" s="110"/>
    </row>
    <row r="25" spans="1:3" ht="12" thickBot="1" x14ac:dyDescent="0.25">
      <c r="A25" s="101">
        <f t="shared" si="0"/>
        <v>17</v>
      </c>
      <c r="B25" s="88" t="s">
        <v>73</v>
      </c>
      <c r="C25" s="168">
        <f>'RNG Assumptions'!B22+'RNG Assumptions'!B23</f>
        <v>80575.498922328057</v>
      </c>
    </row>
    <row r="26" spans="1:3" ht="12" thickBot="1" x14ac:dyDescent="0.25">
      <c r="A26" s="101">
        <f t="shared" si="0"/>
        <v>18</v>
      </c>
      <c r="B26" s="127" t="s">
        <v>74</v>
      </c>
      <c r="C26" s="128"/>
    </row>
    <row r="27" spans="1:3" x14ac:dyDescent="0.2">
      <c r="A27" s="101">
        <f t="shared" si="0"/>
        <v>19</v>
      </c>
      <c r="B27" s="129"/>
      <c r="C27" s="130"/>
    </row>
    <row r="28" spans="1:3" x14ac:dyDescent="0.2">
      <c r="A28" s="101">
        <f t="shared" si="0"/>
        <v>20</v>
      </c>
      <c r="B28" s="131" t="s">
        <v>104</v>
      </c>
      <c r="C28" s="132">
        <v>1.7266199124753552</v>
      </c>
    </row>
  </sheetData>
  <pageMargins left="0.7" right="0.7" top="0.75" bottom="0.75" header="0.3" footer="0.3"/>
  <pageSetup orientation="portrait" r:id="rId1"/>
  <headerFooter>
    <oddFooter>&amp;L&amp;F
&amp;A&amp;RPage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43"/>
  <sheetViews>
    <sheetView zoomScaleNormal="100" workbookViewId="0">
      <pane ySplit="4" topLeftCell="A5" activePane="bottomLeft" state="frozen"/>
      <selection pane="bottomLeft" activeCell="J42" sqref="J42"/>
    </sheetView>
  </sheetViews>
  <sheetFormatPr defaultColWidth="9.140625" defaultRowHeight="12.75" x14ac:dyDescent="0.2"/>
  <cols>
    <col min="1" max="1" width="6.42578125" style="16" bestFit="1" customWidth="1"/>
    <col min="2" max="2" width="12.85546875" style="16" customWidth="1"/>
    <col min="3" max="3" width="12.28515625" style="16" bestFit="1" customWidth="1"/>
    <col min="4" max="4" width="9.42578125" style="16" customWidth="1"/>
    <col min="5" max="5" width="11.7109375" style="16" bestFit="1" customWidth="1"/>
    <col min="6" max="6" width="12.7109375" style="16" bestFit="1" customWidth="1"/>
    <col min="7" max="7" width="13.28515625" style="16" customWidth="1"/>
    <col min="8" max="8" width="4.7109375" style="16" customWidth="1"/>
    <col min="9" max="16" width="10.140625" style="16" bestFit="1" customWidth="1"/>
    <col min="17" max="16384" width="9.140625" style="16"/>
  </cols>
  <sheetData>
    <row r="1" spans="1:16" x14ac:dyDescent="0.2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53"/>
      <c r="O1" s="54"/>
      <c r="P1" s="54"/>
    </row>
    <row r="3" spans="1:16" x14ac:dyDescent="0.2">
      <c r="I3" s="182" t="s">
        <v>9</v>
      </c>
      <c r="J3" s="182"/>
      <c r="K3" s="182" t="s">
        <v>10</v>
      </c>
      <c r="L3" s="182"/>
      <c r="M3" s="182" t="s">
        <v>30</v>
      </c>
      <c r="N3" s="182"/>
      <c r="O3" s="182" t="s">
        <v>22</v>
      </c>
      <c r="P3" s="182"/>
    </row>
    <row r="4" spans="1:16" ht="38.25" x14ac:dyDescent="0.2">
      <c r="A4" s="37" t="s">
        <v>25</v>
      </c>
      <c r="B4" s="37" t="s">
        <v>43</v>
      </c>
      <c r="C4" s="50" t="s">
        <v>42</v>
      </c>
      <c r="D4" s="50" t="s">
        <v>9</v>
      </c>
      <c r="E4" s="50" t="s">
        <v>10</v>
      </c>
      <c r="F4" s="50" t="s">
        <v>30</v>
      </c>
      <c r="G4" s="51" t="s">
        <v>34</v>
      </c>
      <c r="I4" s="49" t="s">
        <v>35</v>
      </c>
      <c r="J4" s="49" t="s">
        <v>31</v>
      </c>
      <c r="K4" s="49" t="str">
        <f>$I$4</f>
        <v>Small Purchaser</v>
      </c>
      <c r="L4" s="49" t="str">
        <f>$J$4</f>
        <v>Large Purchaser</v>
      </c>
      <c r="M4" s="49" t="str">
        <f>$I$4</f>
        <v>Small Purchaser</v>
      </c>
      <c r="N4" s="49" t="str">
        <f>$J$4</f>
        <v>Large Purchaser</v>
      </c>
      <c r="O4" s="49" t="str">
        <f>$I$4</f>
        <v>Small Purchaser</v>
      </c>
      <c r="P4" s="49" t="str">
        <f>$J$4</f>
        <v>Large Purchaser</v>
      </c>
    </row>
    <row r="5" spans="1:16" x14ac:dyDescent="0.2">
      <c r="A5" s="32"/>
      <c r="B5" s="33" t="s">
        <v>26</v>
      </c>
      <c r="C5" s="33" t="s">
        <v>27</v>
      </c>
      <c r="D5" s="33" t="s">
        <v>32</v>
      </c>
      <c r="E5" s="33" t="s">
        <v>33</v>
      </c>
      <c r="F5" s="52" t="s">
        <v>40</v>
      </c>
      <c r="G5" s="52" t="s">
        <v>41</v>
      </c>
    </row>
    <row r="6" spans="1:16" x14ac:dyDescent="0.2">
      <c r="A6" s="34">
        <v>1</v>
      </c>
      <c r="B6" s="35">
        <v>44531</v>
      </c>
      <c r="C6" s="80">
        <v>3.2210000000000001</v>
      </c>
      <c r="D6" s="42">
        <v>40</v>
      </c>
      <c r="E6" s="43">
        <v>46</v>
      </c>
      <c r="F6" s="167">
        <f t="shared" ref="F6:F38" si="0">D6*C6</f>
        <v>128.84</v>
      </c>
      <c r="G6" s="44">
        <f>D6/E6</f>
        <v>0.86956521739130432</v>
      </c>
      <c r="I6" s="48"/>
      <c r="J6" s="48"/>
      <c r="K6" s="48"/>
      <c r="L6" s="48"/>
      <c r="M6" s="48"/>
      <c r="N6" s="48"/>
      <c r="O6" s="44"/>
      <c r="P6" s="44"/>
    </row>
    <row r="7" spans="1:16" x14ac:dyDescent="0.2">
      <c r="A7" s="34">
        <f t="shared" ref="A7:A38" si="1">A6+1</f>
        <v>2</v>
      </c>
      <c r="B7" s="35">
        <f>EDATE(B6,1)</f>
        <v>44562</v>
      </c>
      <c r="C7" s="80">
        <v>3.2210000000000001</v>
      </c>
      <c r="D7" s="42">
        <v>231</v>
      </c>
      <c r="E7" s="43">
        <v>274</v>
      </c>
      <c r="F7" s="167">
        <f t="shared" si="0"/>
        <v>744.05100000000004</v>
      </c>
      <c r="G7" s="44">
        <f t="shared" ref="G7:G23" si="2">D7/E7</f>
        <v>0.84306569343065696</v>
      </c>
      <c r="I7" s="48"/>
      <c r="J7" s="48"/>
      <c r="K7" s="48"/>
      <c r="L7" s="48"/>
      <c r="M7" s="48"/>
      <c r="N7" s="48"/>
      <c r="O7" s="44"/>
      <c r="P7" s="44"/>
    </row>
    <row r="8" spans="1:16" x14ac:dyDescent="0.2">
      <c r="A8" s="34">
        <f t="shared" si="1"/>
        <v>3</v>
      </c>
      <c r="B8" s="35">
        <f t="shared" ref="B8:B38" si="3">EDATE(B7,1)</f>
        <v>44593</v>
      </c>
      <c r="C8" s="80">
        <v>3.2210000000000001</v>
      </c>
      <c r="D8" s="42">
        <v>560</v>
      </c>
      <c r="E8" s="43">
        <v>523</v>
      </c>
      <c r="F8" s="167">
        <f t="shared" si="0"/>
        <v>1803.76</v>
      </c>
      <c r="G8" s="44">
        <f t="shared" si="2"/>
        <v>1.0707456978967496</v>
      </c>
      <c r="I8" s="48"/>
      <c r="J8" s="48"/>
      <c r="K8" s="48"/>
      <c r="L8" s="48"/>
      <c r="M8" s="48"/>
      <c r="N8" s="48"/>
      <c r="O8" s="44"/>
      <c r="P8" s="44"/>
    </row>
    <row r="9" spans="1:16" x14ac:dyDescent="0.2">
      <c r="A9" s="34">
        <f t="shared" si="1"/>
        <v>4</v>
      </c>
      <c r="B9" s="35">
        <f t="shared" si="3"/>
        <v>44621</v>
      </c>
      <c r="C9" s="80">
        <v>3.2210000000000001</v>
      </c>
      <c r="D9" s="42">
        <v>917</v>
      </c>
      <c r="E9" s="43">
        <v>837</v>
      </c>
      <c r="F9" s="167">
        <f t="shared" si="0"/>
        <v>2953.6570000000002</v>
      </c>
      <c r="G9" s="44">
        <f t="shared" si="2"/>
        <v>1.0955794504181602</v>
      </c>
      <c r="I9" s="48"/>
      <c r="J9" s="48"/>
      <c r="K9" s="48"/>
      <c r="L9" s="48"/>
      <c r="M9" s="48"/>
      <c r="N9" s="48"/>
      <c r="O9" s="44"/>
      <c r="P9" s="44"/>
    </row>
    <row r="10" spans="1:16" x14ac:dyDescent="0.2">
      <c r="A10" s="34">
        <f t="shared" si="1"/>
        <v>5</v>
      </c>
      <c r="B10" s="35">
        <f t="shared" si="3"/>
        <v>44652</v>
      </c>
      <c r="C10" s="80">
        <v>3.2210000000000001</v>
      </c>
      <c r="D10" s="42">
        <v>1423</v>
      </c>
      <c r="E10" s="43">
        <v>1251</v>
      </c>
      <c r="F10" s="167">
        <f t="shared" si="0"/>
        <v>4583.4830000000002</v>
      </c>
      <c r="G10" s="44">
        <f t="shared" si="2"/>
        <v>1.1374900079936052</v>
      </c>
      <c r="I10" s="48"/>
      <c r="J10" s="48"/>
      <c r="K10" s="48"/>
      <c r="L10" s="48"/>
      <c r="M10" s="48"/>
      <c r="N10" s="48"/>
      <c r="O10" s="44"/>
      <c r="P10" s="44"/>
    </row>
    <row r="11" spans="1:16" x14ac:dyDescent="0.2">
      <c r="A11" s="34">
        <f t="shared" si="1"/>
        <v>6</v>
      </c>
      <c r="B11" s="35">
        <f t="shared" si="3"/>
        <v>44682</v>
      </c>
      <c r="C11" s="80">
        <v>3.2210000000000001</v>
      </c>
      <c r="D11" s="42">
        <v>2308</v>
      </c>
      <c r="E11" s="43">
        <v>2333</v>
      </c>
      <c r="F11" s="167">
        <f t="shared" si="0"/>
        <v>7434.0680000000002</v>
      </c>
      <c r="G11" s="44">
        <f t="shared" si="2"/>
        <v>0.98928418345477931</v>
      </c>
      <c r="I11" s="48"/>
      <c r="J11" s="48"/>
      <c r="K11" s="48"/>
      <c r="L11" s="48"/>
      <c r="M11" s="48"/>
      <c r="N11" s="48"/>
      <c r="O11" s="44"/>
      <c r="P11" s="44"/>
    </row>
    <row r="12" spans="1:16" x14ac:dyDescent="0.2">
      <c r="A12" s="34">
        <f t="shared" si="1"/>
        <v>7</v>
      </c>
      <c r="B12" s="35">
        <f t="shared" si="3"/>
        <v>44713</v>
      </c>
      <c r="C12" s="80">
        <v>3.2210000000000001</v>
      </c>
      <c r="D12" s="42">
        <v>4819</v>
      </c>
      <c r="E12" s="43">
        <v>3518</v>
      </c>
      <c r="F12" s="167">
        <f t="shared" si="0"/>
        <v>15521.999</v>
      </c>
      <c r="G12" s="44">
        <f t="shared" si="2"/>
        <v>1.3698123934053439</v>
      </c>
      <c r="I12" s="48"/>
      <c r="J12" s="48"/>
      <c r="K12" s="48"/>
      <c r="L12" s="48"/>
      <c r="M12" s="48"/>
      <c r="N12" s="48"/>
      <c r="O12" s="44"/>
      <c r="P12" s="44"/>
    </row>
    <row r="13" spans="1:16" x14ac:dyDescent="0.2">
      <c r="A13" s="34">
        <f t="shared" si="1"/>
        <v>8</v>
      </c>
      <c r="B13" s="35">
        <f t="shared" si="3"/>
        <v>44743</v>
      </c>
      <c r="C13" s="80">
        <v>3.2210000000000001</v>
      </c>
      <c r="D13" s="42">
        <v>5671</v>
      </c>
      <c r="E13" s="43">
        <v>3868</v>
      </c>
      <c r="F13" s="167">
        <f t="shared" si="0"/>
        <v>18266.291000000001</v>
      </c>
      <c r="G13" s="44">
        <f t="shared" si="2"/>
        <v>1.4661323681489142</v>
      </c>
      <c r="I13" s="48"/>
      <c r="J13" s="48"/>
      <c r="K13" s="48"/>
      <c r="L13" s="48"/>
      <c r="M13" s="48"/>
      <c r="N13" s="48"/>
      <c r="O13" s="44"/>
      <c r="P13" s="44"/>
    </row>
    <row r="14" spans="1:16" x14ac:dyDescent="0.2">
      <c r="A14" s="34">
        <f t="shared" si="1"/>
        <v>9</v>
      </c>
      <c r="B14" s="35">
        <f t="shared" si="3"/>
        <v>44774</v>
      </c>
      <c r="C14" s="80">
        <v>3.2210000000000001</v>
      </c>
      <c r="D14" s="42">
        <v>6189</v>
      </c>
      <c r="E14" s="43">
        <v>4308</v>
      </c>
      <c r="F14" s="167">
        <f t="shared" si="0"/>
        <v>19934.769</v>
      </c>
      <c r="G14" s="44">
        <f t="shared" si="2"/>
        <v>1.4366295264623956</v>
      </c>
      <c r="I14" s="48"/>
      <c r="J14" s="48"/>
      <c r="K14" s="48"/>
      <c r="L14" s="48"/>
      <c r="M14" s="48"/>
      <c r="N14" s="48"/>
      <c r="O14" s="44"/>
      <c r="P14" s="44"/>
    </row>
    <row r="15" spans="1:16" x14ac:dyDescent="0.2">
      <c r="A15" s="34">
        <f t="shared" si="1"/>
        <v>10</v>
      </c>
      <c r="B15" s="35">
        <f t="shared" si="3"/>
        <v>44805</v>
      </c>
      <c r="C15" s="80">
        <v>3.2210000000000001</v>
      </c>
      <c r="D15" s="42">
        <v>6675</v>
      </c>
      <c r="E15" s="43">
        <v>4727</v>
      </c>
      <c r="F15" s="167">
        <f t="shared" si="0"/>
        <v>21500.174999999999</v>
      </c>
      <c r="G15" s="44">
        <f t="shared" si="2"/>
        <v>1.4121006981171991</v>
      </c>
      <c r="I15" s="48"/>
      <c r="J15" s="48"/>
      <c r="K15" s="48"/>
      <c r="L15" s="48"/>
      <c r="M15" s="48"/>
      <c r="N15" s="48"/>
      <c r="O15" s="44"/>
      <c r="P15" s="44"/>
    </row>
    <row r="16" spans="1:16" x14ac:dyDescent="0.2">
      <c r="A16" s="34">
        <f t="shared" si="1"/>
        <v>11</v>
      </c>
      <c r="B16" s="35">
        <f t="shared" si="3"/>
        <v>44835</v>
      </c>
      <c r="C16" s="80">
        <v>3.2210000000000001</v>
      </c>
      <c r="D16" s="42">
        <v>7037</v>
      </c>
      <c r="E16" s="43">
        <v>4950</v>
      </c>
      <c r="F16" s="167">
        <f t="shared" si="0"/>
        <v>22666.177</v>
      </c>
      <c r="G16" s="44">
        <f t="shared" si="2"/>
        <v>1.4216161616161616</v>
      </c>
      <c r="I16" s="48"/>
      <c r="J16" s="48"/>
      <c r="K16" s="48"/>
      <c r="L16" s="48"/>
      <c r="M16" s="48"/>
      <c r="N16" s="48"/>
      <c r="O16" s="44"/>
      <c r="P16" s="44"/>
    </row>
    <row r="17" spans="1:16" x14ac:dyDescent="0.2">
      <c r="A17" s="34">
        <f t="shared" si="1"/>
        <v>12</v>
      </c>
      <c r="B17" s="35">
        <f t="shared" si="3"/>
        <v>44866</v>
      </c>
      <c r="C17" s="80">
        <v>2.7320000000000002</v>
      </c>
      <c r="D17" s="39">
        <v>7514.9840000000177</v>
      </c>
      <c r="E17" s="39">
        <v>5378</v>
      </c>
      <c r="F17" s="167">
        <f t="shared" si="0"/>
        <v>20530.936288000048</v>
      </c>
      <c r="G17" s="44">
        <f t="shared" si="2"/>
        <v>1.3973566381554514</v>
      </c>
      <c r="I17" s="48"/>
      <c r="J17" s="48"/>
      <c r="K17" s="48"/>
      <c r="L17" s="48"/>
      <c r="M17" s="48"/>
      <c r="N17" s="48"/>
      <c r="O17" s="44"/>
      <c r="P17" s="44"/>
    </row>
    <row r="18" spans="1:16" x14ac:dyDescent="0.2">
      <c r="A18" s="34">
        <f t="shared" si="1"/>
        <v>13</v>
      </c>
      <c r="B18" s="35">
        <f t="shared" si="3"/>
        <v>44896</v>
      </c>
      <c r="C18" s="80">
        <v>2.7320000000000002</v>
      </c>
      <c r="D18" s="39">
        <v>7790.0080000000044</v>
      </c>
      <c r="E18" s="81">
        <v>5378</v>
      </c>
      <c r="F18" s="167">
        <f t="shared" si="0"/>
        <v>21282.301856000013</v>
      </c>
      <c r="G18" s="44">
        <f t="shared" si="2"/>
        <v>1.4484953514317598</v>
      </c>
      <c r="H18" s="26"/>
      <c r="I18" s="48"/>
      <c r="J18" s="48"/>
      <c r="K18" s="48"/>
      <c r="L18" s="48"/>
      <c r="M18" s="48"/>
      <c r="N18" s="48"/>
      <c r="O18" s="44"/>
      <c r="P18" s="44"/>
    </row>
    <row r="19" spans="1:16" x14ac:dyDescent="0.2">
      <c r="A19" s="34">
        <f t="shared" si="1"/>
        <v>14</v>
      </c>
      <c r="B19" s="35">
        <f t="shared" si="3"/>
        <v>44927</v>
      </c>
      <c r="C19" s="80">
        <v>2.7320000000000002</v>
      </c>
      <c r="D19" s="82">
        <v>10277.012000000004</v>
      </c>
      <c r="E19" s="82">
        <v>5791</v>
      </c>
      <c r="F19" s="167">
        <f t="shared" si="0"/>
        <v>28076.796784000013</v>
      </c>
      <c r="G19" s="44">
        <f t="shared" si="2"/>
        <v>1.7746523916422041</v>
      </c>
      <c r="I19" s="46">
        <f>D19-J19</f>
        <v>4622.0120000000043</v>
      </c>
      <c r="J19" s="82">
        <v>5655</v>
      </c>
      <c r="K19" s="48">
        <f t="shared" ref="K19:K29" si="4">E19-L19</f>
        <v>5778</v>
      </c>
      <c r="L19" s="39">
        <v>13</v>
      </c>
      <c r="M19" s="46">
        <f t="shared" ref="M19:M37" si="5">I19*C19</f>
        <v>12627.336784000012</v>
      </c>
      <c r="N19" s="46">
        <f t="shared" ref="N19:N37" si="6">J19*C19</f>
        <v>15449.460000000001</v>
      </c>
      <c r="O19" s="84">
        <f t="shared" ref="O19:O29" si="7">I19/K19</f>
        <v>0.79993284873658776</v>
      </c>
      <c r="P19" s="84">
        <f t="shared" ref="P19:P29" si="8">J19/L19</f>
        <v>435</v>
      </c>
    </row>
    <row r="20" spans="1:16" x14ac:dyDescent="0.2">
      <c r="A20" s="34">
        <f t="shared" si="1"/>
        <v>15</v>
      </c>
      <c r="B20" s="35">
        <f t="shared" si="3"/>
        <v>44958</v>
      </c>
      <c r="C20" s="80">
        <v>2.7320000000000002</v>
      </c>
      <c r="D20" s="82">
        <v>16050.796000000006</v>
      </c>
      <c r="E20" s="82">
        <v>6043</v>
      </c>
      <c r="F20" s="167">
        <f t="shared" si="0"/>
        <v>43850.774672000021</v>
      </c>
      <c r="G20" s="44">
        <f t="shared" si="2"/>
        <v>2.6560973026642407</v>
      </c>
      <c r="I20" s="46">
        <f t="shared" ref="I20:I37" si="9">D20-J20</f>
        <v>8463.7960000000057</v>
      </c>
      <c r="J20" s="82">
        <v>7587</v>
      </c>
      <c r="K20" s="48">
        <f t="shared" si="4"/>
        <v>6000</v>
      </c>
      <c r="L20" s="39">
        <v>43</v>
      </c>
      <c r="M20" s="46">
        <f t="shared" si="5"/>
        <v>23123.090672000017</v>
      </c>
      <c r="N20" s="46">
        <f t="shared" si="6"/>
        <v>20727.684000000001</v>
      </c>
      <c r="O20" s="84">
        <f t="shared" si="7"/>
        <v>1.4106326666666675</v>
      </c>
      <c r="P20" s="84">
        <f t="shared" si="8"/>
        <v>176.44186046511629</v>
      </c>
    </row>
    <row r="21" spans="1:16" x14ac:dyDescent="0.2">
      <c r="A21" s="34">
        <f t="shared" si="1"/>
        <v>16</v>
      </c>
      <c r="B21" s="35">
        <f t="shared" si="3"/>
        <v>44986</v>
      </c>
      <c r="C21" s="80">
        <v>2.7320000000000002</v>
      </c>
      <c r="D21" s="82">
        <v>17301.001999999993</v>
      </c>
      <c r="E21" s="82">
        <v>6223</v>
      </c>
      <c r="F21" s="167">
        <f t="shared" si="0"/>
        <v>47266.337463999982</v>
      </c>
      <c r="G21" s="44">
        <f t="shared" si="2"/>
        <v>2.7801706572392724</v>
      </c>
      <c r="I21" s="46">
        <f t="shared" si="9"/>
        <v>9845.0019999999931</v>
      </c>
      <c r="J21" s="82">
        <v>7456</v>
      </c>
      <c r="K21" s="48">
        <f t="shared" si="4"/>
        <v>6174</v>
      </c>
      <c r="L21" s="39">
        <v>49</v>
      </c>
      <c r="M21" s="46">
        <f t="shared" si="5"/>
        <v>26896.545463999984</v>
      </c>
      <c r="N21" s="46">
        <f t="shared" si="6"/>
        <v>20369.792000000001</v>
      </c>
      <c r="O21" s="84">
        <f t="shared" si="7"/>
        <v>1.594590540978295</v>
      </c>
      <c r="P21" s="84">
        <f t="shared" si="8"/>
        <v>152.16326530612244</v>
      </c>
    </row>
    <row r="22" spans="1:16" x14ac:dyDescent="0.2">
      <c r="A22" s="34">
        <f t="shared" si="1"/>
        <v>17</v>
      </c>
      <c r="B22" s="35">
        <f t="shared" si="3"/>
        <v>45017</v>
      </c>
      <c r="C22" s="80">
        <v>2.7320000000000002</v>
      </c>
      <c r="D22" s="82">
        <v>16897.228000000006</v>
      </c>
      <c r="E22" s="82">
        <v>6429</v>
      </c>
      <c r="F22" s="167">
        <f t="shared" si="0"/>
        <v>46163.226896000022</v>
      </c>
      <c r="G22" s="44">
        <f t="shared" si="2"/>
        <v>2.6282824700575529</v>
      </c>
      <c r="H22" s="40"/>
      <c r="I22" s="46">
        <f t="shared" si="9"/>
        <v>9443.2280000000064</v>
      </c>
      <c r="J22" s="82">
        <v>7454</v>
      </c>
      <c r="K22" s="48">
        <f t="shared" si="4"/>
        <v>6382</v>
      </c>
      <c r="L22" s="39">
        <v>47</v>
      </c>
      <c r="M22" s="46">
        <f t="shared" si="5"/>
        <v>25798.898896000021</v>
      </c>
      <c r="N22" s="46">
        <f t="shared" si="6"/>
        <v>20364.328000000001</v>
      </c>
      <c r="O22" s="84">
        <f t="shared" si="7"/>
        <v>1.4796659354434356</v>
      </c>
      <c r="P22" s="84">
        <f t="shared" si="8"/>
        <v>158.59574468085106</v>
      </c>
    </row>
    <row r="23" spans="1:16" x14ac:dyDescent="0.2">
      <c r="A23" s="34">
        <f t="shared" si="1"/>
        <v>18</v>
      </c>
      <c r="B23" s="35">
        <f t="shared" si="3"/>
        <v>45047</v>
      </c>
      <c r="C23" s="80">
        <v>2.7320000000000002</v>
      </c>
      <c r="D23" s="82">
        <v>16872.949999999997</v>
      </c>
      <c r="E23" s="82">
        <v>7010</v>
      </c>
      <c r="F23" s="167">
        <f t="shared" si="0"/>
        <v>46096.899399999995</v>
      </c>
      <c r="G23" s="44">
        <f t="shared" si="2"/>
        <v>2.4069828815977172</v>
      </c>
      <c r="I23" s="46">
        <f t="shared" si="9"/>
        <v>9419.9499999999971</v>
      </c>
      <c r="J23" s="82">
        <v>7453</v>
      </c>
      <c r="K23" s="48">
        <f t="shared" si="4"/>
        <v>6968</v>
      </c>
      <c r="L23" s="39">
        <v>42</v>
      </c>
      <c r="M23" s="46">
        <f t="shared" si="5"/>
        <v>25735.303399999993</v>
      </c>
      <c r="N23" s="46">
        <f t="shared" si="6"/>
        <v>20361.596000000001</v>
      </c>
      <c r="O23" s="84">
        <f t="shared" si="7"/>
        <v>1.3518871986222729</v>
      </c>
      <c r="P23" s="84">
        <f t="shared" si="8"/>
        <v>177.45238095238096</v>
      </c>
    </row>
    <row r="24" spans="1:16" x14ac:dyDescent="0.2">
      <c r="A24" s="34">
        <f t="shared" si="1"/>
        <v>19</v>
      </c>
      <c r="B24" s="35">
        <f t="shared" si="3"/>
        <v>45078</v>
      </c>
      <c r="C24" s="80">
        <v>2.7320000000000002</v>
      </c>
      <c r="D24" s="82">
        <v>17091.092000000004</v>
      </c>
      <c r="E24" s="82">
        <v>7802</v>
      </c>
      <c r="F24" s="167">
        <f t="shared" si="0"/>
        <v>46692.863344000012</v>
      </c>
      <c r="G24" s="44">
        <f t="shared" ref="G24" si="10">D24/E24</f>
        <v>2.1906039477057169</v>
      </c>
      <c r="I24" s="46">
        <f t="shared" si="9"/>
        <v>9638.0920000000042</v>
      </c>
      <c r="J24" s="82">
        <v>7453</v>
      </c>
      <c r="K24" s="48">
        <f t="shared" si="4"/>
        <v>7754</v>
      </c>
      <c r="L24" s="39">
        <v>48</v>
      </c>
      <c r="M24" s="46">
        <f t="shared" si="5"/>
        <v>26331.267344000014</v>
      </c>
      <c r="N24" s="46">
        <f t="shared" si="6"/>
        <v>20361.596000000001</v>
      </c>
      <c r="O24" s="84">
        <f t="shared" si="7"/>
        <v>1.2429832344596343</v>
      </c>
      <c r="P24" s="84">
        <f t="shared" si="8"/>
        <v>155.27083333333334</v>
      </c>
    </row>
    <row r="25" spans="1:16" x14ac:dyDescent="0.2">
      <c r="A25" s="34">
        <f t="shared" si="1"/>
        <v>20</v>
      </c>
      <c r="B25" s="35">
        <f t="shared" si="3"/>
        <v>45108</v>
      </c>
      <c r="C25" s="80">
        <v>2.7320000000000002</v>
      </c>
      <c r="D25" s="81">
        <v>21723.799999999996</v>
      </c>
      <c r="E25" s="82">
        <v>7932</v>
      </c>
      <c r="F25" s="167">
        <f t="shared" si="0"/>
        <v>59349.421599999994</v>
      </c>
      <c r="G25" s="44">
        <f t="shared" ref="G25:G38" si="11">D25/E25</f>
        <v>2.738754412506303</v>
      </c>
      <c r="I25" s="46">
        <f t="shared" si="9"/>
        <v>14270.799999999996</v>
      </c>
      <c r="J25" s="82">
        <v>7453</v>
      </c>
      <c r="K25" s="48">
        <f t="shared" si="4"/>
        <v>7884</v>
      </c>
      <c r="L25" s="39">
        <v>48</v>
      </c>
      <c r="M25" s="46">
        <f t="shared" si="5"/>
        <v>38987.825599999989</v>
      </c>
      <c r="N25" s="46">
        <f t="shared" si="6"/>
        <v>20361.596000000001</v>
      </c>
      <c r="O25" s="84">
        <f t="shared" si="7"/>
        <v>1.8100963977676301</v>
      </c>
      <c r="P25" s="84">
        <f t="shared" si="8"/>
        <v>155.27083333333334</v>
      </c>
    </row>
    <row r="26" spans="1:16" x14ac:dyDescent="0.2">
      <c r="A26" s="34">
        <f t="shared" si="1"/>
        <v>21</v>
      </c>
      <c r="B26" s="35">
        <f t="shared" si="3"/>
        <v>45139</v>
      </c>
      <c r="C26" s="80">
        <v>2.7320000000000002</v>
      </c>
      <c r="D26" s="82">
        <v>21748.742000000002</v>
      </c>
      <c r="E26" s="82">
        <v>8212</v>
      </c>
      <c r="F26" s="167">
        <f t="shared" si="0"/>
        <v>59417.563144000007</v>
      </c>
      <c r="G26" s="44">
        <f t="shared" si="11"/>
        <v>2.6484098879688265</v>
      </c>
      <c r="I26" s="46">
        <f t="shared" si="9"/>
        <v>9889.742000000002</v>
      </c>
      <c r="J26" s="82">
        <v>11859</v>
      </c>
      <c r="K26" s="48">
        <f t="shared" si="4"/>
        <v>8165</v>
      </c>
      <c r="L26" s="39">
        <v>47</v>
      </c>
      <c r="M26" s="46">
        <f t="shared" si="5"/>
        <v>27018.775144000007</v>
      </c>
      <c r="N26" s="46">
        <f t="shared" si="6"/>
        <v>32398.788000000004</v>
      </c>
      <c r="O26" s="84">
        <f t="shared" si="7"/>
        <v>1.2112360073484387</v>
      </c>
      <c r="P26" s="84">
        <f t="shared" si="8"/>
        <v>252.31914893617022</v>
      </c>
    </row>
    <row r="27" spans="1:16" x14ac:dyDescent="0.2">
      <c r="A27" s="34">
        <f t="shared" si="1"/>
        <v>22</v>
      </c>
      <c r="B27" s="35">
        <f t="shared" si="3"/>
        <v>45170</v>
      </c>
      <c r="C27" s="80">
        <v>2.7320000000000002</v>
      </c>
      <c r="D27" s="82">
        <v>27037.440000000002</v>
      </c>
      <c r="E27" s="82">
        <v>8395</v>
      </c>
      <c r="F27" s="167">
        <f t="shared" si="0"/>
        <v>73866.286080000005</v>
      </c>
      <c r="G27" s="44">
        <f t="shared" si="11"/>
        <v>3.2206599166170342</v>
      </c>
      <c r="I27" s="46">
        <f t="shared" si="9"/>
        <v>10433.440000000002</v>
      </c>
      <c r="J27" s="82">
        <v>16604</v>
      </c>
      <c r="K27" s="48">
        <f t="shared" si="4"/>
        <v>8342</v>
      </c>
      <c r="L27" s="39">
        <v>53</v>
      </c>
      <c r="M27" s="46">
        <f t="shared" si="5"/>
        <v>28504.158080000008</v>
      </c>
      <c r="N27" s="46">
        <f t="shared" si="6"/>
        <v>45362.128000000004</v>
      </c>
      <c r="O27" s="84">
        <f t="shared" si="7"/>
        <v>1.2507120594581638</v>
      </c>
      <c r="P27" s="84">
        <f t="shared" si="8"/>
        <v>313.28301886792451</v>
      </c>
    </row>
    <row r="28" spans="1:16" x14ac:dyDescent="0.2">
      <c r="A28" s="34">
        <f t="shared" si="1"/>
        <v>23</v>
      </c>
      <c r="B28" s="35">
        <f t="shared" si="3"/>
        <v>45200</v>
      </c>
      <c r="C28" s="80">
        <v>2.7320000000000002</v>
      </c>
      <c r="D28" s="82">
        <v>22066.559999999998</v>
      </c>
      <c r="E28" s="82">
        <v>8469</v>
      </c>
      <c r="F28" s="167">
        <f t="shared" si="0"/>
        <v>60285.841919999999</v>
      </c>
      <c r="G28" s="44">
        <f t="shared" si="11"/>
        <v>2.6055685441020189</v>
      </c>
      <c r="I28" s="46">
        <f t="shared" si="9"/>
        <v>5462.5599999999977</v>
      </c>
      <c r="J28" s="82">
        <v>16604</v>
      </c>
      <c r="K28" s="48">
        <f t="shared" si="4"/>
        <v>8416</v>
      </c>
      <c r="L28" s="39">
        <v>53</v>
      </c>
      <c r="M28" s="46">
        <f t="shared" si="5"/>
        <v>14923.713919999995</v>
      </c>
      <c r="N28" s="46">
        <f t="shared" si="6"/>
        <v>45362.128000000004</v>
      </c>
      <c r="O28" s="84">
        <f t="shared" si="7"/>
        <v>0.64906844106463846</v>
      </c>
      <c r="P28" s="84">
        <f t="shared" si="8"/>
        <v>313.28301886792451</v>
      </c>
    </row>
    <row r="29" spans="1:16" x14ac:dyDescent="0.2">
      <c r="A29" s="34">
        <f t="shared" si="1"/>
        <v>24</v>
      </c>
      <c r="B29" s="35">
        <f t="shared" si="3"/>
        <v>45231</v>
      </c>
      <c r="C29" s="80">
        <v>3.0830000000000002</v>
      </c>
      <c r="D29" s="82">
        <v>33483.800000000003</v>
      </c>
      <c r="E29" s="82">
        <v>8558</v>
      </c>
      <c r="F29" s="167">
        <f t="shared" si="0"/>
        <v>103230.55540000001</v>
      </c>
      <c r="G29" s="44">
        <f t="shared" si="11"/>
        <v>3.912573031082029</v>
      </c>
      <c r="I29" s="46">
        <f t="shared" si="9"/>
        <v>12121.800000000003</v>
      </c>
      <c r="J29" s="82">
        <v>21362</v>
      </c>
      <c r="K29" s="48">
        <f t="shared" si="4"/>
        <v>8504</v>
      </c>
      <c r="L29" s="39">
        <v>54</v>
      </c>
      <c r="M29" s="46">
        <f t="shared" si="5"/>
        <v>37371.50940000001</v>
      </c>
      <c r="N29" s="46">
        <f t="shared" si="6"/>
        <v>65859.046000000002</v>
      </c>
      <c r="O29" s="84">
        <f t="shared" si="7"/>
        <v>1.4254233301975545</v>
      </c>
      <c r="P29" s="84">
        <f t="shared" si="8"/>
        <v>395.59259259259261</v>
      </c>
    </row>
    <row r="30" spans="1:16" x14ac:dyDescent="0.2">
      <c r="A30" s="34">
        <f t="shared" si="1"/>
        <v>25</v>
      </c>
      <c r="B30" s="35">
        <f t="shared" si="3"/>
        <v>45261</v>
      </c>
      <c r="C30" s="80">
        <v>3.0830000000000002</v>
      </c>
      <c r="D30" s="82">
        <v>30722.065999999999</v>
      </c>
      <c r="E30" s="82">
        <v>8705</v>
      </c>
      <c r="F30" s="167">
        <f t="shared" si="0"/>
        <v>94716.129478000003</v>
      </c>
      <c r="G30" s="44">
        <f t="shared" si="11"/>
        <v>3.5292436530729465</v>
      </c>
      <c r="I30" s="46">
        <f t="shared" si="9"/>
        <v>12295.065999999999</v>
      </c>
      <c r="J30" s="82">
        <v>18427</v>
      </c>
      <c r="K30" s="48">
        <f>E30-L30</f>
        <v>8651</v>
      </c>
      <c r="L30" s="39">
        <v>54</v>
      </c>
      <c r="M30" s="46">
        <f t="shared" si="5"/>
        <v>37905.688477999996</v>
      </c>
      <c r="N30" s="46">
        <f t="shared" si="6"/>
        <v>56810.441000000006</v>
      </c>
      <c r="O30" s="84">
        <f t="shared" ref="O30:P37" si="12">I30/K30</f>
        <v>1.4212306091781295</v>
      </c>
      <c r="P30" s="84">
        <f t="shared" si="12"/>
        <v>341.24074074074076</v>
      </c>
    </row>
    <row r="31" spans="1:16" x14ac:dyDescent="0.2">
      <c r="A31" s="34">
        <f t="shared" si="1"/>
        <v>26</v>
      </c>
      <c r="B31" s="35">
        <f t="shared" si="3"/>
        <v>45292</v>
      </c>
      <c r="C31" s="80">
        <v>3.0830000000000002</v>
      </c>
      <c r="D31" s="82">
        <v>32240.788</v>
      </c>
      <c r="E31" s="82">
        <v>8733</v>
      </c>
      <c r="F31" s="167">
        <f t="shared" si="0"/>
        <v>99398.349404000008</v>
      </c>
      <c r="G31" s="44">
        <f t="shared" si="11"/>
        <v>3.6918341921447384</v>
      </c>
      <c r="H31" s="44"/>
      <c r="I31" s="46">
        <f t="shared" si="9"/>
        <v>12562.788</v>
      </c>
      <c r="J31" s="39">
        <v>19678</v>
      </c>
      <c r="K31" s="48">
        <f t="shared" ref="K31:K37" si="13">E31-L31</f>
        <v>8679</v>
      </c>
      <c r="L31" s="39">
        <v>54</v>
      </c>
      <c r="M31" s="46">
        <f t="shared" si="5"/>
        <v>38731.075404000003</v>
      </c>
      <c r="N31" s="46">
        <f t="shared" si="6"/>
        <v>60667.274000000005</v>
      </c>
      <c r="O31" s="84">
        <f t="shared" si="12"/>
        <v>1.4474925682682338</v>
      </c>
      <c r="P31" s="84">
        <f t="shared" si="12"/>
        <v>364.40740740740739</v>
      </c>
    </row>
    <row r="32" spans="1:16" x14ac:dyDescent="0.2">
      <c r="A32" s="34">
        <f t="shared" si="1"/>
        <v>27</v>
      </c>
      <c r="B32" s="35">
        <f t="shared" si="3"/>
        <v>45323</v>
      </c>
      <c r="C32" s="80">
        <v>3.0830000000000002</v>
      </c>
      <c r="D32" s="82">
        <v>28795.563999999998</v>
      </c>
      <c r="E32" s="82">
        <v>8830</v>
      </c>
      <c r="F32" s="167">
        <f t="shared" si="0"/>
        <v>88776.723811999997</v>
      </c>
      <c r="G32" s="44">
        <f t="shared" si="11"/>
        <v>3.2611057757644391</v>
      </c>
      <c r="I32" s="46">
        <f t="shared" si="9"/>
        <v>12671.563999999998</v>
      </c>
      <c r="J32" s="39">
        <v>16124</v>
      </c>
      <c r="K32" s="48">
        <f t="shared" si="13"/>
        <v>8776</v>
      </c>
      <c r="L32" s="39">
        <v>54</v>
      </c>
      <c r="M32" s="46">
        <f t="shared" si="5"/>
        <v>39066.431811999995</v>
      </c>
      <c r="N32" s="46">
        <f t="shared" si="6"/>
        <v>49710.292000000001</v>
      </c>
      <c r="O32" s="84">
        <f t="shared" si="12"/>
        <v>1.4438883318140381</v>
      </c>
      <c r="P32" s="84">
        <f t="shared" si="12"/>
        <v>298.59259259259261</v>
      </c>
    </row>
    <row r="33" spans="1:16" x14ac:dyDescent="0.2">
      <c r="A33" s="34">
        <f t="shared" si="1"/>
        <v>28</v>
      </c>
      <c r="B33" s="35">
        <f t="shared" si="3"/>
        <v>45352</v>
      </c>
      <c r="C33" s="80">
        <v>3.0830000000000002</v>
      </c>
      <c r="D33" s="82">
        <v>25260.178</v>
      </c>
      <c r="E33" s="82">
        <v>8886</v>
      </c>
      <c r="F33" s="167">
        <f t="shared" si="0"/>
        <v>77877.128773999997</v>
      </c>
      <c r="G33" s="44">
        <f t="shared" si="11"/>
        <v>2.8426939005176681</v>
      </c>
      <c r="I33" s="46">
        <f t="shared" si="9"/>
        <v>12708.178</v>
      </c>
      <c r="J33" s="39">
        <v>12552</v>
      </c>
      <c r="K33" s="48">
        <f t="shared" si="13"/>
        <v>8833</v>
      </c>
      <c r="L33" s="39">
        <v>53</v>
      </c>
      <c r="M33" s="46">
        <f t="shared" si="5"/>
        <v>39179.312774000005</v>
      </c>
      <c r="N33" s="46">
        <f t="shared" si="6"/>
        <v>38697.815999999999</v>
      </c>
      <c r="O33" s="84">
        <f t="shared" si="12"/>
        <v>1.4387159515453414</v>
      </c>
      <c r="P33" s="84">
        <f t="shared" si="12"/>
        <v>236.83018867924528</v>
      </c>
    </row>
    <row r="34" spans="1:16" x14ac:dyDescent="0.2">
      <c r="A34" s="34">
        <f t="shared" si="1"/>
        <v>29</v>
      </c>
      <c r="B34" s="35">
        <f t="shared" si="3"/>
        <v>45383</v>
      </c>
      <c r="C34" s="80">
        <v>3.0830000000000002</v>
      </c>
      <c r="D34" s="82">
        <v>32648.620000000003</v>
      </c>
      <c r="E34" s="82">
        <v>9049</v>
      </c>
      <c r="F34" s="167">
        <f t="shared" si="0"/>
        <v>100655.69546000002</v>
      </c>
      <c r="G34" s="44">
        <f t="shared" si="11"/>
        <v>3.6079809923748485</v>
      </c>
      <c r="I34" s="46">
        <f t="shared" si="9"/>
        <v>12952.620000000003</v>
      </c>
      <c r="J34" s="39">
        <v>19696</v>
      </c>
      <c r="K34" s="48">
        <f t="shared" si="13"/>
        <v>8995</v>
      </c>
      <c r="L34" s="39">
        <v>54</v>
      </c>
      <c r="M34" s="46">
        <f t="shared" si="5"/>
        <v>39932.927460000014</v>
      </c>
      <c r="N34" s="46">
        <f t="shared" si="6"/>
        <v>60722.768000000004</v>
      </c>
      <c r="O34" s="84">
        <f t="shared" si="12"/>
        <v>1.4399799888827129</v>
      </c>
      <c r="P34" s="84">
        <f t="shared" si="12"/>
        <v>364.74074074074076</v>
      </c>
    </row>
    <row r="35" spans="1:16" x14ac:dyDescent="0.2">
      <c r="A35" s="34">
        <f t="shared" si="1"/>
        <v>30</v>
      </c>
      <c r="B35" s="35">
        <f t="shared" si="3"/>
        <v>45413</v>
      </c>
      <c r="C35" s="80">
        <v>3.0830000000000002</v>
      </c>
      <c r="D35" s="82">
        <v>25480</v>
      </c>
      <c r="E35" s="82">
        <v>9179</v>
      </c>
      <c r="F35" s="167">
        <f t="shared" si="0"/>
        <v>78554.840000000011</v>
      </c>
      <c r="G35" s="44">
        <f t="shared" si="11"/>
        <v>2.7759015143261792</v>
      </c>
      <c r="I35" s="46">
        <f t="shared" si="9"/>
        <v>14000</v>
      </c>
      <c r="J35" s="39">
        <v>11480</v>
      </c>
      <c r="K35" s="48">
        <f t="shared" si="13"/>
        <v>9125</v>
      </c>
      <c r="L35" s="39">
        <v>54</v>
      </c>
      <c r="M35" s="46">
        <f t="shared" si="5"/>
        <v>43162</v>
      </c>
      <c r="N35" s="46">
        <f t="shared" si="6"/>
        <v>35392.840000000004</v>
      </c>
      <c r="O35" s="84">
        <f t="shared" si="12"/>
        <v>1.5342465753424657</v>
      </c>
      <c r="P35" s="84">
        <f t="shared" si="12"/>
        <v>212.59259259259258</v>
      </c>
    </row>
    <row r="36" spans="1:16" x14ac:dyDescent="0.2">
      <c r="A36" s="34">
        <f t="shared" si="1"/>
        <v>31</v>
      </c>
      <c r="B36" s="35">
        <f t="shared" si="3"/>
        <v>45444</v>
      </c>
      <c r="C36" s="80">
        <v>3.0830000000000002</v>
      </c>
      <c r="D36" s="82">
        <v>24991</v>
      </c>
      <c r="E36" s="82">
        <v>9368</v>
      </c>
      <c r="F36" s="167">
        <f t="shared" si="0"/>
        <v>77047.253000000012</v>
      </c>
      <c r="G36" s="44">
        <f t="shared" si="11"/>
        <v>2.6676985482493594</v>
      </c>
      <c r="I36" s="46">
        <f t="shared" si="9"/>
        <v>13511</v>
      </c>
      <c r="J36" s="39">
        <v>11480</v>
      </c>
      <c r="K36" s="48">
        <f t="shared" si="13"/>
        <v>9314</v>
      </c>
      <c r="L36" s="39">
        <v>54</v>
      </c>
      <c r="M36" s="46">
        <f t="shared" si="5"/>
        <v>41654.413</v>
      </c>
      <c r="N36" s="46">
        <f t="shared" si="6"/>
        <v>35392.840000000004</v>
      </c>
      <c r="O36" s="84">
        <f t="shared" si="12"/>
        <v>1.4506119819626369</v>
      </c>
      <c r="P36" s="84">
        <f t="shared" si="12"/>
        <v>212.59259259259258</v>
      </c>
    </row>
    <row r="37" spans="1:16" x14ac:dyDescent="0.2">
      <c r="A37" s="34">
        <f t="shared" si="1"/>
        <v>32</v>
      </c>
      <c r="B37" s="35">
        <f t="shared" si="3"/>
        <v>45474</v>
      </c>
      <c r="C37" s="80">
        <v>3.0830000000000002</v>
      </c>
      <c r="D37" s="82">
        <v>25112</v>
      </c>
      <c r="E37" s="82">
        <v>9586</v>
      </c>
      <c r="F37" s="167">
        <f t="shared" si="0"/>
        <v>77420.296000000002</v>
      </c>
      <c r="G37" s="44">
        <f t="shared" si="11"/>
        <v>2.6196536615898185</v>
      </c>
      <c r="I37" s="46">
        <f t="shared" si="9"/>
        <v>13632</v>
      </c>
      <c r="J37" s="39">
        <v>11480</v>
      </c>
      <c r="K37" s="48">
        <f t="shared" si="13"/>
        <v>9532</v>
      </c>
      <c r="L37" s="39">
        <v>54</v>
      </c>
      <c r="M37" s="46">
        <f t="shared" si="5"/>
        <v>42027.456000000006</v>
      </c>
      <c r="N37" s="46">
        <f t="shared" si="6"/>
        <v>35392.840000000004</v>
      </c>
      <c r="O37" s="84">
        <f t="shared" si="12"/>
        <v>1.4301300881242132</v>
      </c>
      <c r="P37" s="84">
        <f t="shared" si="12"/>
        <v>212.59259259259258</v>
      </c>
    </row>
    <row r="38" spans="1:16" x14ac:dyDescent="0.2">
      <c r="A38" s="34">
        <f t="shared" si="1"/>
        <v>33</v>
      </c>
      <c r="B38" s="35">
        <f t="shared" si="3"/>
        <v>45505</v>
      </c>
      <c r="C38" s="80">
        <v>3.0830000000000002</v>
      </c>
      <c r="D38" s="39">
        <v>21742</v>
      </c>
      <c r="E38" s="39">
        <v>9781</v>
      </c>
      <c r="F38" s="167">
        <f t="shared" si="0"/>
        <v>67030.58600000001</v>
      </c>
      <c r="G38" s="44">
        <f t="shared" si="11"/>
        <v>2.2228810960024536</v>
      </c>
      <c r="I38" s="46">
        <f t="shared" ref="I38" si="14">D38-J38</f>
        <v>10261</v>
      </c>
      <c r="J38" s="39">
        <v>11481</v>
      </c>
      <c r="K38" s="48">
        <f t="shared" ref="K38" si="15">E38-L38</f>
        <v>9726</v>
      </c>
      <c r="L38" s="39">
        <v>55</v>
      </c>
      <c r="M38" s="46">
        <f t="shared" ref="M38" si="16">I38*C38</f>
        <v>31634.663</v>
      </c>
      <c r="N38" s="46">
        <f t="shared" ref="N38" si="17">J38*C38</f>
        <v>35395.923000000003</v>
      </c>
      <c r="O38" s="84">
        <f t="shared" ref="O38" si="18">I38/K38</f>
        <v>1.0550071972033723</v>
      </c>
      <c r="P38" s="84">
        <f t="shared" ref="P38" si="19">J38/L38</f>
        <v>208.74545454545455</v>
      </c>
    </row>
    <row r="39" spans="1:16" ht="13.5" thickBot="1" x14ac:dyDescent="0.25">
      <c r="A39" s="34"/>
      <c r="B39" s="36" t="s">
        <v>18</v>
      </c>
      <c r="C39" s="78"/>
      <c r="D39" s="83">
        <f>SUM(D6:D38)</f>
        <v>518717.63000000006</v>
      </c>
      <c r="E39" s="83">
        <f>SUM(E6:E38)</f>
        <v>200372</v>
      </c>
      <c r="F39" s="83">
        <f>SUM(F6:F38)</f>
        <v>1533124.0767760007</v>
      </c>
      <c r="G39" s="79">
        <f>D39/E39</f>
        <v>2.5887730321601823</v>
      </c>
      <c r="H39" s="26"/>
    </row>
    <row r="40" spans="1:16" ht="13.5" thickTop="1" x14ac:dyDescent="0.2">
      <c r="O40" s="44"/>
      <c r="P40" s="44"/>
    </row>
    <row r="41" spans="1:16" x14ac:dyDescent="0.2">
      <c r="A41" s="16" t="s">
        <v>21</v>
      </c>
      <c r="O41" s="44"/>
      <c r="P41" s="44"/>
    </row>
    <row r="42" spans="1:16" ht="14.25" x14ac:dyDescent="0.2">
      <c r="A42" s="38" t="s">
        <v>44</v>
      </c>
      <c r="B42" s="16" t="s">
        <v>29</v>
      </c>
      <c r="O42" s="44"/>
      <c r="P42" s="44"/>
    </row>
    <row r="43" spans="1:16" x14ac:dyDescent="0.2">
      <c r="O43" s="44"/>
      <c r="P43" s="44"/>
    </row>
  </sheetData>
  <mergeCells count="4">
    <mergeCell ref="I3:J3"/>
    <mergeCell ref="K3:L3"/>
    <mergeCell ref="M3:N3"/>
    <mergeCell ref="O3:P3"/>
  </mergeCells>
  <pageMargins left="0.7" right="0.7" top="0.75" bottom="0.75" header="0.3" footer="0.3"/>
  <pageSetup scale="71" orientation="landscape" r:id="rId1"/>
  <headerFooter>
    <oddFooter>&amp;L&amp;F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2"/>
  <sheetViews>
    <sheetView zoomScale="90" zoomScaleNormal="90" workbookViewId="0">
      <selection activeCell="L35" sqref="L35"/>
    </sheetView>
  </sheetViews>
  <sheetFormatPr defaultColWidth="9.140625" defaultRowHeight="15" x14ac:dyDescent="0.25"/>
  <cols>
    <col min="1" max="1" width="3.140625" style="1" customWidth="1"/>
    <col min="2" max="2" width="14.42578125" style="1" bestFit="1" customWidth="1"/>
    <col min="3" max="16" width="11.85546875" style="1" customWidth="1"/>
    <col min="17" max="17" width="15.7109375" style="1" bestFit="1" customWidth="1"/>
    <col min="18" max="16384" width="9.140625" style="1"/>
  </cols>
  <sheetData>
    <row r="1" spans="1:17" x14ac:dyDescent="0.25">
      <c r="C1" s="29" t="s">
        <v>24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  <c r="P1" s="31"/>
      <c r="Q1" s="179"/>
    </row>
    <row r="2" spans="1:17" ht="15.75" x14ac:dyDescent="0.25">
      <c r="C2" s="18"/>
      <c r="D2" s="18"/>
      <c r="E2" s="19" t="str">
        <f>$D$4&amp;" PGA/VRNG filing period"</f>
        <v>2024 PGA/VRNG filing period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8.75" x14ac:dyDescent="0.3">
      <c r="A3" s="2">
        <v>2022</v>
      </c>
      <c r="B3" s="2"/>
      <c r="C3" s="17" t="s">
        <v>8</v>
      </c>
      <c r="D3" s="17"/>
      <c r="E3" s="24" t="s">
        <v>8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8.75" x14ac:dyDescent="0.3">
      <c r="A4" s="2"/>
      <c r="B4" s="2"/>
      <c r="C4" s="3">
        <v>2024</v>
      </c>
      <c r="D4" s="3">
        <v>2024</v>
      </c>
      <c r="E4" s="10">
        <v>2024</v>
      </c>
      <c r="F4" s="10">
        <v>2024</v>
      </c>
      <c r="G4" s="10">
        <v>2025</v>
      </c>
      <c r="H4" s="10">
        <f t="shared" ref="H4:P4" si="0">G4</f>
        <v>2025</v>
      </c>
      <c r="I4" s="10">
        <f t="shared" si="0"/>
        <v>2025</v>
      </c>
      <c r="J4" s="10">
        <f t="shared" si="0"/>
        <v>2025</v>
      </c>
      <c r="K4" s="10">
        <f t="shared" si="0"/>
        <v>2025</v>
      </c>
      <c r="L4" s="10">
        <f t="shared" si="0"/>
        <v>2025</v>
      </c>
      <c r="M4" s="10">
        <f t="shared" si="0"/>
        <v>2025</v>
      </c>
      <c r="N4" s="10">
        <f t="shared" si="0"/>
        <v>2025</v>
      </c>
      <c r="O4" s="10">
        <f t="shared" si="0"/>
        <v>2025</v>
      </c>
      <c r="P4" s="10">
        <f t="shared" si="0"/>
        <v>2025</v>
      </c>
      <c r="Q4" s="10" t="s">
        <v>54</v>
      </c>
    </row>
    <row r="5" spans="1:17" s="7" customFormat="1" ht="15.75" x14ac:dyDescent="0.25">
      <c r="A5" s="4"/>
      <c r="B5" s="4"/>
      <c r="C5" s="5" t="s">
        <v>5</v>
      </c>
      <c r="D5" s="5" t="s">
        <v>6</v>
      </c>
      <c r="E5" s="6" t="s">
        <v>12</v>
      </c>
      <c r="F5" s="6" t="s">
        <v>7</v>
      </c>
      <c r="G5" s="6" t="s">
        <v>0</v>
      </c>
      <c r="H5" s="6" t="s">
        <v>13</v>
      </c>
      <c r="I5" s="6" t="s">
        <v>1</v>
      </c>
      <c r="J5" s="6" t="s">
        <v>2</v>
      </c>
      <c r="K5" s="6" t="s">
        <v>14</v>
      </c>
      <c r="L5" s="6" t="s">
        <v>3</v>
      </c>
      <c r="M5" s="6" t="s">
        <v>4</v>
      </c>
      <c r="N5" s="6" t="s">
        <v>15</v>
      </c>
      <c r="O5" s="6" t="s">
        <v>5</v>
      </c>
      <c r="P5" s="6" t="s">
        <v>6</v>
      </c>
      <c r="Q5" s="6" t="s">
        <v>39</v>
      </c>
    </row>
    <row r="6" spans="1:17" s="7" customFormat="1" ht="16.5" thickBot="1" x14ac:dyDescent="0.3">
      <c r="A6" s="57" t="s">
        <v>37</v>
      </c>
      <c r="B6" s="57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x14ac:dyDescent="0.25">
      <c r="B7" s="57" t="s">
        <v>9</v>
      </c>
      <c r="C7" s="68"/>
      <c r="D7" s="69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170"/>
    </row>
    <row r="8" spans="1:17" x14ac:dyDescent="0.25">
      <c r="B8" s="57" t="s">
        <v>10</v>
      </c>
      <c r="C8" s="71"/>
      <c r="D8" s="60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171"/>
    </row>
    <row r="9" spans="1:17" ht="15.75" thickBot="1" x14ac:dyDescent="0.3">
      <c r="B9" s="57" t="s">
        <v>11</v>
      </c>
      <c r="C9" s="72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172"/>
    </row>
    <row r="10" spans="1:17" x14ac:dyDescent="0.25">
      <c r="A10" s="8"/>
      <c r="B10" s="8"/>
      <c r="C10" s="9"/>
      <c r="D10" s="9"/>
    </row>
    <row r="12" spans="1:17" ht="15.75" thickBot="1" x14ac:dyDescent="0.3">
      <c r="A12" s="57" t="s">
        <v>36</v>
      </c>
      <c r="B12" s="57"/>
      <c r="E12" s="23"/>
      <c r="F12" s="55"/>
      <c r="K12" s="56"/>
    </row>
    <row r="13" spans="1:17" x14ac:dyDescent="0.25">
      <c r="B13" s="57" t="s">
        <v>9</v>
      </c>
      <c r="C13" s="68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170"/>
    </row>
    <row r="14" spans="1:17" x14ac:dyDescent="0.25">
      <c r="B14" s="57" t="s">
        <v>10</v>
      </c>
      <c r="C14" s="71"/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171"/>
    </row>
    <row r="15" spans="1:17" ht="15.75" thickBot="1" x14ac:dyDescent="0.3">
      <c r="B15" s="57" t="s">
        <v>11</v>
      </c>
      <c r="C15" s="72"/>
      <c r="D15" s="73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172"/>
    </row>
    <row r="18" spans="1:17" ht="15.75" thickBot="1" x14ac:dyDescent="0.3">
      <c r="A18" s="57" t="s">
        <v>55</v>
      </c>
      <c r="B18" s="57"/>
      <c r="E18" s="23"/>
      <c r="F18" s="55"/>
      <c r="K18" s="56"/>
    </row>
    <row r="19" spans="1:17" x14ac:dyDescent="0.25">
      <c r="B19" s="57" t="s">
        <v>9</v>
      </c>
      <c r="C19" s="68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170"/>
    </row>
    <row r="20" spans="1:17" x14ac:dyDescent="0.25">
      <c r="B20" s="57" t="s">
        <v>10</v>
      </c>
      <c r="C20" s="71"/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171"/>
    </row>
    <row r="21" spans="1:17" ht="15.75" thickBot="1" x14ac:dyDescent="0.3">
      <c r="B21" s="57" t="s">
        <v>11</v>
      </c>
      <c r="C21" s="76"/>
      <c r="D21" s="77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172"/>
    </row>
    <row r="24" spans="1:17" ht="15.75" thickBot="1" x14ac:dyDescent="0.3">
      <c r="A24" s="57" t="s">
        <v>118</v>
      </c>
    </row>
    <row r="25" spans="1:17" x14ac:dyDescent="0.25">
      <c r="B25" s="57" t="s">
        <v>113</v>
      </c>
      <c r="E25" s="173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5"/>
    </row>
    <row r="26" spans="1:17" ht="15.75" thickBot="1" x14ac:dyDescent="0.3">
      <c r="B26" s="57" t="s">
        <v>112</v>
      </c>
      <c r="E26" s="176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8"/>
    </row>
    <row r="28" spans="1:17" ht="18" thickBot="1" x14ac:dyDescent="0.3">
      <c r="A28" s="57" t="s">
        <v>119</v>
      </c>
    </row>
    <row r="29" spans="1:17" x14ac:dyDescent="0.25">
      <c r="B29" s="57" t="s">
        <v>113</v>
      </c>
      <c r="E29" s="173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5"/>
    </row>
    <row r="30" spans="1:17" ht="15.75" thickBot="1" x14ac:dyDescent="0.3">
      <c r="B30" s="57" t="s">
        <v>112</v>
      </c>
      <c r="E30" s="176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8"/>
    </row>
    <row r="32" spans="1:17" ht="17.25" x14ac:dyDescent="0.25">
      <c r="A32" s="169" t="s">
        <v>44</v>
      </c>
      <c r="B32" s="1" t="s">
        <v>120</v>
      </c>
    </row>
  </sheetData>
  <pageMargins left="0.7" right="0.7" top="0.75" bottom="0.75" header="0.3" footer="0.3"/>
  <pageSetup scale="61" orientation="landscape" r:id="rId1"/>
  <headerFooter>
    <oddFooter>&amp;L&amp;F
&amp;A&amp;RPage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41"/>
  <sheetViews>
    <sheetView zoomScaleNormal="100" workbookViewId="0">
      <selection activeCell="E15" sqref="E15"/>
    </sheetView>
  </sheetViews>
  <sheetFormatPr defaultColWidth="8.7109375" defaultRowHeight="12.75" x14ac:dyDescent="0.2"/>
  <cols>
    <col min="1" max="1" width="38.7109375" style="14" customWidth="1"/>
    <col min="2" max="2" width="10.7109375" style="14" customWidth="1"/>
    <col min="3" max="3" width="19.140625" style="14" customWidth="1"/>
    <col min="4" max="16384" width="8.7109375" style="14"/>
  </cols>
  <sheetData>
    <row r="1" spans="1:4" x14ac:dyDescent="0.2">
      <c r="A1" s="64" t="s">
        <v>56</v>
      </c>
    </row>
    <row r="3" spans="1:4" x14ac:dyDescent="0.2">
      <c r="A3" s="12" t="s">
        <v>19</v>
      </c>
      <c r="B3" s="11"/>
      <c r="C3" s="11"/>
    </row>
    <row r="4" spans="1:4" x14ac:dyDescent="0.2">
      <c r="A4" s="15" t="s">
        <v>53</v>
      </c>
      <c r="B4" s="20">
        <v>5</v>
      </c>
      <c r="C4" s="27" t="s">
        <v>16</v>
      </c>
    </row>
    <row r="5" spans="1:4" x14ac:dyDescent="0.2">
      <c r="A5" s="15"/>
      <c r="B5" s="20"/>
      <c r="C5" s="27"/>
    </row>
    <row r="6" spans="1:4" x14ac:dyDescent="0.2">
      <c r="A6" s="12" t="s">
        <v>37</v>
      </c>
      <c r="B6" s="20"/>
      <c r="C6" s="27"/>
    </row>
    <row r="7" spans="1:4" x14ac:dyDescent="0.2">
      <c r="A7" s="15" t="s">
        <v>47</v>
      </c>
      <c r="B7" s="58">
        <f>AVERAGE('Actual VRNG Volumes'!O29:O38)</f>
        <v>1.4086726622518699</v>
      </c>
      <c r="C7" s="27" t="s">
        <v>20</v>
      </c>
    </row>
    <row r="8" spans="1:4" x14ac:dyDescent="0.2">
      <c r="A8" s="15" t="s">
        <v>48</v>
      </c>
      <c r="B8" s="59">
        <v>133</v>
      </c>
      <c r="C8" s="27" t="s">
        <v>38</v>
      </c>
      <c r="D8" s="47"/>
    </row>
    <row r="9" spans="1:4" x14ac:dyDescent="0.2">
      <c r="A9" s="15" t="s">
        <v>49</v>
      </c>
      <c r="B9" s="67">
        <v>3.0830000000000002</v>
      </c>
      <c r="C9" s="27" t="s">
        <v>17</v>
      </c>
    </row>
    <row r="10" spans="1:4" x14ac:dyDescent="0.2">
      <c r="A10" s="14" t="s">
        <v>50</v>
      </c>
      <c r="B10" s="21">
        <f>1.475</f>
        <v>1.4750000000000001</v>
      </c>
      <c r="C10" s="14" t="s">
        <v>114</v>
      </c>
    </row>
    <row r="11" spans="1:4" s="28" customFormat="1" x14ac:dyDescent="0.2">
      <c r="A11" s="28" t="s">
        <v>115</v>
      </c>
      <c r="B11" s="21">
        <v>0.11</v>
      </c>
      <c r="C11" s="28" t="s">
        <v>117</v>
      </c>
    </row>
    <row r="12" spans="1:4" x14ac:dyDescent="0.2">
      <c r="A12" s="14" t="s">
        <v>46</v>
      </c>
      <c r="B12" s="65">
        <v>20027.591668500405</v>
      </c>
      <c r="C12" s="28" t="s">
        <v>23</v>
      </c>
    </row>
    <row r="13" spans="1:4" x14ac:dyDescent="0.2">
      <c r="A13" s="14" t="s">
        <v>45</v>
      </c>
      <c r="B13" s="65">
        <v>59649.32890917152</v>
      </c>
      <c r="C13" s="28" t="s">
        <v>23</v>
      </c>
    </row>
    <row r="14" spans="1:4" x14ac:dyDescent="0.2">
      <c r="A14" s="15"/>
      <c r="B14" s="62"/>
      <c r="C14" s="27"/>
    </row>
    <row r="15" spans="1:4" x14ac:dyDescent="0.2">
      <c r="A15" s="12" t="s">
        <v>36</v>
      </c>
      <c r="B15" s="62"/>
      <c r="C15" s="27"/>
    </row>
    <row r="16" spans="1:4" x14ac:dyDescent="0.2">
      <c r="A16" s="15" t="s">
        <v>47</v>
      </c>
      <c r="B16" s="58">
        <f>AVERAGE('Actual VRNG Volumes'!P29:P38)</f>
        <v>284.79274950765523</v>
      </c>
      <c r="C16" s="27" t="s">
        <v>20</v>
      </c>
    </row>
    <row r="17" spans="1:4" x14ac:dyDescent="0.2">
      <c r="A17" s="15" t="s">
        <v>48</v>
      </c>
      <c r="B17" s="59">
        <v>0</v>
      </c>
      <c r="C17" s="27" t="s">
        <v>38</v>
      </c>
    </row>
    <row r="18" spans="1:4" x14ac:dyDescent="0.2">
      <c r="A18" s="15" t="s">
        <v>49</v>
      </c>
      <c r="B18" s="67">
        <v>3.0830000000000002</v>
      </c>
      <c r="C18" s="27" t="s">
        <v>17</v>
      </c>
    </row>
    <row r="19" spans="1:4" x14ac:dyDescent="0.2">
      <c r="A19" s="14" t="s">
        <v>50</v>
      </c>
      <c r="B19" s="21">
        <f>B10</f>
        <v>1.4750000000000001</v>
      </c>
      <c r="C19" s="28" t="s">
        <v>114</v>
      </c>
    </row>
    <row r="20" spans="1:4" s="28" customFormat="1" x14ac:dyDescent="0.2">
      <c r="A20" s="28" t="s">
        <v>115</v>
      </c>
      <c r="B20" s="21">
        <f>B11</f>
        <v>0.11</v>
      </c>
      <c r="C20" s="28" t="s">
        <v>117</v>
      </c>
    </row>
    <row r="21" spans="1:4" s="28" customFormat="1" x14ac:dyDescent="0.2">
      <c r="A21" s="28" t="s">
        <v>116</v>
      </c>
      <c r="B21" s="21">
        <v>0.40438000000000002</v>
      </c>
      <c r="C21" s="28" t="s">
        <v>117</v>
      </c>
    </row>
    <row r="22" spans="1:4" x14ac:dyDescent="0.2">
      <c r="A22" s="14" t="s">
        <v>46</v>
      </c>
      <c r="B22" s="66">
        <v>20253.458331499591</v>
      </c>
      <c r="C22" s="28" t="s">
        <v>23</v>
      </c>
    </row>
    <row r="23" spans="1:4" x14ac:dyDescent="0.2">
      <c r="A23" s="14" t="s">
        <v>45</v>
      </c>
      <c r="B23" s="66">
        <v>60322.040590828467</v>
      </c>
      <c r="C23" s="28" t="s">
        <v>23</v>
      </c>
    </row>
    <row r="26" spans="1:4" x14ac:dyDescent="0.2">
      <c r="A26" s="14" t="s">
        <v>51</v>
      </c>
      <c r="B26" s="63">
        <f>35027*1.15</f>
        <v>40281.049999999996</v>
      </c>
      <c r="C26" s="28" t="s">
        <v>23</v>
      </c>
      <c r="D26" s="41"/>
    </row>
    <row r="27" spans="1:4" x14ac:dyDescent="0.2">
      <c r="A27" s="14" t="s">
        <v>52</v>
      </c>
      <c r="B27" s="63">
        <f>104322.93*1.15</f>
        <v>119971.36949999999</v>
      </c>
      <c r="C27" s="28" t="s">
        <v>23</v>
      </c>
      <c r="D27" s="41"/>
    </row>
    <row r="30" spans="1:4" x14ac:dyDescent="0.2">
      <c r="A30" s="26" t="s">
        <v>111</v>
      </c>
    </row>
    <row r="32" spans="1:4" x14ac:dyDescent="0.2">
      <c r="A32" s="22"/>
    </row>
    <row r="34" spans="1:3" ht="15" x14ac:dyDescent="0.25">
      <c r="A34"/>
      <c r="B34"/>
    </row>
    <row r="35" spans="1:3" ht="15" x14ac:dyDescent="0.25">
      <c r="A35"/>
      <c r="B35"/>
    </row>
    <row r="38" spans="1:3" x14ac:dyDescent="0.2">
      <c r="B38" s="45"/>
    </row>
    <row r="40" spans="1:3" x14ac:dyDescent="0.2">
      <c r="A40" s="13"/>
      <c r="B40" s="13"/>
      <c r="C40" s="13"/>
    </row>
    <row r="41" spans="1:3" x14ac:dyDescent="0.2">
      <c r="C41" s="13"/>
    </row>
  </sheetData>
  <pageMargins left="0.7" right="0.7" top="0.75" bottom="0.75" header="0.3" footer="0.3"/>
  <pageSetup orientation="portrait" r:id="rId1"/>
  <headerFooter>
    <oddFooter>&amp;L&amp;F
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Normal="100" workbookViewId="0">
      <selection activeCell="D26" sqref="D26"/>
    </sheetView>
  </sheetViews>
  <sheetFormatPr defaultColWidth="9.140625" defaultRowHeight="11.25" x14ac:dyDescent="0.2"/>
  <cols>
    <col min="1" max="1" width="6.85546875" style="134" bestFit="1" customWidth="1"/>
    <col min="2" max="2" width="64.140625" style="134" bestFit="1" customWidth="1"/>
    <col min="3" max="3" width="3.42578125" style="134" customWidth="1"/>
    <col min="4" max="4" width="7.85546875" style="134" customWidth="1"/>
    <col min="5" max="5" width="13.140625" style="134" customWidth="1"/>
    <col min="6" max="16384" width="9.140625" style="134"/>
  </cols>
  <sheetData>
    <row r="1" spans="1:9" x14ac:dyDescent="0.2">
      <c r="B1" s="183" t="s">
        <v>75</v>
      </c>
      <c r="C1" s="183"/>
      <c r="D1" s="183"/>
      <c r="E1" s="183"/>
      <c r="F1" s="135"/>
      <c r="G1" s="135"/>
      <c r="H1" s="135"/>
      <c r="I1" s="135"/>
    </row>
    <row r="2" spans="1:9" x14ac:dyDescent="0.2">
      <c r="A2" s="136"/>
      <c r="B2" s="184" t="s">
        <v>76</v>
      </c>
      <c r="C2" s="184"/>
      <c r="D2" s="184"/>
      <c r="E2" s="184"/>
      <c r="F2" s="135"/>
      <c r="G2" s="135"/>
      <c r="H2" s="135"/>
      <c r="I2" s="135"/>
    </row>
    <row r="3" spans="1:9" x14ac:dyDescent="0.2">
      <c r="A3" s="137"/>
      <c r="B3" s="185" t="s">
        <v>77</v>
      </c>
      <c r="C3" s="185"/>
      <c r="D3" s="185"/>
      <c r="E3" s="185"/>
      <c r="F3" s="135"/>
      <c r="G3" s="135"/>
      <c r="H3" s="135"/>
      <c r="I3" s="135"/>
    </row>
    <row r="4" spans="1:9" x14ac:dyDescent="0.2">
      <c r="A4" s="137"/>
      <c r="B4" s="185" t="s">
        <v>78</v>
      </c>
      <c r="C4" s="185"/>
      <c r="D4" s="185"/>
      <c r="E4" s="185"/>
      <c r="F4" s="135"/>
      <c r="G4" s="135"/>
      <c r="H4" s="135"/>
      <c r="I4" s="135"/>
    </row>
    <row r="5" spans="1:9" x14ac:dyDescent="0.2">
      <c r="A5" s="138"/>
      <c r="B5" s="138"/>
      <c r="C5" s="138"/>
      <c r="D5" s="138"/>
      <c r="E5" s="138"/>
      <c r="F5" s="135"/>
      <c r="G5" s="139"/>
      <c r="H5" s="135"/>
      <c r="I5" s="135"/>
    </row>
    <row r="6" spans="1:9" x14ac:dyDescent="0.2">
      <c r="A6" s="140" t="s">
        <v>79</v>
      </c>
      <c r="B6" s="138"/>
      <c r="C6" s="138"/>
      <c r="D6" s="138"/>
      <c r="E6" s="138"/>
      <c r="F6" s="135"/>
      <c r="G6" s="135"/>
      <c r="H6" s="135"/>
      <c r="I6" s="135"/>
    </row>
    <row r="7" spans="1:9" x14ac:dyDescent="0.2">
      <c r="A7" s="141" t="s">
        <v>80</v>
      </c>
      <c r="B7" s="142" t="s">
        <v>81</v>
      </c>
      <c r="C7" s="143"/>
      <c r="D7" s="143"/>
      <c r="E7" s="144" t="s">
        <v>82</v>
      </c>
      <c r="F7" s="135"/>
      <c r="G7" s="135"/>
      <c r="H7" s="135"/>
      <c r="I7" s="135"/>
    </row>
    <row r="8" spans="1:9" x14ac:dyDescent="0.2">
      <c r="A8" s="135"/>
      <c r="B8" s="135"/>
      <c r="C8" s="135"/>
      <c r="D8" s="135"/>
      <c r="E8" s="145"/>
      <c r="F8" s="135"/>
      <c r="G8" s="135"/>
      <c r="H8" s="135"/>
      <c r="I8" s="135"/>
    </row>
    <row r="9" spans="1:9" x14ac:dyDescent="0.2">
      <c r="A9" s="145">
        <v>1</v>
      </c>
      <c r="B9" s="139" t="s">
        <v>83</v>
      </c>
      <c r="C9" s="135"/>
      <c r="D9" s="135"/>
      <c r="E9" s="146">
        <v>4.1980000000000003E-3</v>
      </c>
      <c r="F9" s="135"/>
      <c r="G9" s="135"/>
      <c r="H9" s="135"/>
      <c r="I9" s="135"/>
    </row>
    <row r="10" spans="1:9" x14ac:dyDescent="0.2">
      <c r="A10" s="145">
        <v>2</v>
      </c>
      <c r="B10" s="139" t="s">
        <v>84</v>
      </c>
      <c r="C10" s="135"/>
      <c r="D10" s="135"/>
      <c r="E10" s="147">
        <v>5.0000000000000001E-3</v>
      </c>
      <c r="F10" s="135"/>
      <c r="G10" s="135"/>
      <c r="H10" s="135"/>
      <c r="I10" s="135"/>
    </row>
    <row r="11" spans="1:9" x14ac:dyDescent="0.2">
      <c r="A11" s="145">
        <v>3</v>
      </c>
      <c r="B11" s="139" t="str">
        <f>"STATE UTILITY TAX - NET OF BAD DEBTS ( "&amp;D11*100&amp;"% - ( LINE 1 * "&amp;D11*100&amp;"%) )"</f>
        <v>STATE UTILITY TAX - NET OF BAD DEBTS ( 3.852% - ( LINE 1 * 3.852%) )</v>
      </c>
      <c r="C11" s="135"/>
      <c r="D11" s="148">
        <v>3.8519999999999999E-2</v>
      </c>
      <c r="E11" s="149">
        <f>ROUND(D11-(D11*E9),6)</f>
        <v>3.8358000000000003E-2</v>
      </c>
      <c r="F11" s="135"/>
      <c r="G11" s="135"/>
      <c r="H11" s="135"/>
      <c r="I11" s="135"/>
    </row>
    <row r="12" spans="1:9" x14ac:dyDescent="0.2">
      <c r="A12" s="145">
        <v>4</v>
      </c>
      <c r="B12" s="139"/>
      <c r="C12" s="135"/>
      <c r="D12" s="135"/>
      <c r="E12" s="150"/>
      <c r="F12" s="135"/>
      <c r="G12" s="135"/>
      <c r="H12" s="135"/>
      <c r="I12" s="135"/>
    </row>
    <row r="13" spans="1:9" x14ac:dyDescent="0.2">
      <c r="A13" s="145">
        <v>5</v>
      </c>
      <c r="B13" s="139" t="s">
        <v>85</v>
      </c>
      <c r="C13" s="135"/>
      <c r="D13" s="135"/>
      <c r="E13" s="151">
        <f>ROUND(SUM(E9:E11),6)</f>
        <v>4.7556000000000001E-2</v>
      </c>
      <c r="F13" s="135"/>
      <c r="G13" s="135"/>
      <c r="H13" s="135"/>
      <c r="I13" s="135"/>
    </row>
    <row r="14" spans="1:9" x14ac:dyDescent="0.2">
      <c r="A14" s="145">
        <v>6</v>
      </c>
      <c r="B14" s="135"/>
      <c r="C14" s="135"/>
      <c r="D14" s="135"/>
      <c r="E14" s="151"/>
      <c r="F14" s="135"/>
      <c r="G14" s="135"/>
      <c r="H14" s="135"/>
      <c r="I14" s="135"/>
    </row>
    <row r="15" spans="1:9" x14ac:dyDescent="0.2">
      <c r="A15" s="145">
        <v>7</v>
      </c>
      <c r="B15" s="135" t="s">
        <v>86</v>
      </c>
      <c r="C15" s="135"/>
      <c r="D15" s="135"/>
      <c r="E15" s="151">
        <f>ROUND(1-E13,6)</f>
        <v>0.95244399999999996</v>
      </c>
      <c r="F15" s="135"/>
      <c r="G15" s="135"/>
      <c r="H15" s="135"/>
      <c r="I15" s="135"/>
    </row>
    <row r="16" spans="1:9" x14ac:dyDescent="0.2">
      <c r="A16" s="145">
        <v>8</v>
      </c>
      <c r="B16" s="139" t="s">
        <v>87</v>
      </c>
      <c r="C16" s="135"/>
      <c r="D16" s="148">
        <v>0.21</v>
      </c>
      <c r="E16" s="151">
        <f>ROUND((E15)*D16,6)</f>
        <v>0.200013</v>
      </c>
      <c r="F16" s="135"/>
      <c r="G16" s="135"/>
      <c r="H16" s="135"/>
      <c r="I16" s="135"/>
    </row>
    <row r="17" spans="1:9" x14ac:dyDescent="0.2">
      <c r="A17" s="145">
        <v>9</v>
      </c>
      <c r="B17" s="139" t="s">
        <v>88</v>
      </c>
      <c r="C17" s="135"/>
      <c r="D17" s="135"/>
      <c r="E17" s="152">
        <f>ROUND(1-E16-E13,6)</f>
        <v>0.75243099999999996</v>
      </c>
      <c r="F17" s="135"/>
      <c r="G17" s="135"/>
      <c r="H17" s="135"/>
      <c r="I17" s="135"/>
    </row>
    <row r="18" spans="1:9" x14ac:dyDescent="0.2">
      <c r="A18" s="135"/>
      <c r="B18" s="135"/>
      <c r="C18" s="135"/>
      <c r="D18" s="135"/>
      <c r="E18" s="145"/>
      <c r="F18" s="135"/>
      <c r="G18" s="135"/>
      <c r="H18" s="135"/>
      <c r="I18" s="135"/>
    </row>
    <row r="19" spans="1:9" x14ac:dyDescent="0.2">
      <c r="F19" s="135"/>
      <c r="G19" s="135"/>
      <c r="H19" s="135"/>
      <c r="I19" s="135"/>
    </row>
    <row r="20" spans="1:9" x14ac:dyDescent="0.2">
      <c r="A20" s="139" t="s">
        <v>89</v>
      </c>
      <c r="B20" s="139" t="s">
        <v>90</v>
      </c>
      <c r="F20" s="135"/>
      <c r="G20" s="135"/>
      <c r="H20" s="135"/>
      <c r="I20" s="135"/>
    </row>
    <row r="21" spans="1:9" x14ac:dyDescent="0.2">
      <c r="B21" s="139"/>
      <c r="E21" s="153"/>
      <c r="F21" s="135"/>
      <c r="G21" s="135"/>
      <c r="H21" s="135"/>
      <c r="I21" s="135"/>
    </row>
    <row r="22" spans="1:9" x14ac:dyDescent="0.2">
      <c r="F22" s="135"/>
      <c r="G22" s="135"/>
      <c r="H22" s="135"/>
      <c r="I22" s="135"/>
    </row>
    <row r="23" spans="1:9" ht="12" thickBot="1" x14ac:dyDescent="0.25">
      <c r="B23" s="134" t="s">
        <v>59</v>
      </c>
      <c r="E23" s="154">
        <f>1/E15</f>
        <v>1.0499304946012575</v>
      </c>
      <c r="F23" s="135"/>
      <c r="G23" s="135"/>
      <c r="H23" s="135"/>
      <c r="I23" s="135"/>
    </row>
    <row r="24" spans="1:9" ht="12" thickTop="1" x14ac:dyDescent="0.2">
      <c r="F24" s="135"/>
      <c r="G24" s="135"/>
      <c r="H24" s="135"/>
      <c r="I24" s="135"/>
    </row>
    <row r="26" spans="1:9" x14ac:dyDescent="0.2">
      <c r="B26" s="155" t="s">
        <v>91</v>
      </c>
    </row>
  </sheetData>
  <mergeCells count="4">
    <mergeCell ref="B1:E1"/>
    <mergeCell ref="B2:E2"/>
    <mergeCell ref="B3:E3"/>
    <mergeCell ref="B4:E4"/>
  </mergeCells>
  <printOptions horizontalCentered="1"/>
  <pageMargins left="0.68" right="0.56000000000000005" top="1" bottom="1" header="0.5" footer="0.5"/>
  <pageSetup scale="96" orientation="portrait" r:id="rId1"/>
  <headerFooter alignWithMargins="0">
    <oddFooter>&amp;L&amp;F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56534B2187064F9B27E5AF0EE4F322" ma:contentTypeVersion="16" ma:contentTypeDescription="" ma:contentTypeScope="" ma:versionID="7305acdaf459debfd6c32c4a3053dde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2024-09-16T07:00:00+00:00</OpenedDate>
    <SignificantOrder xmlns="dc463f71-b30c-4ab2-9473-d307f9d35888">false</SignificantOrder>
    <Date1 xmlns="dc463f71-b30c-4ab2-9473-d307f9d35888">2024-09-16T07:00:00+00:00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240708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1DC3307-5B0B-4969-97EE-57CDA604BE7A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536A75BE-CF65-4620-ACD0-3316425B326D}"/>
</file>

<file path=customXml/itemProps3.xml><?xml version="1.0" encoding="utf-8"?>
<ds:datastoreItem xmlns:ds="http://schemas.openxmlformats.org/officeDocument/2006/customXml" ds:itemID="{CFAE820D-14E3-4E91-92F3-DE3C7318C595}"/>
</file>

<file path=customXml/itemProps4.xml><?xml version="1.0" encoding="utf-8"?>
<ds:datastoreItem xmlns:ds="http://schemas.openxmlformats.org/officeDocument/2006/customXml" ds:itemID="{B1C8A77C-CA40-40F7-B242-F7493AB11788}"/>
</file>

<file path=customXml/itemProps5.xml><?xml version="1.0" encoding="utf-8"?>
<ds:datastoreItem xmlns:ds="http://schemas.openxmlformats.org/officeDocument/2006/customXml" ds:itemID="{66404A9A-4AAC-4D62-912B-7FB183D322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REDACTED VERSION</vt:lpstr>
      <vt:lpstr>Sch. 138 VRNG Rates</vt:lpstr>
      <vt:lpstr>VRNG Cost Summary (R)</vt:lpstr>
      <vt:lpstr>Actual VRNG Volumes</vt:lpstr>
      <vt:lpstr>Forecast VRNG Volumes (R)</vt:lpstr>
      <vt:lpstr>RNG Assumptions</vt:lpstr>
      <vt:lpstr>Conversion Factor</vt:lpstr>
      <vt:lpstr>'Conversion Factor'!Print_Area</vt:lpstr>
      <vt:lpstr>'Forecast VRNG Volumes (R)'!Print_Area</vt:lpstr>
      <vt:lpstr>'REDACTED VERSION'!Print_Area</vt:lpstr>
      <vt:lpstr>'RNG Assumptions'!Print_Area</vt:lpstr>
      <vt:lpstr>'Sch. 138 VRNG Rates'!Print_Area</vt:lpstr>
      <vt:lpstr>'VRNG Cost Summary (R)'!Print_Area</vt:lpstr>
      <vt:lpstr>'Actual VRNG Volumes'!Print_Titles</vt:lpstr>
      <vt:lpstr>'Forecast VRNG Volumes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Myers, Leslie</dc:creator>
  <cp:lastModifiedBy>Schmidt, Paul</cp:lastModifiedBy>
  <cp:lastPrinted>2024-09-16T21:32:59Z</cp:lastPrinted>
  <dcterms:created xsi:type="dcterms:W3CDTF">2022-03-29T19:40:05Z</dcterms:created>
  <dcterms:modified xsi:type="dcterms:W3CDTF">2024-09-16T21:56:24Z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0x0101006E56B4D1795A2E4DB2F0B01679ED314A001756534B2187064F9B27E5AF0EE4F322</vt:lpwstr>
  </property>
  <property fmtid="{D5CDD505-2E9C-101B-9397-08002B2CF9AE}" pid="3" name="_docset_NoMedatataSyncRequired">
    <vt:lpwstr>False</vt:lpwstr>
  </property>
</Properties>
</file>